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828北京市海淀区西三环北路74号院C座2层4号\F02北京市海淀区西三环北路74号院C座2层4号最终\"/>
    </mc:Choice>
  </mc:AlternateContent>
  <bookViews>
    <workbookView xWindow="0" yWindow="0" windowWidth="22416" windowHeight="12048" tabRatio="899" firstSheet="14"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2003" sheetId="81" r:id="rId27"/>
    <sheet name="Sheet1"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6" hidden="1">'2003'!$A$2:$BO$1263</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W9" i="82" l="1"/>
  <c r="W8" i="82"/>
  <c r="W7" i="82"/>
  <c r="W6" i="82"/>
  <c r="W5" i="82"/>
  <c r="I27" i="21" l="1"/>
  <c r="G27" i="21"/>
  <c r="E27" i="21"/>
  <c r="C27" i="21"/>
  <c r="I37" i="21"/>
  <c r="G37" i="21"/>
  <c r="E37" i="21"/>
  <c r="C37" i="21" l="1"/>
  <c r="I33" i="21"/>
  <c r="G33" i="21"/>
  <c r="E33" i="21"/>
  <c r="I7" i="21"/>
  <c r="G7" i="21"/>
  <c r="E7" i="21"/>
  <c r="I5" i="21"/>
  <c r="G5" i="21"/>
  <c r="E5" i="21"/>
  <c r="N18" i="1" l="1"/>
  <c r="E126" i="21"/>
  <c r="D126" i="21"/>
  <c r="C126" i="21"/>
  <c r="M59" i="21"/>
  <c r="L59" i="21"/>
  <c r="D5" i="9" l="1"/>
  <c r="J59" i="21" l="1"/>
  <c r="I59" i="21"/>
  <c r="G59" i="21"/>
  <c r="F59" i="2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H5" i="3" s="1"/>
  <c r="BI498" i="3"/>
  <c r="BJ498" i="3"/>
  <c r="BK498" i="3"/>
  <c r="BM498" i="3"/>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L561" i="3" s="1"/>
  <c r="AZ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AB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s="1"/>
  <c r="G68" i="36" s="1"/>
  <c r="D64" i="36"/>
  <c r="E64" i="36" s="1"/>
  <c r="F64" i="36"/>
  <c r="G64" i="36" s="1"/>
  <c r="J16" i="36"/>
  <c r="W16" i="36" s="1"/>
  <c r="D62" i="36"/>
  <c r="E62" i="36"/>
  <c r="F62" i="36" s="1"/>
  <c r="G62" i="36" s="1"/>
  <c r="B59" i="36"/>
  <c r="F13" i="36" s="1"/>
  <c r="S13" i="36" s="1"/>
  <c r="B57" i="36"/>
  <c r="B55" i="36"/>
  <c r="C51" i="36"/>
  <c r="P37" i="36"/>
  <c r="P36" i="36"/>
  <c r="V35" i="36"/>
  <c r="T35" i="36"/>
  <c r="R35" i="36"/>
  <c r="P35" i="36"/>
  <c r="Q34" i="36"/>
  <c r="Z34" i="36" s="1"/>
  <c r="Q33" i="36"/>
  <c r="Z33" i="36" s="1"/>
  <c r="Q32" i="36"/>
  <c r="Z32" i="36" s="1"/>
  <c r="Q31" i="36"/>
  <c r="Z31" i="36"/>
  <c r="Q30" i="36"/>
  <c r="Z30" i="36" s="1"/>
  <c r="Q29" i="36"/>
  <c r="Z29" i="36" s="1"/>
  <c r="Q28" i="36"/>
  <c r="Z28" i="36"/>
  <c r="J28" i="36"/>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c r="B73" i="35"/>
  <c r="B57" i="35"/>
  <c r="H11" i="35" s="1"/>
  <c r="AB11" i="35" s="1"/>
  <c r="B61" i="35"/>
  <c r="F13" i="35" s="1"/>
  <c r="B59" i="35"/>
  <c r="B131" i="34"/>
  <c r="B129" i="34"/>
  <c r="B127" i="34"/>
  <c r="B99" i="34"/>
  <c r="J32" i="34" s="1"/>
  <c r="W32" i="34" s="1"/>
  <c r="B97" i="34"/>
  <c r="B95" i="34"/>
  <c r="J30" i="34" s="1"/>
  <c r="B93" i="34"/>
  <c r="F29" i="34" s="1"/>
  <c r="S29" i="34" s="1"/>
  <c r="B75" i="34"/>
  <c r="J14" i="34" s="1"/>
  <c r="W14" i="34" s="1"/>
  <c r="B73" i="34"/>
  <c r="B71" i="34"/>
  <c r="J12" i="34" s="1"/>
  <c r="W12" i="34" s="1"/>
  <c r="B130" i="33"/>
  <c r="B128" i="33"/>
  <c r="H45" i="33" s="1"/>
  <c r="B126" i="33"/>
  <c r="B98" i="33"/>
  <c r="F31" i="33" s="1"/>
  <c r="AA31" i="33" s="1"/>
  <c r="B96" i="33"/>
  <c r="F30" i="33" s="1"/>
  <c r="B94" i="33"/>
  <c r="F29" i="33" s="1"/>
  <c r="B74" i="33"/>
  <c r="B72" i="33"/>
  <c r="F13" i="33" s="1"/>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F26" i="21"/>
  <c r="S26" i="21" s="1"/>
  <c r="AB41" i="21"/>
  <c r="J45" i="39"/>
  <c r="W45" i="39" s="1"/>
  <c r="F36" i="39"/>
  <c r="S36" i="39" s="1"/>
  <c r="J35" i="39"/>
  <c r="AC35" i="39" s="1"/>
  <c r="F35" i="39"/>
  <c r="AA35" i="39" s="1"/>
  <c r="F39" i="37"/>
  <c r="S39" i="37" s="1"/>
  <c r="F29" i="36"/>
  <c r="AA29" i="36" s="1"/>
  <c r="F16" i="36"/>
  <c r="AA16" i="36" s="1"/>
  <c r="H22" i="35"/>
  <c r="AB22" i="35" s="1"/>
  <c r="F36" i="34"/>
  <c r="AA36" i="34" s="1"/>
  <c r="J35" i="34"/>
  <c r="U34" i="34"/>
  <c r="H39" i="33"/>
  <c r="AB39" i="33"/>
  <c r="S40" i="33"/>
  <c r="W33" i="33"/>
  <c r="F11" i="40"/>
  <c r="AA11" i="40"/>
  <c r="H11" i="40"/>
  <c r="AA9" i="40"/>
  <c r="W31" i="40"/>
  <c r="U34" i="40"/>
  <c r="F42" i="39"/>
  <c r="F41" i="39"/>
  <c r="S41" i="39" s="1"/>
  <c r="H40" i="39"/>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9" i="21"/>
  <c r="U29" i="21" s="1"/>
  <c r="F27" i="33"/>
  <c r="AA27" i="33" s="1"/>
  <c r="J13" i="33"/>
  <c r="AC13" i="33" s="1"/>
  <c r="H13" i="33"/>
  <c r="U13" i="33" s="1"/>
  <c r="H29" i="33"/>
  <c r="U29" i="33" s="1"/>
  <c r="J31" i="33"/>
  <c r="H31" i="33"/>
  <c r="H30" i="34"/>
  <c r="AB30" i="34" s="1"/>
  <c r="F30" i="34"/>
  <c r="H46" i="34"/>
  <c r="U46" i="34" s="1"/>
  <c r="F46" i="34"/>
  <c r="J46" i="34"/>
  <c r="W46" i="34"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F40" i="37"/>
  <c r="AA40" i="37" s="1"/>
  <c r="AC12" i="40"/>
  <c r="W12" i="40"/>
  <c r="H14" i="33"/>
  <c r="F14" i="33"/>
  <c r="J14" i="33"/>
  <c r="AC14" i="33" s="1"/>
  <c r="H30" i="33"/>
  <c r="AB30" i="33" s="1"/>
  <c r="J30" i="33"/>
  <c r="H44" i="33"/>
  <c r="U44" i="33" s="1"/>
  <c r="J44" i="33"/>
  <c r="AC44" i="33" s="1"/>
  <c r="F44" i="33"/>
  <c r="S44" i="33" s="1"/>
  <c r="J46" i="33"/>
  <c r="F46" i="33"/>
  <c r="AA46" i="33" s="1"/>
  <c r="H46" i="33"/>
  <c r="AB46" i="33" s="1"/>
  <c r="H13" i="34"/>
  <c r="U13" i="34" s="1"/>
  <c r="J13" i="34"/>
  <c r="F13" i="34"/>
  <c r="J29" i="34"/>
  <c r="H29" i="34"/>
  <c r="AB29" i="34" s="1"/>
  <c r="J31" i="34"/>
  <c r="AC31" i="34" s="1"/>
  <c r="H31" i="34"/>
  <c r="F31" i="34"/>
  <c r="S31" i="34" s="1"/>
  <c r="H45" i="34"/>
  <c r="J45" i="34"/>
  <c r="W45" i="34" s="1"/>
  <c r="F45" i="34"/>
  <c r="H47" i="34"/>
  <c r="AB47" i="34" s="1"/>
  <c r="F47" i="34"/>
  <c r="S47" i="34" s="1"/>
  <c r="J47" i="34"/>
  <c r="W47" i="34" s="1"/>
  <c r="AC47" i="34"/>
  <c r="J13" i="35"/>
  <c r="AC13" i="35" s="1"/>
  <c r="H13" i="35"/>
  <c r="J25" i="35"/>
  <c r="AC25" i="35" s="1"/>
  <c r="H25" i="35"/>
  <c r="AB25" i="35" s="1"/>
  <c r="J25" i="36"/>
  <c r="H28" i="37"/>
  <c r="H38" i="37"/>
  <c r="AB38" i="37" s="1"/>
  <c r="J38" i="37"/>
  <c r="F43" i="39"/>
  <c r="F12" i="40"/>
  <c r="S12" i="40" s="1"/>
  <c r="H12" i="40"/>
  <c r="AB12" i="40" s="1"/>
  <c r="H30" i="40"/>
  <c r="AB30" i="40" s="1"/>
  <c r="F33" i="40"/>
  <c r="AA33" i="40" s="1"/>
  <c r="H33" i="40"/>
  <c r="U33" i="40" s="1"/>
  <c r="J35" i="40"/>
  <c r="J37" i="40"/>
  <c r="AC37" i="40" s="1"/>
  <c r="F14" i="37"/>
  <c r="H14" i="40"/>
  <c r="AB14" i="40" s="1"/>
  <c r="J14" i="40"/>
  <c r="W14" i="40" s="1"/>
  <c r="F14" i="40"/>
  <c r="AA14" i="40" s="1"/>
  <c r="J14" i="37"/>
  <c r="U46" i="33"/>
  <c r="J36" i="37"/>
  <c r="AC36" i="37" s="1"/>
  <c r="J10" i="36"/>
  <c r="AC10" i="36" s="1"/>
  <c r="AB46" i="34"/>
  <c r="F15" i="21"/>
  <c r="S15" i="21" s="1"/>
  <c r="J41" i="39"/>
  <c r="W41" i="39" s="1"/>
  <c r="S35" i="39"/>
  <c r="G540" i="3"/>
  <c r="G510" i="3"/>
  <c r="G580" i="3"/>
  <c r="G560" i="3"/>
  <c r="BL526" i="3"/>
  <c r="BL556" i="3"/>
  <c r="G525" i="3"/>
  <c r="BL504" i="3"/>
  <c r="BA572" i="3"/>
  <c r="BA556" i="3"/>
  <c r="AZ556" i="3" s="1"/>
  <c r="BA522" i="3"/>
  <c r="BA587" i="3"/>
  <c r="BA535" i="3"/>
  <c r="BA507" i="3"/>
  <c r="G573" i="3"/>
  <c r="G565" i="3"/>
  <c r="G561"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7" i="3"/>
  <c r="G513" i="3"/>
  <c r="BQ519" i="3"/>
  <c r="BQ517" i="3"/>
  <c r="BQ515" i="3"/>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AA36" i="37"/>
  <c r="F37" i="37"/>
  <c r="S37" i="37" s="1"/>
  <c r="F31" i="40"/>
  <c r="AA31" i="40"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W44" i="33"/>
  <c r="U19" i="21"/>
  <c r="AB38" i="21"/>
  <c r="F43" i="33"/>
  <c r="H37" i="21"/>
  <c r="U37" i="21" s="1"/>
  <c r="H19" i="34"/>
  <c r="AB19" i="34" s="1"/>
  <c r="F36" i="35"/>
  <c r="J9" i="37"/>
  <c r="W9" i="37" s="1"/>
  <c r="H9" i="37"/>
  <c r="U9" i="37" s="1"/>
  <c r="J12" i="37"/>
  <c r="W12" i="37" s="1"/>
  <c r="H12" i="37"/>
  <c r="AB12" i="37" s="1"/>
  <c r="F12" i="37"/>
  <c r="S12" i="37" s="1"/>
  <c r="F15" i="37"/>
  <c r="E94" i="37"/>
  <c r="F94" i="37" s="1"/>
  <c r="G94" i="37" s="1"/>
  <c r="H94" i="37" s="1"/>
  <c r="I94" i="37" s="1"/>
  <c r="J94" i="37" s="1"/>
  <c r="K94" i="37" s="1"/>
  <c r="L94" i="37" s="1"/>
  <c r="M94" i="37" s="1"/>
  <c r="F31" i="37"/>
  <c r="F12" i="39"/>
  <c r="S12" i="39" s="1"/>
  <c r="J42" i="39"/>
  <c r="AC42" i="39" s="1"/>
  <c r="H21" i="40"/>
  <c r="AB21" i="40" s="1"/>
  <c r="H31" i="37"/>
  <c r="U31" i="37" s="1"/>
  <c r="J15" i="37"/>
  <c r="W15" i="37" s="1"/>
  <c r="AT6" i="3"/>
  <c r="H19" i="40"/>
  <c r="U19" i="40" s="1"/>
  <c r="F19" i="40"/>
  <c r="AB33" i="40"/>
  <c r="AB44" i="39"/>
  <c r="H37" i="39"/>
  <c r="AB37" i="39" s="1"/>
  <c r="AC37" i="39"/>
  <c r="W37" i="39"/>
  <c r="H25" i="39"/>
  <c r="J25" i="39"/>
  <c r="F25" i="39"/>
  <c r="AA25" i="39" s="1"/>
  <c r="F15" i="39"/>
  <c r="AA15" i="39" s="1"/>
  <c r="H15" i="39"/>
  <c r="U15" i="39" s="1"/>
  <c r="J15" i="39"/>
  <c r="W15" i="39" s="1"/>
  <c r="H41" i="39"/>
  <c r="W27" i="39"/>
  <c r="AA41" i="39"/>
  <c r="J19" i="40"/>
  <c r="H103" i="9"/>
  <c r="D8" i="53" s="1"/>
  <c r="B16" i="53"/>
  <c r="B33" i="72" s="1"/>
  <c r="C7" i="37"/>
  <c r="C52" i="37" s="1"/>
  <c r="D52" i="37" s="1"/>
  <c r="A118" i="9"/>
  <c r="A4" i="52"/>
  <c r="B41" i="72" s="1"/>
  <c r="J11" i="39"/>
  <c r="W11" i="39" s="1"/>
  <c r="F11" i="39"/>
  <c r="G4" i="4"/>
  <c r="I4" i="4"/>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506"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AZ392" i="3" s="1"/>
  <c r="G393" i="3"/>
  <c r="G548" i="3"/>
  <c r="G538" i="3"/>
  <c r="BP5" i="3"/>
  <c r="G17" i="3"/>
  <c r="BA17" i="3"/>
  <c r="BA15" i="3"/>
  <c r="AZ380" i="3"/>
  <c r="U36" i="40"/>
  <c r="F83" i="43"/>
  <c r="H85" i="43" s="1"/>
  <c r="F50" i="43"/>
  <c r="H54" i="43" s="1"/>
  <c r="F72" i="43"/>
  <c r="H75" i="43" s="1"/>
  <c r="U17" i="39"/>
  <c r="AC35" i="21"/>
  <c r="G10" i="1"/>
  <c r="AC11" i="39"/>
  <c r="W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C29" i="35"/>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AB34" i="36"/>
  <c r="AZ465" i="3"/>
  <c r="S32" i="36"/>
  <c r="BL14" i="3"/>
  <c r="U30" i="33"/>
  <c r="AA47" i="34"/>
  <c r="F12" i="33"/>
  <c r="S12" i="33" s="1"/>
  <c r="H12" i="39"/>
  <c r="AB12" i="39"/>
  <c r="F39" i="40"/>
  <c r="AA39" i="40" s="1"/>
  <c r="BA14" i="3"/>
  <c r="B12" i="1"/>
  <c r="E12" i="1" s="1"/>
  <c r="B10" i="1"/>
  <c r="E10" i="1" s="1"/>
  <c r="K12" i="1"/>
  <c r="M12" i="1" s="1"/>
  <c r="S13" i="1"/>
  <c r="AR13" i="1" s="1"/>
  <c r="R13" i="1"/>
  <c r="J51" i="67"/>
  <c r="AC34" i="33"/>
  <c r="B41" i="1"/>
  <c r="F48" i="9" s="1"/>
  <c r="O52" i="9" s="1"/>
  <c r="AB37" i="40"/>
  <c r="S35" i="40"/>
  <c r="S17" i="40"/>
  <c r="U21" i="40"/>
  <c r="U35" i="39"/>
  <c r="F32" i="39"/>
  <c r="AA32" i="39" s="1"/>
  <c r="AB27" i="39"/>
  <c r="J21" i="39"/>
  <c r="W21" i="39" s="1"/>
  <c r="F21" i="39"/>
  <c r="S21" i="39" s="1"/>
  <c r="G94" i="39"/>
  <c r="H21" i="39"/>
  <c r="W19" i="39"/>
  <c r="U19" i="39"/>
  <c r="U12" i="39"/>
  <c r="U26" i="36"/>
  <c r="AA26" i="36"/>
  <c r="AA34" i="36"/>
  <c r="AC26" i="36"/>
  <c r="AA22" i="36"/>
  <c r="W14" i="36"/>
  <c r="U22" i="36"/>
  <c r="S16" i="36"/>
  <c r="AB20" i="36"/>
  <c r="S14" i="36"/>
  <c r="AA25" i="35"/>
  <c r="W24" i="35"/>
  <c r="U29" i="35"/>
  <c r="AB27" i="35"/>
  <c r="U36" i="35"/>
  <c r="U32" i="35"/>
  <c r="AA33" i="35"/>
  <c r="AC30" i="35"/>
  <c r="S28" i="35"/>
  <c r="AB16" i="35"/>
  <c r="S22" i="35"/>
  <c r="U14" i="35"/>
  <c r="AC9" i="35"/>
  <c r="W13" i="35"/>
  <c r="F9" i="35"/>
  <c r="S9" i="35" s="1"/>
  <c r="H9" i="35"/>
  <c r="U9" i="35" s="1"/>
  <c r="AC29" i="37"/>
  <c r="S32" i="37"/>
  <c r="W30" i="37"/>
  <c r="S36" i="37"/>
  <c r="AA38" i="37"/>
  <c r="W39" i="37"/>
  <c r="J17" i="37"/>
  <c r="F17" i="37"/>
  <c r="AB17" i="37"/>
  <c r="F75" i="37"/>
  <c r="F19" i="37"/>
  <c r="S19" i="37" s="1"/>
  <c r="F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W38" i="33"/>
  <c r="H41" i="33"/>
  <c r="AB41" i="33" s="1"/>
  <c r="S42" i="33"/>
  <c r="F36" i="33"/>
  <c r="AA36" i="33" s="1"/>
  <c r="G108" i="33"/>
  <c r="H108" i="33" s="1"/>
  <c r="I108" i="33" s="1"/>
  <c r="J108" i="33" s="1"/>
  <c r="K108" i="33" s="1"/>
  <c r="L108" i="33" s="1"/>
  <c r="M108" i="33" s="1"/>
  <c r="J35" i="33"/>
  <c r="W35" i="33" s="1"/>
  <c r="S37" i="33"/>
  <c r="AA37" i="33"/>
  <c r="J32" i="33"/>
  <c r="W32" i="33" s="1"/>
  <c r="W43" i="33"/>
  <c r="F91" i="33"/>
  <c r="G91" i="33" s="1"/>
  <c r="H91" i="33" s="1"/>
  <c r="I91" i="33" s="1"/>
  <c r="J91" i="33" s="1"/>
  <c r="K91" i="33" s="1"/>
  <c r="L91" i="33" s="1"/>
  <c r="M91" i="33" s="1"/>
  <c r="H27" i="33"/>
  <c r="F87" i="33"/>
  <c r="H25" i="33"/>
  <c r="F25" i="33"/>
  <c r="S25" i="33" s="1"/>
  <c r="J23" i="33"/>
  <c r="AC23" i="33" s="1"/>
  <c r="H23" i="33"/>
  <c r="U23" i="33" s="1"/>
  <c r="F81" i="33"/>
  <c r="G81" i="33" s="1"/>
  <c r="F19" i="33"/>
  <c r="S19" i="33" s="1"/>
  <c r="W19" i="33"/>
  <c r="J17" i="33"/>
  <c r="S15" i="33"/>
  <c r="J10" i="33"/>
  <c r="W10" i="33" s="1"/>
  <c r="H10" i="33"/>
  <c r="U10" i="33" s="1"/>
  <c r="W36" i="21"/>
  <c r="AB39" i="21"/>
  <c r="AA43" i="21"/>
  <c r="S39" i="21"/>
  <c r="AA38" i="21"/>
  <c r="AA36" i="21"/>
  <c r="J15" i="21"/>
  <c r="W15" i="21" s="1"/>
  <c r="F23" i="21"/>
  <c r="S23" i="21" s="1"/>
  <c r="AA14" i="21"/>
  <c r="F34" i="67"/>
  <c r="F62" i="67" s="1"/>
  <c r="M20" i="67"/>
  <c r="F34" i="15"/>
  <c r="F62" i="15" s="1"/>
  <c r="BL17" i="3"/>
  <c r="AZ17" i="3" s="1"/>
  <c r="BL13" i="3"/>
  <c r="J56" i="9"/>
  <c r="J57" i="9" s="1"/>
  <c r="J59" i="9" s="1"/>
  <c r="J61" i="9" s="1"/>
  <c r="A24" i="51"/>
  <c r="B18" i="72" s="1"/>
  <c r="U29" i="34"/>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C41" i="39"/>
  <c r="U42" i="39"/>
  <c r="W25" i="39"/>
  <c r="AC25" i="39"/>
  <c r="AB11" i="39"/>
  <c r="U11" i="39"/>
  <c r="AA27" i="39"/>
  <c r="S27" i="39"/>
  <c r="W17" i="39"/>
  <c r="AC17" i="39"/>
  <c r="AB39" i="39"/>
  <c r="W34" i="39"/>
  <c r="S8" i="39"/>
  <c r="S20" i="36"/>
  <c r="W29" i="36"/>
  <c r="AC20" i="36"/>
  <c r="AB28" i="36"/>
  <c r="AA13" i="36"/>
  <c r="S24" i="35"/>
  <c r="AA35" i="37"/>
  <c r="AC34" i="37"/>
  <c r="AA29" i="37"/>
  <c r="AB40" i="34"/>
  <c r="U19" i="34"/>
  <c r="W19" i="34"/>
  <c r="AC45" i="34"/>
  <c r="AC29" i="34"/>
  <c r="W29" i="34"/>
  <c r="U30" i="34"/>
  <c r="U38" i="34"/>
  <c r="AC40" i="34"/>
  <c r="W40" i="34"/>
  <c r="S19" i="34"/>
  <c r="AA8" i="34"/>
  <c r="S8" i="34"/>
  <c r="AC43" i="34"/>
  <c r="W43" i="34"/>
  <c r="AC35" i="34"/>
  <c r="W35" i="34"/>
  <c r="AC37" i="33"/>
  <c r="U39" i="33"/>
  <c r="U38" i="33"/>
  <c r="S33" i="33"/>
  <c r="S30" i="33"/>
  <c r="AA30" i="33"/>
  <c r="W14" i="33"/>
  <c r="AC30" i="33"/>
  <c r="W30" i="33"/>
  <c r="W13" i="33"/>
  <c r="S11" i="33"/>
  <c r="U37" i="33"/>
  <c r="F37" i="21"/>
  <c r="AA37" i="21" s="1"/>
  <c r="AB14" i="21"/>
  <c r="U40" i="21"/>
  <c r="J37" i="21"/>
  <c r="W37" i="21" s="1"/>
  <c r="H15" i="21"/>
  <c r="U15" i="21" s="1"/>
  <c r="H45" i="21"/>
  <c r="U45" i="21" s="1"/>
  <c r="F29" i="21"/>
  <c r="AA29" i="21" s="1"/>
  <c r="F13" i="21"/>
  <c r="AC38" i="21"/>
  <c r="H9" i="21"/>
  <c r="J9" i="21"/>
  <c r="S9" i="21"/>
  <c r="AA9" i="21"/>
  <c r="K141" i="21"/>
  <c r="K144" i="21"/>
  <c r="K143" i="21"/>
  <c r="AB25" i="21"/>
  <c r="W13" i="21"/>
  <c r="F10" i="21"/>
  <c r="AA10" i="21" s="1"/>
  <c r="K145" i="21"/>
  <c r="AB36" i="21"/>
  <c r="C19" i="39"/>
  <c r="C17" i="40"/>
  <c r="C23" i="40"/>
  <c r="B56" i="43"/>
  <c r="B51" i="43"/>
  <c r="B54" i="43"/>
  <c r="B62" i="43"/>
  <c r="B65" i="43"/>
  <c r="D23" i="15"/>
  <c r="D22" i="15"/>
  <c r="E4" i="4"/>
  <c r="B5" i="62" s="1"/>
  <c r="B73" i="72" s="1"/>
  <c r="C4" i="4"/>
  <c r="AA12" i="33"/>
  <c r="J32" i="39"/>
  <c r="H32" i="39"/>
  <c r="AB32" i="39" s="1"/>
  <c r="AA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J36" i="33"/>
  <c r="W36" i="33" s="1"/>
  <c r="H36" i="33"/>
  <c r="U36" i="33" s="1"/>
  <c r="S36" i="33"/>
  <c r="J27" i="33"/>
  <c r="U25" i="33"/>
  <c r="AB25" i="33"/>
  <c r="G87" i="33"/>
  <c r="H87" i="33" s="1"/>
  <c r="I87" i="33" s="1"/>
  <c r="J87" i="33" s="1"/>
  <c r="K87" i="33" s="1"/>
  <c r="L87" i="33" s="1"/>
  <c r="M87" i="33" s="1"/>
  <c r="J25" i="33"/>
  <c r="AC25" i="33" s="1"/>
  <c r="AB23" i="33"/>
  <c r="F23" i="33"/>
  <c r="H19" i="33"/>
  <c r="U19" i="33" s="1"/>
  <c r="H17" i="33"/>
  <c r="U17" i="33" s="1"/>
  <c r="F17" i="33"/>
  <c r="S17" i="33" s="1"/>
  <c r="W17" i="33"/>
  <c r="AC17" i="33"/>
  <c r="AB15" i="21"/>
  <c r="J23" i="21"/>
  <c r="AC23" i="21" s="1"/>
  <c r="H23" i="21"/>
  <c r="AB23" i="21" s="1"/>
  <c r="AP7" i="1"/>
  <c r="A18" i="62"/>
  <c r="B64" i="72" s="1"/>
  <c r="AC32" i="39"/>
  <c r="W32" i="39"/>
  <c r="J11" i="37"/>
  <c r="AC11" i="37" s="1"/>
  <c r="J11" i="34"/>
  <c r="W11" i="34" s="1"/>
  <c r="W25" i="33"/>
  <c r="AA17" i="33"/>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D35" i="9"/>
  <c r="M26" i="67"/>
  <c r="M24" i="15"/>
  <c r="B11" i="76"/>
  <c r="E10" i="76"/>
  <c r="B13" i="76"/>
  <c r="B9" i="76"/>
  <c r="F5" i="73"/>
  <c r="B10" i="76"/>
  <c r="F36" i="15"/>
  <c r="F6" i="73"/>
  <c r="E2" i="69"/>
  <c r="L48" i="67"/>
  <c r="B12" i="76"/>
  <c r="E12" i="76"/>
  <c r="AO13" i="1"/>
  <c r="E11" i="76"/>
  <c r="F4" i="73"/>
  <c r="F3" i="73"/>
  <c r="F20" i="31"/>
  <c r="M23" i="67"/>
  <c r="E2" i="68"/>
  <c r="B7" i="76"/>
  <c r="E9" i="76"/>
  <c r="E8" i="76"/>
  <c r="D34" i="9"/>
  <c r="F9" i="15"/>
  <c r="L47" i="67"/>
  <c r="M8" i="15"/>
  <c r="F6" i="15"/>
  <c r="L47" i="15"/>
  <c r="F7" i="73"/>
  <c r="L48" i="15"/>
  <c r="E7" i="76"/>
  <c r="B8" i="76"/>
  <c r="F79" i="21" l="1"/>
  <c r="G79" i="21" s="1"/>
  <c r="H17" i="21"/>
  <c r="AB17" i="21" s="1"/>
  <c r="J17" i="21"/>
  <c r="W17" i="21" s="1"/>
  <c r="J50" i="40"/>
  <c r="A2" i="9"/>
  <c r="F32" i="21"/>
  <c r="AA32" i="21" s="1"/>
  <c r="H32" i="21"/>
  <c r="U32" i="21" s="1"/>
  <c r="J32" i="21"/>
  <c r="W32" i="21" s="1"/>
  <c r="J26" i="21"/>
  <c r="W26" i="21" s="1"/>
  <c r="F17" i="21"/>
  <c r="U17" i="21"/>
  <c r="AC34" i="21"/>
  <c r="U27" i="21"/>
  <c r="F27" i="21"/>
  <c r="AA27" i="21" s="1"/>
  <c r="J27" i="21"/>
  <c r="W27" i="21" s="1"/>
  <c r="AA26" i="21"/>
  <c r="C7" i="40"/>
  <c r="C63" i="40" s="1"/>
  <c r="C65" i="40" s="1"/>
  <c r="C7" i="39"/>
  <c r="C67" i="39" s="1"/>
  <c r="C42" i="1"/>
  <c r="C24" i="12" s="1"/>
  <c r="G23" i="43"/>
  <c r="C23" i="43" s="1"/>
  <c r="C7" i="33"/>
  <c r="C7" i="34"/>
  <c r="J1" i="73"/>
  <c r="C7" i="21"/>
  <c r="C58" i="21" s="1"/>
  <c r="D58" i="21" s="1"/>
  <c r="E32" i="6"/>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AZ576" i="3" s="1"/>
  <c r="G576" i="3"/>
  <c r="BL575" i="3"/>
  <c r="BL574" i="3"/>
  <c r="BA574" i="3"/>
  <c r="BA573" i="3"/>
  <c r="BL572" i="3"/>
  <c r="AZ572" i="3" s="1"/>
  <c r="BL571" i="3"/>
  <c r="BA569" i="3"/>
  <c r="BI5" i="3"/>
  <c r="BA567" i="3"/>
  <c r="G567" i="3"/>
  <c r="BL566" i="3"/>
  <c r="BA566" i="3"/>
  <c r="BA13" i="3"/>
  <c r="AZ13" i="3" s="1"/>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BL534" i="3"/>
  <c r="AZ534" i="3" s="1"/>
  <c r="BA531" i="3"/>
  <c r="AZ531" i="3" s="1"/>
  <c r="BA529" i="3"/>
  <c r="AZ529" i="3" s="1"/>
  <c r="BA528" i="3"/>
  <c r="BA526" i="3"/>
  <c r="AZ526" i="3" s="1"/>
  <c r="BL525" i="3"/>
  <c r="BA523" i="3"/>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Z538" i="3"/>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AZ445" i="3" s="1"/>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AZ466" i="3" s="1"/>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AZ258" i="3" s="1"/>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AZ290" i="3" s="1"/>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AZ125" i="3" s="1"/>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AZ60" i="3" s="1"/>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AZ48" i="3" s="1"/>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AZ61" i="3" s="1"/>
  <c r="BA68" i="3"/>
  <c r="AZ68" i="3" s="1"/>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31" i="12"/>
  <c r="C48" i="68"/>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J53" i="15"/>
  <c r="L56" i="15" s="1"/>
  <c r="J57" i="15"/>
  <c r="J55" i="15" s="1"/>
  <c r="J58" i="15" s="1"/>
  <c r="Q50" i="15" s="1"/>
  <c r="I54" i="15"/>
  <c r="B20" i="31"/>
  <c r="B21" i="31" s="1"/>
  <c r="I1" i="73"/>
  <c r="B39" i="1" s="1"/>
  <c r="J53" i="67"/>
  <c r="J57" i="67"/>
  <c r="J55" i="67" s="1"/>
  <c r="J58" i="67" s="1"/>
  <c r="Q50" i="67" s="1"/>
  <c r="L56" i="67"/>
  <c r="I54" i="67"/>
  <c r="L59" i="15"/>
  <c r="N59" i="15"/>
  <c r="L58" i="15"/>
  <c r="M59" i="15"/>
  <c r="F64" i="15"/>
  <c r="N59" i="67"/>
  <c r="L59" i="67"/>
  <c r="L58" i="67"/>
  <c r="M59" i="67"/>
  <c r="B13" i="70"/>
  <c r="D9" i="68"/>
  <c r="F6" i="67"/>
  <c r="C36" i="69"/>
  <c r="F7" i="15"/>
  <c r="F16" i="15"/>
  <c r="F8" i="15"/>
  <c r="F37" i="15"/>
  <c r="F38" i="67"/>
  <c r="M9" i="67"/>
  <c r="M6" i="15"/>
  <c r="M6" i="67"/>
  <c r="C76" i="67"/>
  <c r="F7" i="67"/>
  <c r="F26" i="15"/>
  <c r="M8" i="67"/>
  <c r="F26" i="67"/>
  <c r="F16" i="67"/>
  <c r="D4" i="73"/>
  <c r="F37" i="67"/>
  <c r="F13" i="15"/>
  <c r="F42" i="15"/>
  <c r="M22" i="15"/>
  <c r="F40" i="67"/>
  <c r="D6" i="73"/>
  <c r="F40" i="15"/>
  <c r="D5" i="73"/>
  <c r="J15" i="67"/>
  <c r="F9" i="67"/>
  <c r="F38" i="15"/>
  <c r="F36" i="67"/>
  <c r="J15" i="15"/>
  <c r="M24" i="67"/>
  <c r="C76" i="15"/>
  <c r="D7" i="73"/>
  <c r="D3" i="73"/>
  <c r="F42" i="67"/>
  <c r="M29" i="15"/>
  <c r="F43" i="15"/>
  <c r="M22" i="67"/>
  <c r="M26" i="15"/>
  <c r="M29" i="67"/>
  <c r="M28" i="67"/>
  <c r="F13" i="67"/>
  <c r="D9" i="69"/>
  <c r="M9" i="15"/>
  <c r="M23" i="15"/>
  <c r="M28" i="15"/>
  <c r="F43" i="67"/>
  <c r="F8" i="67"/>
  <c r="E15" i="6" l="1"/>
  <c r="E64" i="39" s="1"/>
  <c r="D9" i="11"/>
  <c r="C9" i="11" s="1"/>
  <c r="E12" i="6"/>
  <c r="E57" i="40" s="1"/>
  <c r="E8" i="6"/>
  <c r="F27" i="6" s="1"/>
  <c r="AC32" i="21"/>
  <c r="S27" i="21"/>
  <c r="AC27" i="21"/>
  <c r="P26" i="43"/>
  <c r="A1" i="79"/>
  <c r="C77" i="9"/>
  <c r="C74" i="9" s="1"/>
  <c r="C48" i="69"/>
  <c r="C28" i="15"/>
  <c r="C30" i="68"/>
  <c r="E11" i="6"/>
  <c r="E60" i="39" s="1"/>
  <c r="N370" i="46"/>
  <c r="F26" i="43"/>
  <c r="D26" i="43" s="1"/>
  <c r="C25" i="43" s="1"/>
  <c r="H26" i="43"/>
  <c r="N94" i="46"/>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11" s="1"/>
  <c r="C29" i="11" s="1"/>
  <c r="D27" i="11"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58" i="3"/>
  <c r="E363" i="3"/>
  <c r="E84" i="3"/>
  <c r="E129" i="3"/>
  <c r="E308" i="3"/>
  <c r="E469" i="3"/>
  <c r="E41" i="3"/>
  <c r="E115" i="3"/>
  <c r="E190" i="3"/>
  <c r="E83" i="3"/>
  <c r="E16" i="3"/>
  <c r="E393" i="3"/>
  <c r="E422" i="3"/>
  <c r="E490" i="3"/>
  <c r="E401" i="3"/>
  <c r="E178" i="3"/>
  <c r="E202" i="3"/>
  <c r="E333" i="3"/>
  <c r="E473" i="3"/>
  <c r="E15" i="3"/>
  <c r="E170" i="3"/>
  <c r="E339" i="3"/>
  <c r="E392" i="3"/>
  <c r="E112" i="3"/>
  <c r="E364" i="3"/>
  <c r="E50" i="3"/>
  <c r="E218" i="3"/>
  <c r="E141" i="3"/>
  <c r="E552" i="3"/>
  <c r="E90" i="3"/>
  <c r="E58" i="3"/>
  <c r="E65" i="3"/>
  <c r="E24" i="3"/>
  <c r="E244" i="3"/>
  <c r="E312" i="3"/>
  <c r="E421" i="3"/>
  <c r="E57" i="3"/>
  <c r="E446" i="3"/>
  <c r="E209" i="3"/>
  <c r="E48" i="3"/>
  <c r="E19" i="3"/>
  <c r="E323" i="3"/>
  <c r="E582" i="3"/>
  <c r="E436" i="3"/>
  <c r="E297" i="3"/>
  <c r="E266" i="3"/>
  <c r="E584" i="3"/>
  <c r="E373" i="3"/>
  <c r="E374" i="3"/>
  <c r="E259" i="3"/>
  <c r="E462" i="3"/>
  <c r="Y6" i="3"/>
  <c r="E179" i="3"/>
  <c r="AD6" i="3"/>
  <c r="E195" i="3"/>
  <c r="E87" i="3"/>
  <c r="E167" i="3"/>
  <c r="E187" i="3"/>
  <c r="E98" i="3"/>
  <c r="E307" i="3"/>
  <c r="E122" i="3"/>
  <c r="E461" i="3"/>
  <c r="E136" i="3"/>
  <c r="E157" i="3"/>
  <c r="E224" i="3"/>
  <c r="E532" i="3"/>
  <c r="E474" i="3"/>
  <c r="E288" i="3"/>
  <c r="W6" i="3"/>
  <c r="E475" i="3"/>
  <c r="E54" i="3"/>
  <c r="E168" i="3"/>
  <c r="E357" i="3"/>
  <c r="E14" i="3"/>
  <c r="E397" i="3"/>
  <c r="E207" i="3"/>
  <c r="E379" i="3"/>
  <c r="U6" i="3"/>
  <c r="E432" i="3"/>
  <c r="E367" i="3"/>
  <c r="E547" i="3"/>
  <c r="E71" i="3"/>
  <c r="E92" i="3"/>
  <c r="E272" i="3"/>
  <c r="E317" i="3"/>
  <c r="E29" i="3"/>
  <c r="E53" i="3"/>
  <c r="E153" i="3"/>
  <c r="E426" i="3"/>
  <c r="E328" i="3"/>
  <c r="E359" i="3"/>
  <c r="E285" i="3"/>
  <c r="E390" i="3"/>
  <c r="E523" i="3"/>
  <c r="E418" i="3"/>
  <c r="E338" i="3"/>
  <c r="E169" i="3"/>
  <c r="E237" i="3"/>
  <c r="E304" i="3"/>
  <c r="E17" i="3"/>
  <c r="E302" i="3"/>
  <c r="E254" i="3"/>
  <c r="E303" i="3"/>
  <c r="AN6" i="3"/>
  <c r="E353"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D5" i="43"/>
  <c r="C7" i="43"/>
  <c r="C5" i="43" s="1"/>
  <c r="D10" i="52"/>
  <c r="D125" i="9"/>
  <c r="D11" i="52" s="1"/>
  <c r="B7" i="74"/>
  <c r="C7" i="74" s="1"/>
  <c r="F67" i="39"/>
  <c r="H7" i="37"/>
  <c r="AB7" i="37" s="1"/>
  <c r="T42" i="37" s="1"/>
  <c r="G42" i="37" s="1"/>
  <c r="S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AE7" i="1"/>
  <c r="AE8" i="1"/>
  <c r="AE12" i="1"/>
  <c r="AE10" i="1"/>
  <c r="G1" i="73"/>
  <c r="F41" i="67"/>
  <c r="F27" i="69"/>
  <c r="C16" i="67"/>
  <c r="C16" i="15"/>
  <c r="E56" i="39" l="1"/>
  <c r="E27" i="6"/>
  <c r="K26" i="6" s="1"/>
  <c r="M26" i="6" s="1"/>
  <c r="I26" i="6" s="1"/>
  <c r="S26" i="6" s="1"/>
  <c r="E16" i="6"/>
  <c r="E280" i="3"/>
  <c r="E159" i="3"/>
  <c r="E213" i="3"/>
  <c r="E321" i="3"/>
  <c r="S6" i="3"/>
  <c r="H6" i="3" s="1"/>
  <c r="E574" i="3"/>
  <c r="E319" i="3"/>
  <c r="E291" i="3"/>
  <c r="E546" i="3"/>
  <c r="E411" i="3"/>
  <c r="E196" i="3"/>
  <c r="E257" i="3"/>
  <c r="E537" i="3"/>
  <c r="E529" i="3"/>
  <c r="E306" i="3"/>
  <c r="E127" i="3"/>
  <c r="E413" i="3"/>
  <c r="E488" i="3"/>
  <c r="E163" i="3"/>
  <c r="E542" i="3"/>
  <c r="E47" i="3"/>
  <c r="E149" i="3"/>
  <c r="E354" i="3"/>
  <c r="E520" i="3"/>
  <c r="E250" i="3"/>
  <c r="E155" i="3"/>
  <c r="E365" i="3"/>
  <c r="E123" i="3"/>
  <c r="E137" i="3"/>
  <c r="L6" i="3"/>
  <c r="E463" i="3"/>
  <c r="E493" i="3"/>
  <c r="E35" i="3"/>
  <c r="E512" i="3"/>
  <c r="E68" i="3"/>
  <c r="F59" i="15"/>
  <c r="F59" i="67"/>
  <c r="M17" i="15"/>
  <c r="J10" i="39"/>
  <c r="W10" i="39" s="1"/>
  <c r="F10" i="40"/>
  <c r="S10" i="40" s="1"/>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00" i="3"/>
  <c r="E51" i="3"/>
  <c r="E521" i="3"/>
  <c r="E460" i="3"/>
  <c r="E101" i="3"/>
  <c r="E176" i="3"/>
  <c r="E340" i="3"/>
  <c r="E52" i="3"/>
  <c r="E299" i="3"/>
  <c r="E38" i="3"/>
  <c r="E43" i="3"/>
  <c r="E346" i="3"/>
  <c r="E108" i="3"/>
  <c r="J6" i="3"/>
  <c r="E486" i="3"/>
  <c r="E105" i="3"/>
  <c r="E80" i="3"/>
  <c r="E78" i="3"/>
  <c r="E470" i="3"/>
  <c r="E197" i="3"/>
  <c r="E482" i="3"/>
  <c r="E300" i="3"/>
  <c r="E502" i="3"/>
  <c r="H10" i="39"/>
  <c r="U10" i="39" s="1"/>
  <c r="E398" i="3"/>
  <c r="E524" i="3"/>
  <c r="E62" i="3"/>
  <c r="E147" i="3"/>
  <c r="AQ6" i="3"/>
  <c r="E234" i="3"/>
  <c r="E455" i="3"/>
  <c r="E60" i="3"/>
  <c r="E276" i="3"/>
  <c r="E40" i="3"/>
  <c r="AH6" i="3"/>
  <c r="E427" i="3"/>
  <c r="E188" i="3"/>
  <c r="E49" i="3"/>
  <c r="E428" i="3"/>
  <c r="E556" i="3"/>
  <c r="E140" i="3"/>
  <c r="E494" i="3"/>
  <c r="E59" i="3"/>
  <c r="F28" i="12"/>
  <c r="C29" i="12" s="1"/>
  <c r="D28" i="12" s="1"/>
  <c r="F27" i="68"/>
  <c r="F45" i="68" s="1"/>
  <c r="H10" i="40"/>
  <c r="AB10" i="40" s="1"/>
  <c r="J10" i="40"/>
  <c r="AC10" i="40" s="1"/>
  <c r="C49" i="15"/>
  <c r="F30" i="6"/>
  <c r="F31" i="6" s="1"/>
  <c r="E29" i="6"/>
  <c r="E63" i="39"/>
  <c r="E65" i="39" s="1"/>
  <c r="E59" i="40"/>
  <c r="E286" i="3"/>
  <c r="M17" i="67"/>
  <c r="M14" i="1"/>
  <c r="M16" i="1" s="1"/>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 i="33"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C17" i="4"/>
  <c r="C39" i="43"/>
  <c r="C42" i="43"/>
  <c r="E42" i="43" s="1"/>
  <c r="C38" i="43"/>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M27" i="67"/>
  <c r="F41" i="15"/>
  <c r="M27" i="15"/>
  <c r="C29" i="68" l="1"/>
  <c r="D27" i="68" s="1"/>
  <c r="C47" i="68"/>
  <c r="D45" i="68" s="1"/>
  <c r="D19" i="11"/>
  <c r="C19" i="11" s="1"/>
  <c r="D37" i="11"/>
  <c r="D3" i="37"/>
  <c r="E6" i="6"/>
  <c r="D6" i="6" s="1"/>
  <c r="AB10" i="39"/>
  <c r="D3" i="34"/>
  <c r="C48" i="15"/>
  <c r="C66" i="15" s="1"/>
  <c r="W10" i="40"/>
  <c r="K15" i="1"/>
  <c r="K16" i="1" s="1"/>
  <c r="L19" i="6"/>
  <c r="L27" i="6" s="1"/>
  <c r="E30" i="6"/>
  <c r="E31" i="6" s="1"/>
  <c r="C48" i="67"/>
  <c r="C66" i="67" s="1"/>
  <c r="B4" i="52"/>
  <c r="B43" i="72" s="1"/>
  <c r="B14" i="74"/>
  <c r="B1" i="74" s="1"/>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D26" i="6"/>
  <c r="D8" i="6"/>
  <c r="D14" i="6"/>
  <c r="D9" i="6"/>
  <c r="D10" i="6"/>
  <c r="D29" i="6"/>
  <c r="H22"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17" i="15"/>
  <c r="C34" i="69"/>
  <c r="C14" i="67"/>
  <c r="C17" i="67"/>
  <c r="D10" i="69"/>
  <c r="H24" i="6" l="1"/>
  <c r="H21" i="6"/>
  <c r="D10" i="11"/>
  <c r="C10" i="11" s="1"/>
  <c r="D10" i="68"/>
  <c r="C10" i="68" s="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9" i="68" l="1"/>
  <c r="C19" i="68" s="1"/>
  <c r="D31" i="6"/>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D37" i="68" l="1"/>
  <c r="C37" i="68" s="1"/>
  <c r="C33" i="68" s="1"/>
  <c r="C39" i="68" s="1"/>
  <c r="C17" i="71"/>
  <c r="D18" i="71"/>
  <c r="F7" i="21"/>
  <c r="S7" i="21" s="1"/>
  <c r="J7" i="21"/>
  <c r="AC7" i="21" s="1"/>
  <c r="V48" i="21" s="1"/>
  <c r="I48" i="21" s="1"/>
  <c r="C23" i="67"/>
  <c r="C29" i="67" s="1"/>
  <c r="J59" i="67" s="1"/>
  <c r="J60" i="67" s="1"/>
  <c r="Q48" i="67" s="1"/>
  <c r="C19" i="15"/>
  <c r="C20" i="15" s="1"/>
  <c r="C26" i="15"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K65" i="40"/>
  <c r="L63" i="40"/>
  <c r="E53" i="21" l="1"/>
  <c r="F53"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7"/>
  <c r="D20" i="9"/>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8" i="1"/>
  <c r="AO7" i="1"/>
  <c r="AO11" i="1"/>
  <c r="AO12"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l="1"/>
  <c r="C28" i="69"/>
  <c r="C27" i="69" s="1"/>
  <c r="C31" i="69" s="1"/>
  <c r="C52" i="69" s="1"/>
  <c r="B2" i="69" l="1"/>
  <c r="C57" i="69"/>
  <c r="C56" i="69" s="1"/>
  <c r="B3" i="69"/>
  <c r="C19" i="9"/>
  <c r="C21" i="9" l="1"/>
  <c r="D22" i="9"/>
  <c r="C102" i="9"/>
  <c r="G19" i="9"/>
  <c r="C20" i="9"/>
  <c r="C103" i="9" l="1"/>
  <c r="G20" i="9"/>
  <c r="C32" i="9" s="1"/>
  <c r="C35" i="9" s="1"/>
  <c r="C34" i="9" s="1"/>
  <c r="G21" i="9"/>
  <c r="D14" i="74"/>
  <c r="F14" i="74" l="1"/>
  <c r="E14" i="74"/>
  <c r="B5" i="74"/>
  <c r="D5" i="74" s="1"/>
  <c r="C5" i="74" l="1"/>
  <c r="D53" i="9" l="1"/>
  <c r="D52" i="9"/>
  <c r="D54" i="9"/>
  <c r="H4" i="52"/>
  <c r="C104" i="9"/>
  <c r="B20" i="72"/>
  <c r="C68" i="9"/>
  <c r="B30" i="72"/>
  <c r="D9" i="52"/>
  <c r="M48" i="9"/>
  <c r="N60" i="9"/>
  <c r="N61" i="9"/>
  <c r="N58" i="9"/>
  <c r="P57" i="9"/>
  <c r="N57" i="9"/>
  <c r="N59" i="9"/>
  <c r="C81" i="9"/>
  <c r="I4" i="52"/>
  <c r="C105" i="9"/>
  <c r="C97" i="9"/>
  <c r="D58" i="9"/>
  <c r="D56" i="9"/>
  <c r="M54" i="9"/>
  <c r="C96" i="9"/>
  <c r="E96" i="9"/>
  <c r="E97" i="9"/>
  <c r="D5" i="52"/>
  <c r="B49" i="72"/>
  <c r="C80" i="9"/>
  <c r="E80" i="9"/>
  <c r="E81" i="9"/>
  <c r="D119" i="9"/>
  <c r="C72" i="9"/>
  <c r="C79" i="9"/>
  <c r="F119" i="9"/>
  <c r="F5" i="52"/>
  <c r="B53" i="72"/>
  <c r="D13" i="53"/>
  <c r="D14" i="53"/>
  <c r="B32" i="72"/>
  <c r="D5" i="53"/>
  <c r="D6" i="53"/>
  <c r="B22" i="72"/>
  <c r="D118" i="9"/>
  <c r="D4" i="52"/>
  <c r="B47" i="72"/>
  <c r="B31" i="72"/>
  <c r="H102" i="9"/>
  <c r="D7" i="53"/>
  <c r="B21" i="72"/>
  <c r="E118" i="9"/>
  <c r="E4" i="52"/>
  <c r="B48" i="72"/>
  <c r="C93" i="9"/>
  <c r="C86" i="9"/>
  <c r="D55" i="9"/>
  <c r="M53" i="9"/>
  <c r="C6" i="74"/>
  <c r="H108" i="9"/>
  <c r="D15" i="53"/>
  <c r="G4" i="52"/>
  <c r="B52" i="72"/>
  <c r="D8" i="52"/>
  <c r="H107" i="9"/>
  <c r="D122" i="9"/>
  <c r="D123" i="9"/>
  <c r="C78" i="9"/>
  <c r="C73" i="9"/>
  <c r="C85" i="9"/>
  <c r="C95" i="9"/>
  <c r="H101" i="9"/>
  <c r="D45" i="9"/>
  <c r="C64" i="9"/>
  <c r="C63" i="9"/>
  <c r="C67" i="9"/>
  <c r="D59" i="9"/>
  <c r="M55" i="9"/>
  <c r="I118" i="9"/>
  <c r="H118" i="9"/>
  <c r="H119" i="9"/>
  <c r="H5" i="52"/>
  <c r="G118" i="9"/>
  <c r="F118" i="9"/>
  <c r="F4" i="52"/>
  <c r="B5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吴薇</author>
    <author>宋宇</author>
    <author>裴蓓</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 ref="AB99" authorId="2" shapeId="0">
      <text>
        <r>
          <rPr>
            <b/>
            <sz val="9"/>
            <color indexed="81"/>
            <rFont val="宋体"/>
            <family val="3"/>
            <charset val="134"/>
          </rPr>
          <t>吴薇:应收1675元，因原购房人（张翠平）退房未退费，按30%收费。已请示</t>
        </r>
        <r>
          <rPr>
            <sz val="9"/>
            <color indexed="81"/>
            <rFont val="宋体"/>
            <family val="3"/>
            <charset val="134"/>
          </rPr>
          <t xml:space="preserve">
</t>
        </r>
      </text>
    </comment>
    <comment ref="A1063" authorId="3" shapeId="0">
      <text>
        <r>
          <rPr>
            <b/>
            <sz val="9"/>
            <color indexed="81"/>
            <rFont val="宋体"/>
            <family val="3"/>
            <charset val="134"/>
          </rPr>
          <t>宋宇:</t>
        </r>
        <r>
          <rPr>
            <sz val="9"/>
            <color indexed="81"/>
            <rFont val="宋体"/>
            <family val="3"/>
            <charset val="134"/>
          </rPr>
          <t xml:space="preserve">
实际楼层10层改
为9层</t>
        </r>
      </text>
    </comment>
    <comment ref="A1129" authorId="4" shapeId="0">
      <text>
        <r>
          <rPr>
            <sz val="9"/>
            <color indexed="81"/>
            <rFont val="宋体"/>
            <family val="3"/>
            <charset val="134"/>
          </rPr>
          <t xml:space="preserve">请删除06872之“钟军”
</t>
        </r>
      </text>
    </comment>
    <comment ref="A1145" authorId="4" shapeId="0">
      <text>
        <r>
          <rPr>
            <sz val="9"/>
            <color indexed="81"/>
            <rFont val="宋体"/>
            <family val="3"/>
            <charset val="134"/>
          </rPr>
          <t xml:space="preserve">客户暂停评估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<sst xmlns="http://schemas.openxmlformats.org/spreadsheetml/2006/main" count="45814" uniqueCount="11805">
  <si>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</si>
  <si>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</si>
  <si>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</si>
  <si>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</si>
  <si>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</si>
  <si>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</si>
  <si>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</si>
  <si>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</si>
  <si>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</si>
  <si>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</si>
  <si>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</si>
  <si>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</si>
  <si>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</si>
  <si>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</si>
  <si>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</si>
  <si>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</si>
  <si>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</si>
  <si>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</si>
  <si>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</si>
  <si>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</si>
  <si>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</si>
  <si>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</si>
  <si>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</si>
  <si>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</si>
  <si>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</si>
  <si>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</si>
  <si>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</si>
  <si>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</si>
  <si>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</si>
  <si>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</si>
  <si>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</si>
  <si>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</si>
  <si>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</si>
  <si>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</si>
  <si>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</si>
  <si>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</si>
  <si>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</si>
  <si>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</si>
  <si>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</si>
  <si>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</si>
  <si>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</si>
  <si>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</si>
  <si>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</si>
  <si>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</si>
  <si>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</si>
  <si>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</si>
  <si>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</si>
  <si>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</si>
  <si>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</si>
  <si>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</si>
  <si>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</si>
  <si>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</si>
  <si>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</si>
  <si>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</si>
  <si>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</si>
  <si>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</si>
  <si>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</si>
  <si>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</si>
  <si>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</si>
  <si>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</si>
  <si>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</si>
  <si>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</si>
  <si>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</si>
  <si>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</si>
  <si>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</si>
  <si>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</si>
  <si>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</si>
  <si>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</si>
  <si>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</si>
  <si>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</si>
  <si>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</si>
  <si>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</si>
  <si>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</si>
  <si>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</si>
  <si>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</si>
  <si>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</si>
  <si>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</si>
  <si>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</si>
  <si>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</si>
  <si>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</si>
  <si>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</si>
  <si>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</si>
  <si>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</si>
  <si>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</si>
  <si>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</si>
  <si>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</si>
  <si>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</si>
  <si>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</si>
  <si>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</si>
  <si>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</si>
  <si>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</si>
  <si>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</si>
  <si>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</si>
  <si>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</si>
  <si>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</si>
  <si>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</si>
  <si>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</si>
  <si>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</si>
  <si>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</si>
  <si>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</si>
  <si>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</si>
  <si>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</si>
  <si>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</si>
  <si>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</si>
  <si>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</si>
  <si>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</si>
  <si>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</si>
  <si>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</si>
  <si>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</si>
  <si>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</si>
  <si>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</si>
  <si>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</si>
  <si>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</si>
  <si>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</si>
  <si>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</si>
  <si>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</si>
  <si>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</si>
  <si>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</si>
  <si>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</si>
  <si>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</si>
  <si>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</si>
  <si>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</si>
  <si>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</si>
  <si>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</si>
  <si>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</si>
  <si>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</si>
  <si>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</si>
  <si>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</si>
  <si>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</si>
  <si>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</si>
  <si>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</si>
  <si>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</si>
  <si>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</si>
  <si>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</si>
  <si>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</si>
  <si>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</si>
  <si>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</si>
  <si>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</si>
  <si>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</si>
  <si>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</si>
  <si>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</si>
  <si>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</si>
  <si>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</si>
  <si>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</si>
  <si>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</si>
  <si>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</si>
  <si>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</si>
  <si>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</si>
  <si>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</si>
  <si>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</si>
  <si>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</si>
  <si>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</si>
  <si>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</si>
  <si>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</si>
  <si>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</si>
  <si>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</si>
  <si>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</si>
  <si>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</si>
  <si>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</si>
  <si>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</si>
  <si>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</si>
  <si>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</si>
  <si>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</si>
  <si>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</si>
  <si>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</si>
  <si>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</si>
  <si>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</si>
  <si>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</si>
  <si>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</si>
  <si>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</si>
  <si>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</si>
  <si>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</si>
  <si>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</si>
  <si>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</si>
  <si>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</si>
  <si>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</si>
  <si>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</si>
  <si>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</si>
  <si>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</si>
  <si>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</si>
  <si>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</si>
  <si>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</si>
  <si>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</si>
  <si>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</si>
  <si>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</si>
  <si>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</si>
  <si>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</si>
  <si>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</si>
  <si>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</si>
  <si>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</si>
  <si>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</si>
  <si>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</si>
  <si>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</si>
  <si>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</si>
  <si>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</si>
  <si>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</si>
  <si>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</si>
  <si>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</si>
  <si>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</si>
  <si>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</si>
  <si>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</si>
  <si>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</si>
  <si>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</si>
  <si>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</si>
  <si>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</si>
  <si>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</si>
  <si>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</si>
  <si>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</si>
  <si>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</si>
  <si>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</si>
  <si>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</si>
  <si>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</si>
  <si>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</si>
  <si>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</si>
  <si>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</si>
  <si>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</si>
  <si>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</si>
  <si>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</si>
  <si>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</si>
  <si>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</si>
  <si>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</si>
  <si>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</si>
  <si>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</si>
  <si>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</si>
  <si>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</si>
  <si>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</si>
  <si>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</si>
  <si>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</si>
  <si>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</si>
  <si>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</si>
  <si>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</si>
  <si>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</si>
  <si>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</si>
  <si>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</si>
  <si>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</si>
  <si>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</si>
  <si>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</si>
  <si>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</si>
  <si>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</si>
  <si>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</si>
  <si>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</si>
  <si>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</si>
  <si>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</si>
  <si>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</si>
  <si>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</si>
  <si>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</si>
  <si>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</si>
  <si>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</si>
  <si>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</si>
  <si>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</si>
  <si>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</si>
  <si>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</si>
  <si>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</si>
  <si>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</si>
  <si>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</si>
  <si>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</si>
  <si>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</si>
  <si>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</si>
  <si>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</si>
  <si>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</si>
  <si>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</si>
  <si>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</si>
  <si>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</si>
  <si>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</si>
  <si>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</si>
  <si>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</si>
  <si>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</si>
  <si>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</si>
  <si>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</si>
  <si>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</si>
  <si>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</si>
  <si>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</si>
  <si>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</si>
  <si>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</si>
  <si>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</si>
  <si>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</si>
  <si>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</si>
  <si>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</si>
  <si>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</si>
  <si>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</si>
  <si>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</si>
  <si>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</si>
  <si>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</si>
  <si>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</si>
  <si>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</si>
  <si>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</si>
  <si>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</si>
  <si>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</si>
  <si>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</si>
  <si>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</si>
  <si>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</si>
  <si>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</si>
  <si>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</si>
  <si>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</si>
  <si>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</si>
  <si>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</si>
  <si>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</si>
  <si>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</si>
  <si>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</si>
  <si>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</si>
  <si>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</si>
  <si>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</si>
  <si>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</si>
  <si>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</si>
  <si>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</si>
  <si>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</si>
  <si>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</si>
  <si>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</si>
  <si>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</si>
  <si>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</si>
  <si>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</si>
  <si>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</si>
  <si>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</si>
  <si>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</si>
  <si>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</si>
  <si>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</si>
  <si>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</si>
  <si>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</si>
  <si>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</si>
  <si>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</si>
  <si>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</si>
  <si>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</si>
  <si>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</si>
  <si>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</si>
  <si>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</si>
  <si>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</si>
  <si>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</si>
  <si>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</si>
  <si>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</si>
  <si>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</si>
  <si>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</si>
  <si>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</si>
  <si>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</si>
  <si>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</si>
  <si>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</si>
  <si>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</si>
  <si>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</si>
  <si>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</si>
  <si>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</si>
  <si>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</si>
  <si>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</si>
  <si>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</si>
  <si>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</si>
  <si>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</si>
  <si>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</si>
  <si>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</si>
  <si>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</si>
  <si>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</si>
  <si>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</si>
  <si>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</si>
  <si>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</si>
  <si>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</si>
  <si>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</si>
  <si>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</si>
  <si>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</si>
  <si>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</si>
  <si>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</si>
  <si>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</si>
  <si>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</si>
  <si>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</si>
  <si>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</si>
  <si>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</si>
  <si>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</si>
  <si>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</si>
  <si>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</si>
  <si>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</si>
  <si>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</si>
  <si>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</si>
  <si>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</si>
  <si>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</si>
  <si>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</si>
  <si>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</si>
  <si>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</si>
  <si>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</si>
  <si>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</si>
  <si>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</si>
  <si>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</si>
  <si>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</si>
  <si>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</si>
  <si>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</si>
  <si>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</si>
  <si>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</si>
  <si>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</si>
  <si>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</si>
  <si>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</si>
  <si>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</si>
  <si>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</si>
  <si>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</si>
  <si>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</si>
  <si>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</si>
  <si>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</si>
  <si>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</si>
  <si>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</si>
  <si>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</si>
  <si>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</si>
  <si>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</si>
  <si>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</si>
  <si>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</si>
  <si>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</si>
  <si>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</si>
  <si>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</si>
  <si>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</si>
  <si>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</si>
  <si>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</si>
  <si>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</si>
  <si>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</si>
  <si>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</si>
  <si>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</si>
  <si>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</si>
  <si>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</si>
  <si>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</si>
  <si>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</si>
  <si>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</si>
  <si>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</si>
  <si>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</si>
  <si>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</si>
  <si>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</si>
  <si>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</si>
  <si>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</si>
  <si>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</si>
  <si>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</si>
  <si>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</si>
  <si>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</si>
  <si>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</si>
  <si>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</si>
  <si>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</si>
  <si>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</si>
  <si>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</si>
  <si>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</si>
  <si>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</si>
  <si>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</si>
  <si>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</si>
  <si>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</si>
  <si>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</si>
  <si>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</si>
  <si>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</si>
  <si>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</si>
  <si>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</si>
  <si>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</si>
  <si>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</si>
  <si>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</si>
  <si>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</si>
  <si>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</si>
  <si>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</si>
  <si>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</si>
  <si>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</si>
  <si>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</si>
  <si>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</si>
  <si>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</si>
  <si>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</si>
  <si>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</si>
  <si>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</si>
  <si>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</si>
  <si>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</si>
  <si>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</si>
  <si>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</si>
  <si>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</si>
  <si>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</si>
  <si>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</si>
  <si>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</si>
  <si>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</si>
  <si>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</si>
  <si>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</si>
  <si>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</si>
  <si>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</si>
  <si>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</si>
  <si>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</si>
  <si>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</si>
  <si>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</si>
  <si>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</si>
  <si>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</si>
  <si>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</si>
  <si>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</si>
  <si>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</si>
  <si>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</si>
  <si>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</si>
  <si>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</si>
  <si>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</si>
  <si>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</si>
  <si>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</si>
  <si>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</si>
  <si>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</si>
  <si>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</si>
  <si>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</si>
  <si>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</si>
  <si>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</si>
  <si>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</si>
  <si>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</si>
  <si>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</si>
  <si>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</si>
  <si>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</si>
  <si>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</si>
  <si>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</si>
  <si>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</si>
  <si>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</si>
  <si>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</si>
  <si>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</si>
  <si>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</si>
  <si>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</si>
  <si>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</si>
  <si>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</si>
  <si>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</si>
  <si>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</si>
  <si>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</si>
  <si>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</si>
  <si>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</si>
  <si>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</si>
  <si>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</si>
  <si>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</si>
  <si>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</si>
  <si>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</si>
  <si>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</si>
  <si>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</si>
  <si>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</si>
  <si>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</si>
  <si>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</si>
  <si>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</si>
  <si>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</si>
  <si>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</si>
  <si>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</si>
  <si>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</si>
  <si>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</si>
  <si>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</si>
  <si>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</si>
  <si>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</si>
  <si>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</si>
  <si>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</si>
  <si>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</si>
  <si>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</si>
  <si>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</si>
  <si>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</si>
  <si>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</si>
  <si>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</si>
  <si>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</si>
  <si>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</si>
  <si>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</si>
  <si>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</si>
  <si>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</si>
  <si>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</si>
  <si>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</si>
  <si>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</si>
  <si>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</si>
  <si>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</si>
  <si>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</si>
  <si>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</si>
  <si>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</si>
  <si>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</si>
  <si>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</si>
  <si>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</si>
  <si>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</si>
  <si>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</si>
  <si>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</si>
  <si>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</si>
  <si>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</si>
  <si>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</si>
  <si>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</si>
  <si>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</si>
  <si>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</si>
  <si>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</si>
  <si>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</si>
  <si>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</si>
  <si>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</si>
  <si>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</si>
  <si>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</si>
  <si>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</si>
  <si>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</si>
  <si>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</si>
  <si>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</si>
  <si>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</si>
  <si>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</si>
  <si>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</si>
  <si>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</si>
  <si>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</si>
  <si>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</si>
  <si>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</si>
  <si>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</si>
  <si>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</si>
  <si>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</si>
  <si>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</si>
  <si>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</si>
  <si>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</si>
  <si>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</si>
  <si>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</si>
  <si>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</si>
  <si>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</si>
  <si>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</si>
  <si>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</si>
  <si>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</si>
  <si>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</si>
  <si>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</si>
  <si>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</si>
  <si>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</si>
  <si>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</si>
  <si>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</si>
  <si>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</si>
  <si>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</si>
  <si>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</si>
  <si>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</si>
  <si>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</si>
  <si>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</si>
  <si>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</si>
  <si>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</si>
  <si>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</si>
  <si>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</si>
  <si>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</si>
  <si>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</si>
  <si>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</si>
  <si>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</si>
  <si>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</si>
  <si>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</si>
  <si>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</si>
  <si>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</si>
  <si>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</si>
  <si>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</si>
  <si>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</si>
  <si>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</si>
  <si>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</si>
  <si>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</si>
  <si>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</si>
  <si>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</si>
  <si>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</si>
  <si>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</si>
  <si>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</si>
  <si>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</si>
  <si>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</si>
  <si>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</si>
  <si>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</si>
  <si>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</si>
  <si>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</si>
  <si>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</si>
  <si>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</si>
  <si>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</si>
  <si>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</si>
  <si>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</si>
  <si>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</si>
  <si>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</si>
  <si>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</si>
  <si>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</si>
  <si>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</si>
  <si>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</si>
  <si>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</si>
  <si>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</si>
  <si>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</si>
  <si>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</si>
  <si>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</si>
  <si>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</si>
  <si>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</si>
  <si>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</si>
  <si>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</si>
  <si>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</si>
  <si>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</si>
  <si>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</si>
  <si>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</si>
  <si>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</si>
  <si>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</si>
  <si>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</si>
  <si>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</si>
  <si>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</si>
  <si>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</si>
  <si>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</si>
  <si>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</si>
  <si>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</si>
  <si>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</si>
  <si>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</si>
  <si>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</si>
  <si>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</si>
  <si>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</si>
  <si>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</si>
  <si>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</si>
  <si>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</si>
  <si>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</si>
  <si>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</si>
  <si>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</si>
  <si>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</si>
  <si>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</si>
  <si>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</si>
  <si>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</si>
  <si>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</si>
  <si>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</si>
  <si>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</si>
  <si>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</si>
  <si>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</si>
  <si>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</si>
  <si>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</si>
  <si>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</si>
  <si>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</si>
  <si>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</si>
  <si>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</si>
  <si>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</si>
  <si>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</si>
  <si>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</si>
  <si>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</si>
  <si>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</si>
  <si>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</si>
  <si>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</si>
  <si>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</si>
  <si>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</si>
  <si>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</si>
  <si>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</si>
  <si>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</si>
  <si>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</si>
  <si>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</si>
  <si>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</si>
  <si>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</si>
  <si>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</si>
  <si>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</si>
  <si>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</si>
  <si>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</si>
  <si>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</si>
  <si>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</si>
  <si>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</si>
  <si>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</si>
  <si>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</si>
  <si>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</si>
  <si>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</si>
  <si>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</si>
  <si>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</si>
  <si>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</si>
  <si>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</si>
  <si>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</si>
  <si>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</si>
  <si>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</si>
  <si>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</si>
  <si>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</si>
  <si>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</si>
  <si>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</si>
  <si>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</si>
  <si>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</si>
  <si>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</si>
  <si>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</si>
  <si>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</si>
  <si>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</si>
  <si>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</si>
  <si>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</si>
  <si>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</si>
  <si>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</si>
  <si>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</si>
  <si>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</si>
  <si>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</si>
  <si>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</si>
  <si>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</si>
  <si>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</si>
  <si>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</si>
  <si>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</si>
  <si>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</si>
  <si>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</si>
  <si>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</si>
  <si>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</si>
  <si>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</si>
  <si>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</si>
  <si>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</si>
  <si>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</si>
  <si>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</si>
  <si>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</si>
  <si>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</si>
  <si>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</si>
  <si>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</si>
  <si>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</si>
  <si>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</si>
  <si>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</si>
  <si>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</si>
  <si>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</si>
  <si>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</si>
  <si>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</si>
  <si>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</si>
  <si>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</si>
  <si>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</si>
  <si>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</si>
  <si>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</si>
  <si>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</si>
  <si>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</si>
  <si>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</si>
  <si>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</si>
  <si>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</si>
  <si>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</si>
  <si>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</si>
  <si>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</si>
  <si>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</si>
  <si>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</si>
  <si>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</si>
  <si>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</si>
  <si>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</si>
  <si>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</si>
  <si>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</si>
  <si>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</si>
  <si>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</si>
  <si>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</si>
  <si>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</si>
  <si>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</si>
  <si>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</si>
  <si>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</si>
  <si>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</si>
  <si>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</si>
  <si>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</si>
  <si>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</si>
  <si>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</si>
  <si>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</si>
  <si>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</si>
  <si>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</si>
  <si>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</si>
  <si>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</si>
  <si>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</si>
  <si>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</si>
  <si>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</si>
  <si>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</si>
  <si>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</si>
  <si>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</si>
  <si>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</si>
  <si>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</si>
  <si>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</si>
  <si>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</si>
  <si>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</si>
  <si>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</si>
  <si>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</si>
  <si>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</si>
  <si>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</si>
  <si>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</si>
  <si>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</si>
  <si>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</si>
  <si>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</si>
  <si>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</si>
  <si>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</si>
  <si>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</si>
  <si>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</si>
  <si>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</si>
  <si>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</si>
  <si>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</si>
  <si>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</si>
  <si>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</si>
  <si>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</si>
  <si>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</si>
  <si>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</si>
  <si>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</si>
  <si>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</si>
  <si>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</si>
  <si>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</si>
  <si>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</si>
  <si>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</si>
  <si>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</si>
  <si>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</si>
  <si>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</si>
  <si>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</si>
  <si>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</si>
  <si>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</si>
  <si>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</si>
  <si>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</si>
  <si>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</si>
  <si>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</si>
  <si>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</si>
  <si>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</si>
  <si>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</si>
  <si>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</si>
  <si>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</si>
  <si>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</si>
  <si>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</si>
  <si>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</si>
  <si>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</si>
  <si>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</si>
  <si>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</si>
  <si>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</si>
  <si>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</si>
  <si>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</si>
  <si>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</si>
  <si>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</si>
  <si>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</si>
  <si>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</si>
  <si>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</si>
  <si>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</si>
  <si>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</si>
  <si>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</si>
  <si>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</si>
  <si>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</si>
  <si>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</si>
  <si>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</si>
  <si>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</si>
  <si>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</si>
  <si>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</si>
  <si>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</si>
  <si>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</si>
  <si>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</si>
  <si>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</si>
  <si>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</si>
  <si>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</si>
  <si>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</si>
  <si>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</si>
  <si>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</si>
  <si>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</si>
  <si>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</si>
  <si>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</si>
  <si>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</si>
  <si>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</si>
  <si>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</si>
  <si>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</si>
  <si>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</si>
  <si>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</si>
  <si>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</si>
  <si>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</si>
  <si>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</si>
  <si>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</si>
  <si>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</si>
  <si>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</si>
  <si>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</si>
  <si>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</si>
  <si>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</si>
  <si>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</si>
  <si>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</si>
  <si>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</si>
  <si>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</si>
  <si>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</si>
  <si>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</si>
  <si>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</si>
  <si>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</si>
  <si>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</si>
  <si>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</si>
  <si>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</si>
  <si>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</si>
  <si>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</si>
  <si>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</si>
  <si>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</si>
  <si>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</si>
  <si>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</si>
  <si>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</si>
  <si>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</si>
  <si>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</si>
  <si>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</si>
  <si>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</si>
  <si>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</si>
  <si>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</si>
  <si>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</si>
  <si>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</si>
  <si>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</si>
  <si>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</si>
  <si>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</si>
  <si>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</si>
  <si>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</si>
  <si>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</si>
  <si>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</si>
  <si>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</si>
  <si>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</si>
  <si>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</si>
  <si>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</si>
  <si>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</si>
  <si>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</si>
  <si>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</si>
  <si>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</si>
  <si>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</si>
  <si>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</si>
  <si>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</si>
  <si>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</si>
  <si>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</si>
  <si>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</si>
  <si>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</si>
  <si>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</si>
  <si>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</si>
  <si>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</si>
  <si>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</si>
  <si>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</si>
  <si>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</si>
  <si>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</si>
  <si>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</si>
  <si>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</si>
  <si>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</si>
  <si>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</si>
  <si>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</si>
  <si>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</si>
  <si>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</si>
  <si>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</si>
  <si>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</si>
  <si>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</si>
  <si>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</si>
  <si>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</si>
  <si>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</si>
  <si>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</si>
  <si>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</si>
  <si>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</si>
  <si>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</si>
  <si>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</si>
  <si>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</si>
  <si>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</si>
  <si>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</si>
  <si>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</si>
  <si>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</si>
  <si>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</si>
  <si>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</si>
  <si>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</si>
  <si>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</si>
  <si>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</si>
  <si>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</si>
  <si>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</si>
  <si>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</si>
  <si>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</si>
  <si>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</si>
  <si>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</si>
  <si>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</si>
  <si>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</si>
  <si>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</si>
  <si>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</si>
  <si>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</si>
  <si>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</si>
  <si>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</si>
  <si>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</si>
  <si>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</si>
  <si>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</si>
  <si>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</si>
  <si>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</si>
  <si>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</si>
  <si>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</si>
  <si>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</si>
  <si>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</si>
  <si>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</si>
  <si>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</si>
  <si>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</si>
  <si>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</si>
  <si>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</si>
  <si>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</si>
  <si>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</si>
  <si>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</si>
  <si>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</si>
  <si>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</si>
  <si>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</si>
  <si>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</si>
  <si>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</si>
  <si>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</si>
  <si>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</si>
  <si>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</si>
  <si>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</si>
  <si>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</si>
  <si>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</si>
  <si>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</si>
  <si>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</si>
  <si>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</si>
  <si>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</si>
  <si>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</si>
  <si>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</si>
  <si>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</si>
  <si>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</si>
  <si>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</si>
  <si>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</si>
  <si>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</si>
  <si>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</si>
  <si>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</si>
  <si>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</si>
  <si>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</si>
  <si>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</si>
  <si>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</si>
  <si>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</si>
  <si>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</si>
  <si>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</si>
  <si>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</si>
  <si>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</si>
  <si>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</si>
  <si>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</si>
  <si>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</si>
  <si>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</si>
  <si>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</si>
  <si>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</si>
  <si>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</si>
  <si>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</si>
  <si>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</si>
  <si>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</si>
  <si>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</si>
  <si>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</si>
  <si>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</si>
  <si>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</si>
  <si>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</si>
  <si>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</si>
  <si>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</si>
  <si>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</si>
  <si>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</si>
  <si>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</si>
  <si>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</si>
  <si>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</si>
  <si>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</si>
  <si>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</si>
  <si>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</si>
  <si>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</si>
  <si>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</si>
  <si>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</si>
  <si>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</si>
  <si>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</si>
  <si>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</si>
  <si>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</si>
  <si>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</si>
  <si>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</si>
  <si>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</si>
  <si>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</si>
  <si>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</si>
  <si>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</si>
  <si>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</si>
  <si>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</si>
  <si>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</si>
  <si>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</si>
  <si>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</si>
  <si>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</si>
  <si>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</si>
  <si>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</si>
  <si>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</si>
  <si>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</si>
  <si>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</si>
  <si>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</si>
  <si>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</si>
  <si>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</si>
  <si>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</si>
  <si>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</si>
  <si>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</si>
  <si>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</si>
  <si>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</si>
  <si>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</si>
  <si>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</si>
  <si>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</si>
  <si>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</si>
  <si>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</si>
  <si>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</si>
  <si>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</si>
  <si>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</si>
  <si>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</si>
  <si>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</si>
  <si>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</si>
  <si>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</si>
  <si>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</si>
  <si>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</si>
  <si>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</si>
  <si>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</si>
  <si>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</si>
  <si>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</si>
  <si>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</si>
  <si>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</si>
  <si>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</si>
  <si>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</si>
  <si>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</si>
  <si>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</si>
  <si>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</si>
  <si>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</si>
  <si>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</si>
  <si>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</si>
  <si>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</si>
  <si>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</si>
  <si>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</si>
  <si>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</si>
  <si>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</si>
  <si>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</si>
  <si>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</si>
  <si>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</si>
  <si>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</si>
  <si>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</si>
  <si>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</si>
  <si>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</si>
  <si>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</si>
  <si>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</si>
  <si>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</si>
  <si>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</si>
  <si>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</si>
  <si>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</si>
  <si>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</si>
  <si>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</si>
  <si>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</si>
  <si>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</si>
  <si>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</si>
  <si>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</si>
  <si>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</si>
  <si>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</si>
  <si>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</si>
  <si>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</si>
  <si>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</si>
  <si>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</si>
  <si>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</si>
  <si>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</si>
  <si>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</si>
  <si>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</si>
  <si>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</si>
  <si>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</si>
  <si>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</si>
  <si>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</si>
  <si>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</si>
  <si>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</si>
  <si>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</si>
  <si>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</si>
  <si>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</si>
  <si>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</si>
  <si>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</si>
  <si>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</si>
  <si>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</si>
  <si>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</si>
  <si>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</si>
  <si>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</si>
  <si>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</si>
  <si>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</si>
  <si>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</si>
  <si>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</si>
  <si>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</si>
  <si>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</si>
  <si>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</si>
  <si>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</si>
  <si>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</si>
  <si>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</si>
  <si>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</si>
  <si>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</si>
  <si>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</si>
  <si>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</si>
  <si>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</si>
  <si>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</si>
  <si>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</si>
  <si>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</si>
  <si>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</si>
  <si>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</si>
  <si>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</si>
  <si>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</si>
  <si>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</si>
  <si>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</si>
  <si>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</si>
  <si>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</si>
  <si>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</si>
  <si>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</si>
  <si>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</si>
  <si>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</si>
  <si>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</si>
  <si>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</si>
  <si>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</si>
  <si>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</si>
  <si>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</si>
  <si>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</si>
  <si>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</si>
  <si>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</si>
  <si>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</si>
  <si>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</si>
  <si>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</si>
  <si>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</si>
  <si>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</si>
  <si>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</si>
  <si>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</si>
  <si>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</si>
  <si>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</si>
  <si>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</si>
  <si>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</si>
  <si>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</si>
  <si>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</si>
  <si>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</si>
  <si>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</si>
  <si>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</si>
  <si>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</si>
  <si>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</si>
  <si>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</si>
  <si>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</si>
  <si>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</si>
  <si>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</si>
  <si>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</si>
  <si>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</si>
  <si>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</si>
  <si>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</si>
  <si>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</si>
  <si>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</si>
  <si>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</si>
  <si>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</si>
  <si>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</si>
  <si>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</si>
  <si>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</si>
  <si>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</si>
  <si>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</si>
  <si>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</si>
  <si>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</si>
  <si>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</si>
  <si>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</si>
  <si>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</si>
  <si>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</si>
  <si>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</si>
  <si>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</si>
  <si>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</si>
  <si>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</si>
  <si>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</si>
  <si>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</si>
  <si>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</si>
  <si>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</si>
  <si>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</si>
  <si>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</si>
  <si>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</si>
  <si>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</si>
  <si>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</si>
  <si>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</si>
  <si>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</si>
  <si>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</si>
  <si>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</si>
  <si>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</si>
  <si>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</si>
  <si>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</si>
  <si>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</si>
  <si>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</si>
  <si>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</si>
  <si>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</si>
  <si>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</si>
  <si>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</si>
  <si>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</si>
  <si>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</si>
  <si>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</si>
  <si>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</si>
  <si>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</si>
  <si>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</si>
  <si>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</si>
  <si>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</si>
  <si>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</si>
  <si>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</si>
  <si>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</si>
  <si>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</si>
  <si>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</si>
  <si>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</si>
  <si>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</si>
  <si>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</si>
  <si>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</si>
  <si>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</si>
  <si>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</si>
  <si>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</si>
  <si>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</si>
  <si>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</si>
  <si>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</si>
  <si>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</si>
  <si>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</si>
  <si>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</si>
  <si>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</si>
  <si>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</si>
  <si>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</si>
  <si>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</si>
  <si>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</si>
  <si>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</si>
  <si>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</si>
  <si>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</si>
  <si>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</si>
  <si>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</si>
  <si>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</si>
  <si>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</si>
  <si>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</si>
  <si>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</si>
  <si>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</si>
  <si>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</si>
  <si>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</si>
  <si>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</si>
  <si>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</si>
  <si>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</si>
  <si>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</si>
  <si>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</si>
  <si>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</si>
  <si>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</si>
  <si>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</si>
  <si>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</si>
  <si>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</si>
  <si>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</si>
  <si>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</si>
  <si>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</si>
  <si>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</si>
  <si>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</si>
  <si>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</si>
  <si>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</si>
  <si>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</si>
  <si>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</si>
  <si>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</si>
  <si>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</si>
  <si>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</si>
  <si>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</si>
  <si>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</si>
  <si>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</si>
  <si>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</si>
  <si>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</si>
  <si>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</si>
  <si>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</si>
  <si>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</si>
  <si>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</si>
  <si>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</si>
  <si>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</si>
  <si>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</si>
  <si>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</si>
  <si>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</si>
  <si>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</si>
  <si>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</si>
  <si>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</si>
  <si>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</si>
  <si>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</si>
  <si>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</si>
  <si>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</si>
  <si>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</si>
  <si>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</si>
  <si>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</si>
  <si>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</si>
  <si>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</si>
  <si>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</si>
  <si>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</si>
  <si>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</si>
  <si>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</si>
  <si>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</si>
  <si>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</si>
  <si>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</si>
  <si>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</si>
  <si>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</si>
  <si>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</si>
  <si>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</si>
  <si>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</si>
  <si>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</si>
  <si>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</si>
  <si>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</si>
  <si>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</si>
  <si>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</si>
  <si>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</si>
  <si>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</si>
  <si>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</si>
  <si>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</si>
  <si>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</si>
  <si>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</si>
  <si>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</si>
  <si>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</si>
  <si>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</si>
  <si>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</si>
  <si>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</si>
  <si>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</si>
  <si>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</si>
  <si>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</si>
  <si>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</si>
  <si>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</si>
  <si>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</si>
  <si>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</si>
  <si>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</si>
  <si>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</si>
  <si>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</si>
  <si>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</si>
  <si>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</si>
  <si>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</si>
  <si>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</si>
  <si>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</si>
  <si>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</si>
  <si>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</si>
  <si>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</si>
  <si>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</si>
  <si>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</si>
  <si>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</si>
  <si>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</si>
  <si>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</si>
  <si>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</si>
  <si>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</si>
  <si>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</si>
  <si>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</si>
  <si>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</si>
  <si>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</si>
  <si>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</si>
  <si>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</si>
  <si>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</si>
  <si>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</si>
  <si>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</si>
  <si>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</si>
  <si>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</si>
  <si>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</si>
  <si>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</si>
  <si>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</si>
  <si>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</si>
  <si>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</si>
  <si>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</si>
  <si>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</si>
  <si>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</si>
  <si>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</si>
  <si>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</si>
  <si>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</si>
  <si>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</si>
  <si>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</si>
  <si>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</si>
  <si>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</si>
  <si>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</si>
  <si>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</si>
  <si>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</si>
  <si>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</si>
  <si>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</si>
  <si>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</si>
  <si>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</si>
  <si>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</si>
  <si>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</si>
  <si>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</si>
  <si>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</si>
  <si>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</si>
  <si>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</si>
  <si>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</si>
  <si>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</si>
  <si>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</si>
  <si>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</si>
  <si>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</si>
  <si>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</si>
  <si>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</si>
  <si>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</si>
  <si>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</si>
  <si>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</si>
  <si>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</si>
  <si>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</si>
  <si>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</si>
  <si>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</si>
  <si>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</si>
  <si>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</si>
  <si>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</si>
  <si>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</si>
  <si>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</si>
  <si>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</si>
  <si>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</si>
  <si>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</si>
  <si>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</si>
  <si>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</si>
  <si>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</si>
  <si>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</si>
  <si>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</si>
  <si>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</si>
  <si>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</si>
  <si>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</si>
  <si>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</si>
  <si>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</si>
  <si>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</si>
  <si>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</si>
  <si>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</si>
  <si>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</si>
  <si>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</si>
  <si>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</si>
  <si>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</si>
  <si>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</si>
  <si>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</si>
  <si>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</si>
  <si>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</si>
  <si>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</si>
  <si>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</si>
  <si>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</si>
  <si>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</si>
  <si>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</si>
  <si>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</si>
  <si>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</si>
  <si>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</si>
  <si>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</si>
  <si>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</si>
  <si>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</si>
  <si>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</si>
  <si>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</si>
  <si>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</si>
  <si>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</si>
  <si>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</si>
  <si>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</si>
  <si>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</si>
  <si>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</si>
  <si>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</si>
  <si>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</si>
  <si>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</si>
  <si>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</si>
  <si>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</si>
  <si>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</si>
  <si>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</si>
  <si>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</si>
  <si>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</si>
  <si>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</si>
  <si>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</si>
  <si>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</si>
  <si>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</si>
  <si>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</si>
  <si>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</si>
  <si>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</si>
  <si>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</si>
  <si>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</si>
  <si>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</si>
  <si>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</si>
  <si>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</si>
  <si>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</si>
  <si>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</si>
  <si>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</si>
  <si>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</si>
  <si>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</si>
  <si>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</si>
  <si>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</si>
  <si>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</si>
  <si>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</si>
  <si>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</si>
  <si>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</si>
  <si>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</si>
  <si>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</si>
  <si>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</si>
  <si>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</si>
  <si>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</si>
  <si>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</si>
  <si>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</si>
  <si>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</si>
  <si>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</si>
  <si>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</si>
  <si>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</si>
  <si>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</si>
  <si>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</si>
  <si>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</si>
  <si>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</si>
  <si>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</si>
  <si>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</si>
  <si>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</si>
  <si>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</si>
  <si>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</si>
  <si>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</si>
  <si>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</si>
  <si>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</si>
  <si>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</si>
  <si>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</si>
  <si>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</si>
  <si>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</si>
  <si>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</si>
  <si>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</si>
  <si>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</si>
  <si>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</si>
  <si>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</si>
  <si>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</si>
  <si>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</si>
  <si>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</si>
  <si>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</si>
  <si>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</si>
  <si>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</si>
  <si>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</si>
  <si>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</si>
  <si>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</si>
  <si>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</si>
  <si>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</si>
  <si>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</si>
  <si>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</si>
  <si>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</si>
  <si>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</si>
  <si>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</si>
  <si>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</si>
  <si>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</si>
  <si>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</si>
  <si>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</si>
  <si>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</si>
  <si>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</si>
  <si>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</si>
  <si>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</si>
  <si>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</si>
  <si>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</si>
  <si>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</si>
  <si>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</si>
  <si>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</si>
  <si>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</si>
  <si>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</si>
  <si>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</si>
  <si>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</si>
  <si>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</si>
  <si>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</si>
  <si>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</si>
  <si>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</si>
  <si>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</si>
  <si>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</si>
  <si>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</si>
  <si>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</si>
  <si>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</si>
  <si>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</si>
  <si>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</si>
  <si>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</si>
  <si>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</si>
  <si>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</si>
  <si>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</si>
  <si>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</si>
  <si>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</si>
  <si>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</si>
  <si>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</si>
  <si>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</si>
  <si>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</si>
  <si>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</si>
  <si>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</si>
  <si>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</si>
  <si>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</si>
  <si>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</si>
  <si>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</si>
  <si>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</si>
  <si>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</si>
  <si>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</si>
  <si>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</si>
  <si>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</si>
  <si>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</si>
  <si>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</si>
  <si>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</si>
  <si>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</si>
  <si>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</si>
  <si>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</si>
  <si>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</si>
  <si>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</si>
  <si>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</si>
  <si>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</si>
  <si>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</si>
  <si>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</si>
  <si>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</si>
  <si>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</si>
  <si>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</si>
  <si>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</si>
  <si>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</si>
  <si>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</si>
  <si>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</si>
  <si>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</si>
  <si>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</si>
  <si>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</si>
  <si>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</si>
  <si>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</si>
  <si>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</si>
  <si>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</si>
  <si>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</si>
  <si>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</si>
  <si>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</si>
  <si>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</si>
  <si>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</si>
  <si>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</si>
  <si>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</si>
  <si>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</si>
  <si>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</si>
  <si>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</si>
  <si>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</si>
  <si>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</si>
  <si>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</si>
  <si>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</si>
  <si>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</si>
  <si>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</si>
  <si>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</si>
  <si>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</si>
  <si>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</si>
  <si>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</si>
  <si>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</si>
  <si>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</si>
  <si>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</si>
  <si>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</si>
  <si>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</si>
  <si>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</si>
  <si>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</si>
  <si>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</si>
  <si>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</si>
  <si>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</si>
  <si>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</si>
  <si>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</si>
  <si>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</si>
  <si>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</si>
  <si>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</si>
  <si>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</si>
  <si>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</si>
  <si>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</si>
  <si>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</si>
  <si>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</si>
  <si>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</si>
  <si>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</si>
  <si>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</si>
  <si>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</si>
  <si>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</si>
  <si>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</si>
  <si>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</si>
  <si>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</si>
  <si>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</si>
  <si>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</si>
  <si>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</si>
  <si>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</si>
  <si>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</si>
  <si>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</si>
  <si>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</si>
  <si>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</si>
  <si>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</si>
  <si>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</si>
  <si>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</si>
  <si>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</si>
  <si>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</si>
  <si>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</si>
  <si>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</si>
  <si>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</si>
  <si>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</si>
  <si>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</si>
  <si>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</si>
  <si>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</si>
  <si>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</si>
  <si>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</si>
  <si>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</si>
  <si>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</si>
  <si>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</si>
  <si>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</si>
  <si>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</si>
  <si>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</si>
  <si>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</si>
  <si>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</si>
  <si>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</si>
  <si>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</si>
  <si>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</si>
  <si>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</si>
  <si>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</si>
  <si>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</si>
  <si>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</si>
  <si>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</si>
  <si>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</si>
  <si>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</si>
  <si>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</si>
  <si>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</si>
  <si>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</si>
  <si>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</si>
  <si>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</si>
  <si>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</si>
  <si>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</si>
  <si>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</si>
  <si>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</si>
  <si>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</si>
  <si>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</si>
  <si>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</si>
  <si>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</si>
  <si>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</si>
  <si>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</si>
  <si>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</si>
  <si>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</si>
  <si>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</si>
  <si>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</si>
  <si>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</si>
  <si>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</si>
  <si>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</si>
  <si>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</si>
  <si>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</si>
  <si>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</si>
  <si>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</si>
  <si>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</si>
  <si>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</si>
  <si>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</si>
  <si>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</si>
  <si>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</si>
  <si>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</si>
  <si>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</si>
  <si>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</si>
  <si>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</si>
  <si>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</si>
  <si>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</si>
  <si>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</si>
  <si>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</si>
  <si>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</si>
  <si>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</si>
  <si>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</si>
  <si>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</si>
  <si>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</si>
  <si>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</si>
  <si>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</si>
  <si>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</si>
  <si>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</si>
  <si>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</si>
  <si>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</si>
  <si>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</si>
  <si>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</si>
  <si>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</si>
  <si>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</si>
  <si>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</si>
  <si>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</si>
  <si>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</si>
  <si>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</si>
  <si>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</si>
  <si>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</si>
  <si>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</si>
  <si>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</si>
  <si>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</si>
  <si>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</si>
  <si>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</si>
  <si>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</si>
  <si>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</si>
  <si>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</si>
  <si>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</si>
  <si>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</si>
  <si>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</si>
  <si>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</si>
  <si>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</si>
  <si>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</si>
  <si>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</si>
  <si>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</si>
  <si>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</si>
  <si>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</si>
  <si>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</si>
  <si>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</si>
  <si>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</si>
  <si>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</si>
  <si>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</si>
  <si>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</si>
  <si>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</si>
  <si>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</si>
  <si>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</si>
  <si>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</si>
  <si>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</si>
  <si>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</si>
  <si>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</si>
  <si>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</si>
  <si>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</si>
  <si>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</si>
  <si>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</si>
  <si>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</si>
  <si>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</si>
  <si>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</si>
  <si>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</si>
  <si>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</si>
  <si>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</si>
  <si>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</si>
  <si>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</si>
  <si>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</si>
  <si>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</si>
  <si>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</si>
  <si>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</si>
  <si>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</si>
  <si>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</si>
  <si>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</si>
  <si>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</si>
  <si>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</si>
  <si>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</si>
  <si>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</si>
  <si>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</si>
  <si>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</si>
  <si>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</si>
  <si>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</si>
  <si>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</si>
  <si>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</si>
  <si>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</si>
  <si>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</si>
  <si>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</si>
  <si>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</si>
  <si>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</si>
  <si>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</si>
  <si>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</si>
  <si>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</si>
  <si>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</si>
  <si>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</si>
  <si>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</si>
  <si>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</si>
  <si>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</si>
  <si>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</si>
  <si>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</si>
  <si>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</si>
  <si>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</si>
  <si>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</si>
  <si>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</si>
  <si>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</si>
  <si>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</si>
  <si>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</si>
  <si>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</si>
  <si>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</si>
  <si>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</si>
  <si>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</si>
  <si>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</si>
  <si>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</si>
  <si>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</si>
  <si>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</si>
  <si>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</si>
  <si>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</si>
  <si>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</si>
  <si>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</si>
  <si>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</si>
  <si>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</si>
  <si>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</si>
  <si>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</si>
  <si>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</si>
  <si>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</si>
  <si>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</si>
  <si>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</si>
  <si>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</si>
  <si>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</si>
  <si>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</si>
  <si>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</si>
  <si>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</si>
  <si>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</si>
  <si>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</si>
  <si>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</si>
  <si>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</si>
  <si>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</si>
  <si>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</si>
  <si>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</si>
  <si>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</si>
  <si>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</si>
  <si>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</si>
  <si>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</si>
  <si>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</si>
  <si>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</si>
  <si>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</si>
  <si>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</si>
  <si>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</si>
  <si>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</si>
  <si>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</si>
  <si>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</si>
  <si>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</si>
  <si>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</si>
  <si>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</si>
  <si>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</si>
  <si>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</si>
  <si>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</si>
  <si>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</si>
  <si>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</si>
  <si>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</si>
  <si>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</si>
  <si>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</si>
  <si>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</si>
  <si>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</si>
  <si>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</si>
  <si>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</si>
  <si>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</si>
  <si>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</si>
  <si>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</si>
  <si>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</si>
  <si>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</si>
  <si>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</si>
  <si>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</si>
  <si>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</si>
  <si>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</si>
  <si>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</si>
  <si>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</si>
  <si>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</si>
  <si>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</si>
  <si>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</si>
  <si>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</si>
  <si>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</si>
  <si>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</si>
  <si>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</si>
  <si>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</si>
  <si>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</si>
  <si>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</si>
  <si>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</si>
  <si>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</si>
  <si>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</si>
  <si>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</si>
  <si>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</si>
  <si>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</si>
  <si>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</si>
  <si>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</si>
  <si>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</si>
  <si>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</si>
  <si>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</si>
  <si>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</si>
  <si>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</si>
  <si>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</si>
  <si>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</si>
  <si>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</si>
  <si>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</si>
  <si>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</si>
  <si>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</si>
  <si>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</si>
  <si>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</si>
  <si>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</si>
  <si>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</si>
  <si>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</si>
  <si>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</si>
  <si>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</si>
  <si>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</si>
  <si>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</si>
  <si>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</si>
  <si>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</si>
  <si>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</si>
  <si>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</si>
  <si>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</si>
  <si>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</si>
  <si>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</si>
  <si>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</si>
  <si>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</si>
  <si>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</si>
  <si>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</si>
  <si>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</si>
  <si>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</si>
  <si>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</si>
  <si>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</si>
  <si>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</si>
  <si>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</si>
  <si>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</si>
  <si>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</si>
  <si>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</si>
  <si>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</si>
  <si>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</si>
  <si>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</si>
  <si>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</si>
  <si>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</si>
  <si>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</si>
  <si>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</si>
  <si>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</si>
  <si>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</si>
  <si>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</si>
  <si>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</si>
  <si>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</si>
  <si>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</si>
  <si>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</si>
  <si>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</si>
  <si>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</si>
  <si>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</si>
  <si>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</si>
  <si>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</si>
  <si>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</si>
  <si>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</si>
  <si>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</si>
  <si>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</si>
  <si>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</si>
  <si>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</si>
  <si>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</si>
  <si>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</si>
  <si>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</si>
  <si>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</si>
  <si>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</si>
  <si>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</si>
  <si>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</si>
  <si>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</si>
  <si>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</si>
  <si>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</si>
  <si>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</si>
  <si>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</si>
  <si>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</si>
  <si>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</si>
  <si>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</si>
  <si>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</si>
  <si>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</si>
  <si>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</si>
  <si>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</si>
  <si>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</si>
  <si>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</si>
  <si>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</si>
  <si>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</si>
  <si>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</si>
  <si>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</si>
  <si>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</si>
  <si>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</si>
  <si>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</si>
  <si>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</si>
  <si>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</si>
  <si>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</si>
  <si>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</si>
  <si>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</si>
  <si>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</si>
  <si>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</si>
  <si>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</si>
  <si>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</si>
  <si>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</si>
  <si>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</si>
  <si>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</si>
  <si>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</si>
  <si>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</si>
  <si>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</si>
  <si>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</si>
  <si>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</si>
  <si>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</si>
  <si>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</si>
  <si>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</si>
  <si>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</si>
  <si>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</si>
  <si>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</si>
  <si>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</si>
  <si>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</si>
  <si>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</si>
  <si>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</si>
  <si>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</si>
  <si>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</si>
  <si>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</si>
  <si>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</si>
  <si>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</si>
  <si>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</si>
  <si>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</si>
  <si>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</si>
  <si>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</si>
  <si>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</si>
  <si>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</si>
  <si>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</si>
  <si>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</si>
  <si>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</si>
  <si>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</si>
  <si>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</si>
  <si>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</si>
  <si>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</si>
  <si>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</si>
  <si>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</si>
  <si>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</si>
  <si>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</si>
  <si>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</si>
  <si>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</si>
  <si>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</si>
  <si>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</si>
  <si>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</si>
  <si>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</si>
  <si>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</si>
  <si>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</si>
  <si>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</si>
  <si>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</si>
  <si>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</si>
  <si>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</si>
  <si>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</si>
  <si>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</si>
  <si>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</si>
  <si>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</si>
  <si>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</si>
  <si>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</si>
  <si>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</si>
  <si>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</si>
  <si>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</si>
  <si>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</si>
  <si>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</si>
  <si>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</si>
  <si>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</si>
  <si>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</si>
  <si>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</si>
  <si>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</si>
  <si>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</si>
  <si>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</si>
  <si>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</si>
  <si>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</si>
  <si>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</si>
  <si>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</si>
  <si>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</si>
  <si>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</si>
  <si>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</si>
  <si>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</si>
  <si>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</si>
  <si>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</si>
  <si>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</si>
  <si>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</si>
  <si>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</si>
  <si>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</si>
  <si>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</si>
  <si>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</si>
  <si>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</si>
  <si>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</si>
  <si>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</si>
  <si>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</si>
  <si>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</si>
  <si>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</si>
  <si>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</si>
  <si>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</si>
  <si>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</si>
  <si>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</si>
  <si>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</si>
  <si>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</si>
  <si>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</si>
  <si>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</si>
  <si>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</si>
  <si>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</si>
  <si>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</si>
  <si>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</si>
  <si>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</si>
  <si>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</si>
  <si>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</si>
  <si>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</si>
  <si>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</si>
  <si>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</si>
  <si>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</si>
  <si>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</si>
  <si>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</si>
  <si>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</si>
  <si>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</si>
  <si>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</si>
  <si>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</si>
  <si>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</si>
  <si>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</si>
  <si>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</si>
  <si>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</si>
  <si>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</si>
  <si>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</si>
  <si>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</si>
  <si>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</si>
  <si>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</si>
  <si>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</si>
  <si>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</si>
  <si>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</si>
  <si>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</si>
  <si>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</si>
  <si>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</si>
  <si>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</si>
  <si>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</si>
  <si>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</si>
  <si>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</si>
  <si>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</si>
  <si>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</si>
  <si>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</si>
  <si>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</si>
  <si>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</si>
  <si>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</si>
  <si>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</si>
  <si>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</si>
  <si>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</si>
  <si>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</si>
  <si>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</si>
  <si>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</si>
  <si>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</si>
  <si>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</si>
  <si>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</si>
  <si>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</si>
  <si>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</si>
  <si>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</si>
  <si>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</si>
  <si>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</si>
  <si>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</si>
  <si>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</si>
  <si>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</si>
  <si>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</si>
  <si>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</si>
  <si>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</si>
  <si>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</si>
  <si>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</si>
  <si>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</si>
  <si>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</si>
  <si>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</si>
  <si>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</si>
  <si>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</si>
  <si>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</si>
  <si>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</si>
  <si>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</si>
  <si>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</si>
  <si>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</si>
  <si>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</si>
  <si>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</si>
  <si>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</si>
  <si>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</si>
  <si>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</si>
  <si>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</si>
  <si>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</si>
  <si>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</si>
  <si>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</si>
  <si>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</si>
  <si>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</si>
  <si>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</si>
  <si>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</si>
  <si>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</si>
  <si>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</si>
  <si>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</si>
  <si>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</si>
  <si>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</si>
  <si>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</si>
  <si>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</si>
  <si>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</si>
  <si>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</si>
  <si>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</si>
  <si>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</si>
  <si>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</si>
  <si>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</si>
  <si>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</si>
  <si>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</si>
  <si>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</si>
  <si>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</si>
  <si>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</si>
  <si>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</si>
  <si>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</si>
  <si>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</si>
  <si>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</si>
  <si>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</si>
  <si>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</si>
  <si>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</si>
  <si>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</si>
  <si>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</si>
  <si>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</si>
  <si>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</si>
  <si>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</si>
  <si>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</si>
  <si>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</si>
  <si>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</si>
  <si>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</si>
  <si>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</si>
  <si>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</si>
  <si>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</si>
  <si>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</si>
  <si>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</si>
  <si>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</si>
  <si>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</si>
  <si>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</si>
  <si>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</si>
  <si>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</si>
  <si>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</si>
  <si>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</si>
  <si>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</si>
  <si>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</si>
  <si>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</si>
  <si>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</si>
  <si>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</si>
  <si>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</si>
  <si>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</si>
  <si>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</si>
  <si>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</si>
  <si>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</si>
  <si>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</si>
  <si>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</si>
  <si>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</si>
  <si>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</si>
  <si>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</si>
  <si>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</si>
  <si>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</si>
  <si>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</si>
  <si>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</si>
  <si>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</si>
  <si>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</si>
  <si>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</si>
  <si>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</si>
  <si>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</si>
  <si>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</si>
  <si>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</si>
  <si>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</si>
  <si>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</si>
  <si>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</si>
  <si>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</si>
  <si>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</si>
  <si>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</si>
  <si>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</si>
  <si>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</si>
  <si>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</si>
  <si>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</si>
  <si>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</si>
  <si>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</si>
  <si>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</si>
  <si>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</si>
  <si>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</si>
  <si>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</si>
  <si>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</si>
  <si>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</si>
  <si>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</si>
  <si>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</si>
  <si>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</si>
  <si>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</si>
  <si>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</si>
  <si>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</si>
  <si>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</si>
  <si>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</si>
  <si>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</si>
  <si>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</si>
  <si>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</si>
  <si>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</si>
  <si>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</si>
  <si>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</si>
  <si>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</si>
  <si>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</si>
  <si>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</si>
  <si>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</si>
  <si>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</si>
  <si>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</si>
  <si>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</si>
  <si>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</si>
  <si>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</si>
  <si>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</si>
  <si>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</si>
  <si>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</si>
  <si>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</si>
  <si>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</si>
  <si>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</si>
  <si>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</si>
  <si>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</si>
  <si>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</si>
  <si>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</si>
  <si>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</si>
  <si>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</si>
  <si>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</si>
  <si>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</si>
  <si>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</si>
  <si>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</si>
  <si>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</si>
  <si>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</si>
  <si>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</si>
  <si>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</si>
  <si>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</si>
  <si>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</si>
  <si>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</si>
  <si>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</si>
  <si>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</si>
  <si>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</si>
  <si>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</si>
  <si>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</si>
  <si>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</si>
  <si>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</si>
  <si>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</si>
  <si>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</si>
  <si>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</si>
  <si>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</si>
  <si>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</si>
  <si>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</si>
  <si>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</si>
  <si>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</si>
  <si>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</si>
  <si>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</si>
  <si>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</si>
  <si>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</si>
  <si>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</si>
  <si>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</si>
  <si>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</si>
  <si>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</si>
  <si>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</si>
  <si>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</si>
  <si>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</si>
  <si>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</si>
  <si>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</si>
  <si>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</si>
  <si>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</si>
  <si>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</si>
  <si>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</si>
  <si>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</si>
  <si>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</si>
  <si>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</si>
  <si>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</si>
  <si>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</si>
  <si>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</si>
  <si>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</si>
  <si>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</si>
  <si>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</si>
  <si>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</si>
  <si>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</si>
  <si>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</si>
  <si>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</si>
  <si>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</si>
  <si>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</si>
  <si>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</si>
  <si>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</si>
  <si>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</si>
  <si>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</si>
  <si>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</si>
  <si>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</si>
  <si>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</si>
  <si>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</si>
  <si>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</si>
  <si>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</si>
  <si>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</si>
  <si>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</si>
  <si>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</si>
  <si>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</si>
  <si>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</si>
  <si>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</si>
  <si>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</si>
  <si>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</si>
  <si>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</si>
  <si>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</si>
  <si>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</si>
  <si>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</si>
  <si>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</si>
  <si>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</si>
  <si>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</si>
  <si>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</si>
  <si>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</si>
  <si>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</si>
  <si>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</si>
  <si>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</si>
  <si>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</si>
  <si>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</si>
  <si>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</si>
  <si>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</si>
  <si>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</si>
  <si>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</si>
  <si>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</si>
  <si>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</si>
  <si>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</si>
  <si>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</si>
  <si>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</si>
  <si>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</si>
  <si>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</si>
  <si>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</si>
  <si>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</si>
  <si>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</si>
  <si>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</si>
  <si>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</si>
  <si>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</si>
  <si>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</si>
  <si>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</si>
  <si>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</si>
  <si>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</si>
  <si>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</si>
  <si>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</si>
  <si>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</si>
  <si>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</si>
  <si>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</si>
  <si>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</si>
  <si>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</si>
  <si>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</si>
  <si>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</si>
  <si>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</si>
  <si>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</si>
  <si>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</si>
  <si>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</si>
  <si>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</si>
  <si>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</si>
  <si>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</si>
  <si>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</si>
  <si>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</si>
  <si>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</si>
  <si>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</si>
  <si>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</si>
  <si>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</si>
  <si>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</si>
  <si>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</si>
  <si>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</si>
  <si>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</si>
  <si>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</si>
  <si>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</si>
  <si>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</si>
  <si>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</si>
  <si>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</si>
  <si>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</si>
  <si>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</si>
  <si>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</si>
  <si>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</si>
  <si>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</si>
  <si>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</si>
  <si>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</si>
  <si>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</si>
  <si>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</si>
  <si>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</si>
  <si>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</si>
  <si>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</si>
  <si>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</si>
  <si>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</si>
  <si>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</si>
  <si>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</si>
  <si>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</si>
  <si>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</si>
  <si>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</si>
  <si>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</si>
  <si>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</si>
  <si>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</si>
  <si>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</si>
  <si>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</si>
  <si>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</si>
  <si>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</si>
  <si>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</si>
  <si>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</si>
  <si>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</si>
  <si>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</si>
  <si>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</si>
  <si>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</si>
  <si>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</si>
  <si>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</si>
  <si>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</si>
  <si>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</si>
  <si>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</si>
  <si>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</si>
  <si>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</si>
  <si>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</si>
  <si>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</si>
  <si>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</si>
  <si>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</si>
  <si>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</si>
  <si>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</si>
  <si>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</si>
  <si>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</si>
  <si>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</si>
  <si>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</si>
  <si>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</si>
  <si>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</si>
  <si>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</si>
  <si>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</si>
  <si>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</si>
  <si>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</si>
  <si>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</si>
  <si>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</si>
  <si>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</si>
  <si>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</si>
  <si>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</si>
  <si>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</si>
  <si>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</si>
  <si>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</si>
  <si>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</si>
  <si>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</si>
  <si>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</si>
  <si>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</si>
  <si>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</si>
  <si>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</si>
  <si>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</si>
  <si>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</si>
  <si>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</si>
  <si>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</si>
  <si>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</si>
  <si>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</si>
  <si>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</si>
  <si>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</si>
  <si>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</si>
  <si>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</si>
  <si>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</si>
  <si>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</si>
  <si>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</si>
  <si>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</si>
  <si>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</si>
  <si>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</si>
  <si>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</si>
  <si>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</si>
  <si>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</si>
  <si>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</si>
  <si>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</si>
  <si>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</si>
  <si>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</si>
  <si>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</si>
  <si>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</si>
  <si>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</si>
  <si>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</si>
  <si>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</si>
  <si>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</si>
  <si>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</si>
  <si>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</si>
  <si>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</si>
  <si>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</si>
  <si>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</si>
  <si>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</si>
  <si>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</si>
  <si>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</si>
  <si>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</si>
  <si>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</si>
  <si>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</si>
  <si>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</si>
  <si>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</si>
  <si>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</si>
  <si>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</si>
  <si>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</si>
  <si>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</si>
  <si>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</si>
  <si>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</si>
  <si>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</si>
  <si>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</si>
  <si>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</si>
  <si>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</si>
  <si>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</si>
  <si>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</si>
  <si>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</si>
  <si>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</si>
  <si>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</si>
  <si>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</si>
  <si>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</si>
  <si>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</si>
  <si>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</si>
  <si>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</si>
  <si>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</si>
  <si>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</si>
  <si>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</si>
  <si>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</si>
  <si>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</si>
  <si>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</si>
  <si>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</si>
  <si>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</si>
  <si>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</si>
  <si>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</si>
  <si>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</si>
  <si>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</si>
  <si>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</si>
  <si>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</si>
  <si>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</si>
  <si>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</si>
  <si>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</si>
  <si>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</si>
  <si>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</si>
  <si>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</si>
  <si>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</si>
  <si>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</si>
  <si>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</si>
  <si>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</si>
  <si>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</si>
  <si>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</si>
  <si>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</si>
  <si>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</si>
  <si>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</si>
  <si>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</si>
  <si>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</si>
  <si>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</si>
  <si>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</si>
  <si>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</si>
  <si>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</si>
  <si>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</si>
  <si>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</si>
  <si>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</si>
  <si>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</si>
  <si>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</si>
  <si>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</si>
  <si>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</si>
  <si>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</si>
  <si>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</si>
  <si>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</si>
  <si>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</si>
  <si>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</si>
  <si>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</si>
  <si>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</si>
  <si>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</si>
  <si>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</si>
  <si>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</si>
  <si>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</si>
  <si>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</si>
  <si>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</si>
  <si>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</si>
  <si>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</si>
  <si>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</si>
  <si>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</si>
  <si>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</si>
  <si>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</si>
  <si>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</si>
  <si>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</si>
  <si>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</si>
  <si>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</si>
  <si>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</si>
  <si>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</si>
  <si>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</si>
  <si>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</si>
  <si>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</si>
  <si>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</si>
  <si>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</si>
  <si>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</si>
  <si>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</si>
  <si>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</si>
  <si>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</si>
  <si>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</si>
  <si>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</si>
  <si>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</si>
  <si>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</si>
  <si>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</si>
  <si>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</si>
  <si>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</si>
  <si>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</si>
  <si>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</si>
  <si>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</si>
  <si>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</si>
  <si>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</si>
  <si>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</si>
  <si>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</si>
  <si>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</si>
  <si>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</si>
  <si>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</si>
  <si>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</si>
  <si>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</si>
  <si>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</si>
  <si>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</si>
  <si>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</si>
  <si>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</si>
  <si>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</si>
  <si>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</si>
  <si>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</si>
  <si>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</si>
  <si>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</si>
  <si>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</si>
  <si>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</si>
  <si>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</si>
  <si>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</si>
  <si>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</si>
  <si>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</si>
  <si>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</si>
  <si>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</si>
  <si>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</si>
  <si>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</si>
  <si>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</si>
  <si>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</si>
  <si>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</si>
  <si>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</si>
  <si>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</si>
  <si>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</si>
  <si>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</si>
  <si>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</si>
  <si>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</si>
  <si>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</si>
  <si>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</si>
  <si>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</si>
  <si>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</si>
  <si>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</si>
  <si>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</si>
  <si>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</si>
  <si>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</si>
  <si>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</si>
  <si>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</si>
  <si>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</si>
  <si>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</si>
  <si>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</si>
  <si>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</si>
  <si>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</si>
  <si>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</si>
  <si>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</si>
  <si>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</si>
  <si>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</si>
  <si>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</si>
  <si>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</si>
  <si>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</si>
  <si>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</si>
  <si>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</si>
  <si>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</si>
  <si>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</si>
  <si>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</si>
  <si>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</si>
  <si>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</si>
  <si>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</si>
  <si>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</si>
  <si>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</si>
  <si>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</si>
  <si>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</si>
  <si>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</si>
  <si>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</si>
  <si>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</si>
  <si>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</si>
  <si>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</si>
  <si>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</si>
  <si>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</si>
  <si>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</si>
  <si>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</si>
  <si>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</si>
  <si>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</si>
  <si>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</si>
  <si>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</si>
  <si>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</si>
  <si>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</si>
  <si>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</si>
  <si>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</si>
  <si>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</si>
  <si>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</si>
  <si>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</si>
  <si>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</si>
  <si>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</si>
  <si>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</si>
  <si>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</si>
  <si>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</si>
  <si>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</si>
  <si>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</si>
  <si>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</si>
  <si>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</si>
  <si>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</si>
  <si>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</si>
  <si>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</si>
  <si>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</si>
  <si>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</si>
  <si>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</si>
  <si>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</si>
  <si>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</si>
  <si>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</si>
  <si>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</si>
  <si>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</si>
  <si>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</si>
  <si>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</si>
  <si>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</si>
  <si>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</si>
  <si>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</si>
  <si>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</si>
  <si>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</si>
  <si>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</si>
  <si>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</si>
  <si>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</si>
  <si>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</si>
  <si>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</si>
  <si>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</si>
  <si>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</si>
  <si>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</si>
  <si>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</si>
  <si>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</si>
  <si>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</si>
  <si>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</si>
  <si>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</si>
  <si>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</si>
  <si>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</si>
  <si>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</si>
  <si>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</si>
  <si>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</si>
  <si>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</si>
  <si>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</si>
  <si>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</si>
  <si>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</si>
  <si>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</si>
  <si>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</si>
  <si>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</si>
  <si>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</si>
  <si>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</si>
  <si>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</si>
  <si>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</si>
  <si>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</si>
  <si>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</si>
  <si>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</si>
  <si>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</si>
  <si>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</si>
  <si>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</si>
  <si>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</si>
  <si>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</si>
  <si>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</si>
  <si>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</si>
  <si>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</si>
  <si>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</si>
  <si>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</si>
  <si>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</si>
  <si>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</si>
  <si>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</si>
  <si>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</si>
  <si>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</si>
  <si>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</si>
  <si>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</si>
  <si>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</si>
  <si>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</si>
  <si>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</si>
  <si>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</si>
  <si>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</si>
  <si>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</si>
  <si>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</si>
  <si>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</si>
  <si>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</si>
  <si>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</si>
  <si>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</si>
  <si>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</si>
  <si>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</si>
  <si>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</si>
  <si>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</si>
  <si>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</si>
  <si>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</si>
  <si>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</si>
  <si>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</si>
  <si>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</si>
  <si>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</si>
  <si>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</si>
  <si>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</si>
  <si>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</si>
  <si>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</si>
  <si>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</si>
  <si>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</si>
  <si>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</si>
  <si>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</si>
  <si>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</si>
  <si>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</si>
  <si>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</si>
  <si>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</si>
  <si>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</si>
  <si>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</si>
  <si>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</si>
  <si>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</si>
  <si>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</si>
  <si>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</si>
  <si>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</si>
  <si>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</si>
  <si>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</si>
  <si>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</si>
  <si>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</si>
  <si>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</si>
  <si>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</si>
  <si>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</si>
  <si>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</si>
  <si>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</si>
  <si>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</si>
  <si>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</si>
  <si>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</si>
  <si>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</si>
  <si>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</si>
  <si>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</si>
  <si>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</si>
  <si>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</si>
  <si>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</si>
  <si>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</si>
  <si>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</si>
  <si>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</si>
  <si>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</si>
  <si>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</si>
  <si>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</si>
  <si>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</si>
  <si>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</si>
  <si>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</si>
  <si>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</si>
  <si>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</si>
  <si>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</si>
  <si>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</si>
  <si>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</si>
  <si>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</si>
  <si>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</si>
  <si>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</si>
  <si>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</si>
  <si>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</si>
  <si>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</si>
  <si>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</si>
  <si>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</si>
  <si>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</si>
  <si>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</si>
  <si>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</si>
  <si>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</si>
  <si>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</si>
  <si>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</si>
  <si>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</si>
  <si>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</si>
  <si>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</si>
  <si>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</si>
  <si>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</si>
  <si>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</si>
  <si>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</si>
  <si>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</si>
  <si>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</si>
  <si>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</si>
  <si>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</si>
  <si>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</si>
  <si>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</si>
  <si>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</si>
  <si>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</si>
  <si>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</si>
  <si>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</si>
  <si>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</si>
  <si>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</si>
  <si>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</si>
  <si>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</si>
  <si>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</si>
  <si>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</si>
  <si>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</si>
  <si>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</si>
  <si>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</si>
  <si>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</si>
  <si>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</si>
  <si>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</si>
  <si>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</si>
  <si>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</si>
  <si>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</si>
  <si>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</si>
  <si>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</si>
  <si>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</si>
  <si>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</si>
  <si>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</si>
  <si>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</si>
  <si>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</si>
  <si>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</si>
  <si>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</si>
  <si>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</si>
  <si>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</si>
  <si>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</si>
  <si>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</si>
  <si>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</si>
  <si>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</si>
  <si>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</si>
  <si>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</si>
  <si>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</si>
  <si>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</si>
  <si>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</si>
  <si>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</si>
  <si>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</si>
  <si>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</si>
  <si>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</si>
  <si>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</si>
  <si>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</si>
  <si>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</si>
  <si>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</si>
  <si>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</si>
  <si>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</si>
  <si>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</si>
  <si>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</si>
  <si>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</si>
  <si>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</si>
  <si>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</si>
  <si>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</si>
  <si>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</si>
  <si>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</si>
  <si>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</si>
  <si>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</si>
  <si>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</si>
  <si>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</si>
  <si>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</si>
  <si>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</si>
  <si>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</si>
  <si>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</si>
  <si>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</si>
  <si>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</si>
  <si>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</si>
  <si>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</si>
  <si>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</si>
  <si>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</si>
  <si>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</si>
  <si>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</si>
  <si>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</si>
  <si>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</si>
  <si>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</si>
  <si>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</si>
  <si>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</si>
  <si>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</si>
  <si>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</si>
  <si>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</si>
  <si>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</si>
  <si>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</si>
  <si>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</si>
  <si>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</si>
  <si>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</si>
  <si>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</si>
  <si>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</si>
  <si>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</si>
  <si>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</si>
  <si>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</si>
  <si>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</si>
  <si>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</si>
  <si>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</si>
  <si>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</si>
  <si>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</si>
  <si>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</si>
  <si>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</si>
  <si>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</si>
  <si>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</si>
  <si>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</si>
  <si>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</si>
  <si>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</si>
  <si>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</si>
  <si>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</si>
  <si>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</si>
  <si>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</si>
  <si>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</si>
  <si>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</si>
  <si>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</si>
  <si>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</si>
  <si>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</si>
  <si>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</si>
  <si>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</si>
  <si>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</si>
  <si>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</si>
  <si>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</si>
  <si>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</si>
  <si>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</si>
  <si>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</si>
  <si>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</si>
  <si>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</si>
  <si>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</si>
  <si>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</si>
  <si>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</si>
  <si>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</si>
  <si>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</si>
  <si>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</si>
  <si>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</si>
  <si>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</si>
  <si>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</si>
  <si>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</si>
  <si>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</si>
  <si>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</si>
  <si>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</si>
  <si>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</si>
  <si>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</si>
  <si>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</si>
  <si>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</si>
  <si>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</si>
  <si>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</si>
  <si>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</si>
  <si>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</si>
  <si>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</si>
  <si>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</si>
  <si>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</si>
  <si>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</si>
  <si>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</si>
  <si>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</si>
  <si>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</si>
  <si>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</si>
  <si>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</si>
  <si>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</si>
  <si>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</si>
  <si>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</si>
  <si>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</si>
  <si>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</si>
  <si>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</si>
  <si>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</si>
  <si>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</si>
  <si>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</si>
  <si>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</si>
  <si>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</si>
  <si>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</si>
  <si>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</si>
  <si>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</si>
  <si>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</si>
  <si>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</si>
  <si>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</si>
  <si>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</si>
  <si>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</si>
  <si>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</si>
  <si>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</si>
  <si>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</si>
  <si>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</si>
  <si>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</si>
  <si>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</si>
  <si>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</si>
  <si>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</si>
  <si>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</si>
  <si>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</si>
  <si>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</si>
  <si>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</si>
  <si>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</si>
  <si>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</si>
  <si>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</si>
  <si>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</si>
  <si>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</si>
  <si>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</si>
  <si>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</si>
  <si>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</si>
  <si>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</si>
  <si>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</si>
  <si>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</si>
  <si>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</si>
  <si>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</si>
  <si>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</si>
  <si>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</si>
  <si>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</si>
  <si>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</si>
  <si>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</si>
  <si>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</si>
  <si>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</si>
  <si>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</si>
  <si>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</si>
  <si>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</si>
  <si>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</si>
  <si>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</si>
  <si>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</si>
  <si>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</si>
  <si>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</si>
  <si>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</si>
  <si>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</si>
  <si>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</si>
  <si>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</si>
  <si>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</si>
  <si>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</si>
  <si>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</si>
  <si>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</si>
  <si>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</si>
  <si>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</si>
  <si>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</si>
  <si>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</si>
  <si>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</si>
  <si>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</si>
  <si>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</si>
  <si>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</si>
  <si>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</si>
  <si>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</si>
  <si>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</si>
  <si>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</si>
  <si>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</si>
  <si>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</si>
  <si>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</si>
  <si>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</si>
  <si>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</si>
  <si>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</si>
  <si>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</si>
  <si>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</si>
  <si>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</si>
  <si>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</si>
  <si>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</si>
  <si>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</si>
  <si>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</si>
  <si>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</si>
  <si>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</si>
  <si>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</si>
  <si>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</si>
  <si>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</si>
  <si>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</si>
  <si>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</si>
  <si>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</si>
  <si>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</si>
  <si>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</si>
  <si>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</si>
  <si>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</si>
  <si>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</si>
  <si>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</si>
  <si>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</si>
  <si>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</si>
  <si>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</si>
  <si>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</si>
  <si>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</si>
  <si>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</si>
  <si>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</si>
  <si>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</si>
  <si>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</si>
  <si>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</si>
  <si>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</si>
  <si>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</si>
  <si>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</si>
  <si>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</si>
  <si>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</si>
  <si>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</si>
  <si>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</si>
  <si>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</si>
  <si>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</si>
  <si>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</si>
  <si>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</si>
  <si>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</si>
  <si>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</si>
  <si>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</si>
  <si>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</si>
  <si>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</si>
  <si>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</si>
  <si>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</si>
  <si>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</si>
  <si>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</si>
  <si>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</si>
  <si>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</si>
  <si>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</si>
  <si>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</si>
  <si>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</si>
  <si>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</si>
  <si>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</si>
  <si>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</si>
  <si>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</si>
  <si>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</si>
  <si>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</si>
  <si>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</si>
  <si>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</si>
  <si>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</si>
  <si>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</si>
  <si>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</si>
  <si>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</si>
  <si>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</si>
  <si>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</si>
  <si>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</si>
  <si>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</si>
  <si>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</si>
  <si>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</si>
  <si>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</si>
  <si>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</si>
  <si>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</si>
  <si>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</si>
  <si>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</si>
  <si>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</si>
  <si>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</si>
  <si>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</si>
  <si>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</si>
  <si>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</si>
  <si>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</si>
  <si>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</si>
  <si>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</si>
  <si>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</si>
  <si>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</si>
  <si>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</si>
  <si>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</si>
  <si>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</si>
  <si>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</si>
  <si>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</si>
  <si>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</si>
  <si>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</si>
  <si>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</si>
  <si>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</si>
  <si>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</si>
  <si>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</si>
  <si>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</si>
  <si>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</si>
  <si>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</si>
  <si>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</si>
  <si>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</si>
  <si>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</si>
  <si>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</si>
  <si>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</si>
  <si>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</si>
  <si>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</si>
  <si>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</si>
  <si>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</si>
  <si>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</si>
  <si>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成本法 (元)</t>
  </si>
  <si>
    <t>比较法-住宅</t>
  </si>
  <si>
    <t>住宅</t>
    <phoneticPr fontId="26" type="noConversion"/>
  </si>
  <si>
    <t>精装</t>
    <phoneticPr fontId="26" type="noConversion"/>
  </si>
  <si>
    <t>普装</t>
    <phoneticPr fontId="26" type="noConversion"/>
  </si>
  <si>
    <t>简装</t>
  </si>
  <si>
    <t>简装</t>
    <phoneticPr fontId="26" type="noConversion"/>
  </si>
  <si>
    <t>毛坯</t>
    <phoneticPr fontId="26" type="noConversion"/>
  </si>
  <si>
    <t>平层</t>
    <phoneticPr fontId="26" type="noConversion"/>
  </si>
  <si>
    <t>多层板楼</t>
  </si>
  <si>
    <t>多层板楼</t>
    <phoneticPr fontId="26" type="noConversion"/>
  </si>
  <si>
    <t>建成年代</t>
    <phoneticPr fontId="26" type="noConversion"/>
  </si>
  <si>
    <t>南北</t>
  </si>
  <si>
    <t>南北</t>
    <phoneticPr fontId="26" type="noConversion"/>
  </si>
  <si>
    <t>已包含在土地取得成本中</t>
  </si>
  <si>
    <t>姓名</t>
  </si>
  <si>
    <t>身份证号</t>
  </si>
  <si>
    <t>联系电话</t>
  </si>
  <si>
    <t>所在区县</t>
  </si>
  <si>
    <t>居住区名</t>
    <phoneticPr fontId="5" type="noConversion"/>
  </si>
  <si>
    <t>组团名</t>
    <phoneticPr fontId="5" type="noConversion"/>
  </si>
  <si>
    <t>楼号</t>
    <phoneticPr fontId="5" type="noConversion"/>
  </si>
  <si>
    <t>开发商(产权人)</t>
  </si>
  <si>
    <t>面积M2</t>
  </si>
  <si>
    <t>套内建</t>
    <phoneticPr fontId="5" type="noConversion"/>
  </si>
  <si>
    <t>评估总额</t>
  </si>
  <si>
    <t>评估总额(万元)</t>
  </si>
  <si>
    <t>风险率</t>
  </si>
  <si>
    <t>最高抵押额</t>
  </si>
  <si>
    <t>大写</t>
  </si>
  <si>
    <t>日</t>
    <phoneticPr fontId="5" type="noConversion"/>
  </si>
  <si>
    <t>收费</t>
  </si>
  <si>
    <t>资金管理中心</t>
    <phoneticPr fontId="5" type="noConversion"/>
  </si>
  <si>
    <t>评估人</t>
  </si>
  <si>
    <t>工程进度</t>
  </si>
  <si>
    <t>结论</t>
  </si>
  <si>
    <t>复核人</t>
    <phoneticPr fontId="5" type="noConversion"/>
  </si>
  <si>
    <t>周次</t>
    <phoneticPr fontId="5" type="noConversion"/>
  </si>
  <si>
    <t>年</t>
    <phoneticPr fontId="5" type="noConversion"/>
  </si>
  <si>
    <t>更改内容</t>
    <phoneticPr fontId="5" type="noConversion"/>
  </si>
  <si>
    <t>合同特定编号</t>
    <phoneticPr fontId="5" type="noConversion"/>
  </si>
  <si>
    <t>注册地址</t>
    <phoneticPr fontId="5" type="noConversion"/>
  </si>
  <si>
    <t>营业执照注册号</t>
    <phoneticPr fontId="5" type="noConversion"/>
  </si>
  <si>
    <t>邮政编码</t>
    <phoneticPr fontId="5" type="noConversion"/>
  </si>
  <si>
    <t>联系电话</t>
    <phoneticPr fontId="5" type="noConversion"/>
  </si>
  <si>
    <t>补充人</t>
    <phoneticPr fontId="5" type="noConversion"/>
  </si>
  <si>
    <t>出具日期</t>
    <phoneticPr fontId="5" type="noConversion"/>
  </si>
  <si>
    <t>释放清单出具日期</t>
    <phoneticPr fontId="5" type="noConversion"/>
  </si>
  <si>
    <t>交易情况</t>
    <phoneticPr fontId="5" type="noConversion"/>
  </si>
  <si>
    <t>交易方式</t>
    <phoneticPr fontId="5" type="noConversion"/>
  </si>
  <si>
    <t>价格内涵</t>
    <phoneticPr fontId="5" type="noConversion"/>
  </si>
  <si>
    <t>7单元</t>
    <phoneticPr fontId="5" type="noConversion"/>
  </si>
  <si>
    <t>401号</t>
    <phoneticPr fontId="5" type="noConversion"/>
  </si>
  <si>
    <t>张军</t>
    <phoneticPr fontId="5" type="noConversion"/>
  </si>
  <si>
    <t>二室一厅一卫一厨</t>
    <phoneticPr fontId="5" type="noConversion"/>
  </si>
  <si>
    <t>复式、平层√、跃层、错层</t>
  </si>
  <si>
    <t>现房</t>
    <phoneticPr fontId="5" type="noConversion"/>
  </si>
  <si>
    <t>可抵押商品住宅</t>
    <phoneticPr fontId="5" type="noConversion"/>
  </si>
  <si>
    <t>六</t>
    <phoneticPr fontId="5" type="noConversion"/>
  </si>
  <si>
    <t>一</t>
    <phoneticPr fontId="5" type="noConversion"/>
  </si>
  <si>
    <t>新增</t>
    <phoneticPr fontId="5" type="noConversion"/>
  </si>
  <si>
    <t>合同</t>
    <phoneticPr fontId="5" type="noConversion"/>
  </si>
  <si>
    <t>张军</t>
  </si>
  <si>
    <t>二手房</t>
    <phoneticPr fontId="5" type="noConversion"/>
  </si>
  <si>
    <t>中介</t>
    <phoneticPr fontId="5" type="noConversion"/>
  </si>
  <si>
    <t>不含税费</t>
    <phoneticPr fontId="5" type="noConversion"/>
  </si>
  <si>
    <t/>
  </si>
  <si>
    <t>2单元</t>
    <phoneticPr fontId="5" type="noConversion"/>
  </si>
  <si>
    <t>602号</t>
    <phoneticPr fontId="5" type="noConversion"/>
  </si>
  <si>
    <t>可抵押商品住宅</t>
  </si>
  <si>
    <t>十二</t>
    <phoneticPr fontId="5" type="noConversion"/>
  </si>
  <si>
    <t>二</t>
    <phoneticPr fontId="5" type="noConversion"/>
  </si>
  <si>
    <t>杨红英</t>
    <phoneticPr fontId="5" type="noConversion"/>
  </si>
  <si>
    <t>现售</t>
    <phoneticPr fontId="5" type="noConversion"/>
  </si>
  <si>
    <t>正常</t>
    <phoneticPr fontId="5" type="noConversion"/>
  </si>
  <si>
    <t>2号楼</t>
    <phoneticPr fontId="5" type="noConversion"/>
  </si>
  <si>
    <t>4门</t>
    <phoneticPr fontId="5" type="noConversion"/>
  </si>
  <si>
    <t>502号</t>
    <phoneticPr fontId="5" type="noConversion"/>
  </si>
  <si>
    <t>裴蓓</t>
    <phoneticPr fontId="5" type="noConversion"/>
  </si>
  <si>
    <t>裴蓓</t>
  </si>
  <si>
    <t>15号楼</t>
    <phoneticPr fontId="5" type="noConversion"/>
  </si>
  <si>
    <t>1门</t>
    <phoneticPr fontId="5" type="noConversion"/>
  </si>
  <si>
    <t>101号</t>
    <phoneticPr fontId="5" type="noConversion"/>
  </si>
  <si>
    <t>三室二厅一卫一厨</t>
  </si>
  <si>
    <t>刘朝阳</t>
    <phoneticPr fontId="5" type="noConversion"/>
  </si>
  <si>
    <t>三</t>
    <phoneticPr fontId="5" type="noConversion"/>
  </si>
  <si>
    <t>双方</t>
    <phoneticPr fontId="5" type="noConversion"/>
  </si>
  <si>
    <t>四</t>
    <phoneticPr fontId="5" type="noConversion"/>
  </si>
  <si>
    <t>初审意见书</t>
    <phoneticPr fontId="5" type="noConversion"/>
  </si>
  <si>
    <t>二室二厅一卫一厨</t>
    <phoneticPr fontId="5" type="noConversion"/>
  </si>
  <si>
    <t>五</t>
    <phoneticPr fontId="5" type="noConversion"/>
  </si>
  <si>
    <t>三室一厅二卫一厨</t>
    <phoneticPr fontId="5" type="noConversion"/>
  </si>
  <si>
    <t>一室一厅一卫一厨</t>
    <phoneticPr fontId="5" type="noConversion"/>
  </si>
  <si>
    <t>21号楼</t>
    <phoneticPr fontId="5" type="noConversion"/>
  </si>
  <si>
    <t>三室一厅一卫一厨</t>
    <phoneticPr fontId="5" type="noConversion"/>
  </si>
  <si>
    <t>601号</t>
    <phoneticPr fontId="5" type="noConversion"/>
  </si>
  <si>
    <t>现房</t>
  </si>
  <si>
    <t>买卖合同</t>
    <phoneticPr fontId="5" type="noConversion"/>
  </si>
  <si>
    <t>202号</t>
    <phoneticPr fontId="5" type="noConversion"/>
  </si>
  <si>
    <t>评估日期</t>
  </si>
  <si>
    <t>贷款机构</t>
  </si>
  <si>
    <t>评估人电话</t>
    <phoneticPr fontId="5" type="noConversion"/>
  </si>
  <si>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</si>
  <si>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</si>
  <si>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</si>
  <si>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</si>
  <si>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</si>
  <si>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序号</t>
    <phoneticPr fontId="5" type="noConversion"/>
  </si>
  <si>
    <t>单元</t>
    <phoneticPr fontId="5" type="noConversion"/>
  </si>
  <si>
    <t>门牌号</t>
    <phoneticPr fontId="5" type="noConversion"/>
  </si>
  <si>
    <t>第几层</t>
    <phoneticPr fontId="5" type="noConversion"/>
  </si>
  <si>
    <t>楼户型</t>
    <phoneticPr fontId="5" type="noConversion"/>
  </si>
  <si>
    <t>单元住宅类型</t>
    <phoneticPr fontId="5" type="noConversion"/>
  </si>
  <si>
    <t>成交总价</t>
  </si>
  <si>
    <t>成交单价</t>
  </si>
  <si>
    <t>单价(元/M2)</t>
  </si>
  <si>
    <r>
      <t>年</t>
    </r>
    <r>
      <rPr>
        <sz val="12"/>
        <color indexed="8"/>
        <rFont val="Times New Roman"/>
        <family val="1"/>
      </rPr>
      <t/>
    </r>
    <phoneticPr fontId="5" type="noConversion"/>
  </si>
  <si>
    <t>月</t>
    <phoneticPr fontId="5" type="noConversion"/>
  </si>
  <si>
    <t>工行</t>
  </si>
  <si>
    <t>备注</t>
  </si>
  <si>
    <t>交付时间</t>
    <phoneticPr fontId="5" type="noConversion"/>
  </si>
  <si>
    <t>评估月份</t>
    <phoneticPr fontId="5" type="noConversion"/>
  </si>
  <si>
    <t>办公电话</t>
    <phoneticPr fontId="5" type="noConversion"/>
  </si>
  <si>
    <t>移动电话</t>
    <phoneticPr fontId="5" type="noConversion"/>
  </si>
  <si>
    <t>编号</t>
    <phoneticPr fontId="5" type="noConversion"/>
  </si>
  <si>
    <t>制作人</t>
    <phoneticPr fontId="5" type="noConversion"/>
  </si>
  <si>
    <t>变更内容</t>
    <phoneticPr fontId="5" type="noConversion"/>
  </si>
  <si>
    <t>日</t>
    <phoneticPr fontId="5" type="noConversion"/>
  </si>
  <si>
    <t>抵押注记</t>
    <phoneticPr fontId="5" type="noConversion"/>
  </si>
  <si>
    <t>合同类型</t>
    <phoneticPr fontId="5" type="noConversion"/>
  </si>
  <si>
    <t>合同编号</t>
    <phoneticPr fontId="5" type="noConversion"/>
  </si>
  <si>
    <t>出卖人</t>
    <phoneticPr fontId="5" type="noConversion"/>
  </si>
  <si>
    <t>法定代表人</t>
    <phoneticPr fontId="5" type="noConversion"/>
  </si>
  <si>
    <t>层高（米）</t>
    <phoneticPr fontId="5" type="noConversion"/>
  </si>
  <si>
    <t>交易日期</t>
    <phoneticPr fontId="5" type="noConversion"/>
  </si>
  <si>
    <t>缺失备注</t>
    <phoneticPr fontId="5" type="noConversion"/>
  </si>
  <si>
    <t>销售方式</t>
    <phoneticPr fontId="5" type="noConversion"/>
  </si>
  <si>
    <t>2001-2-2-10038</t>
    <phoneticPr fontId="5" type="noConversion"/>
  </si>
  <si>
    <t>刘志</t>
    <phoneticPr fontId="5" type="noConversion"/>
  </si>
  <si>
    <t>440221740819224</t>
    <phoneticPr fontId="5" type="noConversion"/>
  </si>
  <si>
    <t>13901017712</t>
    <phoneticPr fontId="5" type="noConversion"/>
  </si>
  <si>
    <t>海淀区</t>
    <phoneticPr fontId="5" type="noConversion"/>
  </si>
  <si>
    <t>四季青乡曙光花园望山园</t>
    <phoneticPr fontId="5" type="noConversion"/>
  </si>
  <si>
    <t>11号楼</t>
    <phoneticPr fontId="5" type="noConversion"/>
  </si>
  <si>
    <t>1202号</t>
    <phoneticPr fontId="5" type="noConversion"/>
  </si>
  <si>
    <t>北京天鸿宝业房地产股份有限公司</t>
    <phoneticPr fontId="5" type="noConversion"/>
  </si>
  <si>
    <t>二室一厅一卫一厨</t>
    <phoneticPr fontId="5" type="noConversion"/>
  </si>
  <si>
    <t>北京市住房资金管理中心</t>
    <phoneticPr fontId="5" type="noConversion"/>
  </si>
  <si>
    <t>刘珊</t>
    <phoneticPr fontId="5" type="noConversion"/>
  </si>
  <si>
    <t>可抵押商品住宅</t>
    <phoneticPr fontId="5" type="noConversion"/>
  </si>
  <si>
    <t>苏海</t>
    <phoneticPr fontId="5" type="noConversion"/>
  </si>
  <si>
    <t>合同</t>
    <phoneticPr fontId="5" type="noConversion"/>
  </si>
  <si>
    <t>N</t>
    <phoneticPr fontId="5" type="noConversion"/>
  </si>
  <si>
    <t>098063</t>
    <phoneticPr fontId="5" type="noConversion"/>
  </si>
  <si>
    <t>赵东杰</t>
    <phoneticPr fontId="5" type="noConversion"/>
  </si>
  <si>
    <t>注册地址不清</t>
    <phoneticPr fontId="5" type="noConversion"/>
  </si>
  <si>
    <t>李晶</t>
    <phoneticPr fontId="5" type="noConversion"/>
  </si>
  <si>
    <t>2002-21-P-01243-M</t>
  </si>
  <si>
    <t>姚宁</t>
  </si>
  <si>
    <t>120103740228543</t>
  </si>
  <si>
    <t>13910090519</t>
  </si>
  <si>
    <t>海淀区</t>
  </si>
  <si>
    <t>清河三街126号清上园</t>
  </si>
  <si>
    <t>7幢</t>
  </si>
  <si>
    <t>1单元</t>
  </si>
  <si>
    <t>604号</t>
  </si>
  <si>
    <t>北京市西城区住宅建设开发公司</t>
  </si>
  <si>
    <t>一室一厅一卫一厨</t>
  </si>
  <si>
    <t>北京市住房资金管理中心海淀区分中心</t>
  </si>
  <si>
    <t>魏伯欣</t>
  </si>
  <si>
    <t>地上16层</t>
  </si>
  <si>
    <t xml:space="preserve"> </t>
  </si>
  <si>
    <t>吴薇</t>
  </si>
  <si>
    <t>一</t>
  </si>
  <si>
    <t>新增</t>
  </si>
  <si>
    <t>合同</t>
  </si>
  <si>
    <t>191161</t>
  </si>
  <si>
    <t>北京市西城区北营房东里12号楼</t>
  </si>
  <si>
    <t>1101021053367</t>
  </si>
  <si>
    <t>侯九义</t>
  </si>
  <si>
    <t>2002-21-P-01315-M</t>
    <phoneticPr fontId="5" type="noConversion"/>
  </si>
  <si>
    <t>黄枢</t>
    <phoneticPr fontId="5" type="noConversion"/>
  </si>
  <si>
    <t>350124197706110534</t>
    <phoneticPr fontId="5" type="noConversion"/>
  </si>
  <si>
    <t>13910575214</t>
    <phoneticPr fontId="5" type="noConversion"/>
  </si>
  <si>
    <t>7幢</t>
    <phoneticPr fontId="5" type="noConversion"/>
  </si>
  <si>
    <t>5单元</t>
    <phoneticPr fontId="5" type="noConversion"/>
  </si>
  <si>
    <t>901号</t>
    <phoneticPr fontId="5" type="noConversion"/>
  </si>
  <si>
    <t>一室一厅一卫一厨</t>
    <phoneticPr fontId="5" type="noConversion"/>
  </si>
  <si>
    <t>北京市住房资金管理中心海淀区分中心</t>
    <phoneticPr fontId="5" type="noConversion"/>
  </si>
  <si>
    <t>魏伯欣</t>
    <phoneticPr fontId="5" type="noConversion"/>
  </si>
  <si>
    <t>封顶</t>
    <phoneticPr fontId="5" type="noConversion"/>
  </si>
  <si>
    <t xml:space="preserve"> </t>
    <phoneticPr fontId="5" type="noConversion"/>
  </si>
  <si>
    <t>吴薇</t>
    <phoneticPr fontId="5" type="noConversion"/>
  </si>
  <si>
    <t>魏伯欣</t>
    <phoneticPr fontId="5" type="noConversion"/>
  </si>
  <si>
    <t>217597</t>
    <phoneticPr fontId="5" type="noConversion"/>
  </si>
  <si>
    <t>北京市西城区住宅建设开发公司</t>
    <phoneticPr fontId="5" type="noConversion"/>
  </si>
  <si>
    <t>魏伯欣</t>
    <phoneticPr fontId="5" type="noConversion"/>
  </si>
  <si>
    <t>预售</t>
    <phoneticPr fontId="5" type="noConversion"/>
  </si>
  <si>
    <t>2002-21-P-01347</t>
    <phoneticPr fontId="5" type="noConversion"/>
  </si>
  <si>
    <t>任晓敏</t>
    <phoneticPr fontId="5" type="noConversion"/>
  </si>
  <si>
    <t>红联北村今典花园</t>
    <phoneticPr fontId="5" type="noConversion"/>
  </si>
  <si>
    <t>9B座</t>
    <phoneticPr fontId="5" type="noConversion"/>
  </si>
  <si>
    <t>13层</t>
    <phoneticPr fontId="5" type="noConversion"/>
  </si>
  <si>
    <t>1305号</t>
    <phoneticPr fontId="5" type="noConversion"/>
  </si>
  <si>
    <t>北京安地房地产开发有限责任公司</t>
    <phoneticPr fontId="5" type="noConversion"/>
  </si>
  <si>
    <t>二室二厅一卫一厨</t>
    <phoneticPr fontId="5" type="noConversion"/>
  </si>
  <si>
    <t>北京市住房资金管理中心北京大学分中心</t>
  </si>
  <si>
    <t>内外装修</t>
    <phoneticPr fontId="5" type="noConversion"/>
  </si>
  <si>
    <t>可抵押商品住宅</t>
    <phoneticPr fontId="5" type="noConversion"/>
  </si>
  <si>
    <t>N</t>
    <phoneticPr fontId="5" type="noConversion"/>
  </si>
  <si>
    <t>北京安地房地产开发有限责任公司</t>
    <phoneticPr fontId="5" type="noConversion"/>
  </si>
  <si>
    <t>北京市海淀区北太平庄邙牛街</t>
    <phoneticPr fontId="5" type="noConversion"/>
  </si>
  <si>
    <t>张宝全</t>
    <phoneticPr fontId="5" type="noConversion"/>
  </si>
  <si>
    <t>2002-21-P-01350</t>
    <phoneticPr fontId="5" type="noConversion"/>
  </si>
  <si>
    <t>徐晓辉</t>
    <phoneticPr fontId="5" type="noConversion"/>
  </si>
  <si>
    <t>110104541130301</t>
    <phoneticPr fontId="5" type="noConversion"/>
  </si>
  <si>
    <t>西三旗建材城枫丹丽舍</t>
  </si>
  <si>
    <t>5幢</t>
    <phoneticPr fontId="5" type="noConversion"/>
  </si>
  <si>
    <t>3单元</t>
    <phoneticPr fontId="5" type="noConversion"/>
  </si>
  <si>
    <t>202号</t>
    <phoneticPr fontId="5" type="noConversion"/>
  </si>
  <si>
    <t>北京枫丹丽舍地产开发有限公司</t>
  </si>
  <si>
    <t>封顶</t>
    <phoneticPr fontId="5" type="noConversion"/>
  </si>
  <si>
    <t>一</t>
    <phoneticPr fontId="5" type="noConversion"/>
  </si>
  <si>
    <t>北京市海淀区德外西三旗</t>
  </si>
  <si>
    <t>企作京总子第016366号</t>
  </si>
  <si>
    <t>孙黎耘</t>
  </si>
  <si>
    <t>预售</t>
    <phoneticPr fontId="5" type="noConversion"/>
  </si>
  <si>
    <t>2002-21-P-01351</t>
    <phoneticPr fontId="5" type="noConversion"/>
  </si>
  <si>
    <t>黄必清</t>
    <phoneticPr fontId="5" type="noConversion"/>
  </si>
  <si>
    <t>13683159359</t>
    <phoneticPr fontId="5" type="noConversion"/>
  </si>
  <si>
    <t>13681557066</t>
    <phoneticPr fontId="5" type="noConversion"/>
  </si>
  <si>
    <t>东升乡八家新村逸成东苑</t>
    <phoneticPr fontId="5" type="noConversion"/>
  </si>
  <si>
    <t>B3座</t>
    <phoneticPr fontId="5" type="noConversion"/>
  </si>
  <si>
    <t>602号</t>
    <phoneticPr fontId="5" type="noConversion"/>
  </si>
  <si>
    <t>北京泰跃房地产开发有限责任公司</t>
    <phoneticPr fontId="5" type="noConversion"/>
  </si>
  <si>
    <t>三室二厅二卫一厨</t>
    <phoneticPr fontId="5" type="noConversion"/>
  </si>
  <si>
    <t>复式、平层、跃层、错层√</t>
  </si>
  <si>
    <t>北京市住房资金管理中心北京大学分中心</t>
    <phoneticPr fontId="5" type="noConversion"/>
  </si>
  <si>
    <t>一</t>
    <phoneticPr fontId="5" type="noConversion"/>
  </si>
  <si>
    <t>商品房合同</t>
  </si>
  <si>
    <t>234209</t>
    <phoneticPr fontId="5" type="noConversion"/>
  </si>
  <si>
    <t>北京泰跃房地产开发有限责任公司</t>
    <phoneticPr fontId="5" type="noConversion"/>
  </si>
  <si>
    <t>北京市太月园小区1号楼</t>
    <phoneticPr fontId="5" type="noConversion"/>
  </si>
  <si>
    <t>1100001505041（1-1）</t>
    <phoneticPr fontId="5" type="noConversion"/>
  </si>
  <si>
    <t>李宏</t>
    <phoneticPr fontId="5" type="noConversion"/>
  </si>
  <si>
    <t>2.7（起居室3.3）</t>
    <phoneticPr fontId="5" type="noConversion"/>
  </si>
  <si>
    <t>2002-21-P-01351-M</t>
    <phoneticPr fontId="5" type="noConversion"/>
  </si>
  <si>
    <t>黄必清</t>
    <phoneticPr fontId="5" type="noConversion"/>
  </si>
  <si>
    <t>420111196602164150</t>
    <phoneticPr fontId="5" type="noConversion"/>
  </si>
  <si>
    <t>13683159359</t>
    <phoneticPr fontId="5" type="noConversion"/>
  </si>
  <si>
    <t>北京泰跃房地产开发有限责任公司</t>
    <phoneticPr fontId="5" type="noConversion"/>
  </si>
  <si>
    <t>北京市住房资金管理中心北京大学分中心</t>
    <phoneticPr fontId="5" type="noConversion"/>
  </si>
  <si>
    <t>三</t>
    <phoneticPr fontId="5" type="noConversion"/>
  </si>
  <si>
    <t>新增</t>
    <phoneticPr fontId="5" type="noConversion"/>
  </si>
  <si>
    <t>北京市太月园小区1号楼</t>
    <phoneticPr fontId="5" type="noConversion"/>
  </si>
  <si>
    <t>2002-22-P-05353</t>
    <phoneticPr fontId="5" type="noConversion"/>
  </si>
  <si>
    <t>蔡骊、高峥</t>
    <phoneticPr fontId="5" type="noConversion"/>
  </si>
  <si>
    <t>110101740522452、110108691103541</t>
    <phoneticPr fontId="5" type="noConversion"/>
  </si>
  <si>
    <t>13701208988</t>
    <phoneticPr fontId="5" type="noConversion"/>
  </si>
  <si>
    <t>美丽西园</t>
    <phoneticPr fontId="5" type="noConversion"/>
  </si>
  <si>
    <t>12号楼</t>
    <phoneticPr fontId="5" type="noConversion"/>
  </si>
  <si>
    <t>3门</t>
    <phoneticPr fontId="5" type="noConversion"/>
  </si>
  <si>
    <t>310号</t>
    <phoneticPr fontId="5" type="noConversion"/>
  </si>
  <si>
    <t>北京市海淀区玉渊潭农工商总公司</t>
    <phoneticPr fontId="5" type="noConversion"/>
  </si>
  <si>
    <t>二室二厅二卫一厨</t>
    <phoneticPr fontId="5" type="noConversion"/>
  </si>
  <si>
    <t>北京市住房资金管理中心外企分中心</t>
    <phoneticPr fontId="5" type="noConversion"/>
  </si>
  <si>
    <t>苏海</t>
  </si>
  <si>
    <t>邹晓鸣</t>
    <phoneticPr fontId="5" type="noConversion"/>
  </si>
  <si>
    <t>邓晓澜</t>
    <phoneticPr fontId="5" type="noConversion"/>
  </si>
  <si>
    <t>北京市海淀区玉渊潭乡农工商总公司</t>
    <phoneticPr fontId="5" type="noConversion"/>
  </si>
  <si>
    <t>北京市海淀区阜成路73号</t>
    <phoneticPr fontId="5" type="noConversion"/>
  </si>
  <si>
    <t>1101081402212（1-1）</t>
    <phoneticPr fontId="5" type="noConversion"/>
  </si>
  <si>
    <t>李森</t>
    <phoneticPr fontId="5" type="noConversion"/>
  </si>
  <si>
    <t>预售</t>
  </si>
  <si>
    <t>2002-22-P-07116-M</t>
    <phoneticPr fontId="5" type="noConversion"/>
  </si>
  <si>
    <t>姚翎</t>
    <phoneticPr fontId="5" type="noConversion"/>
  </si>
  <si>
    <t>130102197204122122</t>
    <phoneticPr fontId="5" type="noConversion"/>
  </si>
  <si>
    <t>13301196256</t>
    <phoneticPr fontId="5" type="noConversion"/>
  </si>
  <si>
    <t>7#楼</t>
    <phoneticPr fontId="5" type="noConversion"/>
  </si>
  <si>
    <t>1单元</t>
    <phoneticPr fontId="5" type="noConversion"/>
  </si>
  <si>
    <t>705号</t>
    <phoneticPr fontId="5" type="noConversion"/>
  </si>
  <si>
    <t>一室一卫一厨</t>
    <phoneticPr fontId="5" type="noConversion"/>
  </si>
  <si>
    <t>李晶</t>
  </si>
  <si>
    <t>四</t>
  </si>
  <si>
    <t>2002-3-D1-04628</t>
    <phoneticPr fontId="5" type="noConversion"/>
  </si>
  <si>
    <t>217595</t>
    <phoneticPr fontId="5" type="noConversion"/>
  </si>
  <si>
    <t>1101021053367</t>
    <phoneticPr fontId="5" type="noConversion"/>
  </si>
  <si>
    <t>2002-22-P-07463</t>
  </si>
  <si>
    <t>张亨高</t>
  </si>
  <si>
    <t>150102195911182030</t>
  </si>
  <si>
    <t>万泉庄巴沟村南路星标住宅小区</t>
  </si>
  <si>
    <t>5座</t>
  </si>
  <si>
    <t>11层</t>
  </si>
  <si>
    <t>04号</t>
  </si>
  <si>
    <t>北京亿城房地产开发有限公司</t>
  </si>
  <si>
    <t>一室一卫一厨</t>
  </si>
  <si>
    <t>北京市住房资金管理中心</t>
  </si>
  <si>
    <t>地上9层</t>
  </si>
  <si>
    <t>二</t>
  </si>
  <si>
    <t>240768</t>
  </si>
  <si>
    <t>密云县工业开发区水源路乙10号</t>
  </si>
  <si>
    <t>1100001121864</t>
  </si>
  <si>
    <t>宫晓冬</t>
  </si>
  <si>
    <t>宋宇</t>
  </si>
  <si>
    <t>2002-22-P-07467</t>
    <phoneticPr fontId="5" type="noConversion"/>
  </si>
  <si>
    <t>温滨</t>
    <phoneticPr fontId="5" type="noConversion"/>
  </si>
  <si>
    <t>230107196807150430</t>
    <phoneticPr fontId="5" type="noConversion"/>
  </si>
  <si>
    <t>13501136104</t>
    <phoneticPr fontId="5" type="noConversion"/>
  </si>
  <si>
    <t>增光路37号中海馥园</t>
    <phoneticPr fontId="5" type="noConversion"/>
  </si>
  <si>
    <t>1#幢</t>
    <phoneticPr fontId="5" type="noConversion"/>
  </si>
  <si>
    <t>5B号</t>
    <phoneticPr fontId="5" type="noConversion"/>
  </si>
  <si>
    <t>北京中海房地产开发有限公司</t>
  </si>
  <si>
    <t>二室一厅一卫一厨</t>
    <phoneticPr fontId="5" type="noConversion"/>
  </si>
  <si>
    <t>北京市住房资金管理中心</t>
    <phoneticPr fontId="5" type="noConversion"/>
  </si>
  <si>
    <t>李晶</t>
    <phoneticPr fontId="5" type="noConversion"/>
  </si>
  <si>
    <t>2002-3-D1-04895</t>
    <phoneticPr fontId="5" type="noConversion"/>
  </si>
  <si>
    <t>宋宇</t>
    <phoneticPr fontId="5" type="noConversion"/>
  </si>
  <si>
    <t>新增</t>
    <phoneticPr fontId="5" type="noConversion"/>
  </si>
  <si>
    <t xml:space="preserve"> </t>
    <phoneticPr fontId="5" type="noConversion"/>
  </si>
  <si>
    <t>182975</t>
    <phoneticPr fontId="5" type="noConversion"/>
  </si>
  <si>
    <t>北京中海房地产开发有限公司</t>
    <phoneticPr fontId="5" type="noConversion"/>
  </si>
  <si>
    <t>北京市密云县工业开发区东吉路122号</t>
    <phoneticPr fontId="5" type="noConversion"/>
  </si>
  <si>
    <t>1102281124486（1-1）</t>
    <phoneticPr fontId="5" type="noConversion"/>
  </si>
  <si>
    <t>滕书温</t>
    <phoneticPr fontId="5" type="noConversion"/>
  </si>
  <si>
    <t>宋宇</t>
    <phoneticPr fontId="5" type="noConversion"/>
  </si>
  <si>
    <t>2002-22-P-07566-M</t>
    <phoneticPr fontId="5" type="noConversion"/>
  </si>
  <si>
    <t>樊松、李焱</t>
    <phoneticPr fontId="5" type="noConversion"/>
  </si>
  <si>
    <t>652301760216551、320102197610291621</t>
    <phoneticPr fontId="5" type="noConversion"/>
  </si>
  <si>
    <t>7#楼</t>
  </si>
  <si>
    <t>3单元</t>
    <phoneticPr fontId="5" type="noConversion"/>
  </si>
  <si>
    <t>307号</t>
    <phoneticPr fontId="5" type="noConversion"/>
  </si>
  <si>
    <t>封顶</t>
  </si>
  <si>
    <t>2002-22-P-07685-M</t>
  </si>
  <si>
    <t>吴学军</t>
  </si>
  <si>
    <t>110108640308239</t>
  </si>
  <si>
    <t>13011844728</t>
  </si>
  <si>
    <t>东升乡八家新村逸成东苑</t>
  </si>
  <si>
    <t>B7座</t>
  </si>
  <si>
    <t>3单元</t>
  </si>
  <si>
    <t>302号</t>
  </si>
  <si>
    <t>北京泰跃房地产开发有限责任公司</t>
  </si>
  <si>
    <t>二室二厅二卫一厨</t>
  </si>
  <si>
    <t>三</t>
  </si>
  <si>
    <t>2002-3-D1-05067</t>
  </si>
  <si>
    <t>073602</t>
  </si>
  <si>
    <t>北京市海淀区太月园小区1号楼</t>
  </si>
  <si>
    <t>1100001505041（1-1）</t>
  </si>
  <si>
    <t>刘军</t>
  </si>
  <si>
    <t>2002-22-P-07919</t>
    <phoneticPr fontId="5" type="noConversion"/>
  </si>
  <si>
    <t>杨玉兰</t>
    <phoneticPr fontId="5" type="noConversion"/>
  </si>
  <si>
    <t>110108510304008</t>
    <phoneticPr fontId="5" type="noConversion"/>
  </si>
  <si>
    <t>清河镇危改小区</t>
    <phoneticPr fontId="5" type="noConversion"/>
  </si>
  <si>
    <t>18#楼</t>
    <phoneticPr fontId="5" type="noConversion"/>
  </si>
  <si>
    <t>2010号</t>
    <phoneticPr fontId="5" type="noConversion"/>
  </si>
  <si>
    <t>北京紫都房地产开发有限公司</t>
    <phoneticPr fontId="5" type="noConversion"/>
  </si>
  <si>
    <t>基础</t>
    <phoneticPr fontId="5" type="noConversion"/>
  </si>
  <si>
    <t>2002-3-D1-05283</t>
    <phoneticPr fontId="5" type="noConversion"/>
  </si>
  <si>
    <t>263326</t>
    <phoneticPr fontId="5" type="noConversion"/>
  </si>
  <si>
    <t>北京市房山区良乡凯旋大街建设路18号</t>
    <phoneticPr fontId="5" type="noConversion"/>
  </si>
  <si>
    <t>1101111131210（1-1）</t>
    <phoneticPr fontId="5" type="noConversion"/>
  </si>
  <si>
    <t>刘景莉</t>
    <phoneticPr fontId="5" type="noConversion"/>
  </si>
  <si>
    <t>合同特定编号</t>
    <phoneticPr fontId="5" type="noConversion"/>
  </si>
  <si>
    <t>2002-22-P-07920</t>
    <phoneticPr fontId="5" type="noConversion"/>
  </si>
  <si>
    <t>李海燕</t>
    <phoneticPr fontId="5" type="noConversion"/>
  </si>
  <si>
    <t>110108631114142</t>
    <phoneticPr fontId="5" type="noConversion"/>
  </si>
  <si>
    <t>13661284066</t>
    <phoneticPr fontId="5" type="noConversion"/>
  </si>
  <si>
    <t>海淀区</t>
    <phoneticPr fontId="5" type="noConversion"/>
  </si>
  <si>
    <t>19#楼</t>
    <phoneticPr fontId="5" type="noConversion"/>
  </si>
  <si>
    <t>605号</t>
    <phoneticPr fontId="5" type="noConversion"/>
  </si>
  <si>
    <t>北京紫都房地产开发有限公司</t>
    <phoneticPr fontId="5" type="noConversion"/>
  </si>
  <si>
    <t>四室一厅二卫一厨</t>
    <phoneticPr fontId="5" type="noConversion"/>
  </si>
  <si>
    <t>四</t>
    <phoneticPr fontId="5" type="noConversion"/>
  </si>
  <si>
    <t>2002-3-D1-05284</t>
    <phoneticPr fontId="5" type="noConversion"/>
  </si>
  <si>
    <t>北京市房山区良乡凯旋大街建设路18号</t>
    <phoneticPr fontId="5" type="noConversion"/>
  </si>
  <si>
    <t>1101111131210（1-1）</t>
    <phoneticPr fontId="5" type="noConversion"/>
  </si>
  <si>
    <t>刘景莉</t>
    <phoneticPr fontId="5" type="noConversion"/>
  </si>
  <si>
    <t>2002-22-P-07922</t>
    <phoneticPr fontId="5" type="noConversion"/>
  </si>
  <si>
    <t>胡满旗</t>
    <phoneticPr fontId="5" type="noConversion"/>
  </si>
  <si>
    <t>110108650805187</t>
    <phoneticPr fontId="5" type="noConversion"/>
  </si>
  <si>
    <t>13001230067</t>
    <phoneticPr fontId="5" type="noConversion"/>
  </si>
  <si>
    <t>702号</t>
    <phoneticPr fontId="5" type="noConversion"/>
  </si>
  <si>
    <t>二室一厅二卫一厨</t>
    <phoneticPr fontId="5" type="noConversion"/>
  </si>
  <si>
    <t>2002-3-D1-05286</t>
    <phoneticPr fontId="5" type="noConversion"/>
  </si>
  <si>
    <t>263966</t>
    <phoneticPr fontId="5" type="noConversion"/>
  </si>
  <si>
    <t>北京市房山区良乡凯旋大街建设路18号</t>
    <phoneticPr fontId="5" type="noConversion"/>
  </si>
  <si>
    <t>刘景莉</t>
    <phoneticPr fontId="5" type="noConversion"/>
  </si>
  <si>
    <t>合同特定编号</t>
    <phoneticPr fontId="5" type="noConversion"/>
  </si>
  <si>
    <t>2002-22-P-07923</t>
    <phoneticPr fontId="5" type="noConversion"/>
  </si>
  <si>
    <t>肖燕鸣</t>
    <phoneticPr fontId="5" type="noConversion"/>
  </si>
  <si>
    <t>110108580709182</t>
    <phoneticPr fontId="5" type="noConversion"/>
  </si>
  <si>
    <t>13910611579</t>
    <phoneticPr fontId="5" type="noConversion"/>
  </si>
  <si>
    <t>19#楼</t>
    <phoneticPr fontId="5" type="noConversion"/>
  </si>
  <si>
    <t>612号</t>
    <phoneticPr fontId="5" type="noConversion"/>
  </si>
  <si>
    <t>一室一厅一卫一厨</t>
    <phoneticPr fontId="5" type="noConversion"/>
  </si>
  <si>
    <t>二</t>
    <phoneticPr fontId="5" type="noConversion"/>
  </si>
  <si>
    <t>2002-3-D1-05287</t>
    <phoneticPr fontId="5" type="noConversion"/>
  </si>
  <si>
    <t>北京紫都房地产开发有限公司</t>
    <phoneticPr fontId="5" type="noConversion"/>
  </si>
  <si>
    <t>2002-22-P-07924</t>
    <phoneticPr fontId="5" type="noConversion"/>
  </si>
  <si>
    <t>张植荣</t>
    <phoneticPr fontId="5" type="noConversion"/>
  </si>
  <si>
    <t>110108640910189</t>
    <phoneticPr fontId="5" type="noConversion"/>
  </si>
  <si>
    <t>1210号</t>
    <phoneticPr fontId="5" type="noConversion"/>
  </si>
  <si>
    <t>北京市住房资金管理中心北京大学分中心</t>
    <phoneticPr fontId="5" type="noConversion"/>
  </si>
  <si>
    <t>基础</t>
    <phoneticPr fontId="5" type="noConversion"/>
  </si>
  <si>
    <t>二</t>
    <phoneticPr fontId="5" type="noConversion"/>
  </si>
  <si>
    <t>2002-3-D1-05288</t>
    <phoneticPr fontId="5" type="noConversion"/>
  </si>
  <si>
    <t>263959</t>
    <phoneticPr fontId="5" type="noConversion"/>
  </si>
  <si>
    <t>1101111131210（1-1）</t>
    <phoneticPr fontId="5" type="noConversion"/>
  </si>
  <si>
    <t>2002-22-P-07925</t>
    <phoneticPr fontId="5" type="noConversion"/>
  </si>
  <si>
    <t>汪东生</t>
    <phoneticPr fontId="5" type="noConversion"/>
  </si>
  <si>
    <t>110108681117141</t>
    <phoneticPr fontId="5" type="noConversion"/>
  </si>
  <si>
    <t>13910131917</t>
    <phoneticPr fontId="5" type="noConversion"/>
  </si>
  <si>
    <t>清河镇危改小区</t>
    <phoneticPr fontId="5" type="noConversion"/>
  </si>
  <si>
    <t>803号</t>
    <phoneticPr fontId="5" type="noConversion"/>
  </si>
  <si>
    <t>基础</t>
    <phoneticPr fontId="5" type="noConversion"/>
  </si>
  <si>
    <t>2002-3-D1-05289</t>
    <phoneticPr fontId="5" type="noConversion"/>
  </si>
  <si>
    <t>2002-22-P-07926</t>
    <phoneticPr fontId="5" type="noConversion"/>
  </si>
  <si>
    <t>钱海虹</t>
    <phoneticPr fontId="5" type="noConversion"/>
  </si>
  <si>
    <t>110108711028492</t>
    <phoneticPr fontId="5" type="noConversion"/>
  </si>
  <si>
    <t>1104号</t>
    <phoneticPr fontId="5" type="noConversion"/>
  </si>
  <si>
    <t>四室二厅二卫一厨</t>
    <phoneticPr fontId="5" type="noConversion"/>
  </si>
  <si>
    <t>2002-3-D1-05290</t>
    <phoneticPr fontId="5" type="noConversion"/>
  </si>
  <si>
    <t>263961</t>
    <phoneticPr fontId="5" type="noConversion"/>
  </si>
  <si>
    <t>2002-22-P-07927</t>
    <phoneticPr fontId="5" type="noConversion"/>
  </si>
  <si>
    <t>杨强</t>
    <phoneticPr fontId="5" type="noConversion"/>
  </si>
  <si>
    <t>110108640415891</t>
    <phoneticPr fontId="5" type="noConversion"/>
  </si>
  <si>
    <t>62788553</t>
    <phoneticPr fontId="5" type="noConversion"/>
  </si>
  <si>
    <t>清河镇危改小区</t>
    <phoneticPr fontId="5" type="noConversion"/>
  </si>
  <si>
    <t>19#楼</t>
    <phoneticPr fontId="5" type="noConversion"/>
  </si>
  <si>
    <t>804号</t>
    <phoneticPr fontId="5" type="noConversion"/>
  </si>
  <si>
    <t>2002-3-D1-05291</t>
    <phoneticPr fontId="5" type="noConversion"/>
  </si>
  <si>
    <t>2002-22-P-07930</t>
    <phoneticPr fontId="5" type="noConversion"/>
  </si>
  <si>
    <t>高秀文</t>
    <phoneticPr fontId="5" type="noConversion"/>
  </si>
  <si>
    <t>110108196408211821</t>
    <phoneticPr fontId="5" type="noConversion"/>
  </si>
  <si>
    <t>13910699068</t>
    <phoneticPr fontId="5" type="noConversion"/>
  </si>
  <si>
    <t>1411号</t>
    <phoneticPr fontId="5" type="noConversion"/>
  </si>
  <si>
    <t>2002-3-D1-05311</t>
    <phoneticPr fontId="5" type="noConversion"/>
  </si>
  <si>
    <t>预售</t>
    <phoneticPr fontId="5" type="noConversion"/>
  </si>
  <si>
    <t>2002-22-P-07932</t>
    <phoneticPr fontId="5" type="noConversion"/>
  </si>
  <si>
    <t>王雪芹</t>
    <phoneticPr fontId="5" type="noConversion"/>
  </si>
  <si>
    <t>130204750706212</t>
    <phoneticPr fontId="5" type="noConversion"/>
  </si>
  <si>
    <t>19#楼</t>
  </si>
  <si>
    <t>1803号</t>
    <phoneticPr fontId="5" type="noConversion"/>
  </si>
  <si>
    <t>2002-3-D1-05313</t>
    <phoneticPr fontId="5" type="noConversion"/>
  </si>
  <si>
    <t>264800</t>
    <phoneticPr fontId="5" type="noConversion"/>
  </si>
  <si>
    <t>2002-22-P-07933</t>
    <phoneticPr fontId="5" type="noConversion"/>
  </si>
  <si>
    <t>汪家道</t>
    <phoneticPr fontId="5" type="noConversion"/>
  </si>
  <si>
    <t>342626711106413</t>
    <phoneticPr fontId="5" type="noConversion"/>
  </si>
  <si>
    <t>706号</t>
    <phoneticPr fontId="5" type="noConversion"/>
  </si>
  <si>
    <t>2002-3-D1-05314</t>
    <phoneticPr fontId="5" type="noConversion"/>
  </si>
  <si>
    <t>263972</t>
    <phoneticPr fontId="5" type="noConversion"/>
  </si>
  <si>
    <t>2002-22-P-07934</t>
    <phoneticPr fontId="5" type="noConversion"/>
  </si>
  <si>
    <t>曾旭红</t>
    <phoneticPr fontId="5" type="noConversion"/>
  </si>
  <si>
    <t>110108197411041821</t>
    <phoneticPr fontId="5" type="noConversion"/>
  </si>
  <si>
    <t>62750937</t>
    <phoneticPr fontId="5" type="noConversion"/>
  </si>
  <si>
    <t>1208号</t>
    <phoneticPr fontId="5" type="noConversion"/>
  </si>
  <si>
    <t>四室二厅二卫一厨</t>
    <phoneticPr fontId="5" type="noConversion"/>
  </si>
  <si>
    <t>2002-3-D1-05315</t>
    <phoneticPr fontId="5" type="noConversion"/>
  </si>
  <si>
    <t>2002-22-P-07935</t>
    <phoneticPr fontId="5" type="noConversion"/>
  </si>
  <si>
    <t>叶静怡</t>
    <phoneticPr fontId="5" type="noConversion"/>
  </si>
  <si>
    <t>110108550108182</t>
    <phoneticPr fontId="5" type="noConversion"/>
  </si>
  <si>
    <t>18#楼</t>
    <phoneticPr fontId="5" type="noConversion"/>
  </si>
  <si>
    <t>504号</t>
    <phoneticPr fontId="5" type="noConversion"/>
  </si>
  <si>
    <t>2002-3-D1-05316</t>
    <phoneticPr fontId="5" type="noConversion"/>
  </si>
  <si>
    <t>263335</t>
    <phoneticPr fontId="5" type="noConversion"/>
  </si>
  <si>
    <t>2002-22-P-07970</t>
    <phoneticPr fontId="5" type="noConversion"/>
  </si>
  <si>
    <t>叶炜</t>
    <phoneticPr fontId="5" type="noConversion"/>
  </si>
  <si>
    <t>110107711030211</t>
    <phoneticPr fontId="5" type="noConversion"/>
  </si>
  <si>
    <t>13520282839</t>
    <phoneticPr fontId="5" type="noConversion"/>
  </si>
  <si>
    <t>1211号</t>
    <phoneticPr fontId="5" type="noConversion"/>
  </si>
  <si>
    <t>2002-3-D1-05340</t>
    <phoneticPr fontId="5" type="noConversion"/>
  </si>
  <si>
    <t>2002-22-P-07971</t>
    <phoneticPr fontId="5" type="noConversion"/>
  </si>
  <si>
    <t>敖红媛</t>
    <phoneticPr fontId="5" type="noConversion"/>
  </si>
  <si>
    <t>110108700917002</t>
    <phoneticPr fontId="5" type="noConversion"/>
  </si>
  <si>
    <t>62752261</t>
    <phoneticPr fontId="5" type="noConversion"/>
  </si>
  <si>
    <t>402号</t>
    <phoneticPr fontId="5" type="noConversion"/>
  </si>
  <si>
    <t>二室一厅二卫一厨</t>
    <phoneticPr fontId="5" type="noConversion"/>
  </si>
  <si>
    <t>2002-3-D1-05241</t>
    <phoneticPr fontId="5" type="noConversion"/>
  </si>
  <si>
    <t>263960</t>
    <phoneticPr fontId="5" type="noConversion"/>
  </si>
  <si>
    <t>2002-22-P-07972</t>
    <phoneticPr fontId="5" type="noConversion"/>
  </si>
  <si>
    <t>高素琴</t>
    <phoneticPr fontId="5" type="noConversion"/>
  </si>
  <si>
    <t>110108600414222</t>
    <phoneticPr fontId="5" type="noConversion"/>
  </si>
  <si>
    <t>13661306976</t>
    <phoneticPr fontId="5" type="noConversion"/>
  </si>
  <si>
    <t>18#楼</t>
    <phoneticPr fontId="5" type="noConversion"/>
  </si>
  <si>
    <t>606号</t>
    <phoneticPr fontId="5" type="noConversion"/>
  </si>
  <si>
    <t>2002-3-D1-05342</t>
    <phoneticPr fontId="5" type="noConversion"/>
  </si>
  <si>
    <t>263956</t>
    <phoneticPr fontId="5" type="noConversion"/>
  </si>
  <si>
    <t>2002-22-P-07973</t>
    <phoneticPr fontId="5" type="noConversion"/>
  </si>
  <si>
    <t>万平</t>
    <phoneticPr fontId="5" type="noConversion"/>
  </si>
  <si>
    <t>350102670317048</t>
    <phoneticPr fontId="5" type="noConversion"/>
  </si>
  <si>
    <t>13801279375</t>
    <phoneticPr fontId="5" type="noConversion"/>
  </si>
  <si>
    <t>703号</t>
    <phoneticPr fontId="5" type="noConversion"/>
  </si>
  <si>
    <t>2002-3-D1-05343</t>
    <phoneticPr fontId="5" type="noConversion"/>
  </si>
  <si>
    <t>263965</t>
    <phoneticPr fontId="5" type="noConversion"/>
  </si>
  <si>
    <t>2002-22-P-07974</t>
    <phoneticPr fontId="5" type="noConversion"/>
  </si>
  <si>
    <t>甘学温</t>
    <phoneticPr fontId="5" type="noConversion"/>
  </si>
  <si>
    <t>110108441203142</t>
    <phoneticPr fontId="5" type="noConversion"/>
  </si>
  <si>
    <t>62761099</t>
    <phoneticPr fontId="5" type="noConversion"/>
  </si>
  <si>
    <t>1302号</t>
    <phoneticPr fontId="5" type="noConversion"/>
  </si>
  <si>
    <t>2002-3-D1-05344</t>
    <phoneticPr fontId="5" type="noConversion"/>
  </si>
  <si>
    <t>宋宇</t>
    <phoneticPr fontId="5" type="noConversion"/>
  </si>
  <si>
    <t>2002-22-P-07975</t>
    <phoneticPr fontId="5" type="noConversion"/>
  </si>
  <si>
    <t>刘勇</t>
    <phoneticPr fontId="5" type="noConversion"/>
  </si>
  <si>
    <t>110108197212100059</t>
    <phoneticPr fontId="5" type="noConversion"/>
  </si>
  <si>
    <t>609号</t>
    <phoneticPr fontId="5" type="noConversion"/>
  </si>
  <si>
    <t>2002-3-D1-05345</t>
    <phoneticPr fontId="5" type="noConversion"/>
  </si>
  <si>
    <t>263967</t>
    <phoneticPr fontId="5" type="noConversion"/>
  </si>
  <si>
    <t>2002-22-P-07976</t>
    <phoneticPr fontId="5" type="noConversion"/>
  </si>
  <si>
    <t>张剑</t>
    <phoneticPr fontId="5" type="noConversion"/>
  </si>
  <si>
    <t>110108197602261456</t>
    <phoneticPr fontId="5" type="noConversion"/>
  </si>
  <si>
    <t>13910525756</t>
    <phoneticPr fontId="5" type="noConversion"/>
  </si>
  <si>
    <t>710号</t>
    <phoneticPr fontId="5" type="noConversion"/>
  </si>
  <si>
    <t>2002-3-D1-05346</t>
    <phoneticPr fontId="5" type="noConversion"/>
  </si>
  <si>
    <t>263963</t>
    <phoneticPr fontId="5" type="noConversion"/>
  </si>
  <si>
    <t>2002-22-P-07977</t>
    <phoneticPr fontId="5" type="noConversion"/>
  </si>
  <si>
    <t>张广祥</t>
    <phoneticPr fontId="5" type="noConversion"/>
  </si>
  <si>
    <t>110109451214093</t>
    <phoneticPr fontId="5" type="noConversion"/>
  </si>
  <si>
    <t>1810号</t>
    <phoneticPr fontId="5" type="noConversion"/>
  </si>
  <si>
    <t>2002-3-D1-05347</t>
    <phoneticPr fontId="5" type="noConversion"/>
  </si>
  <si>
    <t>264786</t>
    <phoneticPr fontId="5" type="noConversion"/>
  </si>
  <si>
    <t>2002-22-P-07978</t>
    <phoneticPr fontId="5" type="noConversion"/>
  </si>
  <si>
    <t>陆子平</t>
    <phoneticPr fontId="5" type="noConversion"/>
  </si>
  <si>
    <t>110108520916183</t>
    <phoneticPr fontId="5" type="noConversion"/>
  </si>
  <si>
    <t>13683251756</t>
    <phoneticPr fontId="5" type="noConversion"/>
  </si>
  <si>
    <t>602号</t>
    <phoneticPr fontId="5" type="noConversion"/>
  </si>
  <si>
    <t>2002-3-D1-05348</t>
    <phoneticPr fontId="5" type="noConversion"/>
  </si>
  <si>
    <t>裴蓓</t>
    <phoneticPr fontId="5" type="noConversion"/>
  </si>
  <si>
    <t>2002-22-P-07979</t>
    <phoneticPr fontId="5" type="noConversion"/>
  </si>
  <si>
    <t>王汉琴</t>
    <phoneticPr fontId="5" type="noConversion"/>
  </si>
  <si>
    <t>110102561227118</t>
    <phoneticPr fontId="5" type="noConversion"/>
  </si>
  <si>
    <t>13701339703</t>
    <phoneticPr fontId="5" type="noConversion"/>
  </si>
  <si>
    <t>1602号</t>
    <phoneticPr fontId="5" type="noConversion"/>
  </si>
  <si>
    <t>2002-3-D1-05349</t>
    <phoneticPr fontId="5" type="noConversion"/>
  </si>
  <si>
    <t>2002-22-P-07980</t>
    <phoneticPr fontId="5" type="noConversion"/>
  </si>
  <si>
    <t>崔立农</t>
    <phoneticPr fontId="5" type="noConversion"/>
  </si>
  <si>
    <t>110108610131181</t>
    <phoneticPr fontId="5" type="noConversion"/>
  </si>
  <si>
    <t>704号</t>
    <phoneticPr fontId="5" type="noConversion"/>
  </si>
  <si>
    <t>2002-3-D1-05350</t>
    <phoneticPr fontId="5" type="noConversion"/>
  </si>
  <si>
    <t>264751</t>
    <phoneticPr fontId="5" type="noConversion"/>
  </si>
  <si>
    <t>2002-22-P-07981</t>
    <phoneticPr fontId="5" type="noConversion"/>
  </si>
  <si>
    <t>宗宝利</t>
    <phoneticPr fontId="5" type="noConversion"/>
  </si>
  <si>
    <t>110108650104185</t>
    <phoneticPr fontId="5" type="noConversion"/>
  </si>
  <si>
    <t>13801299608</t>
    <phoneticPr fontId="5" type="noConversion"/>
  </si>
  <si>
    <t>1002号</t>
    <phoneticPr fontId="5" type="noConversion"/>
  </si>
  <si>
    <t>2002-3-D1-05351</t>
    <phoneticPr fontId="5" type="noConversion"/>
  </si>
  <si>
    <t>2002-22-P-07982</t>
    <phoneticPr fontId="5" type="noConversion"/>
  </si>
  <si>
    <t>王丽花</t>
    <phoneticPr fontId="5" type="noConversion"/>
  </si>
  <si>
    <t>110108640326184</t>
    <phoneticPr fontId="5" type="noConversion"/>
  </si>
  <si>
    <t>1402号</t>
    <phoneticPr fontId="5" type="noConversion"/>
  </si>
  <si>
    <t>2002-3-D1-05352</t>
    <phoneticPr fontId="5" type="noConversion"/>
  </si>
  <si>
    <t>263957</t>
    <phoneticPr fontId="5" type="noConversion"/>
  </si>
  <si>
    <t>2002-22-P-07985</t>
    <phoneticPr fontId="5" type="noConversion"/>
  </si>
  <si>
    <t>邹明芳</t>
    <phoneticPr fontId="5" type="noConversion"/>
  </si>
  <si>
    <t>110224750625004</t>
    <phoneticPr fontId="5" type="noConversion"/>
  </si>
  <si>
    <t>13301397497</t>
    <phoneticPr fontId="5" type="noConversion"/>
  </si>
  <si>
    <t>清河永泰庄甲19号怡清园</t>
  </si>
  <si>
    <t>3幢</t>
    <phoneticPr fontId="5" type="noConversion"/>
  </si>
  <si>
    <t>19单元</t>
    <phoneticPr fontId="5" type="noConversion"/>
  </si>
  <si>
    <t>201D号</t>
    <phoneticPr fontId="5" type="noConversion"/>
  </si>
  <si>
    <t>北京建雄房地产开发有限责任公司</t>
  </si>
  <si>
    <t>基本完工</t>
    <phoneticPr fontId="5" type="noConversion"/>
  </si>
  <si>
    <t>67641700</t>
  </si>
  <si>
    <t>201431</t>
    <phoneticPr fontId="5" type="noConversion"/>
  </si>
  <si>
    <t>北京市延庆县京张路口东商业开发区</t>
  </si>
  <si>
    <t>1102291127181（1-1）</t>
  </si>
  <si>
    <t>王红喜</t>
  </si>
  <si>
    <t>2002-22-P-07986</t>
    <phoneticPr fontId="5" type="noConversion"/>
  </si>
  <si>
    <t>邵凤廷、邵宾</t>
    <phoneticPr fontId="5" type="noConversion"/>
  </si>
  <si>
    <t>110101430622153、110101197008281548</t>
    <phoneticPr fontId="5" type="noConversion"/>
  </si>
  <si>
    <t>13701174323</t>
    <phoneticPr fontId="5" type="noConversion"/>
  </si>
  <si>
    <t>11幢</t>
    <phoneticPr fontId="5" type="noConversion"/>
  </si>
  <si>
    <t>102号</t>
    <phoneticPr fontId="5" type="noConversion"/>
  </si>
  <si>
    <t>北京枫丹丽舍房地产开发有限公司</t>
  </si>
  <si>
    <t>三室二厅二卫一厨</t>
    <phoneticPr fontId="5" type="noConversion"/>
  </si>
  <si>
    <t>北京市住房资金管理中心外企分中心</t>
    <phoneticPr fontId="5" type="noConversion"/>
  </si>
  <si>
    <t>北京市海淀区德外西三旗建材城中路3号</t>
  </si>
  <si>
    <t>企作京总字第016366号</t>
  </si>
  <si>
    <t>姜红宇</t>
  </si>
  <si>
    <t>2003-21-P-00002</t>
  </si>
  <si>
    <t>齐铂金</t>
  </si>
  <si>
    <t>110108631030895</t>
  </si>
  <si>
    <t>13910688269</t>
  </si>
  <si>
    <t>窑洼村双泉堡住宅小区</t>
  </si>
  <si>
    <t>4幢</t>
  </si>
  <si>
    <t>201号</t>
  </si>
  <si>
    <t>北京寅丰房地产开发有限责任公司</t>
  </si>
  <si>
    <t>四室二厅二卫一厨</t>
  </si>
  <si>
    <t>133748</t>
  </si>
  <si>
    <t>北京市平谷县马昌营镇马天路北侧</t>
  </si>
  <si>
    <t>王吉顺</t>
  </si>
  <si>
    <t>2003-21-P-00009-M</t>
    <phoneticPr fontId="5" type="noConversion"/>
  </si>
  <si>
    <t>袁喆颖</t>
    <phoneticPr fontId="5" type="noConversion"/>
  </si>
  <si>
    <t>120105197302221842</t>
    <phoneticPr fontId="5" type="noConversion"/>
  </si>
  <si>
    <t>13910415322</t>
    <phoneticPr fontId="5" type="noConversion"/>
  </si>
  <si>
    <t>东升乡八家新村逸成东苑</t>
    <phoneticPr fontId="5" type="noConversion"/>
  </si>
  <si>
    <t>B3座</t>
    <phoneticPr fontId="5" type="noConversion"/>
  </si>
  <si>
    <t>2单元</t>
    <phoneticPr fontId="5" type="noConversion"/>
  </si>
  <si>
    <t>1102号</t>
    <phoneticPr fontId="5" type="noConversion"/>
  </si>
  <si>
    <t>二室二厅二卫一厨</t>
    <phoneticPr fontId="5" type="noConversion"/>
  </si>
  <si>
    <t>232583</t>
    <phoneticPr fontId="5" type="noConversion"/>
  </si>
  <si>
    <t>北京市太月园小区1号楼</t>
    <phoneticPr fontId="5" type="noConversion"/>
  </si>
  <si>
    <t>1100001505041（1-1）</t>
    <phoneticPr fontId="5" type="noConversion"/>
  </si>
  <si>
    <t>2003-21-P-00012</t>
  </si>
  <si>
    <t>李纲</t>
  </si>
  <si>
    <t>11幢</t>
  </si>
  <si>
    <t>4单元</t>
  </si>
  <si>
    <t>102号</t>
  </si>
  <si>
    <t>三室二厅二卫一厨</t>
  </si>
  <si>
    <t>北京市住房资金管理中心外企分中心</t>
  </si>
  <si>
    <t>245863</t>
  </si>
  <si>
    <t>2003-21-P-00016-M</t>
    <phoneticPr fontId="5" type="noConversion"/>
  </si>
  <si>
    <t>王建莹</t>
    <phoneticPr fontId="5" type="noConversion"/>
  </si>
  <si>
    <t>140104690408135</t>
    <phoneticPr fontId="5" type="noConversion"/>
  </si>
  <si>
    <t>13301111631</t>
    <phoneticPr fontId="5" type="noConversion"/>
  </si>
  <si>
    <t>B3座</t>
    <phoneticPr fontId="5" type="noConversion"/>
  </si>
  <si>
    <t>6单元</t>
    <phoneticPr fontId="5" type="noConversion"/>
  </si>
  <si>
    <t>201号</t>
    <phoneticPr fontId="5" type="noConversion"/>
  </si>
  <si>
    <t>北京市住房资金管理中心海淀区分中心</t>
    <phoneticPr fontId="5" type="noConversion"/>
  </si>
  <si>
    <t>234155</t>
    <phoneticPr fontId="5" type="noConversion"/>
  </si>
  <si>
    <t>李宏</t>
    <phoneticPr fontId="5" type="noConversion"/>
  </si>
  <si>
    <t>2003-21-P-00017</t>
  </si>
  <si>
    <t>陈奕</t>
  </si>
  <si>
    <t>21幢</t>
  </si>
  <si>
    <t>2单元</t>
  </si>
  <si>
    <t>北京市住房资金管理中心市文教办分中心</t>
  </si>
  <si>
    <t>252152</t>
  </si>
  <si>
    <t>2003-21-P-00018</t>
  </si>
  <si>
    <t>毛钰鲲</t>
  </si>
  <si>
    <t>110108760123633</t>
  </si>
  <si>
    <t>清河(清缘里中区W17#住宅楼）清缘里小区</t>
  </si>
  <si>
    <t>W17幢</t>
  </si>
  <si>
    <t>6层</t>
  </si>
  <si>
    <t>601号</t>
  </si>
  <si>
    <t>北京市恒泰房地产开发有限责任公司</t>
  </si>
  <si>
    <t>二室一厅一卫一厨</t>
  </si>
  <si>
    <t>北京市住房资金管理中心市公交总公司分中心</t>
  </si>
  <si>
    <t>内外装修</t>
  </si>
  <si>
    <t>190076</t>
  </si>
  <si>
    <t>北京市西城区大红罗厂街丙2号</t>
  </si>
  <si>
    <t>张世平</t>
  </si>
  <si>
    <t>2003-21-P-00020-M</t>
    <phoneticPr fontId="5" type="noConversion"/>
  </si>
  <si>
    <t>王义青</t>
    <phoneticPr fontId="5" type="noConversion"/>
  </si>
  <si>
    <t>110108570213684</t>
    <phoneticPr fontId="5" type="noConversion"/>
  </si>
  <si>
    <t>62589017</t>
    <phoneticPr fontId="5" type="noConversion"/>
  </si>
  <si>
    <t>B7座</t>
    <phoneticPr fontId="5" type="noConversion"/>
  </si>
  <si>
    <t>4单元</t>
    <phoneticPr fontId="5" type="noConversion"/>
  </si>
  <si>
    <t>301号</t>
    <phoneticPr fontId="5" type="noConversion"/>
  </si>
  <si>
    <t>二室二厅二卫一厨</t>
    <phoneticPr fontId="5" type="noConversion"/>
  </si>
  <si>
    <t>北京市住房资金管理中心海淀区分中心</t>
    <phoneticPr fontId="5" type="noConversion"/>
  </si>
  <si>
    <t>吴薇</t>
    <phoneticPr fontId="5" type="noConversion"/>
  </si>
  <si>
    <t>N</t>
    <phoneticPr fontId="5" type="noConversion"/>
  </si>
  <si>
    <t>037977</t>
    <phoneticPr fontId="5" type="noConversion"/>
  </si>
  <si>
    <t>北京市海淀区太月园小区1号楼</t>
    <phoneticPr fontId="5" type="noConversion"/>
  </si>
  <si>
    <t>刘军</t>
    <phoneticPr fontId="5" type="noConversion"/>
  </si>
  <si>
    <t>2003-21-P-00038</t>
    <phoneticPr fontId="5" type="noConversion"/>
  </si>
  <si>
    <t>陈英</t>
    <phoneticPr fontId="5" type="noConversion"/>
  </si>
  <si>
    <t>110107671113002</t>
    <phoneticPr fontId="5" type="noConversion"/>
  </si>
  <si>
    <t>64418550</t>
    <phoneticPr fontId="5" type="noConversion"/>
  </si>
  <si>
    <t>24幢</t>
    <phoneticPr fontId="5" type="noConversion"/>
  </si>
  <si>
    <t>2003-21-P-00040</t>
    <phoneticPr fontId="5" type="noConversion"/>
  </si>
  <si>
    <t>史荣</t>
    <phoneticPr fontId="5" type="noConversion"/>
  </si>
  <si>
    <t>110102781112246</t>
    <phoneticPr fontId="5" type="noConversion"/>
  </si>
  <si>
    <t>13601339900</t>
    <phoneticPr fontId="5" type="noConversion"/>
  </si>
  <si>
    <t>五棵松路20号美丽园</t>
    <phoneticPr fontId="5" type="noConversion"/>
  </si>
  <si>
    <t>22幢</t>
    <phoneticPr fontId="5" type="noConversion"/>
  </si>
  <si>
    <t>501号</t>
    <phoneticPr fontId="5" type="noConversion"/>
  </si>
  <si>
    <t>北京东方鸿铭房地产开发有限公司</t>
    <phoneticPr fontId="5" type="noConversion"/>
  </si>
  <si>
    <t>现房</t>
    <phoneticPr fontId="5" type="noConversion"/>
  </si>
  <si>
    <t>合同</t>
    <phoneticPr fontId="5" type="noConversion"/>
  </si>
  <si>
    <t>242078</t>
    <phoneticPr fontId="5" type="noConversion"/>
  </si>
  <si>
    <t>北京市房山区良乡凯旋大街建设路10号</t>
    <phoneticPr fontId="5" type="noConversion"/>
  </si>
  <si>
    <t>马宗林</t>
    <phoneticPr fontId="5" type="noConversion"/>
  </si>
  <si>
    <t>2003-21-P-00071</t>
    <phoneticPr fontId="5" type="noConversion"/>
  </si>
  <si>
    <t>刘炜</t>
    <phoneticPr fontId="5" type="noConversion"/>
  </si>
  <si>
    <t>522101740829761</t>
    <phoneticPr fontId="5" type="noConversion"/>
  </si>
  <si>
    <t>13910843350</t>
    <phoneticPr fontId="5" type="noConversion"/>
  </si>
  <si>
    <t>铁家坟泽丰苑</t>
    <phoneticPr fontId="5" type="noConversion"/>
  </si>
  <si>
    <t>四幢</t>
    <phoneticPr fontId="5" type="noConversion"/>
  </si>
  <si>
    <t>五单元</t>
    <phoneticPr fontId="5" type="noConversion"/>
  </si>
  <si>
    <t>402号</t>
    <phoneticPr fontId="5" type="noConversion"/>
  </si>
  <si>
    <t>北京泽丰房地产开发有限公司</t>
    <phoneticPr fontId="5" type="noConversion"/>
  </si>
  <si>
    <t>三室一厅二卫一厨</t>
    <phoneticPr fontId="5" type="noConversion"/>
  </si>
  <si>
    <t>北京市住房资金管理中心中国长峰机电技术研究设计院分中心</t>
    <phoneticPr fontId="5" type="noConversion"/>
  </si>
  <si>
    <t>261047</t>
    <phoneticPr fontId="5" type="noConversion"/>
  </si>
  <si>
    <t>北京泽丰房地产开发有限公司</t>
    <phoneticPr fontId="5" type="noConversion"/>
  </si>
  <si>
    <t>北京市通州区车站路10号</t>
    <phoneticPr fontId="5" type="noConversion"/>
  </si>
  <si>
    <t>1102232263797（1-1）</t>
    <phoneticPr fontId="5" type="noConversion"/>
  </si>
  <si>
    <t>曾捷</t>
    <phoneticPr fontId="5" type="noConversion"/>
  </si>
  <si>
    <t>2003-21-P-00075</t>
    <phoneticPr fontId="5" type="noConversion"/>
  </si>
  <si>
    <t>王澍丰</t>
    <phoneticPr fontId="5" type="noConversion"/>
  </si>
  <si>
    <t>120107197212311214</t>
    <phoneticPr fontId="5" type="noConversion"/>
  </si>
  <si>
    <t>13910031796</t>
    <phoneticPr fontId="5" type="noConversion"/>
  </si>
  <si>
    <t>西直门北大街41号天兆家园</t>
    <phoneticPr fontId="5" type="noConversion"/>
  </si>
  <si>
    <t>4幢</t>
    <phoneticPr fontId="5" type="noConversion"/>
  </si>
  <si>
    <t>B单元</t>
    <phoneticPr fontId="5" type="noConversion"/>
  </si>
  <si>
    <t>北京天缘兆业房地产开发有限公司</t>
    <phoneticPr fontId="5" type="noConversion"/>
  </si>
  <si>
    <t>242945</t>
    <phoneticPr fontId="5" type="noConversion"/>
  </si>
  <si>
    <r>
      <t>北京市怀柔县凤翔科技开发区</t>
    </r>
    <r>
      <rPr>
        <sz val="10"/>
        <rFont val="Times New Roman"/>
        <family val="1"/>
      </rPr>
      <t/>
    </r>
    <phoneticPr fontId="5" type="noConversion"/>
  </si>
  <si>
    <t>王志刚</t>
    <phoneticPr fontId="5" type="noConversion"/>
  </si>
  <si>
    <t>2003-21-P-00082</t>
    <phoneticPr fontId="5" type="noConversion"/>
  </si>
  <si>
    <t>侯霞</t>
    <phoneticPr fontId="5" type="noConversion"/>
  </si>
  <si>
    <t>110108630916374</t>
    <phoneticPr fontId="5" type="noConversion"/>
  </si>
  <si>
    <t>13681376531</t>
    <phoneticPr fontId="5" type="noConversion"/>
  </si>
  <si>
    <t>铁家坟泽丰苑</t>
    <phoneticPr fontId="5" type="noConversion"/>
  </si>
  <si>
    <t>一单元</t>
    <phoneticPr fontId="5" type="noConversion"/>
  </si>
  <si>
    <t>201号</t>
    <phoneticPr fontId="5" type="noConversion"/>
  </si>
  <si>
    <t>北京市住房资金管理中心中国长峰机电技术研究设计院分中心</t>
    <phoneticPr fontId="5" type="noConversion"/>
  </si>
  <si>
    <t>261076</t>
    <phoneticPr fontId="5" type="noConversion"/>
  </si>
  <si>
    <t>北京市通州区车站路10号</t>
    <phoneticPr fontId="5" type="noConversion"/>
  </si>
  <si>
    <t>1102232263797（1-1）</t>
    <phoneticPr fontId="5" type="noConversion"/>
  </si>
  <si>
    <t>曾捷</t>
    <phoneticPr fontId="5" type="noConversion"/>
  </si>
  <si>
    <t>2003-21-P-00094</t>
  </si>
  <si>
    <t>付江、冯欧</t>
    <phoneticPr fontId="5" type="noConversion"/>
  </si>
  <si>
    <t>110108561209471、110108590130472</t>
    <phoneticPr fontId="5" type="noConversion"/>
  </si>
  <si>
    <t>13601158628</t>
    <phoneticPr fontId="5" type="noConversion"/>
  </si>
  <si>
    <t>小关华直危改1#、2#楼都景苑</t>
  </si>
  <si>
    <t>1座</t>
  </si>
  <si>
    <t>9层</t>
    <phoneticPr fontId="5" type="noConversion"/>
  </si>
  <si>
    <t>04号</t>
    <phoneticPr fontId="5" type="noConversion"/>
  </si>
  <si>
    <t>北京市立元房地产开发有限责任公司</t>
  </si>
  <si>
    <t>北京市住房资金管理中心西城区分中心</t>
    <phoneticPr fontId="5" type="noConversion"/>
  </si>
  <si>
    <t>212276</t>
    <phoneticPr fontId="5" type="noConversion"/>
  </si>
  <si>
    <t>北京市海淀区双榆树榆苑公寓4号楼</t>
  </si>
  <si>
    <t>1100001504274(1-1)</t>
  </si>
  <si>
    <t>陈光荣</t>
  </si>
  <si>
    <t>2003-21-P-00099</t>
    <phoneticPr fontId="5" type="noConversion"/>
  </si>
  <si>
    <t>马亮朋</t>
    <phoneticPr fontId="5" type="noConversion"/>
  </si>
  <si>
    <t>411223197504165533</t>
    <phoneticPr fontId="5" type="noConversion"/>
  </si>
  <si>
    <t>8层</t>
    <phoneticPr fontId="5" type="noConversion"/>
  </si>
  <si>
    <t>814号</t>
    <phoneticPr fontId="5" type="noConversion"/>
  </si>
  <si>
    <t>基本完工</t>
    <phoneticPr fontId="5" type="noConversion"/>
  </si>
  <si>
    <t>11503851（2-2）</t>
  </si>
  <si>
    <t>2003-21-P-00102</t>
    <phoneticPr fontId="5" type="noConversion"/>
  </si>
  <si>
    <t>王桂英</t>
    <phoneticPr fontId="5" type="noConversion"/>
  </si>
  <si>
    <t>110108700817732</t>
    <phoneticPr fontId="5" type="noConversion"/>
  </si>
  <si>
    <t>82635653</t>
    <phoneticPr fontId="5" type="noConversion"/>
  </si>
  <si>
    <t>小清河北岸肖家河天秀花园</t>
    <phoneticPr fontId="5" type="noConversion"/>
  </si>
  <si>
    <t>安和园</t>
    <phoneticPr fontId="5" type="noConversion"/>
  </si>
  <si>
    <t>7#幢</t>
    <phoneticPr fontId="5" type="noConversion"/>
  </si>
  <si>
    <t>401号</t>
    <phoneticPr fontId="5" type="noConversion"/>
  </si>
  <si>
    <t>北京海开房地产集团公司</t>
    <phoneticPr fontId="5" type="noConversion"/>
  </si>
  <si>
    <t>三室一厅二卫一厨</t>
    <phoneticPr fontId="5" type="noConversion"/>
  </si>
  <si>
    <t>008998</t>
    <phoneticPr fontId="5" type="noConversion"/>
  </si>
  <si>
    <t>北京海开房地产集团公司</t>
    <phoneticPr fontId="5" type="noConversion"/>
  </si>
  <si>
    <t>北京市海淀区海淀南路21号</t>
    <phoneticPr fontId="5" type="noConversion"/>
  </si>
  <si>
    <t>1100001411957(1-1)</t>
    <phoneticPr fontId="5" type="noConversion"/>
  </si>
  <si>
    <t>杨建侯</t>
    <phoneticPr fontId="5" type="noConversion"/>
  </si>
  <si>
    <t>2003-21-P-00111</t>
    <phoneticPr fontId="5" type="noConversion"/>
  </si>
  <si>
    <t>刘兵</t>
    <phoneticPr fontId="5" type="noConversion"/>
  </si>
  <si>
    <t>110108197408066331</t>
    <phoneticPr fontId="5" type="noConversion"/>
  </si>
  <si>
    <t>13601365033</t>
    <phoneticPr fontId="5" type="noConversion"/>
  </si>
  <si>
    <t>西直门北大街41号天兆家园</t>
    <phoneticPr fontId="5" type="noConversion"/>
  </si>
  <si>
    <t>5幢</t>
    <phoneticPr fontId="5" type="noConversion"/>
  </si>
  <si>
    <t>B单元</t>
    <phoneticPr fontId="5" type="noConversion"/>
  </si>
  <si>
    <t>2201号</t>
    <phoneticPr fontId="5" type="noConversion"/>
  </si>
  <si>
    <t>北京天缘兆业房地产开发有限公司</t>
    <phoneticPr fontId="5" type="noConversion"/>
  </si>
  <si>
    <t>封顶</t>
    <phoneticPr fontId="5" type="noConversion"/>
  </si>
  <si>
    <t>254920</t>
    <phoneticPr fontId="5" type="noConversion"/>
  </si>
  <si>
    <t>北京天缘兆业房地产开发有限公司</t>
    <phoneticPr fontId="5" type="noConversion"/>
  </si>
  <si>
    <r>
      <t>北京市怀柔县凤翔科技开发区</t>
    </r>
    <r>
      <rPr>
        <sz val="10"/>
        <rFont val="Times New Roman"/>
        <family val="1"/>
      </rPr>
      <t/>
    </r>
    <phoneticPr fontId="5" type="noConversion"/>
  </si>
  <si>
    <t>2003-21-P-00117</t>
    <phoneticPr fontId="5" type="noConversion"/>
  </si>
  <si>
    <t>邢荣刚、毛莹</t>
    <phoneticPr fontId="5" type="noConversion"/>
  </si>
  <si>
    <t>110108700222377、110106710520274</t>
    <phoneticPr fontId="5" type="noConversion"/>
  </si>
  <si>
    <t>四幢</t>
    <phoneticPr fontId="5" type="noConversion"/>
  </si>
  <si>
    <t>四单元</t>
    <phoneticPr fontId="5" type="noConversion"/>
  </si>
  <si>
    <t>北京市通州区车站路10号</t>
    <phoneticPr fontId="5" type="noConversion"/>
  </si>
  <si>
    <t>1102232263797(1-1)</t>
    <phoneticPr fontId="5" type="noConversion"/>
  </si>
  <si>
    <t>合同特定编号、邮政编码</t>
    <phoneticPr fontId="5" type="noConversion"/>
  </si>
  <si>
    <t>2003-21-P-00120</t>
    <phoneticPr fontId="5" type="noConversion"/>
  </si>
  <si>
    <t>刘凯</t>
    <phoneticPr fontId="5" type="noConversion"/>
  </si>
  <si>
    <t>110102197312101915</t>
    <phoneticPr fontId="5" type="noConversion"/>
  </si>
  <si>
    <t>清缘里中区2#楼(W12）清缘里</t>
  </si>
  <si>
    <t>2幢</t>
  </si>
  <si>
    <t>2003-21-P-00121</t>
  </si>
  <si>
    <t>安钢</t>
    <phoneticPr fontId="5" type="noConversion"/>
  </si>
  <si>
    <t>110102600105082</t>
    <phoneticPr fontId="5" type="noConversion"/>
  </si>
  <si>
    <t>13051244063</t>
    <phoneticPr fontId="5" type="noConversion"/>
  </si>
  <si>
    <t>四单元</t>
    <phoneticPr fontId="5" type="noConversion"/>
  </si>
  <si>
    <t>201号</t>
    <phoneticPr fontId="5" type="noConversion"/>
  </si>
  <si>
    <t>北京泽丰房地产开发有限公司</t>
    <phoneticPr fontId="5" type="noConversion"/>
  </si>
  <si>
    <t>北京市住房资金管理中心市公交总公司分中心</t>
    <phoneticPr fontId="5" type="noConversion"/>
  </si>
  <si>
    <t>261017</t>
    <phoneticPr fontId="5" type="noConversion"/>
  </si>
  <si>
    <t>1102232263797（1-1）</t>
    <phoneticPr fontId="5" type="noConversion"/>
  </si>
  <si>
    <t>曾捷</t>
    <phoneticPr fontId="5" type="noConversion"/>
  </si>
  <si>
    <t>2003-21-P-00127</t>
    <phoneticPr fontId="5" type="noConversion"/>
  </si>
  <si>
    <t>潘劲松、秦文</t>
    <phoneticPr fontId="5" type="noConversion"/>
  </si>
  <si>
    <t>340103700324201、370823691106112</t>
    <phoneticPr fontId="5" type="noConversion"/>
  </si>
  <si>
    <t>263058</t>
    <phoneticPr fontId="5" type="noConversion"/>
  </si>
  <si>
    <t>2003-21-P-00131</t>
    <phoneticPr fontId="5" type="noConversion"/>
  </si>
  <si>
    <t>马毅飞</t>
    <phoneticPr fontId="5" type="noConversion"/>
  </si>
  <si>
    <t>110108640214371</t>
    <phoneticPr fontId="5" type="noConversion"/>
  </si>
  <si>
    <t>三幢</t>
    <phoneticPr fontId="5" type="noConversion"/>
  </si>
  <si>
    <t>三单元</t>
    <phoneticPr fontId="5" type="noConversion"/>
  </si>
  <si>
    <t>三室一厅一卫一厨</t>
  </si>
  <si>
    <t>1102232263797(1-1)</t>
    <phoneticPr fontId="5" type="noConversion"/>
  </si>
  <si>
    <t>合同特定编号、邮政编码</t>
    <phoneticPr fontId="5" type="noConversion"/>
  </si>
  <si>
    <t>2003-21-P-00133</t>
    <phoneticPr fontId="5" type="noConversion"/>
  </si>
  <si>
    <t>李晓霓</t>
    <phoneticPr fontId="5" type="noConversion"/>
  </si>
  <si>
    <t>110108197304229765</t>
    <phoneticPr fontId="5" type="noConversion"/>
  </si>
  <si>
    <t>知春路罗庄碧兴源</t>
  </si>
  <si>
    <t>A座</t>
    <phoneticPr fontId="5" type="noConversion"/>
  </si>
  <si>
    <t>24层</t>
    <phoneticPr fontId="5" type="noConversion"/>
  </si>
  <si>
    <t>02号</t>
    <phoneticPr fontId="5" type="noConversion"/>
  </si>
  <si>
    <t>北京碧兴源房地产开发有限责任公司</t>
  </si>
  <si>
    <t>基本完工</t>
  </si>
  <si>
    <t>北京市海淀区知春路36号</t>
  </si>
  <si>
    <t>陈缨</t>
  </si>
  <si>
    <t>2003-21-P-00140-M</t>
    <phoneticPr fontId="5" type="noConversion"/>
  </si>
  <si>
    <t>刘光宁</t>
    <phoneticPr fontId="5" type="noConversion"/>
  </si>
  <si>
    <t>420111196811215612</t>
    <phoneticPr fontId="5" type="noConversion"/>
  </si>
  <si>
    <t>13701178220</t>
    <phoneticPr fontId="5" type="noConversion"/>
  </si>
  <si>
    <t>2单元</t>
    <phoneticPr fontId="5" type="noConversion"/>
  </si>
  <si>
    <t>802号</t>
    <phoneticPr fontId="5" type="noConversion"/>
  </si>
  <si>
    <t>北京市住房资金管理中心建工集团分中心</t>
    <phoneticPr fontId="5" type="noConversion"/>
  </si>
  <si>
    <t>三</t>
    <phoneticPr fontId="5" type="noConversion"/>
  </si>
  <si>
    <t>234158</t>
    <phoneticPr fontId="5" type="noConversion"/>
  </si>
  <si>
    <t>2003-21-P-00145</t>
    <phoneticPr fontId="5" type="noConversion"/>
  </si>
  <si>
    <t>魏国忠</t>
    <phoneticPr fontId="5" type="noConversion"/>
  </si>
  <si>
    <t>110108195709283410</t>
    <phoneticPr fontId="5" type="noConversion"/>
  </si>
  <si>
    <t>88260132</t>
    <phoneticPr fontId="5" type="noConversion"/>
  </si>
  <si>
    <t>六幢</t>
    <phoneticPr fontId="5" type="noConversion"/>
  </si>
  <si>
    <t>二单元</t>
    <phoneticPr fontId="5" type="noConversion"/>
  </si>
  <si>
    <t>102号</t>
    <phoneticPr fontId="5" type="noConversion"/>
  </si>
  <si>
    <t>106.07</t>
    <phoneticPr fontId="5" type="noConversion"/>
  </si>
  <si>
    <t>1</t>
    <phoneticPr fontId="5" type="noConversion"/>
  </si>
  <si>
    <t>94.39</t>
    <phoneticPr fontId="5" type="noConversion"/>
  </si>
  <si>
    <t>复式、平层、跃层√、错层</t>
  </si>
  <si>
    <t>4940</t>
    <phoneticPr fontId="5" type="noConversion"/>
  </si>
  <si>
    <t>北京市住房资金管理中心市文教办分中心</t>
    <phoneticPr fontId="5" type="noConversion"/>
  </si>
  <si>
    <t>261136</t>
    <phoneticPr fontId="5" type="noConversion"/>
  </si>
  <si>
    <t>2003-21-P-00146</t>
    <phoneticPr fontId="5" type="noConversion"/>
  </si>
  <si>
    <t>王良</t>
    <phoneticPr fontId="5" type="noConversion"/>
  </si>
  <si>
    <t>110102651217041</t>
    <phoneticPr fontId="5" type="noConversion"/>
  </si>
  <si>
    <t>清缘里中区2#楼(W13.W14）清缘里</t>
    <phoneticPr fontId="5" type="noConversion"/>
  </si>
  <si>
    <t>12单元</t>
    <phoneticPr fontId="5" type="noConversion"/>
  </si>
  <si>
    <t>北京市住房资金管理中心建工集团分中心</t>
    <phoneticPr fontId="5" type="noConversion"/>
  </si>
  <si>
    <t>2003-21-P-00148</t>
    <phoneticPr fontId="5" type="noConversion"/>
  </si>
  <si>
    <t>施雪梅</t>
    <phoneticPr fontId="5" type="noConversion"/>
  </si>
  <si>
    <t>110108196902153786</t>
    <phoneticPr fontId="5" type="noConversion"/>
  </si>
  <si>
    <t>13611221332</t>
    <phoneticPr fontId="5" type="noConversion"/>
  </si>
  <si>
    <t>三单元</t>
    <phoneticPr fontId="5" type="noConversion"/>
  </si>
  <si>
    <t>129.24</t>
    <phoneticPr fontId="5" type="noConversion"/>
  </si>
  <si>
    <t>3</t>
    <phoneticPr fontId="5" type="noConversion"/>
  </si>
  <si>
    <t>115.94</t>
    <phoneticPr fontId="5" type="noConversion"/>
  </si>
  <si>
    <t>4960</t>
    <phoneticPr fontId="5" type="noConversion"/>
  </si>
  <si>
    <t>北京市住房资金管理中心中国长峰机电技术研究设计院分中心</t>
    <phoneticPr fontId="5" type="noConversion"/>
  </si>
  <si>
    <t>261096</t>
    <phoneticPr fontId="5" type="noConversion"/>
  </si>
  <si>
    <t>2003-21-P-00154</t>
  </si>
  <si>
    <t>彭程</t>
    <phoneticPr fontId="5" type="noConversion"/>
  </si>
  <si>
    <t>110108197311103714</t>
    <phoneticPr fontId="5" type="noConversion"/>
  </si>
  <si>
    <t>13651210064</t>
    <phoneticPr fontId="5" type="noConversion"/>
  </si>
  <si>
    <t>129.74</t>
    <phoneticPr fontId="5" type="noConversion"/>
  </si>
  <si>
    <t>6</t>
    <phoneticPr fontId="5" type="noConversion"/>
  </si>
  <si>
    <t>116.38</t>
    <phoneticPr fontId="5" type="noConversion"/>
  </si>
  <si>
    <t>4580</t>
    <phoneticPr fontId="5" type="noConversion"/>
  </si>
  <si>
    <t>261209</t>
    <phoneticPr fontId="5" type="noConversion"/>
  </si>
  <si>
    <t>2003-21-P-00156-M</t>
    <phoneticPr fontId="5" type="noConversion"/>
  </si>
  <si>
    <t>吴静</t>
    <phoneticPr fontId="5" type="noConversion"/>
  </si>
  <si>
    <t>320123621103002</t>
    <phoneticPr fontId="5" type="noConversion"/>
  </si>
  <si>
    <t>3单元</t>
    <phoneticPr fontId="5" type="noConversion"/>
  </si>
  <si>
    <t>做外装修</t>
    <phoneticPr fontId="5" type="noConversion"/>
  </si>
  <si>
    <t xml:space="preserve">三 </t>
    <phoneticPr fontId="5" type="noConversion"/>
  </si>
  <si>
    <t>2003-21-P-00158</t>
    <phoneticPr fontId="5" type="noConversion"/>
  </si>
  <si>
    <t>蔡宏</t>
    <phoneticPr fontId="5" type="noConversion"/>
  </si>
  <si>
    <t>650103195712122822</t>
    <phoneticPr fontId="5" type="noConversion"/>
  </si>
  <si>
    <t>62754603</t>
    <phoneticPr fontId="5" type="noConversion"/>
  </si>
  <si>
    <t>2幢</t>
    <phoneticPr fontId="5" type="noConversion"/>
  </si>
  <si>
    <t>6C号</t>
    <phoneticPr fontId="5" type="noConversion"/>
  </si>
  <si>
    <t>北京新纪元房地产开发有限公司</t>
    <phoneticPr fontId="5" type="noConversion"/>
  </si>
  <si>
    <t>北京新纪元房地产开发有限公司</t>
  </si>
  <si>
    <t>北京市宣武区广安门外大街180号新纪元大厦</t>
    <phoneticPr fontId="5" type="noConversion"/>
  </si>
  <si>
    <t>1100001034407（1-1）</t>
    <phoneticPr fontId="5" type="noConversion"/>
  </si>
  <si>
    <t>江彪</t>
    <phoneticPr fontId="5" type="noConversion"/>
  </si>
  <si>
    <t>2003-21-P-00165</t>
    <phoneticPr fontId="5" type="noConversion"/>
  </si>
  <si>
    <t>张晓茹</t>
    <phoneticPr fontId="5" type="noConversion"/>
  </si>
  <si>
    <t>610113197405040469</t>
    <phoneticPr fontId="5" type="noConversion"/>
  </si>
  <si>
    <t>62917722</t>
    <phoneticPr fontId="5" type="noConversion"/>
  </si>
  <si>
    <t>一幢</t>
    <phoneticPr fontId="5" type="noConversion"/>
  </si>
  <si>
    <t>503C号</t>
    <phoneticPr fontId="5" type="noConversion"/>
  </si>
  <si>
    <t>201379</t>
    <phoneticPr fontId="5" type="noConversion"/>
  </si>
  <si>
    <t>2003-21-P-00166</t>
    <phoneticPr fontId="5" type="noConversion"/>
  </si>
  <si>
    <t>张鑫鹏</t>
    <phoneticPr fontId="5" type="noConversion"/>
  </si>
  <si>
    <t>210302197609230915</t>
    <phoneticPr fontId="5" type="noConversion"/>
  </si>
  <si>
    <t>51885775</t>
    <phoneticPr fontId="5" type="noConversion"/>
  </si>
  <si>
    <t>肖家河东村一号大发畜产住宅1#2#3#楼 麒麟家园</t>
    <phoneticPr fontId="5" type="noConversion"/>
  </si>
  <si>
    <t>1幢</t>
    <phoneticPr fontId="5" type="noConversion"/>
  </si>
  <si>
    <t>4单元</t>
    <phoneticPr fontId="5" type="noConversion"/>
  </si>
  <si>
    <t>北京东方卓越房地产开发有限公司</t>
    <phoneticPr fontId="5" type="noConversion"/>
  </si>
  <si>
    <t>北京市住房资金管理中心中国铁道建筑总公司分中心</t>
    <phoneticPr fontId="5" type="noConversion"/>
  </si>
  <si>
    <t>265198</t>
    <phoneticPr fontId="5" type="noConversion"/>
  </si>
  <si>
    <t>北京东方卓越房地产开发有限公司</t>
    <phoneticPr fontId="5" type="noConversion"/>
  </si>
  <si>
    <t>北京市平谷县兴谷经济技术开发区</t>
    <phoneticPr fontId="5" type="noConversion"/>
  </si>
  <si>
    <t>1102261164858（1-1）</t>
    <phoneticPr fontId="5" type="noConversion"/>
  </si>
  <si>
    <t>张晓军</t>
    <phoneticPr fontId="5" type="noConversion"/>
  </si>
  <si>
    <t>2003-21-P-00175</t>
    <phoneticPr fontId="5" type="noConversion"/>
  </si>
  <si>
    <t>诸振华</t>
    <phoneticPr fontId="5" type="noConversion"/>
  </si>
  <si>
    <t>110108660429003</t>
    <phoneticPr fontId="5" type="noConversion"/>
  </si>
  <si>
    <t>1308号</t>
    <phoneticPr fontId="5" type="noConversion"/>
  </si>
  <si>
    <t>北京市住房资金管理中心归集二部</t>
    <phoneticPr fontId="5" type="noConversion"/>
  </si>
  <si>
    <t>内外装修</t>
    <phoneticPr fontId="5" type="noConversion"/>
  </si>
  <si>
    <t>243666</t>
    <phoneticPr fontId="5" type="noConversion"/>
  </si>
  <si>
    <t>11503851（2-2）</t>
    <phoneticPr fontId="5" type="noConversion"/>
  </si>
  <si>
    <t>2003-21-P-00182</t>
    <phoneticPr fontId="5" type="noConversion"/>
  </si>
  <si>
    <t>穆南空</t>
    <phoneticPr fontId="5" type="noConversion"/>
  </si>
  <si>
    <t>610403751128001</t>
    <phoneticPr fontId="5" type="noConversion"/>
  </si>
  <si>
    <t>8层</t>
    <phoneticPr fontId="5" type="noConversion"/>
  </si>
  <si>
    <t>802号</t>
    <phoneticPr fontId="5" type="noConversion"/>
  </si>
  <si>
    <t>190020</t>
    <phoneticPr fontId="5" type="noConversion"/>
  </si>
  <si>
    <t>11503851（2-2）</t>
    <phoneticPr fontId="5" type="noConversion"/>
  </si>
  <si>
    <t>2003-21-P-00187-M</t>
    <phoneticPr fontId="5" type="noConversion"/>
  </si>
  <si>
    <t>蔡利剑</t>
    <phoneticPr fontId="5" type="noConversion"/>
  </si>
  <si>
    <t>130103197607230618</t>
    <phoneticPr fontId="5" type="noConversion"/>
  </si>
  <si>
    <t>13661312504</t>
    <phoneticPr fontId="5" type="noConversion"/>
  </si>
  <si>
    <t>5单元</t>
  </si>
  <si>
    <t>204号</t>
    <phoneticPr fontId="5" type="noConversion"/>
  </si>
  <si>
    <t>250167</t>
    <phoneticPr fontId="5" type="noConversion"/>
  </si>
  <si>
    <t>2003-21-P-00188</t>
    <phoneticPr fontId="5" type="noConversion"/>
  </si>
  <si>
    <t>周晔</t>
    <phoneticPr fontId="5" type="noConversion"/>
  </si>
  <si>
    <t>230106640525002</t>
    <phoneticPr fontId="5" type="noConversion"/>
  </si>
  <si>
    <t>62283022</t>
    <phoneticPr fontId="5" type="noConversion"/>
  </si>
  <si>
    <t>4幢</t>
    <phoneticPr fontId="5" type="noConversion"/>
  </si>
  <si>
    <t>C单元</t>
    <phoneticPr fontId="5" type="noConversion"/>
  </si>
  <si>
    <t>1502号</t>
    <phoneticPr fontId="5" type="noConversion"/>
  </si>
  <si>
    <t>271068</t>
    <phoneticPr fontId="5" type="noConversion"/>
  </si>
  <si>
    <t>2003-21-P-00191-M</t>
    <phoneticPr fontId="5" type="noConversion"/>
  </si>
  <si>
    <t>汪东升</t>
    <phoneticPr fontId="5" type="noConversion"/>
  </si>
  <si>
    <t>230103661012327</t>
    <phoneticPr fontId="5" type="noConversion"/>
  </si>
  <si>
    <t>13611170331</t>
    <phoneticPr fontId="5" type="noConversion"/>
  </si>
  <si>
    <t>B5座</t>
    <phoneticPr fontId="5" type="noConversion"/>
  </si>
  <si>
    <t>501号</t>
    <phoneticPr fontId="5" type="noConversion"/>
  </si>
  <si>
    <t>093613</t>
    <phoneticPr fontId="5" type="noConversion"/>
  </si>
  <si>
    <t>北京市海淀区太月园小区1号楼</t>
    <phoneticPr fontId="5" type="noConversion"/>
  </si>
  <si>
    <t>2.7起居室5.0</t>
    <phoneticPr fontId="5" type="noConversion"/>
  </si>
  <si>
    <t>2003-21-P-00195-M</t>
    <phoneticPr fontId="5" type="noConversion"/>
  </si>
  <si>
    <t>陈明德</t>
    <phoneticPr fontId="5" type="noConversion"/>
  </si>
  <si>
    <t>440223650512181</t>
    <phoneticPr fontId="5" type="noConversion"/>
  </si>
  <si>
    <t>13701317825</t>
    <phoneticPr fontId="5" type="noConversion"/>
  </si>
  <si>
    <t>东升乡八家新村逸成东苑</t>
    <phoneticPr fontId="5" type="noConversion"/>
  </si>
  <si>
    <t>B4座</t>
    <phoneticPr fontId="5" type="noConversion"/>
  </si>
  <si>
    <t>1002号</t>
    <phoneticPr fontId="5" type="noConversion"/>
  </si>
  <si>
    <t>三室二厅二卫一厨</t>
    <phoneticPr fontId="5" type="noConversion"/>
  </si>
  <si>
    <t>233667</t>
    <phoneticPr fontId="5" type="noConversion"/>
  </si>
  <si>
    <t>北京市海淀区太月园小区1号楼</t>
    <phoneticPr fontId="5" type="noConversion"/>
  </si>
  <si>
    <t>刘军</t>
    <phoneticPr fontId="5" type="noConversion"/>
  </si>
  <si>
    <t>2.8起居室3.2</t>
    <phoneticPr fontId="5" type="noConversion"/>
  </si>
  <si>
    <t>2003-21-P-00197-M</t>
    <phoneticPr fontId="5" type="noConversion"/>
  </si>
  <si>
    <t>孙建国</t>
    <phoneticPr fontId="5" type="noConversion"/>
  </si>
  <si>
    <t>110108570416181</t>
    <phoneticPr fontId="5" type="noConversion"/>
  </si>
  <si>
    <t>13501352105</t>
    <phoneticPr fontId="5" type="noConversion"/>
  </si>
  <si>
    <t>清河小营美欣家园</t>
    <phoneticPr fontId="5" type="noConversion"/>
  </si>
  <si>
    <t>A幢</t>
    <phoneticPr fontId="5" type="noConversion"/>
  </si>
  <si>
    <t>北京希科合力房地产开发有限公司</t>
    <phoneticPr fontId="5" type="noConversion"/>
  </si>
  <si>
    <t>基本完工，待验收</t>
    <phoneticPr fontId="5" type="noConversion"/>
  </si>
  <si>
    <t>北京市怀柔县雁栖工业开发区46号</t>
    <phoneticPr fontId="5" type="noConversion"/>
  </si>
  <si>
    <t>1102271146163（1-1）</t>
    <phoneticPr fontId="5" type="noConversion"/>
  </si>
  <si>
    <t>谭尊可</t>
    <phoneticPr fontId="5" type="noConversion"/>
  </si>
  <si>
    <t>2003-21-P-00204-M</t>
    <phoneticPr fontId="5" type="noConversion"/>
  </si>
  <si>
    <t>李海</t>
    <phoneticPr fontId="5" type="noConversion"/>
  </si>
  <si>
    <t>610103197502193691</t>
    <phoneticPr fontId="5" type="noConversion"/>
  </si>
  <si>
    <t>13011119935</t>
    <phoneticPr fontId="5" type="noConversion"/>
  </si>
  <si>
    <t>1202号</t>
    <phoneticPr fontId="5" type="noConversion"/>
  </si>
  <si>
    <t>250195</t>
    <phoneticPr fontId="5" type="noConversion"/>
  </si>
  <si>
    <t>2003-21-P-00219-M</t>
    <phoneticPr fontId="5" type="noConversion"/>
  </si>
  <si>
    <t>宋书娟</t>
    <phoneticPr fontId="5" type="noConversion"/>
  </si>
  <si>
    <t>110108721025344</t>
    <phoneticPr fontId="5" type="noConversion"/>
  </si>
  <si>
    <t>13641330368</t>
    <phoneticPr fontId="5" type="noConversion"/>
  </si>
  <si>
    <t>6单元</t>
    <phoneticPr fontId="5" type="noConversion"/>
  </si>
  <si>
    <t>233673</t>
    <phoneticPr fontId="5" type="noConversion"/>
  </si>
  <si>
    <t>1100001505041（1-1）</t>
    <phoneticPr fontId="5" type="noConversion"/>
  </si>
  <si>
    <t>2.8起居室3.2</t>
    <phoneticPr fontId="5" type="noConversion"/>
  </si>
  <si>
    <t>2003-21-P-00221-M</t>
    <phoneticPr fontId="5" type="noConversion"/>
  </si>
  <si>
    <t>孟庆森</t>
    <phoneticPr fontId="5" type="noConversion"/>
  </si>
  <si>
    <t>370121197003207430</t>
    <phoneticPr fontId="5" type="noConversion"/>
  </si>
  <si>
    <t>13301272369</t>
    <phoneticPr fontId="5" type="noConversion"/>
  </si>
  <si>
    <t>B4座</t>
    <phoneticPr fontId="5" type="noConversion"/>
  </si>
  <si>
    <t>234339</t>
    <phoneticPr fontId="5" type="noConversion"/>
  </si>
  <si>
    <t>2003-21-P-00222</t>
    <phoneticPr fontId="5" type="noConversion"/>
  </si>
  <si>
    <t>郝庆丰、王利雅</t>
    <phoneticPr fontId="5" type="noConversion"/>
  </si>
  <si>
    <t>320911197612082217、410322770824082</t>
    <phoneticPr fontId="5" type="noConversion"/>
  </si>
  <si>
    <t>13681143763</t>
    <phoneticPr fontId="5" type="noConversion"/>
  </si>
  <si>
    <t>一幢</t>
    <phoneticPr fontId="5" type="noConversion"/>
  </si>
  <si>
    <t>704D号</t>
    <phoneticPr fontId="5" type="noConversion"/>
  </si>
  <si>
    <t>201389</t>
    <phoneticPr fontId="5" type="noConversion"/>
  </si>
  <si>
    <t>2003-21-P-00223</t>
    <phoneticPr fontId="5" type="noConversion"/>
  </si>
  <si>
    <t>李岩</t>
    <phoneticPr fontId="5" type="noConversion"/>
  </si>
  <si>
    <t>230703197702210021</t>
    <phoneticPr fontId="5" type="noConversion"/>
  </si>
  <si>
    <t>306号</t>
    <phoneticPr fontId="5" type="noConversion"/>
  </si>
  <si>
    <t>北京市住房资金管理中心市文教办分中心</t>
    <phoneticPr fontId="5" type="noConversion"/>
  </si>
  <si>
    <t>2003-21-P-00225</t>
    <phoneticPr fontId="5" type="noConversion"/>
  </si>
  <si>
    <t>雷加</t>
    <phoneticPr fontId="5" type="noConversion"/>
  </si>
  <si>
    <t>610403740617001</t>
    <phoneticPr fontId="5" type="noConversion"/>
  </si>
  <si>
    <t>7层</t>
    <phoneticPr fontId="5" type="noConversion"/>
  </si>
  <si>
    <t>705号</t>
    <phoneticPr fontId="5" type="noConversion"/>
  </si>
  <si>
    <t>北京市住房资金管理中心建工集团分中心</t>
    <phoneticPr fontId="5" type="noConversion"/>
  </si>
  <si>
    <t>完工待验收</t>
    <phoneticPr fontId="5" type="noConversion"/>
  </si>
  <si>
    <t>190084</t>
    <phoneticPr fontId="5" type="noConversion"/>
  </si>
  <si>
    <t>11503851（2-2）</t>
    <phoneticPr fontId="5" type="noConversion"/>
  </si>
  <si>
    <t>2003-21-P-00228-M</t>
    <phoneticPr fontId="5" type="noConversion"/>
  </si>
  <si>
    <t>张建国</t>
    <phoneticPr fontId="5" type="noConversion"/>
  </si>
  <si>
    <t>110108560623121</t>
    <phoneticPr fontId="5" type="noConversion"/>
  </si>
  <si>
    <t>13321115511</t>
    <phoneticPr fontId="5" type="noConversion"/>
  </si>
  <si>
    <t>A幢</t>
    <phoneticPr fontId="5" type="noConversion"/>
  </si>
  <si>
    <t>1102271146163（1-1）</t>
    <phoneticPr fontId="5" type="noConversion"/>
  </si>
  <si>
    <t>2003-21-P-00231</t>
    <phoneticPr fontId="5" type="noConversion"/>
  </si>
  <si>
    <t>王巾英</t>
    <phoneticPr fontId="5" type="noConversion"/>
  </si>
  <si>
    <t>110108611105374</t>
    <phoneticPr fontId="5" type="noConversion"/>
  </si>
  <si>
    <t>13651152439</t>
    <phoneticPr fontId="5" type="noConversion"/>
  </si>
  <si>
    <t>铁家坟泽丰苑</t>
  </si>
  <si>
    <t>四单元</t>
    <phoneticPr fontId="5" type="noConversion"/>
  </si>
  <si>
    <t>302号</t>
    <phoneticPr fontId="5" type="noConversion"/>
  </si>
  <si>
    <t>北京泽丰房地产开发有限公司</t>
  </si>
  <si>
    <t>北京市住房资金管理中心中国长峰机电技术研究设计院分中心</t>
  </si>
  <si>
    <t>261164</t>
    <phoneticPr fontId="5" type="noConversion"/>
  </si>
  <si>
    <t>北京市通州区车站路10号</t>
  </si>
  <si>
    <t>1102232263797(1-1)</t>
  </si>
  <si>
    <t>曾捷</t>
  </si>
  <si>
    <t>合同特定编号、邮政编码</t>
  </si>
  <si>
    <t>2003-21-P-00234</t>
    <phoneticPr fontId="5" type="noConversion"/>
  </si>
  <si>
    <t>刘富强</t>
    <phoneticPr fontId="5" type="noConversion"/>
  </si>
  <si>
    <t>620104197212191311</t>
    <phoneticPr fontId="5" type="noConversion"/>
  </si>
  <si>
    <t>13681155788</t>
    <phoneticPr fontId="5" type="noConversion"/>
  </si>
  <si>
    <t>上地南路10.12号院1#楼枫润家园</t>
    <phoneticPr fontId="5" type="noConversion"/>
  </si>
  <si>
    <t>1幢</t>
    <phoneticPr fontId="5" type="noConversion"/>
  </si>
  <si>
    <t>北京丰利达房地产开发有限公司</t>
    <phoneticPr fontId="5" type="noConversion"/>
  </si>
  <si>
    <t>五</t>
    <phoneticPr fontId="5" type="noConversion"/>
  </si>
  <si>
    <t>2003-21-P-00244</t>
  </si>
  <si>
    <t>程实</t>
    <phoneticPr fontId="5" type="noConversion"/>
  </si>
  <si>
    <t>110104197708032015</t>
    <phoneticPr fontId="5" type="noConversion"/>
  </si>
  <si>
    <t>13层</t>
    <phoneticPr fontId="5" type="noConversion"/>
  </si>
  <si>
    <t>1313号</t>
    <phoneticPr fontId="5" type="noConversion"/>
  </si>
  <si>
    <t>北京市住房资金管理中心北京东安集团公司分中心</t>
    <phoneticPr fontId="5" type="noConversion"/>
  </si>
  <si>
    <t>四</t>
    <phoneticPr fontId="5" type="noConversion"/>
  </si>
  <si>
    <t>2003-21-P-00249-M</t>
    <phoneticPr fontId="5" type="noConversion"/>
  </si>
  <si>
    <t>杜爽</t>
    <phoneticPr fontId="5" type="noConversion"/>
  </si>
  <si>
    <t>130102701030062</t>
    <phoneticPr fontId="5" type="noConversion"/>
  </si>
  <si>
    <t>62792210</t>
    <phoneticPr fontId="5" type="noConversion"/>
  </si>
  <si>
    <t>B5座</t>
    <phoneticPr fontId="5" type="noConversion"/>
  </si>
  <si>
    <t>1单元</t>
    <phoneticPr fontId="5" type="noConversion"/>
  </si>
  <si>
    <t>601号</t>
    <phoneticPr fontId="5" type="noConversion"/>
  </si>
  <si>
    <t>093604</t>
    <phoneticPr fontId="5" type="noConversion"/>
  </si>
  <si>
    <t>刘军</t>
    <phoneticPr fontId="5" type="noConversion"/>
  </si>
  <si>
    <t>2003-21-P-00255</t>
    <phoneticPr fontId="5" type="noConversion"/>
  </si>
  <si>
    <t>崔华</t>
    <phoneticPr fontId="5" type="noConversion"/>
  </si>
  <si>
    <t>110108620529184</t>
    <phoneticPr fontId="5" type="noConversion"/>
  </si>
  <si>
    <t>62563806</t>
    <phoneticPr fontId="5" type="noConversion"/>
  </si>
  <si>
    <t>1单元</t>
    <phoneticPr fontId="5" type="noConversion"/>
  </si>
  <si>
    <t>内外装修</t>
    <phoneticPr fontId="5" type="noConversion"/>
  </si>
  <si>
    <t>张晓军</t>
    <phoneticPr fontId="5" type="noConversion"/>
  </si>
  <si>
    <t>2003-21-P-00268</t>
    <phoneticPr fontId="5" type="noConversion"/>
  </si>
  <si>
    <t xml:space="preserve">刘洪民 </t>
    <phoneticPr fontId="5" type="noConversion"/>
  </si>
  <si>
    <t>110108741023603</t>
    <phoneticPr fontId="5" type="noConversion"/>
  </si>
  <si>
    <t>12层</t>
    <phoneticPr fontId="5" type="noConversion"/>
  </si>
  <si>
    <t>1204号</t>
    <phoneticPr fontId="5" type="noConversion"/>
  </si>
  <si>
    <t>完工待验收</t>
    <phoneticPr fontId="5" type="noConversion"/>
  </si>
  <si>
    <t>2003-21-P-00270</t>
    <phoneticPr fontId="5" type="noConversion"/>
  </si>
  <si>
    <t>谭培育</t>
    <phoneticPr fontId="5" type="noConversion"/>
  </si>
  <si>
    <t>132903197612038423</t>
    <phoneticPr fontId="5" type="noConversion"/>
  </si>
  <si>
    <t>A座</t>
    <phoneticPr fontId="5" type="noConversion"/>
  </si>
  <si>
    <t>19层</t>
    <phoneticPr fontId="5" type="noConversion"/>
  </si>
  <si>
    <t>07号</t>
    <phoneticPr fontId="5" type="noConversion"/>
  </si>
  <si>
    <t>2003-21-P-00276-M</t>
    <phoneticPr fontId="5" type="noConversion"/>
  </si>
  <si>
    <t>华兰</t>
    <phoneticPr fontId="5" type="noConversion"/>
  </si>
  <si>
    <t>110102551115088</t>
    <phoneticPr fontId="5" type="noConversion"/>
  </si>
  <si>
    <t>13681076837</t>
    <phoneticPr fontId="5" type="noConversion"/>
  </si>
  <si>
    <t>234596</t>
    <phoneticPr fontId="5" type="noConversion"/>
  </si>
  <si>
    <t>2.7（起居室5.0）</t>
    <phoneticPr fontId="5" type="noConversion"/>
  </si>
  <si>
    <t>2003-21-P-00277</t>
    <phoneticPr fontId="5" type="noConversion"/>
  </si>
  <si>
    <t>邱渊</t>
    <phoneticPr fontId="5" type="noConversion"/>
  </si>
  <si>
    <t>110108680404376</t>
    <phoneticPr fontId="5" type="noConversion"/>
  </si>
  <si>
    <t>二幢</t>
    <phoneticPr fontId="5" type="noConversion"/>
  </si>
  <si>
    <t>合同特定编号、邮政编码</t>
    <phoneticPr fontId="5" type="noConversion"/>
  </si>
  <si>
    <t>2003-21-P-00281</t>
  </si>
  <si>
    <t>王京苏</t>
    <phoneticPr fontId="5" type="noConversion"/>
  </si>
  <si>
    <t>110108197401142223</t>
    <phoneticPr fontId="5" type="noConversion"/>
  </si>
  <si>
    <t>13301291290</t>
    <phoneticPr fontId="5" type="noConversion"/>
  </si>
  <si>
    <t>2座</t>
    <phoneticPr fontId="5" type="noConversion"/>
  </si>
  <si>
    <t>11层</t>
    <phoneticPr fontId="5" type="noConversion"/>
  </si>
  <si>
    <t>06号</t>
    <phoneticPr fontId="5" type="noConversion"/>
  </si>
  <si>
    <t>259069</t>
    <phoneticPr fontId="5" type="noConversion"/>
  </si>
  <si>
    <t>2003-21-P-00291</t>
    <phoneticPr fontId="5" type="noConversion"/>
  </si>
  <si>
    <t>罗旭明</t>
    <phoneticPr fontId="5" type="noConversion"/>
  </si>
  <si>
    <t>18单元</t>
    <phoneticPr fontId="5" type="noConversion"/>
  </si>
  <si>
    <t>502D号</t>
    <phoneticPr fontId="5" type="noConversion"/>
  </si>
  <si>
    <t>北京市住房资金管理中心北京电力集团公司分中心</t>
    <phoneticPr fontId="5" type="noConversion"/>
  </si>
  <si>
    <t>2003-21-P-00294</t>
    <phoneticPr fontId="5" type="noConversion"/>
  </si>
  <si>
    <t>马文华</t>
    <phoneticPr fontId="5" type="noConversion"/>
  </si>
  <si>
    <t>110108770122633</t>
    <phoneticPr fontId="5" type="noConversion"/>
  </si>
  <si>
    <t>西三旗育新嘉园</t>
    <phoneticPr fontId="5" type="noConversion"/>
  </si>
  <si>
    <t>3号楼</t>
    <phoneticPr fontId="5" type="noConversion"/>
  </si>
  <si>
    <t>901号</t>
    <phoneticPr fontId="5" type="noConversion"/>
  </si>
  <si>
    <t>北京高苑房地产开发有限公司</t>
    <phoneticPr fontId="5" type="noConversion"/>
  </si>
  <si>
    <t>竣工待验收</t>
    <phoneticPr fontId="5" type="noConversion"/>
  </si>
  <si>
    <t>202142</t>
    <phoneticPr fontId="5" type="noConversion"/>
  </si>
  <si>
    <t>北京高苑房地产开发有限公司</t>
    <phoneticPr fontId="5" type="noConversion"/>
  </si>
  <si>
    <t>北京市昌平区南口镇</t>
    <phoneticPr fontId="5" type="noConversion"/>
  </si>
  <si>
    <t>张淑军</t>
    <phoneticPr fontId="5" type="noConversion"/>
  </si>
  <si>
    <t>2003-21-P-00302</t>
    <phoneticPr fontId="5" type="noConversion"/>
  </si>
  <si>
    <t>徐万峰</t>
    <phoneticPr fontId="5" type="noConversion"/>
  </si>
  <si>
    <t>110101700209401</t>
    <phoneticPr fontId="5" type="noConversion"/>
  </si>
  <si>
    <t>13910758333</t>
    <phoneticPr fontId="5" type="noConversion"/>
  </si>
  <si>
    <t>宝盛里</t>
    <phoneticPr fontId="5" type="noConversion"/>
  </si>
  <si>
    <t>22号楼</t>
    <phoneticPr fontId="5" type="noConversion"/>
  </si>
  <si>
    <t>502号</t>
    <phoneticPr fontId="5" type="noConversion"/>
  </si>
  <si>
    <t>5</t>
    <phoneticPr fontId="5" type="noConversion"/>
  </si>
  <si>
    <t>北京市住房资金管理中心市国土资源和房屋管理局分中心</t>
    <phoneticPr fontId="5" type="noConversion"/>
  </si>
  <si>
    <t>现房</t>
    <phoneticPr fontId="5" type="noConversion"/>
  </si>
  <si>
    <t>5月12日初审，换正式报告。尾房、认识人，有优惠</t>
    <phoneticPr fontId="5" type="noConversion"/>
  </si>
  <si>
    <t>十</t>
    <phoneticPr fontId="5" type="noConversion"/>
  </si>
  <si>
    <t>杨红英</t>
    <phoneticPr fontId="5" type="noConversion"/>
  </si>
  <si>
    <t>合同书（非正规）</t>
    <phoneticPr fontId="5" type="noConversion"/>
  </si>
  <si>
    <t>B</t>
    <phoneticPr fontId="5" type="noConversion"/>
  </si>
  <si>
    <t>北京宝晟住房股份有限公司</t>
    <phoneticPr fontId="5" type="noConversion"/>
  </si>
  <si>
    <t>北京市东城区沙滩后街22号</t>
    <phoneticPr fontId="5" type="noConversion"/>
  </si>
  <si>
    <t>李发增</t>
    <phoneticPr fontId="5" type="noConversion"/>
  </si>
  <si>
    <t>2003-21-P-00311</t>
    <phoneticPr fontId="5" type="noConversion"/>
  </si>
  <si>
    <t>罗霄</t>
    <phoneticPr fontId="5" type="noConversion"/>
  </si>
  <si>
    <t>110108710117093</t>
    <phoneticPr fontId="5" type="noConversion"/>
  </si>
  <si>
    <t>62974794</t>
    <phoneticPr fontId="5" type="noConversion"/>
  </si>
  <si>
    <t>肖家河东村一号大发畜产住宅1#2#3#楼麒麟家园</t>
    <phoneticPr fontId="5" type="noConversion"/>
  </si>
  <si>
    <t>1102261164858（1-1）</t>
    <phoneticPr fontId="5" type="noConversion"/>
  </si>
  <si>
    <t>2003-21-P-00324</t>
    <phoneticPr fontId="5" type="noConversion"/>
  </si>
  <si>
    <t>席玉霄</t>
    <phoneticPr fontId="5" type="noConversion"/>
  </si>
  <si>
    <t>412722771001651</t>
    <phoneticPr fontId="5" type="noConversion"/>
  </si>
  <si>
    <t>B幢</t>
    <phoneticPr fontId="5" type="noConversion"/>
  </si>
  <si>
    <t>1601号</t>
    <phoneticPr fontId="5" type="noConversion"/>
  </si>
  <si>
    <t>北京希科合力房地产开发有限公司</t>
    <phoneticPr fontId="5" type="noConversion"/>
  </si>
  <si>
    <t>145286</t>
    <phoneticPr fontId="5" type="noConversion"/>
  </si>
  <si>
    <t>北京市怀柔县雁栖工业开发区46号</t>
    <phoneticPr fontId="5" type="noConversion"/>
  </si>
  <si>
    <t>谭尊可</t>
    <phoneticPr fontId="5" type="noConversion"/>
  </si>
  <si>
    <t>2003-21-P-00326</t>
    <phoneticPr fontId="5" type="noConversion"/>
  </si>
  <si>
    <t>许岚</t>
    <phoneticPr fontId="5" type="noConversion"/>
  </si>
  <si>
    <t>110108196902133726</t>
    <phoneticPr fontId="5" type="noConversion"/>
  </si>
  <si>
    <t>13910818332</t>
    <phoneticPr fontId="5" type="noConversion"/>
  </si>
  <si>
    <t>279414</t>
    <phoneticPr fontId="5" type="noConversion"/>
  </si>
  <si>
    <t>2003-21-P-00341</t>
    <phoneticPr fontId="5" type="noConversion"/>
  </si>
  <si>
    <t>阎菊芳</t>
    <phoneticPr fontId="5" type="noConversion"/>
  </si>
  <si>
    <t>110108661128226</t>
    <phoneticPr fontId="5" type="noConversion"/>
  </si>
  <si>
    <t>13167343537</t>
    <phoneticPr fontId="5" type="noConversion"/>
  </si>
  <si>
    <t>花园北路5号中鑫嘉园二期</t>
    <phoneticPr fontId="5" type="noConversion"/>
  </si>
  <si>
    <t>3层</t>
    <phoneticPr fontId="5" type="noConversion"/>
  </si>
  <si>
    <t>东G号</t>
    <phoneticPr fontId="5" type="noConversion"/>
  </si>
  <si>
    <t>北京中鑫源房地产开发有限公司</t>
    <phoneticPr fontId="5" type="noConversion"/>
  </si>
  <si>
    <t>做基础</t>
    <phoneticPr fontId="5" type="noConversion"/>
  </si>
  <si>
    <t>505522</t>
    <phoneticPr fontId="5" type="noConversion"/>
  </si>
  <si>
    <t>北京密云县工业开发区内</t>
    <phoneticPr fontId="5" type="noConversion"/>
  </si>
  <si>
    <t>1100002096117</t>
    <phoneticPr fontId="5" type="noConversion"/>
  </si>
  <si>
    <t>陈西雷</t>
    <phoneticPr fontId="5" type="noConversion"/>
  </si>
  <si>
    <t>2003-21-P-00356</t>
    <phoneticPr fontId="5" type="noConversion"/>
  </si>
  <si>
    <t>周红</t>
    <phoneticPr fontId="5" type="noConversion"/>
  </si>
  <si>
    <t>110108196809303743</t>
    <phoneticPr fontId="5" type="noConversion"/>
  </si>
  <si>
    <t>68764053</t>
    <phoneticPr fontId="5" type="noConversion"/>
  </si>
  <si>
    <t>七幢</t>
    <phoneticPr fontId="5" type="noConversion"/>
  </si>
  <si>
    <t>二单元</t>
    <phoneticPr fontId="5" type="noConversion"/>
  </si>
  <si>
    <t>302号</t>
    <phoneticPr fontId="5" type="noConversion"/>
  </si>
  <si>
    <t>北京市住房资金管理中心长峰机电技术研究设计院分中心</t>
    <phoneticPr fontId="5" type="noConversion"/>
  </si>
  <si>
    <t>基本完工</t>
    <phoneticPr fontId="5" type="noConversion"/>
  </si>
  <si>
    <t>279490</t>
    <phoneticPr fontId="5" type="noConversion"/>
  </si>
  <si>
    <t>2003-21-P-00366</t>
    <phoneticPr fontId="5" type="noConversion"/>
  </si>
  <si>
    <t>罗佳</t>
    <phoneticPr fontId="5" type="noConversion"/>
  </si>
  <si>
    <t>11010819720520372X</t>
    <phoneticPr fontId="5" type="noConversion"/>
  </si>
  <si>
    <t>八幢</t>
    <phoneticPr fontId="5" type="noConversion"/>
  </si>
  <si>
    <t>261243</t>
    <phoneticPr fontId="5" type="noConversion"/>
  </si>
  <si>
    <t>2003-21-P-00376</t>
    <phoneticPr fontId="5" type="noConversion"/>
  </si>
  <si>
    <t>潘莺</t>
    <phoneticPr fontId="5" type="noConversion"/>
  </si>
  <si>
    <t>110102580223334</t>
    <phoneticPr fontId="5" type="noConversion"/>
  </si>
  <si>
    <t>66167631-6123</t>
    <phoneticPr fontId="5" type="noConversion"/>
  </si>
  <si>
    <r>
      <t>文慧园</t>
    </r>
    <r>
      <rPr>
        <sz val="10"/>
        <color indexed="8"/>
        <rFont val="Times New Roman"/>
        <family val="1"/>
      </rPr>
      <t/>
    </r>
    <phoneticPr fontId="5" type="noConversion"/>
  </si>
  <si>
    <t>4层</t>
    <phoneticPr fontId="5" type="noConversion"/>
  </si>
  <si>
    <t>416号</t>
    <phoneticPr fontId="5" type="noConversion"/>
  </si>
  <si>
    <t>北京市威凯房地产开发经营公司</t>
    <phoneticPr fontId="5" type="noConversion"/>
  </si>
  <si>
    <t>结构地上14层</t>
    <phoneticPr fontId="5" type="noConversion"/>
  </si>
  <si>
    <t>515762</t>
    <phoneticPr fontId="5" type="noConversion"/>
  </si>
  <si>
    <t>北京威凯房地产开发经营公司</t>
    <phoneticPr fontId="5" type="noConversion"/>
  </si>
  <si>
    <t>北京市海淀区甘家口15号楼</t>
    <phoneticPr fontId="5" type="noConversion"/>
  </si>
  <si>
    <t>董殿毅</t>
    <phoneticPr fontId="5" type="noConversion"/>
  </si>
  <si>
    <t>2003-21-P-00377</t>
    <phoneticPr fontId="5" type="noConversion"/>
  </si>
  <si>
    <t>贾中军</t>
    <phoneticPr fontId="5" type="noConversion"/>
  </si>
  <si>
    <t>110108631214371</t>
    <phoneticPr fontId="5" type="noConversion"/>
  </si>
  <si>
    <t>68388721</t>
    <phoneticPr fontId="5" type="noConversion"/>
  </si>
  <si>
    <t>二幢</t>
    <phoneticPr fontId="5" type="noConversion"/>
  </si>
  <si>
    <r>
      <t>201</t>
    </r>
    <r>
      <rPr>
        <sz val="10"/>
        <rFont val="宋体"/>
        <family val="3"/>
        <charset val="134"/>
      </rPr>
      <t>号</t>
    </r>
    <phoneticPr fontId="5" type="noConversion"/>
  </si>
  <si>
    <t>279487</t>
    <phoneticPr fontId="5" type="noConversion"/>
  </si>
  <si>
    <t>2003-21-P-00379</t>
    <phoneticPr fontId="5" type="noConversion"/>
  </si>
  <si>
    <t>张振国</t>
    <phoneticPr fontId="5" type="noConversion"/>
  </si>
  <si>
    <t>110223660225757</t>
    <phoneticPr fontId="5" type="noConversion"/>
  </si>
  <si>
    <t>5层</t>
    <phoneticPr fontId="5" type="noConversion"/>
  </si>
  <si>
    <t>511号</t>
    <phoneticPr fontId="5" type="noConversion"/>
  </si>
  <si>
    <t>北京市住房资金管理中心西城区分中心</t>
    <phoneticPr fontId="5" type="noConversion"/>
  </si>
  <si>
    <t>结构地上15层</t>
    <phoneticPr fontId="5" type="noConversion"/>
  </si>
  <si>
    <t>515741</t>
    <phoneticPr fontId="5" type="noConversion"/>
  </si>
  <si>
    <t>北京市海淀区甘家口15号楼</t>
    <phoneticPr fontId="5" type="noConversion"/>
  </si>
  <si>
    <t>董殿毅</t>
    <phoneticPr fontId="5" type="noConversion"/>
  </si>
  <si>
    <t>2003-21-P-00384</t>
    <phoneticPr fontId="5" type="noConversion"/>
  </si>
  <si>
    <t>齐汝海</t>
    <phoneticPr fontId="5" type="noConversion"/>
  </si>
  <si>
    <t>230204721129141</t>
    <phoneticPr fontId="5" type="noConversion"/>
  </si>
  <si>
    <t>13911354451</t>
    <phoneticPr fontId="5" type="noConversion"/>
  </si>
  <si>
    <t>东升乡马坊村宝盛北里</t>
    <phoneticPr fontId="5" type="noConversion"/>
  </si>
  <si>
    <t>A01幢</t>
    <phoneticPr fontId="5" type="noConversion"/>
  </si>
  <si>
    <t>3</t>
    <phoneticPr fontId="5" type="noConversion"/>
  </si>
  <si>
    <t>已完工待验收</t>
    <phoneticPr fontId="5" type="noConversion"/>
  </si>
  <si>
    <t>七</t>
    <phoneticPr fontId="5" type="noConversion"/>
  </si>
  <si>
    <t>北京市东城区沙滩后街22号</t>
    <phoneticPr fontId="5" type="noConversion"/>
  </si>
  <si>
    <t>2003-21-P-00385</t>
    <phoneticPr fontId="5" type="noConversion"/>
  </si>
  <si>
    <t>马林珍</t>
    <phoneticPr fontId="5" type="noConversion"/>
  </si>
  <si>
    <t>建西苑南里</t>
  </si>
  <si>
    <t>2号楼</t>
    <phoneticPr fontId="5" type="noConversion"/>
  </si>
  <si>
    <t>601号</t>
    <phoneticPr fontId="5" type="noConversion"/>
  </si>
  <si>
    <t>北京富民住房股份有限公司</t>
    <phoneticPr fontId="5" type="noConversion"/>
  </si>
  <si>
    <t>6-7</t>
    <phoneticPr fontId="5" type="noConversion"/>
  </si>
  <si>
    <t>四室二厅二卫一厨</t>
    <phoneticPr fontId="5" type="noConversion"/>
  </si>
  <si>
    <t>买卖合同</t>
  </si>
  <si>
    <t>232773</t>
    <phoneticPr fontId="5" type="noConversion"/>
  </si>
  <si>
    <t>中国信达资产管理公司北京办事处</t>
  </si>
  <si>
    <t>北京市朝阳区安华西里二区18号楼</t>
  </si>
  <si>
    <t>2003-21-P-00392</t>
    <phoneticPr fontId="5" type="noConversion"/>
  </si>
  <si>
    <t>张明明</t>
    <phoneticPr fontId="5" type="noConversion"/>
  </si>
  <si>
    <t>110108194703193719</t>
    <phoneticPr fontId="5" type="noConversion"/>
  </si>
  <si>
    <r>
      <t>文慧园</t>
    </r>
    <r>
      <rPr>
        <sz val="10"/>
        <color indexed="8"/>
        <rFont val="Times New Roman"/>
        <family val="1"/>
      </rPr>
      <t/>
    </r>
    <phoneticPr fontId="5" type="noConversion"/>
  </si>
  <si>
    <t>5层</t>
    <phoneticPr fontId="5" type="noConversion"/>
  </si>
  <si>
    <t>517号</t>
    <phoneticPr fontId="5" type="noConversion"/>
  </si>
  <si>
    <t>一室一卫一厨</t>
    <phoneticPr fontId="5" type="noConversion"/>
  </si>
  <si>
    <t>地上17层</t>
    <phoneticPr fontId="5" type="noConversion"/>
  </si>
  <si>
    <t>515720</t>
    <phoneticPr fontId="5" type="noConversion"/>
  </si>
  <si>
    <t>北京威凯房地产开发经营公司</t>
    <phoneticPr fontId="5" type="noConversion"/>
  </si>
  <si>
    <t>2003-21-P-00393</t>
  </si>
  <si>
    <t>柳金兰</t>
    <phoneticPr fontId="5" type="noConversion"/>
  </si>
  <si>
    <t>110101197002032022</t>
    <phoneticPr fontId="5" type="noConversion"/>
  </si>
  <si>
    <r>
      <t>文慧园</t>
    </r>
    <r>
      <rPr>
        <sz val="10"/>
        <color indexed="8"/>
        <rFont val="Times New Roman"/>
        <family val="1"/>
      </rPr>
      <t/>
    </r>
    <phoneticPr fontId="5" type="noConversion"/>
  </si>
  <si>
    <t>6层</t>
    <phoneticPr fontId="5" type="noConversion"/>
  </si>
  <si>
    <t>613号</t>
    <phoneticPr fontId="5" type="noConversion"/>
  </si>
  <si>
    <t>北京市住房资金管理中心市政工程总公司分中心</t>
    <phoneticPr fontId="5" type="noConversion"/>
  </si>
  <si>
    <t>地上17层</t>
    <phoneticPr fontId="5" type="noConversion"/>
  </si>
  <si>
    <t>515795</t>
    <phoneticPr fontId="5" type="noConversion"/>
  </si>
  <si>
    <t>董殿毅</t>
    <phoneticPr fontId="5" type="noConversion"/>
  </si>
  <si>
    <t>2003-21-P-00396</t>
    <phoneticPr fontId="5" type="noConversion"/>
  </si>
  <si>
    <t>姜毅</t>
    <phoneticPr fontId="5" type="noConversion"/>
  </si>
  <si>
    <t>110101630311205</t>
    <phoneticPr fontId="5" type="noConversion"/>
  </si>
  <si>
    <t>13910767879</t>
    <phoneticPr fontId="5" type="noConversion"/>
  </si>
  <si>
    <t>花园北路5号中鑫嘉园二期</t>
    <phoneticPr fontId="5" type="noConversion"/>
  </si>
  <si>
    <t>A座</t>
    <phoneticPr fontId="5" type="noConversion"/>
  </si>
  <si>
    <t>11层</t>
    <phoneticPr fontId="5" type="noConversion"/>
  </si>
  <si>
    <t>西G号</t>
    <phoneticPr fontId="5" type="noConversion"/>
  </si>
  <si>
    <t>北京市住房资金管理中心华北电力集团公司分中心</t>
    <phoneticPr fontId="5" type="noConversion"/>
  </si>
  <si>
    <t>505632</t>
    <phoneticPr fontId="5" type="noConversion"/>
  </si>
  <si>
    <t>北京密云县工业开发区内</t>
    <phoneticPr fontId="5" type="noConversion"/>
  </si>
  <si>
    <t>1100002096117</t>
    <phoneticPr fontId="5" type="noConversion"/>
  </si>
  <si>
    <t>2003-21-P-00410</t>
  </si>
  <si>
    <t>王惠莉</t>
  </si>
  <si>
    <t>110102621219192</t>
  </si>
  <si>
    <t>文慧园</t>
  </si>
  <si>
    <t>15号楼</t>
  </si>
  <si>
    <t>20</t>
  </si>
  <si>
    <t>2010</t>
  </si>
  <si>
    <t>北京市威凯房地产开发经营公司</t>
  </si>
  <si>
    <t>北京市住房资金管理中心文教办分中心</t>
  </si>
  <si>
    <t>地上17层</t>
  </si>
  <si>
    <t>杨红英</t>
  </si>
  <si>
    <t>515863</t>
  </si>
  <si>
    <t>北京威凯房地产开发经营公司</t>
  </si>
  <si>
    <t>北京市海淀区甘家口15号楼</t>
  </si>
  <si>
    <t>董殿毅</t>
  </si>
  <si>
    <t>2003-21-P-00418-M</t>
  </si>
  <si>
    <t>张文杰</t>
  </si>
  <si>
    <t>120109750319652</t>
  </si>
  <si>
    <t>82658823-2</t>
  </si>
  <si>
    <t>B4座</t>
  </si>
  <si>
    <t>1002号</t>
  </si>
  <si>
    <t>七</t>
  </si>
  <si>
    <t>233424</t>
  </si>
  <si>
    <t>2003-21-P-00423</t>
  </si>
  <si>
    <t>傅博</t>
  </si>
  <si>
    <t>110101771104406</t>
  </si>
  <si>
    <t>13910395108</t>
  </si>
  <si>
    <t>花园北路5号中鑫嘉园二期</t>
  </si>
  <si>
    <t>B（2#）座</t>
  </si>
  <si>
    <t>10层</t>
  </si>
  <si>
    <t>东A号</t>
  </si>
  <si>
    <t>北京中鑫源房地产开发集团有限公司</t>
  </si>
  <si>
    <t>北京市住房资金管理中心西城区分中心</t>
  </si>
  <si>
    <t>出地面</t>
  </si>
  <si>
    <t>505636</t>
  </si>
  <si>
    <t>北京中鑫源房地产开发有限公司</t>
  </si>
  <si>
    <t>北京密云县工业开发区内</t>
  </si>
  <si>
    <t>1100002096117</t>
  </si>
  <si>
    <t>陈西雷</t>
  </si>
  <si>
    <t>合同特定编号</t>
  </si>
  <si>
    <t>2003-21-P-00448</t>
  </si>
  <si>
    <t>杜军</t>
  </si>
  <si>
    <t>16号楼</t>
  </si>
  <si>
    <t>1102号</t>
  </si>
  <si>
    <t>北京住房公积金管理中心东城第一管理部</t>
  </si>
  <si>
    <t>八</t>
  </si>
  <si>
    <t>北京市海淀区甘家口甲12号</t>
  </si>
  <si>
    <t>1101081437256（1-1）</t>
  </si>
  <si>
    <t>2003-21-P-00466</t>
  </si>
  <si>
    <t>张瑞军</t>
  </si>
  <si>
    <t>110102750616155</t>
  </si>
  <si>
    <t>索家坟志强园习习景园</t>
  </si>
  <si>
    <t>C座</t>
  </si>
  <si>
    <t>4层</t>
  </si>
  <si>
    <t>422号</t>
  </si>
  <si>
    <t>北京都鹏房地产开发有限公司</t>
  </si>
  <si>
    <t>北京住房公积金管理中心西城第一管理部</t>
  </si>
  <si>
    <t>五</t>
  </si>
  <si>
    <t>北京市平谷区平谷镇新平西路金谷园</t>
  </si>
  <si>
    <t>1102261331589(1-1)</t>
  </si>
  <si>
    <t>梁彪</t>
  </si>
  <si>
    <t>2003-21-P-00479</t>
    <phoneticPr fontId="5" type="noConversion"/>
  </si>
  <si>
    <t>张越</t>
    <phoneticPr fontId="5" type="noConversion"/>
  </si>
  <si>
    <t>320311197512191229</t>
    <phoneticPr fontId="5" type="noConversion"/>
  </si>
  <si>
    <t>A4座</t>
    <phoneticPr fontId="5" type="noConversion"/>
  </si>
  <si>
    <t>14层</t>
    <phoneticPr fontId="5" type="noConversion"/>
  </si>
  <si>
    <t>08号</t>
    <phoneticPr fontId="5" type="noConversion"/>
  </si>
  <si>
    <t>北京住房公积金管理中心朝阳第二管理部</t>
    <phoneticPr fontId="5" type="noConversion"/>
  </si>
  <si>
    <t>547802</t>
    <phoneticPr fontId="5" type="noConversion"/>
  </si>
  <si>
    <t xml:space="preserve">合同特定编号 </t>
    <phoneticPr fontId="5" type="noConversion"/>
  </si>
  <si>
    <t>2003-21-P-00486</t>
    <phoneticPr fontId="5" type="noConversion"/>
  </si>
  <si>
    <t>史宇</t>
    <phoneticPr fontId="5" type="noConversion"/>
  </si>
  <si>
    <t>110108590115543</t>
    <phoneticPr fontId="5" type="noConversion"/>
  </si>
  <si>
    <t>13910807796</t>
    <phoneticPr fontId="5" type="noConversion"/>
  </si>
  <si>
    <t>清河住宅小区A、D、E、F、G座力度家园</t>
  </si>
  <si>
    <t>A座</t>
  </si>
  <si>
    <t>17层</t>
    <phoneticPr fontId="5" type="noConversion"/>
  </si>
  <si>
    <t>1705号</t>
    <phoneticPr fontId="5" type="noConversion"/>
  </si>
  <si>
    <t>北京方恒房地产开发有限公司</t>
  </si>
  <si>
    <t>结构施工</t>
  </si>
  <si>
    <t>九</t>
  </si>
  <si>
    <t>杨红英</t>
    <phoneticPr fontId="5" type="noConversion"/>
  </si>
  <si>
    <t>531782</t>
    <phoneticPr fontId="5" type="noConversion"/>
  </si>
  <si>
    <t>北京市密云县工业区大盛路18号</t>
  </si>
  <si>
    <t>1100001170805(1-1)</t>
  </si>
  <si>
    <t>杨文华</t>
  </si>
  <si>
    <t>2003-21-P-00498</t>
  </si>
  <si>
    <t>程显辉</t>
  </si>
  <si>
    <t>370682196410280235</t>
  </si>
  <si>
    <t>13311163576</t>
  </si>
  <si>
    <t>16#楼</t>
  </si>
  <si>
    <t>17层</t>
  </si>
  <si>
    <t>1715号</t>
  </si>
  <si>
    <t>北京住房公积金管理中心昌平管理部</t>
  </si>
  <si>
    <t>外装修</t>
  </si>
  <si>
    <t>550844</t>
  </si>
  <si>
    <t>2003-21-P-00507</t>
  </si>
  <si>
    <t>张建琴</t>
  </si>
  <si>
    <t>110105196909274725</t>
  </si>
  <si>
    <t>15层</t>
  </si>
  <si>
    <t>1502号</t>
  </si>
  <si>
    <t>北京住房公积金管理中心中关村管理部</t>
  </si>
  <si>
    <t>十</t>
  </si>
  <si>
    <t>2003-21-P-00510</t>
    <phoneticPr fontId="5" type="noConversion"/>
  </si>
  <si>
    <t>朱毅</t>
    <phoneticPr fontId="5" type="noConversion"/>
  </si>
  <si>
    <t>110108197511045416</t>
    <phoneticPr fontId="5" type="noConversion"/>
  </si>
  <si>
    <t>A4座</t>
  </si>
  <si>
    <t>9层</t>
    <phoneticPr fontId="5" type="noConversion"/>
  </si>
  <si>
    <t>北京住房公积金管理中心西城第一管理部</t>
    <phoneticPr fontId="5" type="noConversion"/>
  </si>
  <si>
    <t>外装修</t>
    <phoneticPr fontId="5" type="noConversion"/>
  </si>
  <si>
    <t>十</t>
    <phoneticPr fontId="5" type="noConversion"/>
  </si>
  <si>
    <t xml:space="preserve">合同特定编号 </t>
  </si>
  <si>
    <t>2003-21-P-00511</t>
    <phoneticPr fontId="5" type="noConversion"/>
  </si>
  <si>
    <t>齐锦虹</t>
    <phoneticPr fontId="5" type="noConversion"/>
  </si>
  <si>
    <t>120104196611146320</t>
    <phoneticPr fontId="5" type="noConversion"/>
  </si>
  <si>
    <t>13501267223</t>
    <phoneticPr fontId="5" type="noConversion"/>
  </si>
  <si>
    <t>阜石路35号兰德华庭</t>
  </si>
  <si>
    <t>3幢</t>
  </si>
  <si>
    <t>北京罗兰德房地产开发有限公司</t>
  </si>
  <si>
    <t>北京住房公积金管理中心东城第二管理部</t>
    <phoneticPr fontId="5" type="noConversion"/>
  </si>
  <si>
    <t>531319</t>
    <phoneticPr fontId="5" type="noConversion"/>
  </si>
  <si>
    <t>北京市大兴区礼贤镇工业区18号</t>
  </si>
  <si>
    <t>1102242271867（1-1）</t>
  </si>
  <si>
    <t>蒋伟</t>
  </si>
  <si>
    <t>2003-21-P-00536</t>
    <phoneticPr fontId="5" type="noConversion"/>
  </si>
  <si>
    <t>孙鹏</t>
    <phoneticPr fontId="5" type="noConversion"/>
  </si>
  <si>
    <t>110102197605293017</t>
    <phoneticPr fontId="5" type="noConversion"/>
  </si>
  <si>
    <t>62382671  13693076104</t>
    <phoneticPr fontId="5" type="noConversion"/>
  </si>
  <si>
    <t>东升乡马坊村宝盛北里</t>
  </si>
  <si>
    <t>A23幢</t>
    <phoneticPr fontId="5" type="noConversion"/>
  </si>
  <si>
    <t>北京宝晟住房股份有限公司</t>
  </si>
  <si>
    <t>十一</t>
    <phoneticPr fontId="5" type="noConversion"/>
  </si>
  <si>
    <t>560152</t>
    <phoneticPr fontId="5" type="noConversion"/>
  </si>
  <si>
    <t>北京市东城区沙滩后街22号</t>
  </si>
  <si>
    <t>1100001505756</t>
  </si>
  <si>
    <t>李发增</t>
  </si>
  <si>
    <t>2003-21-P-00548</t>
    <phoneticPr fontId="5" type="noConversion"/>
  </si>
  <si>
    <t>靳广宇</t>
    <phoneticPr fontId="5" type="noConversion"/>
  </si>
  <si>
    <t>610113197604152199</t>
    <phoneticPr fontId="5" type="noConversion"/>
  </si>
  <si>
    <t>13601375700  62335926</t>
    <phoneticPr fontId="5" type="noConversion"/>
  </si>
  <si>
    <t>玉渊潭乡靛厂村吴家场住宅小区</t>
    <phoneticPr fontId="5" type="noConversion"/>
  </si>
  <si>
    <t>3幢</t>
    <phoneticPr fontId="5" type="noConversion"/>
  </si>
  <si>
    <t>16层</t>
    <phoneticPr fontId="5" type="noConversion"/>
  </si>
  <si>
    <t>1606号</t>
    <phoneticPr fontId="5" type="noConversion"/>
  </si>
  <si>
    <t>北京耀辉置业有限公司</t>
    <phoneticPr fontId="5" type="noConversion"/>
  </si>
  <si>
    <t>结构施工</t>
    <phoneticPr fontId="5" type="noConversion"/>
  </si>
  <si>
    <t>十一</t>
    <phoneticPr fontId="5" type="noConversion"/>
  </si>
  <si>
    <t>北京耀辉置业有限公司</t>
    <phoneticPr fontId="5" type="noConversion"/>
  </si>
  <si>
    <t>门头沟区石龙工业区龙园路10-25号</t>
    <phoneticPr fontId="5" type="noConversion"/>
  </si>
  <si>
    <t>1100002260421（1-1）</t>
    <phoneticPr fontId="5" type="noConversion"/>
  </si>
  <si>
    <t>王清福</t>
    <phoneticPr fontId="5" type="noConversion"/>
  </si>
  <si>
    <t>2003-21-P-00568</t>
    <phoneticPr fontId="5" type="noConversion"/>
  </si>
  <si>
    <t>魏世民</t>
    <phoneticPr fontId="5" type="noConversion"/>
  </si>
  <si>
    <t>110108650913645</t>
    <phoneticPr fontId="5" type="noConversion"/>
  </si>
  <si>
    <t>62283339  13520582422</t>
    <phoneticPr fontId="5" type="noConversion"/>
  </si>
  <si>
    <t>16号楼</t>
    <phoneticPr fontId="5" type="noConversion"/>
  </si>
  <si>
    <t>8层</t>
    <phoneticPr fontId="5" type="noConversion"/>
  </si>
  <si>
    <t>811号</t>
    <phoneticPr fontId="5" type="noConversion"/>
  </si>
  <si>
    <t>北京住房公积金管理中心中关村管理部</t>
    <phoneticPr fontId="5" type="noConversion"/>
  </si>
  <si>
    <t>结构施工</t>
    <phoneticPr fontId="5" type="noConversion"/>
  </si>
  <si>
    <t>562918</t>
    <phoneticPr fontId="5" type="noConversion"/>
  </si>
  <si>
    <t>2003-21-P-00576</t>
    <phoneticPr fontId="5" type="noConversion"/>
  </si>
  <si>
    <t>彭爱京 梁利</t>
    <phoneticPr fontId="5" type="noConversion"/>
  </si>
  <si>
    <t>110108680226111  110108690925812</t>
    <phoneticPr fontId="5" type="noConversion"/>
  </si>
  <si>
    <t>62320957</t>
    <phoneticPr fontId="5" type="noConversion"/>
  </si>
  <si>
    <t>树村万霖博雅明园</t>
    <phoneticPr fontId="5" type="noConversion"/>
  </si>
  <si>
    <t>14座</t>
    <phoneticPr fontId="5" type="noConversion"/>
  </si>
  <si>
    <t>北京世纪兴业房地产开发有限公司</t>
    <phoneticPr fontId="5" type="noConversion"/>
  </si>
  <si>
    <t>593754</t>
    <phoneticPr fontId="5" type="noConversion"/>
  </si>
  <si>
    <t>北京世纪兴业房地产开发有限公司</t>
    <phoneticPr fontId="5" type="noConversion"/>
  </si>
  <si>
    <t>北京市密云县新中街42号</t>
    <phoneticPr fontId="5" type="noConversion"/>
  </si>
  <si>
    <t>1100001295799</t>
    <phoneticPr fontId="5" type="noConversion"/>
  </si>
  <si>
    <t>叶丽宁</t>
    <phoneticPr fontId="5" type="noConversion"/>
  </si>
  <si>
    <t>2003-21-P-00577-M</t>
    <phoneticPr fontId="5" type="noConversion"/>
  </si>
  <si>
    <t>秦宪明</t>
    <phoneticPr fontId="5" type="noConversion"/>
  </si>
  <si>
    <t>110108197206220417</t>
    <phoneticPr fontId="5" type="noConversion"/>
  </si>
  <si>
    <t>67566028 67520978</t>
    <phoneticPr fontId="5" type="noConversion"/>
  </si>
  <si>
    <t>万柳中路蜂鸟家园</t>
    <phoneticPr fontId="5" type="noConversion"/>
  </si>
  <si>
    <t>5幢</t>
    <phoneticPr fontId="5" type="noConversion"/>
  </si>
  <si>
    <t>706号（行政号4幢4单元706号）</t>
    <phoneticPr fontId="5" type="noConversion"/>
  </si>
  <si>
    <t>北京恒宇佳泰房地产开发有限公司</t>
    <phoneticPr fontId="5" type="noConversion"/>
  </si>
  <si>
    <t>十二</t>
    <phoneticPr fontId="5" type="noConversion"/>
  </si>
  <si>
    <t>五</t>
    <phoneticPr fontId="5" type="noConversion"/>
  </si>
  <si>
    <t>566713</t>
    <phoneticPr fontId="5" type="noConversion"/>
  </si>
  <si>
    <t>北京恒宇佳泰房地产开发有限公司</t>
    <phoneticPr fontId="5" type="noConversion"/>
  </si>
  <si>
    <t>北京市海淀区万柳中路</t>
    <phoneticPr fontId="5" type="noConversion"/>
  </si>
  <si>
    <t>1102272179720（1-1）</t>
    <phoneticPr fontId="5" type="noConversion"/>
  </si>
  <si>
    <t>刘伟</t>
    <phoneticPr fontId="5" type="noConversion"/>
  </si>
  <si>
    <t>2003-22-P-00001-M</t>
    <phoneticPr fontId="5" type="noConversion"/>
  </si>
  <si>
    <t>王丽英</t>
    <phoneticPr fontId="5" type="noConversion"/>
  </si>
  <si>
    <t>110108641205274</t>
    <phoneticPr fontId="5" type="noConversion"/>
  </si>
  <si>
    <t>1101号</t>
    <phoneticPr fontId="5" type="noConversion"/>
  </si>
  <si>
    <t>李晶</t>
    <phoneticPr fontId="5" type="noConversion"/>
  </si>
  <si>
    <t>2003-3-D1-00001</t>
    <phoneticPr fontId="5" type="noConversion"/>
  </si>
  <si>
    <t>234379</t>
    <phoneticPr fontId="5" type="noConversion"/>
  </si>
  <si>
    <t>2003-22-P-00004</t>
    <phoneticPr fontId="5" type="noConversion"/>
  </si>
  <si>
    <t>徐含威</t>
    <phoneticPr fontId="5" type="noConversion"/>
  </si>
  <si>
    <t>142401740212302</t>
    <phoneticPr fontId="5" type="noConversion"/>
  </si>
  <si>
    <t>13910159095</t>
    <phoneticPr fontId="5" type="noConversion"/>
  </si>
  <si>
    <t>1512号</t>
    <phoneticPr fontId="5" type="noConversion"/>
  </si>
  <si>
    <t>2003-3-D1-00009</t>
    <phoneticPr fontId="5" type="noConversion"/>
  </si>
  <si>
    <t>2003-22-P-00005-M</t>
    <phoneticPr fontId="5" type="noConversion"/>
  </si>
  <si>
    <t>尤洪君</t>
    <phoneticPr fontId="5" type="noConversion"/>
  </si>
  <si>
    <t>110108760824895</t>
    <phoneticPr fontId="5" type="noConversion"/>
  </si>
  <si>
    <t>13611110536</t>
    <phoneticPr fontId="5" type="noConversion"/>
  </si>
  <si>
    <t>2003-3-D1-00010</t>
    <phoneticPr fontId="5" type="noConversion"/>
  </si>
  <si>
    <t>232591</t>
    <phoneticPr fontId="5" type="noConversion"/>
  </si>
  <si>
    <t>邹晓鸣</t>
    <phoneticPr fontId="5" type="noConversion"/>
  </si>
  <si>
    <t>2003-22-P-00006-M</t>
    <phoneticPr fontId="5" type="noConversion"/>
  </si>
  <si>
    <t>张秦艳</t>
    <phoneticPr fontId="5" type="noConversion"/>
  </si>
  <si>
    <t>110103670705244</t>
    <phoneticPr fontId="5" type="noConversion"/>
  </si>
  <si>
    <t>62283453</t>
    <phoneticPr fontId="5" type="noConversion"/>
  </si>
  <si>
    <t>4单元</t>
    <phoneticPr fontId="5" type="noConversion"/>
  </si>
  <si>
    <t>202号</t>
    <phoneticPr fontId="5" type="noConversion"/>
  </si>
  <si>
    <t>2003-3-D1-00011</t>
    <phoneticPr fontId="5" type="noConversion"/>
  </si>
  <si>
    <t>234392</t>
    <phoneticPr fontId="5" type="noConversion"/>
  </si>
  <si>
    <t>2003-22-P-00007-M</t>
    <phoneticPr fontId="5" type="noConversion"/>
  </si>
  <si>
    <t>肖京</t>
    <phoneticPr fontId="5" type="noConversion"/>
  </si>
  <si>
    <t>110108641101896</t>
    <phoneticPr fontId="5" type="noConversion"/>
  </si>
  <si>
    <t>13910407553</t>
    <phoneticPr fontId="5" type="noConversion"/>
  </si>
  <si>
    <t>801号</t>
    <phoneticPr fontId="5" type="noConversion"/>
  </si>
  <si>
    <t>北京市住房资金管理中心归集二部</t>
    <phoneticPr fontId="5" type="noConversion"/>
  </si>
  <si>
    <t>2003-3-D1-00012</t>
    <phoneticPr fontId="5" type="noConversion"/>
  </si>
  <si>
    <t>232592</t>
    <phoneticPr fontId="5" type="noConversion"/>
  </si>
  <si>
    <t>2003-22-P-00020-M</t>
    <phoneticPr fontId="5" type="noConversion"/>
  </si>
  <si>
    <t>邸国民</t>
    <phoneticPr fontId="5" type="noConversion"/>
  </si>
  <si>
    <t>370922760527693</t>
    <phoneticPr fontId="5" type="noConversion"/>
  </si>
  <si>
    <t>7#幢</t>
    <phoneticPr fontId="5" type="noConversion"/>
  </si>
  <si>
    <t>1303号</t>
    <phoneticPr fontId="5" type="noConversion"/>
  </si>
  <si>
    <t>二室二厅一卫一厨</t>
    <phoneticPr fontId="5" type="noConversion"/>
  </si>
  <si>
    <t>2003-22-P-00025</t>
  </si>
  <si>
    <t>田心健</t>
  </si>
  <si>
    <t>110108590408371</t>
  </si>
  <si>
    <t>13801045159</t>
  </si>
  <si>
    <t>6号楼</t>
  </si>
  <si>
    <t>7单元</t>
  </si>
  <si>
    <t>603号</t>
  </si>
  <si>
    <t>复式√、平层、跃层、错层</t>
  </si>
  <si>
    <t>邓晓澜</t>
  </si>
  <si>
    <t>2003-22-P-00026</t>
  </si>
  <si>
    <t>董建国</t>
  </si>
  <si>
    <t>110108590727633</t>
  </si>
  <si>
    <t>68813285</t>
  </si>
  <si>
    <t>504号</t>
  </si>
  <si>
    <t>2003-22-P-00027</t>
  </si>
  <si>
    <t>刘步</t>
  </si>
  <si>
    <t>110108621103377</t>
  </si>
  <si>
    <t>13520454086</t>
  </si>
  <si>
    <t>404号</t>
  </si>
  <si>
    <t>2003-22-P-00032</t>
    <phoneticPr fontId="5" type="noConversion"/>
  </si>
  <si>
    <t>杜若明</t>
    <phoneticPr fontId="5" type="noConversion"/>
  </si>
  <si>
    <t>110108630925183</t>
    <phoneticPr fontId="5" type="noConversion"/>
  </si>
  <si>
    <t>2103号</t>
    <phoneticPr fontId="5" type="noConversion"/>
  </si>
  <si>
    <t>2003-3-D1-00059</t>
    <phoneticPr fontId="5" type="noConversion"/>
  </si>
  <si>
    <t>263387</t>
    <phoneticPr fontId="5" type="noConversion"/>
  </si>
  <si>
    <t>2003-22-P-00034</t>
    <phoneticPr fontId="5" type="noConversion"/>
  </si>
  <si>
    <t>刘丽丽</t>
    <phoneticPr fontId="5" type="noConversion"/>
  </si>
  <si>
    <t>130636780111174</t>
    <phoneticPr fontId="5" type="noConversion"/>
  </si>
  <si>
    <t>13911892117</t>
    <phoneticPr fontId="5" type="noConversion"/>
  </si>
  <si>
    <t>二幢</t>
    <phoneticPr fontId="5" type="noConversion"/>
  </si>
  <si>
    <t>六单元</t>
    <phoneticPr fontId="5" type="noConversion"/>
  </si>
  <si>
    <t>2003-3-D1-00079</t>
    <phoneticPr fontId="5" type="noConversion"/>
  </si>
  <si>
    <t>201429</t>
    <phoneticPr fontId="5" type="noConversion"/>
  </si>
  <si>
    <t>2003-22-P-00040</t>
  </si>
  <si>
    <t>王瑞金</t>
  </si>
  <si>
    <t>110108196312033733</t>
  </si>
  <si>
    <t>13161119209</t>
  </si>
  <si>
    <t>503号</t>
  </si>
  <si>
    <t>2003-22-P-00042-M</t>
    <phoneticPr fontId="5" type="noConversion"/>
  </si>
  <si>
    <t>刘立军</t>
    <phoneticPr fontId="5" type="noConversion"/>
  </si>
  <si>
    <t>110108700920577</t>
    <phoneticPr fontId="5" type="noConversion"/>
  </si>
  <si>
    <t>13910825830</t>
    <phoneticPr fontId="5" type="noConversion"/>
  </si>
  <si>
    <t>苏海</t>
    <phoneticPr fontId="5" type="noConversion"/>
  </si>
  <si>
    <t>232580</t>
    <phoneticPr fontId="5" type="noConversion"/>
  </si>
  <si>
    <t>2.7（起居室5.0）</t>
    <phoneticPr fontId="5" type="noConversion"/>
  </si>
  <si>
    <t>2003-22-P-00044</t>
    <phoneticPr fontId="5" type="noConversion"/>
  </si>
  <si>
    <t>郭雨</t>
    <phoneticPr fontId="5" type="noConversion"/>
  </si>
  <si>
    <t>110108710916372</t>
    <phoneticPr fontId="5" type="noConversion"/>
  </si>
  <si>
    <t>三幢</t>
    <phoneticPr fontId="5" type="noConversion"/>
  </si>
  <si>
    <t>502号</t>
    <phoneticPr fontId="5" type="noConversion"/>
  </si>
  <si>
    <t>北京市住房资金管理中心</t>
    <phoneticPr fontId="5" type="noConversion"/>
  </si>
  <si>
    <t>2003-3-D1-00083</t>
    <phoneticPr fontId="5" type="noConversion"/>
  </si>
  <si>
    <t>2003-22-P-00045</t>
    <phoneticPr fontId="5" type="noConversion"/>
  </si>
  <si>
    <t>王胜振</t>
    <phoneticPr fontId="5" type="noConversion"/>
  </si>
  <si>
    <t>230103197607305513</t>
    <phoneticPr fontId="5" type="noConversion"/>
  </si>
  <si>
    <t>三单元</t>
    <phoneticPr fontId="5" type="noConversion"/>
  </si>
  <si>
    <t>北京市住房资金管理中心丰台区分中心</t>
    <phoneticPr fontId="5" type="noConversion"/>
  </si>
  <si>
    <t>2003-3-D1-00084</t>
    <phoneticPr fontId="5" type="noConversion"/>
  </si>
  <si>
    <t>2003-22-P-00046</t>
    <phoneticPr fontId="5" type="noConversion"/>
  </si>
  <si>
    <t>夏文涛</t>
    <phoneticPr fontId="5" type="noConversion"/>
  </si>
  <si>
    <t>110108197311173712</t>
    <phoneticPr fontId="5" type="noConversion"/>
  </si>
  <si>
    <t>2003-3-D1-00085</t>
    <phoneticPr fontId="5" type="noConversion"/>
  </si>
  <si>
    <t>2003-22-P-00047</t>
  </si>
  <si>
    <t>史锋义</t>
    <phoneticPr fontId="5" type="noConversion"/>
  </si>
  <si>
    <t>14262519731022331X</t>
    <phoneticPr fontId="5" type="noConversion"/>
  </si>
  <si>
    <t>铁家坟泽丰苑</t>
    <phoneticPr fontId="5" type="noConversion"/>
  </si>
  <si>
    <t>一单元</t>
    <phoneticPr fontId="5" type="noConversion"/>
  </si>
  <si>
    <t>2003-3-D1-00087</t>
    <phoneticPr fontId="5" type="noConversion"/>
  </si>
  <si>
    <t>2003-22-P-00048</t>
  </si>
  <si>
    <t>许宇华</t>
    <phoneticPr fontId="5" type="noConversion"/>
  </si>
  <si>
    <t>360203197710081532</t>
    <phoneticPr fontId="5" type="noConversion"/>
  </si>
  <si>
    <t>一单元</t>
    <phoneticPr fontId="5" type="noConversion"/>
  </si>
  <si>
    <t>2003-3-D1-00089</t>
    <phoneticPr fontId="5" type="noConversion"/>
  </si>
  <si>
    <t>1102232263797(1-1)</t>
    <phoneticPr fontId="5" type="noConversion"/>
  </si>
  <si>
    <t>2003-22-P-00049</t>
  </si>
  <si>
    <t>黄恺</t>
  </si>
  <si>
    <t>211302197006291613</t>
  </si>
  <si>
    <t>四幢</t>
  </si>
  <si>
    <t>二单元</t>
  </si>
  <si>
    <t>203号</t>
  </si>
  <si>
    <t>北京市住房资金管理中心丰台区分中心</t>
  </si>
  <si>
    <t>2003-3-D1-00090</t>
  </si>
  <si>
    <t>2003-22-P-00049-2</t>
    <phoneticPr fontId="5" type="noConversion"/>
  </si>
  <si>
    <t>邹晓鸣</t>
    <phoneticPr fontId="5" type="noConversion"/>
  </si>
  <si>
    <t>变更（中心名称：市改为长峰）</t>
    <phoneticPr fontId="5" type="noConversion"/>
  </si>
  <si>
    <t>2003-22-P-00050</t>
    <phoneticPr fontId="5" type="noConversion"/>
  </si>
  <si>
    <t>高伟巍</t>
    <phoneticPr fontId="5" type="noConversion"/>
  </si>
  <si>
    <t>11010819770102371X</t>
    <phoneticPr fontId="5" type="noConversion"/>
  </si>
  <si>
    <t>2003-3-D1-00091</t>
    <phoneticPr fontId="5" type="noConversion"/>
  </si>
  <si>
    <t>2003-22-P-00051</t>
  </si>
  <si>
    <t>黄莺</t>
  </si>
  <si>
    <t>420106197712237748</t>
  </si>
  <si>
    <t>三幢</t>
  </si>
  <si>
    <t>一单元</t>
  </si>
  <si>
    <t>2003-3-D1-00092</t>
  </si>
  <si>
    <t>2003-22-P-00052</t>
    <phoneticPr fontId="5" type="noConversion"/>
  </si>
  <si>
    <t>黄永清</t>
    <phoneticPr fontId="5" type="noConversion"/>
  </si>
  <si>
    <t>330106681212049</t>
    <phoneticPr fontId="5" type="noConversion"/>
  </si>
  <si>
    <t>2003-3-D1-00093</t>
    <phoneticPr fontId="5" type="noConversion"/>
  </si>
  <si>
    <t>2003-22-P-00053</t>
  </si>
  <si>
    <t>周传英</t>
  </si>
  <si>
    <t>110107650422033</t>
  </si>
  <si>
    <t>2003-3-D1-00094</t>
  </si>
  <si>
    <t>2003-22-P-00054</t>
    <phoneticPr fontId="5" type="noConversion"/>
  </si>
  <si>
    <t>武亚平</t>
    <phoneticPr fontId="5" type="noConversion"/>
  </si>
  <si>
    <t>110108621105375</t>
    <phoneticPr fontId="5" type="noConversion"/>
  </si>
  <si>
    <t>501号</t>
    <phoneticPr fontId="5" type="noConversion"/>
  </si>
  <si>
    <t>2003-3-D1-00095</t>
    <phoneticPr fontId="5" type="noConversion"/>
  </si>
  <si>
    <t>2003-22-P-00068</t>
  </si>
  <si>
    <t>王涛</t>
  </si>
  <si>
    <t>130203730819241</t>
  </si>
  <si>
    <t>四单元</t>
  </si>
  <si>
    <t>401号</t>
  </si>
  <si>
    <t>2003-3-D1-00098</t>
  </si>
  <si>
    <t>2003-22-P-00069</t>
    <phoneticPr fontId="5" type="noConversion"/>
  </si>
  <si>
    <t>苏革</t>
    <phoneticPr fontId="5" type="noConversion"/>
  </si>
  <si>
    <t>110108660905341</t>
    <phoneticPr fontId="5" type="noConversion"/>
  </si>
  <si>
    <t>2003-3-D1-00099</t>
    <phoneticPr fontId="5" type="noConversion"/>
  </si>
  <si>
    <t>2003-22-P-00076</t>
    <phoneticPr fontId="5" type="noConversion"/>
  </si>
  <si>
    <t>李彩斌</t>
    <phoneticPr fontId="5" type="noConversion"/>
  </si>
  <si>
    <t>310110720213361</t>
    <phoneticPr fontId="5" type="noConversion"/>
  </si>
  <si>
    <t>13910697829</t>
    <phoneticPr fontId="5" type="noConversion"/>
  </si>
  <si>
    <t>四幢</t>
    <phoneticPr fontId="5" type="noConversion"/>
  </si>
  <si>
    <t>5单元</t>
    <phoneticPr fontId="5" type="noConversion"/>
  </si>
  <si>
    <t>2003-3-D1-00105</t>
    <phoneticPr fontId="5" type="noConversion"/>
  </si>
  <si>
    <t>邮政编码</t>
    <phoneticPr fontId="5" type="noConversion"/>
  </si>
  <si>
    <t>2003-22-P-00078</t>
  </si>
  <si>
    <t>李勃</t>
  </si>
  <si>
    <t>110107197507270315</t>
  </si>
  <si>
    <t>建西苑中里</t>
  </si>
  <si>
    <t>9号楼</t>
  </si>
  <si>
    <t>602号</t>
  </si>
  <si>
    <t>北京富民住房股份有限公司</t>
  </si>
  <si>
    <t>6-6.5</t>
  </si>
  <si>
    <t>北京市住房资金管理中心首钢归集分部</t>
  </si>
  <si>
    <t>丰台区宋庄路3号</t>
  </si>
  <si>
    <t>张毅</t>
  </si>
  <si>
    <t>2003-22-P-00083</t>
  </si>
  <si>
    <t>李国英</t>
  </si>
  <si>
    <t>110108590616375</t>
  </si>
  <si>
    <t>三单元</t>
  </si>
  <si>
    <t>2003-3-D1-00120</t>
  </si>
  <si>
    <t>2003-22-P-00083-2</t>
    <phoneticPr fontId="5" type="noConversion"/>
  </si>
  <si>
    <t>变更（中心名称：市改为长峰）</t>
    <phoneticPr fontId="5" type="noConversion"/>
  </si>
  <si>
    <t>2003-22-P-00093</t>
  </si>
  <si>
    <t>赵钿</t>
  </si>
  <si>
    <t>11010819701114897X</t>
  </si>
  <si>
    <t>101号</t>
  </si>
  <si>
    <t>2003-3-D1-00128</t>
  </si>
  <si>
    <t>邹晓鸣</t>
  </si>
  <si>
    <t>2003-22-P-00095-M</t>
  </si>
  <si>
    <t>任燕卿</t>
  </si>
  <si>
    <t>110108197405201825</t>
  </si>
  <si>
    <t>13611267277</t>
  </si>
  <si>
    <t>217583</t>
  </si>
  <si>
    <t>2003-22-P-00096-M</t>
  </si>
  <si>
    <t>钟蔚</t>
  </si>
  <si>
    <t>362125731229001</t>
  </si>
  <si>
    <t>13661356465</t>
  </si>
  <si>
    <t>1203号</t>
  </si>
  <si>
    <t>二室二厅一卫一厨</t>
  </si>
  <si>
    <t>北京市住房资金管理中心市电信公司分中心</t>
  </si>
  <si>
    <t>226861</t>
  </si>
  <si>
    <t>2003-22-P-00097-M</t>
  </si>
  <si>
    <t>毕波</t>
  </si>
  <si>
    <t>420107197601210514</t>
  </si>
  <si>
    <t>62986688-1221</t>
  </si>
  <si>
    <t>1307号</t>
  </si>
  <si>
    <t>217510</t>
  </si>
  <si>
    <t>2003-22-P-00103</t>
    <phoneticPr fontId="5" type="noConversion"/>
  </si>
  <si>
    <t>孙冲</t>
    <phoneticPr fontId="5" type="noConversion"/>
  </si>
  <si>
    <t>220223197902080029</t>
    <phoneticPr fontId="5" type="noConversion"/>
  </si>
  <si>
    <t>13621272361</t>
    <phoneticPr fontId="5" type="noConversion"/>
  </si>
  <si>
    <t>1102号</t>
    <phoneticPr fontId="5" type="noConversion"/>
  </si>
  <si>
    <t>2002-3-D1-05354</t>
    <phoneticPr fontId="5" type="noConversion"/>
  </si>
  <si>
    <t>263962</t>
    <phoneticPr fontId="5" type="noConversion"/>
  </si>
  <si>
    <t>2003-22-P-00118-M</t>
    <phoneticPr fontId="5" type="noConversion"/>
  </si>
  <si>
    <t>武志华</t>
    <phoneticPr fontId="5" type="noConversion"/>
  </si>
  <si>
    <t>142322721110752</t>
    <phoneticPr fontId="5" type="noConversion"/>
  </si>
  <si>
    <t>13641330197</t>
    <phoneticPr fontId="5" type="noConversion"/>
  </si>
  <si>
    <t>6单元</t>
    <phoneticPr fontId="5" type="noConversion"/>
  </si>
  <si>
    <t>2003-3-D1-00145</t>
    <phoneticPr fontId="5" type="noConversion"/>
  </si>
  <si>
    <t>233619</t>
    <phoneticPr fontId="5" type="noConversion"/>
  </si>
  <si>
    <t>2003-22-P-00121</t>
    <phoneticPr fontId="5" type="noConversion"/>
  </si>
  <si>
    <t>毕海洲</t>
    <phoneticPr fontId="5" type="noConversion"/>
  </si>
  <si>
    <t>230103197606235533</t>
    <phoneticPr fontId="5" type="noConversion"/>
  </si>
  <si>
    <t>302号</t>
    <phoneticPr fontId="5" type="noConversion"/>
  </si>
  <si>
    <t>2003-3-D1-00147</t>
    <phoneticPr fontId="5" type="noConversion"/>
  </si>
  <si>
    <t>2003-22-P-00124</t>
  </si>
  <si>
    <t>刘鹤飞</t>
  </si>
  <si>
    <t>110108197201246079</t>
  </si>
  <si>
    <t>13910843356</t>
  </si>
  <si>
    <t>西八里庄颐安嘉园新小区</t>
  </si>
  <si>
    <t>1#楼</t>
  </si>
  <si>
    <t>7层</t>
  </si>
  <si>
    <t>803号</t>
  </si>
  <si>
    <t xml:space="preserve">北京颐安房地产股份有限公司 </t>
  </si>
  <si>
    <t>145270</t>
  </si>
  <si>
    <t>北京市海淀区双榆树西里10号</t>
  </si>
  <si>
    <t>11502825</t>
  </si>
  <si>
    <t>贲勇</t>
  </si>
  <si>
    <t>2003-22-P-00125</t>
    <phoneticPr fontId="5" type="noConversion"/>
  </si>
  <si>
    <t>张建红</t>
    <phoneticPr fontId="5" type="noConversion"/>
  </si>
  <si>
    <t>51010219670410850X</t>
    <phoneticPr fontId="5" type="noConversion"/>
  </si>
  <si>
    <t>13683387443</t>
    <phoneticPr fontId="5" type="noConversion"/>
  </si>
  <si>
    <t>208号</t>
    <phoneticPr fontId="5" type="noConversion"/>
  </si>
  <si>
    <t>2003-3-D1-00156</t>
    <phoneticPr fontId="5" type="noConversion"/>
  </si>
  <si>
    <t>263395</t>
    <phoneticPr fontId="5" type="noConversion"/>
  </si>
  <si>
    <t>2003-22-P-00127-M</t>
    <phoneticPr fontId="5" type="noConversion"/>
  </si>
  <si>
    <t xml:space="preserve">王建晖 </t>
    <phoneticPr fontId="5" type="noConversion"/>
  </si>
  <si>
    <t>110108720325971</t>
    <phoneticPr fontId="5" type="noConversion"/>
  </si>
  <si>
    <t>13671189709</t>
    <phoneticPr fontId="5" type="noConversion"/>
  </si>
  <si>
    <t>234485</t>
    <phoneticPr fontId="5" type="noConversion"/>
  </si>
  <si>
    <t>2003-22-P-00132</t>
  </si>
  <si>
    <t>王振华</t>
  </si>
  <si>
    <t>372523197602156512</t>
  </si>
  <si>
    <t>5层</t>
  </si>
  <si>
    <t>501号</t>
  </si>
  <si>
    <t>竣工备案待发</t>
  </si>
  <si>
    <t>190091</t>
  </si>
  <si>
    <t>2003-22-P-00139</t>
    <phoneticPr fontId="5" type="noConversion"/>
  </si>
  <si>
    <t>赵太平</t>
    <phoneticPr fontId="5" type="noConversion"/>
  </si>
  <si>
    <t>110108441216181</t>
    <phoneticPr fontId="5" type="noConversion"/>
  </si>
  <si>
    <t>13161817374</t>
    <phoneticPr fontId="5" type="noConversion"/>
  </si>
  <si>
    <t>2003-3-D1-00168</t>
    <phoneticPr fontId="5" type="noConversion"/>
  </si>
  <si>
    <t>264766</t>
    <phoneticPr fontId="5" type="noConversion"/>
  </si>
  <si>
    <t>2003-22-P-00159</t>
    <phoneticPr fontId="5" type="noConversion"/>
  </si>
  <si>
    <t>王硕</t>
    <phoneticPr fontId="5" type="noConversion"/>
  </si>
  <si>
    <t>110108680425225</t>
    <phoneticPr fontId="5" type="noConversion"/>
  </si>
  <si>
    <t>E7幢</t>
    <phoneticPr fontId="5" type="noConversion"/>
  </si>
  <si>
    <t>北京爱立斯房地产开发有限公司</t>
    <phoneticPr fontId="5" type="noConversion"/>
  </si>
  <si>
    <t>2003-22-P-00163</t>
    <phoneticPr fontId="5" type="noConversion"/>
  </si>
  <si>
    <t>梁海霞</t>
    <phoneticPr fontId="5" type="noConversion"/>
  </si>
  <si>
    <t>110107770921002</t>
    <phoneticPr fontId="5" type="noConversion"/>
  </si>
  <si>
    <t>2003-22-P-00167</t>
    <phoneticPr fontId="5" type="noConversion"/>
  </si>
  <si>
    <t>叶茹</t>
    <phoneticPr fontId="5" type="noConversion"/>
  </si>
  <si>
    <t>110101620709204</t>
    <phoneticPr fontId="5" type="noConversion"/>
  </si>
  <si>
    <t>13幢</t>
    <phoneticPr fontId="5" type="noConversion"/>
  </si>
  <si>
    <t>北京市住房资金管理中心朝阳区分中心</t>
    <phoneticPr fontId="5" type="noConversion"/>
  </si>
  <si>
    <t>2003-22-P-00168</t>
    <phoneticPr fontId="5" type="noConversion"/>
  </si>
  <si>
    <t>李小六</t>
    <phoneticPr fontId="5" type="noConversion"/>
  </si>
  <si>
    <t>210211750405581</t>
    <phoneticPr fontId="5" type="noConversion"/>
  </si>
  <si>
    <t>19幢</t>
    <phoneticPr fontId="5" type="noConversion"/>
  </si>
  <si>
    <t>101号</t>
    <phoneticPr fontId="5" type="noConversion"/>
  </si>
  <si>
    <t>北京市住房资金管理中心朝阳区分中心</t>
    <phoneticPr fontId="5" type="noConversion"/>
  </si>
  <si>
    <t>李晶</t>
    <phoneticPr fontId="275" type="noConversion"/>
  </si>
  <si>
    <t>2003-22-P-00172</t>
  </si>
  <si>
    <t>刘强</t>
  </si>
  <si>
    <t>510304750408101</t>
  </si>
  <si>
    <t>五单元</t>
  </si>
  <si>
    <t>301号</t>
  </si>
  <si>
    <t>2003-3-D1-00194</t>
  </si>
  <si>
    <t>2003-22-P-00175</t>
  </si>
  <si>
    <t>王月</t>
  </si>
  <si>
    <t>110108761120374</t>
  </si>
  <si>
    <t>北京市住房资金管理中心市烟草专卖局分中心</t>
  </si>
  <si>
    <t>2003-3-D1-00195</t>
  </si>
  <si>
    <t>2003-22-P-00181</t>
    <phoneticPr fontId="5" type="noConversion"/>
  </si>
  <si>
    <t>谢芳华</t>
    <phoneticPr fontId="5" type="noConversion"/>
  </si>
  <si>
    <t>452501740803022</t>
    <phoneticPr fontId="5" type="noConversion"/>
  </si>
  <si>
    <t>21幢</t>
    <phoneticPr fontId="5" type="noConversion"/>
  </si>
  <si>
    <t>2003-3-D1-00203</t>
    <phoneticPr fontId="5" type="noConversion"/>
  </si>
  <si>
    <t>2003-22-P-00184</t>
    <phoneticPr fontId="5" type="noConversion"/>
  </si>
  <si>
    <t>张旭</t>
    <phoneticPr fontId="5" type="noConversion"/>
  </si>
  <si>
    <t>230103630501064</t>
    <phoneticPr fontId="5" type="noConversion"/>
  </si>
  <si>
    <t>305号</t>
    <phoneticPr fontId="5" type="noConversion"/>
  </si>
  <si>
    <t>2003-3-D1-00207</t>
    <phoneticPr fontId="5" type="noConversion"/>
  </si>
  <si>
    <t>264770</t>
    <phoneticPr fontId="5" type="noConversion"/>
  </si>
  <si>
    <t>2003-22-P-00211</t>
    <phoneticPr fontId="5" type="noConversion"/>
  </si>
  <si>
    <t>张彦军、王粉花</t>
    <phoneticPr fontId="5" type="noConversion"/>
  </si>
  <si>
    <t>110108197112206817、230206710902212</t>
    <phoneticPr fontId="5" type="noConversion"/>
  </si>
  <si>
    <t>西三旗育新嘉园</t>
    <phoneticPr fontId="5" type="noConversion"/>
  </si>
  <si>
    <t>3号楼</t>
    <phoneticPr fontId="5" type="noConversion"/>
  </si>
  <si>
    <t>902号</t>
    <phoneticPr fontId="5" type="noConversion"/>
  </si>
  <si>
    <t>2003-3-D1-00234</t>
    <phoneticPr fontId="5" type="noConversion"/>
  </si>
  <si>
    <t>202150</t>
    <phoneticPr fontId="5" type="noConversion"/>
  </si>
  <si>
    <t>北京高苑房地产开发有限公司</t>
    <phoneticPr fontId="5" type="noConversion"/>
  </si>
  <si>
    <t>北京市昌平区南口镇</t>
    <phoneticPr fontId="5" type="noConversion"/>
  </si>
  <si>
    <t>张淑军</t>
    <phoneticPr fontId="5" type="noConversion"/>
  </si>
  <si>
    <t>2003-22-P-00225</t>
    <phoneticPr fontId="5" type="noConversion"/>
  </si>
  <si>
    <t>闫冬梅</t>
    <phoneticPr fontId="5" type="noConversion"/>
  </si>
  <si>
    <t>110108690113042</t>
    <phoneticPr fontId="5" type="noConversion"/>
  </si>
  <si>
    <t>2003-3-D1-00246</t>
    <phoneticPr fontId="5" type="noConversion"/>
  </si>
  <si>
    <t>263391</t>
    <phoneticPr fontId="5" type="noConversion"/>
  </si>
  <si>
    <t>2003-22-P-00226</t>
    <phoneticPr fontId="5" type="noConversion"/>
  </si>
  <si>
    <t>李秀芬</t>
    <phoneticPr fontId="5" type="noConversion"/>
  </si>
  <si>
    <t>210402540202202</t>
    <phoneticPr fontId="5" type="noConversion"/>
  </si>
  <si>
    <t>1108号</t>
    <phoneticPr fontId="5" type="noConversion"/>
  </si>
  <si>
    <t>2003-3-D1-00247</t>
    <phoneticPr fontId="5" type="noConversion"/>
  </si>
  <si>
    <t>263355</t>
    <phoneticPr fontId="5" type="noConversion"/>
  </si>
  <si>
    <t>2003-22-P-00230-M</t>
    <phoneticPr fontId="5" type="noConversion"/>
  </si>
  <si>
    <t>沈辉波</t>
    <phoneticPr fontId="5" type="noConversion"/>
  </si>
  <si>
    <t>330224197201176716</t>
    <phoneticPr fontId="5" type="noConversion"/>
  </si>
  <si>
    <t>13301197717</t>
    <phoneticPr fontId="5" type="noConversion"/>
  </si>
  <si>
    <t>801号</t>
    <phoneticPr fontId="5" type="noConversion"/>
  </si>
  <si>
    <t>232581</t>
    <phoneticPr fontId="5" type="noConversion"/>
  </si>
  <si>
    <t>2003-22-P-00232</t>
    <phoneticPr fontId="5" type="noConversion"/>
  </si>
  <si>
    <t>李英亭</t>
    <phoneticPr fontId="5" type="noConversion"/>
  </si>
  <si>
    <t>110105720126831</t>
    <phoneticPr fontId="5" type="noConversion"/>
  </si>
  <si>
    <t>3层</t>
    <phoneticPr fontId="5" type="noConversion"/>
  </si>
  <si>
    <t>竣工待验收</t>
    <phoneticPr fontId="5" type="noConversion"/>
  </si>
  <si>
    <t>2003-22-P-00247</t>
    <phoneticPr fontId="5" type="noConversion"/>
  </si>
  <si>
    <t>彭华</t>
    <phoneticPr fontId="5" type="noConversion"/>
  </si>
  <si>
    <t>422422197308227335</t>
    <phoneticPr fontId="5" type="noConversion"/>
  </si>
  <si>
    <t>2层</t>
    <phoneticPr fontId="5" type="noConversion"/>
  </si>
  <si>
    <t>209号</t>
    <phoneticPr fontId="5" type="noConversion"/>
  </si>
  <si>
    <t>2003-22-P-00248</t>
    <phoneticPr fontId="5" type="noConversion"/>
  </si>
  <si>
    <t>李洋</t>
    <phoneticPr fontId="5" type="noConversion"/>
  </si>
  <si>
    <t>610330197308152044</t>
    <phoneticPr fontId="5" type="noConversion"/>
  </si>
  <si>
    <t>13691094565</t>
    <phoneticPr fontId="5" type="noConversion"/>
  </si>
  <si>
    <t>1305E号</t>
    <phoneticPr fontId="5" type="noConversion"/>
  </si>
  <si>
    <t>201437</t>
    <phoneticPr fontId="5" type="noConversion"/>
  </si>
  <si>
    <t>2003-22-P-00250</t>
    <phoneticPr fontId="5" type="noConversion"/>
  </si>
  <si>
    <t>张峻</t>
    <phoneticPr fontId="5" type="noConversion"/>
  </si>
  <si>
    <t>110102711014002</t>
    <phoneticPr fontId="5" type="noConversion"/>
  </si>
  <si>
    <t>20幢</t>
    <phoneticPr fontId="5" type="noConversion"/>
  </si>
  <si>
    <t>2003-22-P-00252</t>
    <phoneticPr fontId="5" type="noConversion"/>
  </si>
  <si>
    <t>李湘宏</t>
    <phoneticPr fontId="5" type="noConversion"/>
  </si>
  <si>
    <t>430302197009111534</t>
    <phoneticPr fontId="5" type="noConversion"/>
  </si>
  <si>
    <t>2003-22-P-00268</t>
    <phoneticPr fontId="5" type="noConversion"/>
  </si>
  <si>
    <t>彭江</t>
    <phoneticPr fontId="5" type="noConversion"/>
  </si>
  <si>
    <t>110102197003181114</t>
    <phoneticPr fontId="5" type="noConversion"/>
  </si>
  <si>
    <t>10幢</t>
    <phoneticPr fontId="5" type="noConversion"/>
  </si>
  <si>
    <t>2003-3-D1-00280</t>
    <phoneticPr fontId="5" type="noConversion"/>
  </si>
  <si>
    <t>2003-22-P-00269</t>
    <phoneticPr fontId="5" type="noConversion"/>
  </si>
  <si>
    <t>刘佳</t>
    <phoneticPr fontId="5" type="noConversion"/>
  </si>
  <si>
    <t>110101780621002</t>
    <phoneticPr fontId="5" type="noConversion"/>
  </si>
  <si>
    <t>13311113990</t>
    <phoneticPr fontId="5" type="noConversion"/>
  </si>
  <si>
    <t>西直门北大街41号天兆家园</t>
    <phoneticPr fontId="5" type="noConversion"/>
  </si>
  <si>
    <t>A单元</t>
    <phoneticPr fontId="5" type="noConversion"/>
  </si>
  <si>
    <t>地上12层</t>
    <phoneticPr fontId="5" type="noConversion"/>
  </si>
  <si>
    <t>2003-3-D1-00384</t>
    <phoneticPr fontId="5" type="noConversion"/>
  </si>
  <si>
    <t>254904</t>
    <phoneticPr fontId="5" type="noConversion"/>
  </si>
  <si>
    <t>王志刚</t>
    <phoneticPr fontId="5" type="noConversion"/>
  </si>
  <si>
    <t>2003-22-P-00279</t>
    <phoneticPr fontId="5" type="noConversion"/>
  </si>
  <si>
    <t>岳效庄</t>
    <phoneticPr fontId="5" type="noConversion"/>
  </si>
  <si>
    <t>110108590506002</t>
    <phoneticPr fontId="5" type="noConversion"/>
  </si>
  <si>
    <t>2003-3-D1-00295</t>
    <phoneticPr fontId="5" type="noConversion"/>
  </si>
  <si>
    <t>263365</t>
    <phoneticPr fontId="5" type="noConversion"/>
  </si>
  <si>
    <t>2003-22-P-00290</t>
    <phoneticPr fontId="5" type="noConversion"/>
  </si>
  <si>
    <t>兰小红</t>
    <phoneticPr fontId="5" type="noConversion"/>
  </si>
  <si>
    <t>110109681126402</t>
    <phoneticPr fontId="5" type="noConversion"/>
  </si>
  <si>
    <t>09-12号</t>
    <phoneticPr fontId="5" type="noConversion"/>
  </si>
  <si>
    <t>北京市住房资金管理中心门头沟区分中心</t>
    <phoneticPr fontId="5" type="noConversion"/>
  </si>
  <si>
    <t>2003-22-P-00303</t>
    <phoneticPr fontId="5" type="noConversion"/>
  </si>
  <si>
    <t>蔡秋菊</t>
    <phoneticPr fontId="5" type="noConversion"/>
  </si>
  <si>
    <t>110104196210030026</t>
    <phoneticPr fontId="5" type="noConversion"/>
  </si>
  <si>
    <t>506号</t>
    <phoneticPr fontId="5" type="noConversion"/>
  </si>
  <si>
    <t>2003-3-D1-00341</t>
    <phoneticPr fontId="5" type="noConversion"/>
  </si>
  <si>
    <t>263392</t>
    <phoneticPr fontId="5" type="noConversion"/>
  </si>
  <si>
    <t>2003-22-P-00304</t>
    <phoneticPr fontId="5" type="noConversion"/>
  </si>
  <si>
    <t>张国英</t>
    <phoneticPr fontId="5" type="noConversion"/>
  </si>
  <si>
    <t>110108640922894</t>
    <phoneticPr fontId="5" type="noConversion"/>
  </si>
  <si>
    <t>62783271</t>
    <phoneticPr fontId="5" type="noConversion"/>
  </si>
  <si>
    <t>812号</t>
    <phoneticPr fontId="5" type="noConversion"/>
  </si>
  <si>
    <t>2003-3-D1-00342</t>
    <phoneticPr fontId="5" type="noConversion"/>
  </si>
  <si>
    <t>2003-22-P-00305</t>
  </si>
  <si>
    <t>李静</t>
    <phoneticPr fontId="5" type="noConversion"/>
  </si>
  <si>
    <t>110108620629006</t>
    <phoneticPr fontId="5" type="noConversion"/>
  </si>
  <si>
    <t>62754210</t>
    <phoneticPr fontId="5" type="noConversion"/>
  </si>
  <si>
    <t>1511号</t>
    <phoneticPr fontId="5" type="noConversion"/>
  </si>
  <si>
    <t>2003-3-D1-00343</t>
    <phoneticPr fontId="5" type="noConversion"/>
  </si>
  <si>
    <t>2003-22-P-00308</t>
    <phoneticPr fontId="5" type="noConversion"/>
  </si>
  <si>
    <t>庄大明</t>
    <phoneticPr fontId="5" type="noConversion"/>
  </si>
  <si>
    <t>110108631223903</t>
    <phoneticPr fontId="5" type="noConversion"/>
  </si>
  <si>
    <t>2003-3-D1-00345</t>
    <phoneticPr fontId="5" type="noConversion"/>
  </si>
  <si>
    <t>263917</t>
    <phoneticPr fontId="5" type="noConversion"/>
  </si>
  <si>
    <t>2003-22-P-00309</t>
    <phoneticPr fontId="5" type="noConversion"/>
  </si>
  <si>
    <t>苏海东</t>
    <phoneticPr fontId="5" type="noConversion"/>
  </si>
  <si>
    <t>150422730529121</t>
    <phoneticPr fontId="5" type="noConversion"/>
  </si>
  <si>
    <t>1709号</t>
    <phoneticPr fontId="5" type="noConversion"/>
  </si>
  <si>
    <t>2003-3-D1-00346</t>
    <phoneticPr fontId="5" type="noConversion"/>
  </si>
  <si>
    <t>263372</t>
    <phoneticPr fontId="5" type="noConversion"/>
  </si>
  <si>
    <t>2003-22-P-00310</t>
    <phoneticPr fontId="5" type="noConversion"/>
  </si>
  <si>
    <t>陈耀华</t>
    <phoneticPr fontId="5" type="noConversion"/>
  </si>
  <si>
    <t>110108661228183</t>
    <phoneticPr fontId="5" type="noConversion"/>
  </si>
  <si>
    <t>1906号</t>
    <phoneticPr fontId="5" type="noConversion"/>
  </si>
  <si>
    <t>2003-3-D1-00347</t>
    <phoneticPr fontId="5" type="noConversion"/>
  </si>
  <si>
    <t>263955</t>
    <phoneticPr fontId="5" type="noConversion"/>
  </si>
  <si>
    <t>2003-22-P-00312</t>
    <phoneticPr fontId="5" type="noConversion"/>
  </si>
  <si>
    <t>刘建华</t>
    <phoneticPr fontId="5" type="noConversion"/>
  </si>
  <si>
    <t>110108560309893</t>
    <phoneticPr fontId="5" type="noConversion"/>
  </si>
  <si>
    <t>711号</t>
    <phoneticPr fontId="5" type="noConversion"/>
  </si>
  <si>
    <t>2003-3-D1-00349</t>
    <phoneticPr fontId="5" type="noConversion"/>
  </si>
  <si>
    <t>263915</t>
    <phoneticPr fontId="5" type="noConversion"/>
  </si>
  <si>
    <t>2003-22-P-00313</t>
    <phoneticPr fontId="5" type="noConversion"/>
  </si>
  <si>
    <t>肖树伟</t>
    <phoneticPr fontId="5" type="noConversion"/>
  </si>
  <si>
    <t>110108641129647</t>
    <phoneticPr fontId="5" type="noConversion"/>
  </si>
  <si>
    <t>大钟寺危改小区太阳园小区</t>
    <phoneticPr fontId="5" type="noConversion"/>
  </si>
  <si>
    <t>D4座</t>
    <phoneticPr fontId="5" type="noConversion"/>
  </si>
  <si>
    <t>20层</t>
    <phoneticPr fontId="5" type="noConversion"/>
  </si>
  <si>
    <t>04号</t>
    <phoneticPr fontId="5" type="noConversion"/>
  </si>
  <si>
    <t>商品房合同</t>
    <phoneticPr fontId="5" type="noConversion"/>
  </si>
  <si>
    <t>128793</t>
    <phoneticPr fontId="5" type="noConversion"/>
  </si>
  <si>
    <t>北京市海淀区太月元小区1号楼</t>
    <phoneticPr fontId="5" type="noConversion"/>
  </si>
  <si>
    <t>1100001505041(1-1)</t>
    <phoneticPr fontId="5" type="noConversion"/>
  </si>
  <si>
    <t>2003-22-P-00320</t>
    <phoneticPr fontId="5" type="noConversion"/>
  </si>
  <si>
    <t>娄金鸽</t>
    <phoneticPr fontId="5" type="noConversion"/>
  </si>
  <si>
    <t>411102197402011528</t>
    <phoneticPr fontId="5" type="noConversion"/>
  </si>
  <si>
    <t>13910061369</t>
    <phoneticPr fontId="5" type="noConversion"/>
  </si>
  <si>
    <t>2003-3-D1-00353</t>
    <phoneticPr fontId="5" type="noConversion"/>
  </si>
  <si>
    <t>263388</t>
    <phoneticPr fontId="5" type="noConversion"/>
  </si>
  <si>
    <t>2003-22-P-00329</t>
    <phoneticPr fontId="5" type="noConversion"/>
  </si>
  <si>
    <t>胡崧</t>
    <phoneticPr fontId="5" type="noConversion"/>
  </si>
  <si>
    <t>110108730412371</t>
    <phoneticPr fontId="5" type="noConversion"/>
  </si>
  <si>
    <t>2003-3-D1-00360</t>
    <phoneticPr fontId="5" type="noConversion"/>
  </si>
  <si>
    <t>变更（户型录错）</t>
    <phoneticPr fontId="5" type="noConversion"/>
  </si>
  <si>
    <t>2003-22-P-00330</t>
  </si>
  <si>
    <t>邢雨</t>
  </si>
  <si>
    <t>110106197612202721</t>
  </si>
  <si>
    <t>六幢</t>
  </si>
  <si>
    <t>2003-3-D1-00361</t>
  </si>
  <si>
    <t>2003-22-P-00331</t>
    <phoneticPr fontId="5" type="noConversion"/>
  </si>
  <si>
    <t>李艳杰</t>
    <phoneticPr fontId="5" type="noConversion"/>
  </si>
  <si>
    <t>110108196512122247</t>
    <phoneticPr fontId="5" type="noConversion"/>
  </si>
  <si>
    <t>六幢</t>
    <phoneticPr fontId="5" type="noConversion"/>
  </si>
  <si>
    <t>301号</t>
    <phoneticPr fontId="5" type="noConversion"/>
  </si>
  <si>
    <t>二室一厅二卫一厨</t>
    <phoneticPr fontId="5" type="noConversion"/>
  </si>
  <si>
    <t>2003-3-D1-00362</t>
    <phoneticPr fontId="5" type="noConversion"/>
  </si>
  <si>
    <t>2003-22-P-00332</t>
  </si>
  <si>
    <t>张宏君</t>
    <phoneticPr fontId="5" type="noConversion"/>
  </si>
  <si>
    <t>320923711106426</t>
    <phoneticPr fontId="5" type="noConversion"/>
  </si>
  <si>
    <t>五幢</t>
    <phoneticPr fontId="5" type="noConversion"/>
  </si>
  <si>
    <t>203号</t>
    <phoneticPr fontId="5" type="noConversion"/>
  </si>
  <si>
    <t>2003-3-D1-00363</t>
  </si>
  <si>
    <t>2003-22-P-00333</t>
  </si>
  <si>
    <t>于中</t>
    <phoneticPr fontId="5" type="noConversion"/>
  </si>
  <si>
    <t>360104197212160431</t>
    <phoneticPr fontId="5" type="noConversion"/>
  </si>
  <si>
    <t>2003-3-D1-00364</t>
    <phoneticPr fontId="5" type="noConversion"/>
  </si>
  <si>
    <t>2003-22-P-00334</t>
    <phoneticPr fontId="5" type="noConversion"/>
  </si>
  <si>
    <t>车向光</t>
    <phoneticPr fontId="5" type="noConversion"/>
  </si>
  <si>
    <t>110108760319631</t>
    <phoneticPr fontId="5" type="noConversion"/>
  </si>
  <si>
    <t>4幢</t>
    <phoneticPr fontId="5" type="noConversion"/>
  </si>
  <si>
    <t>2003-22-P-00335</t>
    <phoneticPr fontId="5" type="noConversion"/>
  </si>
  <si>
    <t>李华</t>
    <phoneticPr fontId="5" type="noConversion"/>
  </si>
  <si>
    <t>230106197810160013</t>
    <phoneticPr fontId="5" type="noConversion"/>
  </si>
  <si>
    <t>2003-22-P-00344-M</t>
    <phoneticPr fontId="5" type="noConversion"/>
  </si>
  <si>
    <t>刘康</t>
    <phoneticPr fontId="5" type="noConversion"/>
  </si>
  <si>
    <t>110108196911252217</t>
    <phoneticPr fontId="5" type="noConversion"/>
  </si>
  <si>
    <t>13683374233</t>
    <phoneticPr fontId="5" type="noConversion"/>
  </si>
  <si>
    <t>2003-3-D1-00517</t>
    <phoneticPr fontId="5" type="noConversion"/>
  </si>
  <si>
    <t>234225</t>
    <phoneticPr fontId="5" type="noConversion"/>
  </si>
  <si>
    <t>2003-22-P-00360-M</t>
    <phoneticPr fontId="5" type="noConversion"/>
  </si>
  <si>
    <t>翁开域</t>
    <phoneticPr fontId="5" type="noConversion"/>
  </si>
  <si>
    <t>330325197804194317</t>
    <phoneticPr fontId="5" type="noConversion"/>
  </si>
  <si>
    <t>7#</t>
    <phoneticPr fontId="5" type="noConversion"/>
  </si>
  <si>
    <t>807号</t>
    <phoneticPr fontId="5" type="noConversion"/>
  </si>
  <si>
    <t>2003-22-P-00377</t>
    <phoneticPr fontId="5" type="noConversion"/>
  </si>
  <si>
    <t>房卫平</t>
    <phoneticPr fontId="5" type="noConversion"/>
  </si>
  <si>
    <t>110108650625275</t>
    <phoneticPr fontId="5" type="noConversion"/>
  </si>
  <si>
    <t>10幢</t>
    <phoneticPr fontId="5" type="noConversion"/>
  </si>
  <si>
    <t>2003-22-P-00386</t>
    <phoneticPr fontId="5" type="noConversion"/>
  </si>
  <si>
    <t>邱杰</t>
    <phoneticPr fontId="5" type="noConversion"/>
  </si>
  <si>
    <t>110102621124237</t>
    <phoneticPr fontId="5" type="noConversion"/>
  </si>
  <si>
    <t>16层</t>
    <phoneticPr fontId="5" type="noConversion"/>
  </si>
  <si>
    <t>1605号</t>
    <phoneticPr fontId="5" type="noConversion"/>
  </si>
  <si>
    <t>中房集团华北城市建设投资有限公司</t>
  </si>
  <si>
    <t>212785</t>
    <phoneticPr fontId="5" type="noConversion"/>
  </si>
  <si>
    <t>北京市海淀区翠微南里8号</t>
  </si>
  <si>
    <t>殷友田</t>
  </si>
  <si>
    <t>2003-22-P-00387</t>
  </si>
  <si>
    <t>刘敏</t>
  </si>
  <si>
    <t>230224197505280025</t>
  </si>
  <si>
    <t>清河镇危改小区</t>
  </si>
  <si>
    <t>18#楼</t>
  </si>
  <si>
    <t>610号</t>
  </si>
  <si>
    <t>北京紫都房地产开发有限公司</t>
  </si>
  <si>
    <t>基础</t>
  </si>
  <si>
    <t>2003-3-D1-00545</t>
  </si>
  <si>
    <t>263234</t>
  </si>
  <si>
    <t>北京市房山区良乡凯旋大街建设路18号</t>
  </si>
  <si>
    <t>1101111131210（1-1）</t>
  </si>
  <si>
    <t>刘景莉</t>
  </si>
  <si>
    <t>2003-22-P-00388</t>
    <phoneticPr fontId="5" type="noConversion"/>
  </si>
  <si>
    <t>谭建</t>
    <phoneticPr fontId="5" type="noConversion"/>
  </si>
  <si>
    <t>110108531026605</t>
    <phoneticPr fontId="5" type="noConversion"/>
  </si>
  <si>
    <t>62091627</t>
    <phoneticPr fontId="5" type="noConversion"/>
  </si>
  <si>
    <t>1008号</t>
    <phoneticPr fontId="5" type="noConversion"/>
  </si>
  <si>
    <t>四室一厅二卫一厨</t>
    <phoneticPr fontId="5" type="noConversion"/>
  </si>
  <si>
    <t>2003-3-D1-00546</t>
    <phoneticPr fontId="5" type="noConversion"/>
  </si>
  <si>
    <t>2003-22-P-00389</t>
    <phoneticPr fontId="5" type="noConversion"/>
  </si>
  <si>
    <t>李天功、李森恺</t>
    <phoneticPr fontId="5" type="noConversion"/>
  </si>
  <si>
    <t>110107780131061、110107430603061</t>
    <phoneticPr fontId="5" type="noConversion"/>
  </si>
  <si>
    <t>13910572517</t>
    <phoneticPr fontId="5" type="noConversion"/>
  </si>
  <si>
    <t>1309号</t>
    <phoneticPr fontId="5" type="noConversion"/>
  </si>
  <si>
    <t>2003-3-D1-00547</t>
    <phoneticPr fontId="5" type="noConversion"/>
  </si>
  <si>
    <t>263226</t>
    <phoneticPr fontId="5" type="noConversion"/>
  </si>
  <si>
    <t>2003-22-P-00390</t>
    <phoneticPr fontId="5" type="noConversion"/>
  </si>
  <si>
    <t>尹福英</t>
    <phoneticPr fontId="5" type="noConversion"/>
  </si>
  <si>
    <t>110108193904201821</t>
    <phoneticPr fontId="5" type="noConversion"/>
  </si>
  <si>
    <t>13301086815</t>
    <phoneticPr fontId="5" type="noConversion"/>
  </si>
  <si>
    <t>1807号</t>
    <phoneticPr fontId="5" type="noConversion"/>
  </si>
  <si>
    <t>2003-3-D1-00548</t>
    <phoneticPr fontId="5" type="noConversion"/>
  </si>
  <si>
    <t>264788</t>
    <phoneticPr fontId="5" type="noConversion"/>
  </si>
  <si>
    <t>2003-22-P-00391</t>
    <phoneticPr fontId="5" type="noConversion"/>
  </si>
  <si>
    <t>张蓝予</t>
    <phoneticPr fontId="5" type="noConversion"/>
  </si>
  <si>
    <t>210703197401152047</t>
    <phoneticPr fontId="5" type="noConversion"/>
  </si>
  <si>
    <t>13693622155</t>
    <phoneticPr fontId="5" type="noConversion"/>
  </si>
  <si>
    <t>1608号</t>
    <phoneticPr fontId="5" type="noConversion"/>
  </si>
  <si>
    <t>2003-3-D1-00549</t>
    <phoneticPr fontId="5" type="noConversion"/>
  </si>
  <si>
    <t>264778</t>
    <phoneticPr fontId="5" type="noConversion"/>
  </si>
  <si>
    <t>2003-22-P-00393</t>
  </si>
  <si>
    <t>易艳芳</t>
    <phoneticPr fontId="5" type="noConversion"/>
  </si>
  <si>
    <t>110108197707191845</t>
    <phoneticPr fontId="5" type="noConversion"/>
  </si>
  <si>
    <t>13501244529</t>
    <phoneticPr fontId="5" type="noConversion"/>
  </si>
  <si>
    <t>2012号</t>
    <phoneticPr fontId="5" type="noConversion"/>
  </si>
  <si>
    <t>2003-3-D1-00551</t>
    <phoneticPr fontId="5" type="noConversion"/>
  </si>
  <si>
    <t>264791</t>
    <phoneticPr fontId="5" type="noConversion"/>
  </si>
  <si>
    <t>2003-22-P-00394</t>
    <phoneticPr fontId="5" type="noConversion"/>
  </si>
  <si>
    <t>王芳</t>
    <phoneticPr fontId="5" type="noConversion"/>
  </si>
  <si>
    <t>110108197301209742</t>
    <phoneticPr fontId="5" type="noConversion"/>
  </si>
  <si>
    <t>62044984</t>
    <phoneticPr fontId="5" type="noConversion"/>
  </si>
  <si>
    <t>2003-3-D1-00552</t>
    <phoneticPr fontId="5" type="noConversion"/>
  </si>
  <si>
    <t>263948</t>
    <phoneticPr fontId="5" type="noConversion"/>
  </si>
  <si>
    <t>2003-22-P-00395</t>
    <phoneticPr fontId="5" type="noConversion"/>
  </si>
  <si>
    <t>李红岺</t>
    <phoneticPr fontId="5" type="noConversion"/>
  </si>
  <si>
    <t>110108690411712</t>
    <phoneticPr fontId="5" type="noConversion"/>
  </si>
  <si>
    <t>13683564616</t>
    <phoneticPr fontId="5" type="noConversion"/>
  </si>
  <si>
    <t>1910号</t>
    <phoneticPr fontId="5" type="noConversion"/>
  </si>
  <si>
    <t>2003-3-D1-00553</t>
    <phoneticPr fontId="5" type="noConversion"/>
  </si>
  <si>
    <t>264763</t>
    <phoneticPr fontId="5" type="noConversion"/>
  </si>
  <si>
    <t>2003-22-P-00396</t>
    <phoneticPr fontId="5" type="noConversion"/>
  </si>
  <si>
    <t>朴忠禄</t>
    <phoneticPr fontId="5" type="noConversion"/>
  </si>
  <si>
    <t>110108281229143</t>
    <phoneticPr fontId="5" type="noConversion"/>
  </si>
  <si>
    <t>1509号</t>
    <phoneticPr fontId="5" type="noConversion"/>
  </si>
  <si>
    <t>2003-3-D1-00554</t>
    <phoneticPr fontId="5" type="noConversion"/>
  </si>
  <si>
    <t>264717</t>
    <phoneticPr fontId="5" type="noConversion"/>
  </si>
  <si>
    <t>2003-22-P-00403</t>
    <phoneticPr fontId="5" type="noConversion"/>
  </si>
  <si>
    <t>冯荣权</t>
    <phoneticPr fontId="5" type="noConversion"/>
  </si>
  <si>
    <t>130104660715143</t>
    <phoneticPr fontId="5" type="noConversion"/>
  </si>
  <si>
    <t>1404号</t>
    <phoneticPr fontId="5" type="noConversion"/>
  </si>
  <si>
    <t>2003-3-D1-00156</t>
    <phoneticPr fontId="5" type="noConversion"/>
  </si>
  <si>
    <t>264785</t>
    <phoneticPr fontId="5" type="noConversion"/>
  </si>
  <si>
    <t>2003-22-P-00409</t>
    <phoneticPr fontId="5" type="noConversion"/>
  </si>
  <si>
    <t>曾涛</t>
    <phoneticPr fontId="5" type="noConversion"/>
  </si>
  <si>
    <t>422429780205795</t>
    <phoneticPr fontId="5" type="noConversion"/>
  </si>
  <si>
    <t>62783381</t>
    <phoneticPr fontId="5" type="noConversion"/>
  </si>
  <si>
    <t>1幢</t>
    <phoneticPr fontId="5" type="noConversion"/>
  </si>
  <si>
    <t>1104D号</t>
    <phoneticPr fontId="5" type="noConversion"/>
  </si>
  <si>
    <t>201500</t>
    <phoneticPr fontId="5" type="noConversion"/>
  </si>
  <si>
    <t>2003-22-P-00415</t>
  </si>
  <si>
    <t>蒋丹鼎</t>
  </si>
  <si>
    <t>110108711014371</t>
  </si>
  <si>
    <t>2003-3-D1-00566</t>
  </si>
  <si>
    <t>2003-22-P-00416</t>
    <phoneticPr fontId="5" type="noConversion"/>
  </si>
  <si>
    <t>彭朝晖</t>
    <phoneticPr fontId="5" type="noConversion"/>
  </si>
  <si>
    <t>110108690120380</t>
    <phoneticPr fontId="5" type="noConversion"/>
  </si>
  <si>
    <t>七幢</t>
    <phoneticPr fontId="5" type="noConversion"/>
  </si>
  <si>
    <t>2003-3-D1-00567</t>
    <phoneticPr fontId="5" type="noConversion"/>
  </si>
  <si>
    <t>2003-22-P-00417</t>
    <phoneticPr fontId="5" type="noConversion"/>
  </si>
  <si>
    <t>李俊杰</t>
    <phoneticPr fontId="5" type="noConversion"/>
  </si>
  <si>
    <t>142301197911271416</t>
    <phoneticPr fontId="5" type="noConversion"/>
  </si>
  <si>
    <t>2003-3-D1-00568</t>
    <phoneticPr fontId="5" type="noConversion"/>
  </si>
  <si>
    <t>2003-22-P-00461</t>
    <phoneticPr fontId="5" type="noConversion"/>
  </si>
  <si>
    <t>成琳</t>
    <phoneticPr fontId="5" type="noConversion"/>
  </si>
  <si>
    <t>110111197409278625</t>
    <phoneticPr fontId="5" type="noConversion"/>
  </si>
  <si>
    <t>清河镇永泰园24#、25#楼</t>
  </si>
  <si>
    <t>24幢</t>
  </si>
  <si>
    <t>23层</t>
    <phoneticPr fontId="5" type="noConversion"/>
  </si>
  <si>
    <t>2307号</t>
    <phoneticPr fontId="5" type="noConversion"/>
  </si>
  <si>
    <t>北京市泰华房地产集团开发有限公司</t>
  </si>
  <si>
    <t>北京市住房资金管理中心北京饮食服务集团有限责任公司分中心</t>
    <phoneticPr fontId="5" type="noConversion"/>
  </si>
  <si>
    <t>154583</t>
    <phoneticPr fontId="5" type="noConversion"/>
  </si>
  <si>
    <t>北京市房山区金马工业开发区8号</t>
    <phoneticPr fontId="5" type="noConversion"/>
  </si>
  <si>
    <t>肖希鹏</t>
  </si>
  <si>
    <t>2003-22-P-00469-M</t>
    <phoneticPr fontId="5" type="noConversion"/>
  </si>
  <si>
    <t>李帮贵</t>
    <phoneticPr fontId="5" type="noConversion"/>
  </si>
  <si>
    <t>422723760513221</t>
    <phoneticPr fontId="5" type="noConversion"/>
  </si>
  <si>
    <t>5单元</t>
    <phoneticPr fontId="5" type="noConversion"/>
  </si>
  <si>
    <t>801号</t>
    <phoneticPr fontId="5" type="noConversion"/>
  </si>
  <si>
    <t>2003-22-P-00470</t>
    <phoneticPr fontId="5" type="noConversion"/>
  </si>
  <si>
    <t>赵亦宁</t>
    <phoneticPr fontId="5" type="noConversion"/>
  </si>
  <si>
    <t>110102197404292325</t>
    <phoneticPr fontId="5" type="noConversion"/>
  </si>
  <si>
    <t>13601227007</t>
    <phoneticPr fontId="5" type="noConversion"/>
  </si>
  <si>
    <t>五幢</t>
    <phoneticPr fontId="5" type="noConversion"/>
  </si>
  <si>
    <t>2003-3-D1-00614</t>
    <phoneticPr fontId="5" type="noConversion"/>
  </si>
  <si>
    <t>261154</t>
    <phoneticPr fontId="5" type="noConversion"/>
  </si>
  <si>
    <t>2003-22-P-00471</t>
    <phoneticPr fontId="5" type="noConversion"/>
  </si>
  <si>
    <t>张启龙</t>
    <phoneticPr fontId="5" type="noConversion"/>
  </si>
  <si>
    <t>110104780224121</t>
    <phoneticPr fontId="5" type="noConversion"/>
  </si>
  <si>
    <t>402号</t>
    <phoneticPr fontId="5" type="noConversion"/>
  </si>
  <si>
    <t>2003-3-D1-00615</t>
    <phoneticPr fontId="5" type="noConversion"/>
  </si>
  <si>
    <t>2003-22-P-00479</t>
    <phoneticPr fontId="5" type="noConversion"/>
  </si>
  <si>
    <t>付力</t>
    <phoneticPr fontId="5" type="noConversion"/>
  </si>
  <si>
    <t>110108730801182</t>
    <phoneticPr fontId="5" type="noConversion"/>
  </si>
  <si>
    <t>2003-3-D1-00618</t>
    <phoneticPr fontId="5" type="noConversion"/>
  </si>
  <si>
    <t>263232</t>
    <phoneticPr fontId="5" type="noConversion"/>
  </si>
  <si>
    <t>2003-22-P-00480-M</t>
    <phoneticPr fontId="5" type="noConversion"/>
  </si>
  <si>
    <t>白建军</t>
    <phoneticPr fontId="5" type="noConversion"/>
  </si>
  <si>
    <t>132826197111030617</t>
    <phoneticPr fontId="5" type="noConversion"/>
  </si>
  <si>
    <t>8幢</t>
    <phoneticPr fontId="5" type="noConversion"/>
  </si>
  <si>
    <t>北京市住房资金管理中心朝阳区分中心</t>
    <phoneticPr fontId="5" type="noConversion"/>
  </si>
  <si>
    <t>2003-22-P-00489</t>
    <phoneticPr fontId="5" type="noConversion"/>
  </si>
  <si>
    <t>董军</t>
    <phoneticPr fontId="5" type="noConversion"/>
  </si>
  <si>
    <t>110108670731376</t>
    <phoneticPr fontId="5" type="noConversion"/>
  </si>
  <si>
    <t>2003-3-D1-00626</t>
    <phoneticPr fontId="5" type="noConversion"/>
  </si>
  <si>
    <t>2003-22-P-00495</t>
    <phoneticPr fontId="5" type="noConversion"/>
  </si>
  <si>
    <t>陈涛</t>
    <phoneticPr fontId="5" type="noConversion"/>
  </si>
  <si>
    <t>建西苑南里</t>
    <phoneticPr fontId="5" type="noConversion"/>
  </si>
  <si>
    <t>6号楼</t>
    <phoneticPr fontId="5" type="noConversion"/>
  </si>
  <si>
    <t>603号</t>
    <phoneticPr fontId="5" type="noConversion"/>
  </si>
  <si>
    <t>北京市住房资金管理中心石景山区分中心</t>
    <phoneticPr fontId="5" type="noConversion"/>
  </si>
  <si>
    <t>中国信达资产管理公司北京办事处</t>
    <phoneticPr fontId="5" type="noConversion"/>
  </si>
  <si>
    <t>北京市朝阳区安华西里二区18号楼</t>
    <phoneticPr fontId="5" type="noConversion"/>
  </si>
  <si>
    <t>2003-22-P-00496-M</t>
  </si>
  <si>
    <t>裴晓玉</t>
  </si>
  <si>
    <t>320113197612273223</t>
  </si>
  <si>
    <t>13911001151</t>
  </si>
  <si>
    <t>901号</t>
  </si>
  <si>
    <t>037986</t>
  </si>
  <si>
    <t>2003-22-P-00520</t>
    <phoneticPr fontId="5" type="noConversion"/>
  </si>
  <si>
    <t>刘淑丽</t>
    <phoneticPr fontId="5" type="noConversion"/>
  </si>
  <si>
    <t>110102740801306</t>
    <phoneticPr fontId="5" type="noConversion"/>
  </si>
  <si>
    <t>13681406249</t>
    <phoneticPr fontId="5" type="noConversion"/>
  </si>
  <si>
    <t>B幢</t>
    <phoneticPr fontId="5" type="noConversion"/>
  </si>
  <si>
    <t>北京希科合力房地产开发有限公司</t>
    <phoneticPr fontId="5" type="noConversion"/>
  </si>
  <si>
    <t>145436</t>
    <phoneticPr fontId="5" type="noConversion"/>
  </si>
  <si>
    <t>现售</t>
    <phoneticPr fontId="5" type="noConversion"/>
  </si>
  <si>
    <t>2003-22-P-00541-M</t>
    <phoneticPr fontId="5" type="noConversion"/>
  </si>
  <si>
    <t>姜海英</t>
    <phoneticPr fontId="5" type="noConversion"/>
  </si>
  <si>
    <t>110105197611260026</t>
    <phoneticPr fontId="5" type="noConversion"/>
  </si>
  <si>
    <t>1303号</t>
    <phoneticPr fontId="5" type="noConversion"/>
  </si>
  <si>
    <t>2003-22-P-00582</t>
  </si>
  <si>
    <t>汪浩</t>
  </si>
  <si>
    <t>110101196903221520</t>
  </si>
  <si>
    <t>四季青乡远大路远大路居住区（世纪城）二期</t>
  </si>
  <si>
    <t>37#幢</t>
  </si>
  <si>
    <t>17A单元</t>
  </si>
  <si>
    <t>北京金源鸿大房地产有限公司</t>
  </si>
  <si>
    <t>北京市海淀区四季青厂西门小区21号楼</t>
  </si>
  <si>
    <t>1100001033600（1-1）</t>
  </si>
  <si>
    <t>黄如论</t>
  </si>
  <si>
    <t>2003-22-P-00592</t>
    <phoneticPr fontId="5" type="noConversion"/>
  </si>
  <si>
    <t>金艳</t>
    <phoneticPr fontId="5" type="noConversion"/>
  </si>
  <si>
    <t>110104610404124</t>
    <phoneticPr fontId="5" type="noConversion"/>
  </si>
  <si>
    <t>2003-22-P-00594</t>
    <phoneticPr fontId="5" type="noConversion"/>
  </si>
  <si>
    <t>龚彦</t>
    <phoneticPr fontId="5" type="noConversion"/>
  </si>
  <si>
    <t>422428197111045122</t>
    <phoneticPr fontId="5" type="noConversion"/>
  </si>
  <si>
    <t>68386277</t>
    <phoneticPr fontId="5" type="noConversion"/>
  </si>
  <si>
    <t>401号</t>
    <phoneticPr fontId="5" type="noConversion"/>
  </si>
  <si>
    <t>2003-3-D1-00672</t>
  </si>
  <si>
    <t>261225</t>
    <phoneticPr fontId="5" type="noConversion"/>
  </si>
  <si>
    <t>2003-22-P-00595</t>
    <phoneticPr fontId="5" type="noConversion"/>
  </si>
  <si>
    <t>张娴</t>
    <phoneticPr fontId="5" type="noConversion"/>
  </si>
  <si>
    <t>110108700629374</t>
    <phoneticPr fontId="5" type="noConversion"/>
  </si>
  <si>
    <t>13701395627</t>
    <phoneticPr fontId="5" type="noConversion"/>
  </si>
  <si>
    <t>二单元</t>
    <phoneticPr fontId="5" type="noConversion"/>
  </si>
  <si>
    <t>2003-3-D1-00673</t>
    <phoneticPr fontId="5" type="noConversion"/>
  </si>
  <si>
    <t>261208</t>
    <phoneticPr fontId="5" type="noConversion"/>
  </si>
  <si>
    <t>2003-22-P-00596</t>
    <phoneticPr fontId="5" type="noConversion"/>
  </si>
  <si>
    <t>李宁</t>
    <phoneticPr fontId="5" type="noConversion"/>
  </si>
  <si>
    <t>43010319770110407X</t>
    <phoneticPr fontId="5" type="noConversion"/>
  </si>
  <si>
    <t>13910843648</t>
    <phoneticPr fontId="5" type="noConversion"/>
  </si>
  <si>
    <t>2003-3-D1-00674</t>
    <phoneticPr fontId="5" type="noConversion"/>
  </si>
  <si>
    <t>261192</t>
    <phoneticPr fontId="5" type="noConversion"/>
  </si>
  <si>
    <t>2003-22-P-00597</t>
    <phoneticPr fontId="5" type="noConversion"/>
  </si>
  <si>
    <t>吴洪波</t>
    <phoneticPr fontId="5" type="noConversion"/>
  </si>
  <si>
    <t>110108701003381</t>
    <phoneticPr fontId="5" type="noConversion"/>
  </si>
  <si>
    <t>68386796</t>
    <phoneticPr fontId="5" type="noConversion"/>
  </si>
  <si>
    <t>2003-3-D1-00675</t>
    <phoneticPr fontId="5" type="noConversion"/>
  </si>
  <si>
    <t>261157</t>
    <phoneticPr fontId="5" type="noConversion"/>
  </si>
  <si>
    <t>2003-22-P-00608-M</t>
    <phoneticPr fontId="5" type="noConversion"/>
  </si>
  <si>
    <t>刘红玥</t>
    <phoneticPr fontId="5" type="noConversion"/>
  </si>
  <si>
    <t>220203197203222125</t>
    <phoneticPr fontId="5" type="noConversion"/>
  </si>
  <si>
    <t>13501057351</t>
    <phoneticPr fontId="5" type="noConversion"/>
  </si>
  <si>
    <t>B5座</t>
    <phoneticPr fontId="5" type="noConversion"/>
  </si>
  <si>
    <t>2003-3-D1-00679</t>
    <phoneticPr fontId="5" type="noConversion"/>
  </si>
  <si>
    <t>093616</t>
    <phoneticPr fontId="5" type="noConversion"/>
  </si>
  <si>
    <t>2003-22-P-00616</t>
    <phoneticPr fontId="5" type="noConversion"/>
  </si>
  <si>
    <t>刘明慧</t>
    <phoneticPr fontId="5" type="noConversion"/>
  </si>
  <si>
    <t>110108680116374</t>
    <phoneticPr fontId="5" type="noConversion"/>
  </si>
  <si>
    <t>2003-22-P-00638</t>
  </si>
  <si>
    <t>洪徐兵</t>
  </si>
  <si>
    <t>340103730920301</t>
  </si>
  <si>
    <t>17幢</t>
  </si>
  <si>
    <t>三室一厅二卫一厨</t>
  </si>
  <si>
    <t>北京市住房资金管理中心朝阳区分中心</t>
  </si>
  <si>
    <t>2003-22-P-00642</t>
  </si>
  <si>
    <t>徐坦</t>
  </si>
  <si>
    <t>西直门北大街时代之光名苑</t>
  </si>
  <si>
    <t>A(原第4号楼)</t>
  </si>
  <si>
    <t>第16层（原第13层）</t>
  </si>
  <si>
    <t>1610号</t>
  </si>
  <si>
    <t>北京京洲房地产开发有限公司</t>
  </si>
  <si>
    <t>2003-3-D1-00707</t>
  </si>
  <si>
    <t>059966</t>
  </si>
  <si>
    <t>北京市海淀区学院南路6号</t>
  </si>
  <si>
    <t>庞尊生</t>
  </si>
  <si>
    <t>2003-22-P-00659-M</t>
  </si>
  <si>
    <t>焦宝成</t>
  </si>
  <si>
    <t>110223770525231</t>
  </si>
  <si>
    <t>701号</t>
  </si>
  <si>
    <t>北京市住房资金管理中心中国空间技术研究院分中心</t>
  </si>
  <si>
    <t>2003-22-P-00660-M</t>
  </si>
  <si>
    <t>李东茂</t>
  </si>
  <si>
    <t>372421771005679</t>
  </si>
  <si>
    <t>1103号</t>
  </si>
  <si>
    <t>2003-22-P-00666-M</t>
  </si>
  <si>
    <t>周慧滨</t>
  </si>
  <si>
    <t>231011750524032</t>
  </si>
  <si>
    <t>405号</t>
  </si>
  <si>
    <t>2003-22-P-00675</t>
    <phoneticPr fontId="5" type="noConversion"/>
  </si>
  <si>
    <t>庄夏泳</t>
    <phoneticPr fontId="5" type="noConversion"/>
  </si>
  <si>
    <t>372831700716002</t>
    <phoneticPr fontId="5" type="noConversion"/>
  </si>
  <si>
    <t>13501105889</t>
    <phoneticPr fontId="5" type="noConversion"/>
  </si>
  <si>
    <t>北京市住房资金管理中心丰台区分中心</t>
    <phoneticPr fontId="5" type="noConversion"/>
  </si>
  <si>
    <t>2003-3-D1-00755</t>
    <phoneticPr fontId="5" type="noConversion"/>
  </si>
  <si>
    <t>261223</t>
    <phoneticPr fontId="5" type="noConversion"/>
  </si>
  <si>
    <t>2003-22-P-00679</t>
    <phoneticPr fontId="5" type="noConversion"/>
  </si>
  <si>
    <t>马翔</t>
    <phoneticPr fontId="5" type="noConversion"/>
  </si>
  <si>
    <t>110108196803281459</t>
    <phoneticPr fontId="5" type="noConversion"/>
  </si>
  <si>
    <t>西三旗建材城西二里小区</t>
    <phoneticPr fontId="5" type="noConversion"/>
  </si>
  <si>
    <t>北京新奥广厦房地产开发有限公司</t>
    <phoneticPr fontId="5" type="noConversion"/>
  </si>
  <si>
    <t>2003-3-D1-00777</t>
    <phoneticPr fontId="5" type="noConversion"/>
  </si>
  <si>
    <t>北京新奥广厦房地产开发有限公司</t>
    <phoneticPr fontId="5" type="noConversion"/>
  </si>
  <si>
    <t>北京市密云县工业开发区水源路乙140</t>
    <phoneticPr fontId="5" type="noConversion"/>
  </si>
  <si>
    <t>王玉锁</t>
    <phoneticPr fontId="5" type="noConversion"/>
  </si>
  <si>
    <t>2003-22-P-00680</t>
    <phoneticPr fontId="5" type="noConversion"/>
  </si>
  <si>
    <t>刘小宁</t>
    <phoneticPr fontId="5" type="noConversion"/>
  </si>
  <si>
    <t>460024750115721</t>
    <phoneticPr fontId="5" type="noConversion"/>
  </si>
  <si>
    <t>西三旗建材城西二里小区</t>
    <phoneticPr fontId="5" type="noConversion"/>
  </si>
  <si>
    <t>9座</t>
    <phoneticPr fontId="5" type="noConversion"/>
  </si>
  <si>
    <t>2003-3-D1-00778</t>
    <phoneticPr fontId="5" type="noConversion"/>
  </si>
  <si>
    <t>北京市密云县工业开发区水源路乙140</t>
    <phoneticPr fontId="5" type="noConversion"/>
  </si>
  <si>
    <t>王玉锁</t>
    <phoneticPr fontId="5" type="noConversion"/>
  </si>
  <si>
    <t>2003-22-P-00681</t>
    <phoneticPr fontId="5" type="noConversion"/>
  </si>
  <si>
    <t>张聪</t>
    <phoneticPr fontId="5" type="noConversion"/>
  </si>
  <si>
    <t>620102591021531</t>
    <phoneticPr fontId="5" type="noConversion"/>
  </si>
  <si>
    <t>3座</t>
    <phoneticPr fontId="5" type="noConversion"/>
  </si>
  <si>
    <t>北京新奥广厦房地产开发有限公司</t>
    <phoneticPr fontId="5" type="noConversion"/>
  </si>
  <si>
    <t>2003-3-D1-00779</t>
    <phoneticPr fontId="5" type="noConversion"/>
  </si>
  <si>
    <t>北京市密云县工业开发区水源路乙140</t>
    <phoneticPr fontId="5" type="noConversion"/>
  </si>
  <si>
    <t>王玉锁</t>
    <phoneticPr fontId="5" type="noConversion"/>
  </si>
  <si>
    <t>2003-22-P-00682</t>
    <phoneticPr fontId="5" type="noConversion"/>
  </si>
  <si>
    <t>王彬</t>
    <phoneticPr fontId="5" type="noConversion"/>
  </si>
  <si>
    <t>110101197612180532</t>
    <phoneticPr fontId="5" type="noConversion"/>
  </si>
  <si>
    <t>10座</t>
    <phoneticPr fontId="5" type="noConversion"/>
  </si>
  <si>
    <t>1202号</t>
    <phoneticPr fontId="5" type="noConversion"/>
  </si>
  <si>
    <t>2003-3-D1-00780</t>
    <phoneticPr fontId="5" type="noConversion"/>
  </si>
  <si>
    <t>2003-22-P-00699</t>
  </si>
  <si>
    <t>李刚</t>
  </si>
  <si>
    <t>110108720801373</t>
  </si>
  <si>
    <t>2003-22-P-00703</t>
  </si>
  <si>
    <t>杨笠燕</t>
  </si>
  <si>
    <t>140103197212246326</t>
  </si>
  <si>
    <t>四季青乡曙光花园</t>
  </si>
  <si>
    <t>望山园</t>
  </si>
  <si>
    <t>02号</t>
  </si>
  <si>
    <t>北京天鸿宝业房地产股份有限公司</t>
  </si>
  <si>
    <t>北京市住房资金管理中心宣武区分中心</t>
  </si>
  <si>
    <t>166536</t>
  </si>
  <si>
    <t>北京市东城区安定门外大街183号京宝花园二层</t>
  </si>
  <si>
    <t>赵东杰</t>
  </si>
  <si>
    <t>2003-22-P-00721</t>
  </si>
  <si>
    <t>边秀武</t>
  </si>
  <si>
    <t>西二旗居住区创业者家园</t>
  </si>
  <si>
    <t>B-11幢</t>
  </si>
  <si>
    <t>202号</t>
  </si>
  <si>
    <t>北京归谷园有限责任公司</t>
  </si>
  <si>
    <t>1--2</t>
  </si>
  <si>
    <t>五室二厅三卫一厨</t>
  </si>
  <si>
    <t>219616</t>
  </si>
  <si>
    <t>北京(怀柔)胡光小区33号院梅苑8号楼一层</t>
  </si>
  <si>
    <t>1100001169938(2-2)</t>
  </si>
  <si>
    <t>邵海青</t>
  </si>
  <si>
    <t>2003-22-P-00739-M</t>
    <phoneticPr fontId="5" type="noConversion"/>
  </si>
  <si>
    <t>董晓宇</t>
    <phoneticPr fontId="5" type="noConversion"/>
  </si>
  <si>
    <t>410103710714245</t>
    <phoneticPr fontId="5" type="noConversion"/>
  </si>
  <si>
    <t>13693641010</t>
    <phoneticPr fontId="5" type="noConversion"/>
  </si>
  <si>
    <t>234315</t>
    <phoneticPr fontId="5" type="noConversion"/>
  </si>
  <si>
    <t>2003-22-P-00741</t>
    <phoneticPr fontId="5" type="noConversion"/>
  </si>
  <si>
    <t>徐赫</t>
    <phoneticPr fontId="5" type="noConversion"/>
  </si>
  <si>
    <t>210381770301421</t>
    <phoneticPr fontId="5" type="noConversion"/>
  </si>
  <si>
    <t>13911518642</t>
    <phoneticPr fontId="5" type="noConversion"/>
  </si>
  <si>
    <t>A单元</t>
    <phoneticPr fontId="5" type="noConversion"/>
  </si>
  <si>
    <t>505号</t>
    <phoneticPr fontId="5" type="noConversion"/>
  </si>
  <si>
    <t>254901</t>
    <phoneticPr fontId="5" type="noConversion"/>
  </si>
  <si>
    <t>王志刚</t>
    <phoneticPr fontId="5" type="noConversion"/>
  </si>
  <si>
    <t>2003-22-P-00747</t>
    <phoneticPr fontId="5" type="noConversion"/>
  </si>
  <si>
    <t>童孟春</t>
    <phoneticPr fontId="5" type="noConversion"/>
  </si>
  <si>
    <t>610103650112245</t>
    <phoneticPr fontId="5" type="noConversion"/>
  </si>
  <si>
    <t>62536007</t>
    <phoneticPr fontId="5" type="noConversion"/>
  </si>
  <si>
    <t>20单元</t>
    <phoneticPr fontId="5" type="noConversion"/>
  </si>
  <si>
    <t>201A号</t>
    <phoneticPr fontId="5" type="noConversion"/>
  </si>
  <si>
    <t>201478</t>
    <phoneticPr fontId="5" type="noConversion"/>
  </si>
  <si>
    <t>2003-22-P-00751</t>
    <phoneticPr fontId="5" type="noConversion"/>
  </si>
  <si>
    <t>张际义</t>
    <phoneticPr fontId="5" type="noConversion"/>
  </si>
  <si>
    <t>132801197711202817</t>
    <phoneticPr fontId="5" type="noConversion"/>
  </si>
  <si>
    <t>1391565864</t>
    <phoneticPr fontId="5" type="noConversion"/>
  </si>
  <si>
    <t>东北旺乡西二旗村南安宁南小区</t>
  </si>
  <si>
    <t>14幢</t>
  </si>
  <si>
    <t>13层</t>
    <phoneticPr fontId="5" type="noConversion"/>
  </si>
  <si>
    <t xml:space="preserve">北京市安达房地产开发公司 </t>
  </si>
  <si>
    <t>北京市安达房地产开发公司</t>
    <phoneticPr fontId="5" type="noConversion"/>
  </si>
  <si>
    <t>北京市海淀区东北旺农场机关</t>
    <phoneticPr fontId="5" type="noConversion"/>
  </si>
  <si>
    <t>赵锐</t>
    <phoneticPr fontId="5" type="noConversion"/>
  </si>
  <si>
    <t>2003-22-P-00799</t>
    <phoneticPr fontId="5" type="noConversion"/>
  </si>
  <si>
    <t>肖卫国</t>
    <phoneticPr fontId="5" type="noConversion"/>
  </si>
  <si>
    <t>512222197311146019</t>
    <phoneticPr fontId="5" type="noConversion"/>
  </si>
  <si>
    <t>2003-22-P-00814</t>
    <phoneticPr fontId="5" type="noConversion"/>
  </si>
  <si>
    <t>王建设</t>
    <phoneticPr fontId="5" type="noConversion"/>
  </si>
  <si>
    <t>110108530124841</t>
    <phoneticPr fontId="5" type="noConversion"/>
  </si>
  <si>
    <t>63274527</t>
    <phoneticPr fontId="5" type="noConversion"/>
  </si>
  <si>
    <t>261068</t>
    <phoneticPr fontId="5" type="noConversion"/>
  </si>
  <si>
    <t>2003-22-P-00816</t>
    <phoneticPr fontId="5" type="noConversion"/>
  </si>
  <si>
    <t>饶震杰</t>
    <phoneticPr fontId="5" type="noConversion"/>
  </si>
  <si>
    <t>110108641106003</t>
    <phoneticPr fontId="5" type="noConversion"/>
  </si>
  <si>
    <t>东北旺乡马连洼菊园小区西北角菊园盛景</t>
  </si>
  <si>
    <t>北京市安达房地产开发公司</t>
  </si>
  <si>
    <t>084451</t>
    <phoneticPr fontId="5" type="noConversion"/>
  </si>
  <si>
    <t>北京市海淀区东北旺乡农场机关</t>
  </si>
  <si>
    <t>赵锐</t>
    <phoneticPr fontId="5" type="noConversion"/>
  </si>
  <si>
    <t>2003-22-P-00882</t>
    <phoneticPr fontId="5" type="noConversion"/>
  </si>
  <si>
    <t>唐晔</t>
    <phoneticPr fontId="5" type="noConversion"/>
  </si>
  <si>
    <t>452323760510001</t>
    <phoneticPr fontId="5" type="noConversion"/>
  </si>
  <si>
    <t>68761727</t>
    <phoneticPr fontId="5" type="noConversion"/>
  </si>
  <si>
    <t>2003-3-D1-01274</t>
    <phoneticPr fontId="5" type="noConversion"/>
  </si>
  <si>
    <t>261104</t>
    <phoneticPr fontId="5" type="noConversion"/>
  </si>
  <si>
    <t>2003-22-P-00883</t>
    <phoneticPr fontId="5" type="noConversion"/>
  </si>
  <si>
    <t>李彦涛</t>
    <phoneticPr fontId="5" type="noConversion"/>
  </si>
  <si>
    <t>110108196710161917</t>
    <phoneticPr fontId="5" type="noConversion"/>
  </si>
  <si>
    <t>65642293</t>
    <phoneticPr fontId="5" type="noConversion"/>
  </si>
  <si>
    <t>2003-3-D1-01275</t>
    <phoneticPr fontId="5" type="noConversion"/>
  </si>
  <si>
    <t>261288</t>
    <phoneticPr fontId="5" type="noConversion"/>
  </si>
  <si>
    <t>2003-22-P-00884</t>
    <phoneticPr fontId="5" type="noConversion"/>
  </si>
  <si>
    <t>贾星利</t>
    <phoneticPr fontId="5" type="noConversion"/>
  </si>
  <si>
    <t>142225711001001</t>
    <phoneticPr fontId="5" type="noConversion"/>
  </si>
  <si>
    <t>13910055568</t>
    <phoneticPr fontId="5" type="noConversion"/>
  </si>
  <si>
    <t>2003-3-D1-01276</t>
    <phoneticPr fontId="5" type="noConversion"/>
  </si>
  <si>
    <t>277968</t>
    <phoneticPr fontId="5" type="noConversion"/>
  </si>
  <si>
    <t>2003-22-P-00913</t>
    <phoneticPr fontId="5" type="noConversion"/>
  </si>
  <si>
    <t>高永强</t>
    <phoneticPr fontId="5" type="noConversion"/>
  </si>
  <si>
    <t>110101590313453</t>
    <phoneticPr fontId="5" type="noConversion"/>
  </si>
  <si>
    <t>清河镇永泰园21#、22#、23#楼</t>
    <phoneticPr fontId="5" type="noConversion"/>
  </si>
  <si>
    <t>10层</t>
    <phoneticPr fontId="5" type="noConversion"/>
  </si>
  <si>
    <t>1006号</t>
    <phoneticPr fontId="5" type="noConversion"/>
  </si>
  <si>
    <t>北京市泰华房地产开发集团有限公司</t>
    <phoneticPr fontId="5" type="noConversion"/>
  </si>
  <si>
    <t>北京市住房资金管理中心北京工商银行分中心</t>
    <phoneticPr fontId="5" type="noConversion"/>
  </si>
  <si>
    <t>2003-3-D1-01290</t>
    <phoneticPr fontId="5" type="noConversion"/>
  </si>
  <si>
    <t>068704</t>
    <phoneticPr fontId="5" type="noConversion"/>
  </si>
  <si>
    <t>北京市房山区金马工业开发区8号</t>
    <phoneticPr fontId="5" type="noConversion"/>
  </si>
  <si>
    <t>2003-22-P-00915-M</t>
    <phoneticPr fontId="5" type="noConversion"/>
  </si>
  <si>
    <t>张殿国</t>
    <phoneticPr fontId="5" type="noConversion"/>
  </si>
  <si>
    <t>230805770416003</t>
    <phoneticPr fontId="5" type="noConversion"/>
  </si>
  <si>
    <t>13521353247</t>
    <phoneticPr fontId="5" type="noConversion"/>
  </si>
  <si>
    <t>1306号</t>
    <phoneticPr fontId="5" type="noConversion"/>
  </si>
  <si>
    <t>250181</t>
    <phoneticPr fontId="5" type="noConversion"/>
  </si>
  <si>
    <t>2003-22-P-00925</t>
    <phoneticPr fontId="5" type="noConversion"/>
  </si>
  <si>
    <t>高兵</t>
    <phoneticPr fontId="5" type="noConversion"/>
  </si>
  <si>
    <t>420111196711247318</t>
    <phoneticPr fontId="5" type="noConversion"/>
  </si>
  <si>
    <t>65642290</t>
    <phoneticPr fontId="5" type="noConversion"/>
  </si>
  <si>
    <t>东北旺乡安宁里小区</t>
    <phoneticPr fontId="5" type="noConversion"/>
  </si>
  <si>
    <t>09号</t>
    <phoneticPr fontId="5" type="noConversion"/>
  </si>
  <si>
    <t>北京市通达房地产开发建设总公司</t>
    <phoneticPr fontId="5" type="noConversion"/>
  </si>
  <si>
    <t>北京市西城区北三环中路19号</t>
    <phoneticPr fontId="5" type="noConversion"/>
  </si>
  <si>
    <t>苟长明</t>
    <phoneticPr fontId="5" type="noConversion"/>
  </si>
  <si>
    <t>2003-22-P-00971</t>
    <phoneticPr fontId="5" type="noConversion"/>
  </si>
  <si>
    <t>赵晖</t>
    <phoneticPr fontId="5" type="noConversion"/>
  </si>
  <si>
    <t>110105720226872</t>
    <phoneticPr fontId="5" type="noConversion"/>
  </si>
  <si>
    <t>65182046</t>
    <phoneticPr fontId="5" type="noConversion"/>
  </si>
  <si>
    <t>吴家场村莲花苑</t>
    <phoneticPr fontId="5" type="noConversion"/>
  </si>
  <si>
    <t>2幢</t>
    <phoneticPr fontId="5" type="noConversion"/>
  </si>
  <si>
    <t>2308号</t>
    <phoneticPr fontId="5" type="noConversion"/>
  </si>
  <si>
    <t>北京华宝房地产开发有限责任公司</t>
    <phoneticPr fontId="5" type="noConversion"/>
  </si>
  <si>
    <t>变更(开发商名称录错)</t>
    <phoneticPr fontId="5" type="noConversion"/>
  </si>
  <si>
    <t>160528</t>
    <phoneticPr fontId="5" type="noConversion"/>
  </si>
  <si>
    <t>北京华宝房地产开发有限责任公司</t>
    <phoneticPr fontId="5" type="noConversion"/>
  </si>
  <si>
    <t>北京市东城区北河沿大街103号</t>
    <phoneticPr fontId="5" type="noConversion"/>
  </si>
  <si>
    <t>11505097</t>
    <phoneticPr fontId="5" type="noConversion"/>
  </si>
  <si>
    <t>王明</t>
    <phoneticPr fontId="5" type="noConversion"/>
  </si>
  <si>
    <t>2003-22-P-01002</t>
    <phoneticPr fontId="5" type="noConversion"/>
  </si>
  <si>
    <t xml:space="preserve">王希望 </t>
    <phoneticPr fontId="5" type="noConversion"/>
  </si>
  <si>
    <t>230602197605234038</t>
    <phoneticPr fontId="5" type="noConversion"/>
  </si>
  <si>
    <t>68388580</t>
    <phoneticPr fontId="5" type="noConversion"/>
  </si>
  <si>
    <t>2003-3-D1-01343</t>
    <phoneticPr fontId="5" type="noConversion"/>
  </si>
  <si>
    <t>261213</t>
    <phoneticPr fontId="5" type="noConversion"/>
  </si>
  <si>
    <t>2003-22-P-01003</t>
  </si>
  <si>
    <t>蒋欣</t>
    <phoneticPr fontId="5" type="noConversion"/>
  </si>
  <si>
    <t>513029701215003</t>
    <phoneticPr fontId="5" type="noConversion"/>
  </si>
  <si>
    <t>68272948</t>
    <phoneticPr fontId="5" type="noConversion"/>
  </si>
  <si>
    <t>2003-3-D1-01003</t>
    <phoneticPr fontId="5" type="noConversion"/>
  </si>
  <si>
    <t>261205</t>
    <phoneticPr fontId="5" type="noConversion"/>
  </si>
  <si>
    <t>2003-22-P-01004</t>
    <phoneticPr fontId="5" type="noConversion"/>
  </si>
  <si>
    <t>朱振杰</t>
    <phoneticPr fontId="5" type="noConversion"/>
  </si>
  <si>
    <t>230102197104124132</t>
    <phoneticPr fontId="5" type="noConversion"/>
  </si>
  <si>
    <t>13681467307</t>
    <phoneticPr fontId="5" type="noConversion"/>
  </si>
  <si>
    <t>八幢</t>
    <phoneticPr fontId="5" type="noConversion"/>
  </si>
  <si>
    <t>2003-3-D1-01344</t>
    <phoneticPr fontId="5" type="noConversion"/>
  </si>
  <si>
    <t>261276</t>
    <phoneticPr fontId="5" type="noConversion"/>
  </si>
  <si>
    <t>2003-22-P-01020</t>
    <phoneticPr fontId="5" type="noConversion"/>
  </si>
  <si>
    <t>海贵英</t>
    <phoneticPr fontId="5" type="noConversion"/>
  </si>
  <si>
    <t>110108680716042</t>
    <phoneticPr fontId="5" type="noConversion"/>
  </si>
  <si>
    <t>13701391955</t>
    <phoneticPr fontId="5" type="noConversion"/>
  </si>
  <si>
    <t>一幢</t>
    <phoneticPr fontId="5" type="noConversion"/>
  </si>
  <si>
    <t>305E号</t>
    <phoneticPr fontId="5" type="noConversion"/>
  </si>
  <si>
    <t>北京市住房资金管理中心市邮政管理局分中心</t>
    <phoneticPr fontId="5" type="noConversion"/>
  </si>
  <si>
    <t>201440</t>
    <phoneticPr fontId="5" type="noConversion"/>
  </si>
  <si>
    <t>2003-22-P-01023</t>
    <phoneticPr fontId="5" type="noConversion"/>
  </si>
  <si>
    <t>庄涛</t>
    <phoneticPr fontId="5" type="noConversion"/>
  </si>
  <si>
    <t>110108671123371</t>
    <phoneticPr fontId="5" type="noConversion"/>
  </si>
  <si>
    <t>13501356560</t>
    <phoneticPr fontId="5" type="noConversion"/>
  </si>
  <si>
    <t>261111</t>
    <phoneticPr fontId="5" type="noConversion"/>
  </si>
  <si>
    <t>2003-22-P-01026-M</t>
    <phoneticPr fontId="5" type="noConversion"/>
  </si>
  <si>
    <t>杨军</t>
    <phoneticPr fontId="5" type="noConversion"/>
  </si>
  <si>
    <t>110108680102221</t>
    <phoneticPr fontId="5" type="noConversion"/>
  </si>
  <si>
    <t>13011898319</t>
    <phoneticPr fontId="5" type="noConversion"/>
  </si>
  <si>
    <t>改中心(西城-&gt;市中心)</t>
    <phoneticPr fontId="5" type="noConversion"/>
  </si>
  <si>
    <t>233455</t>
    <phoneticPr fontId="5" type="noConversion"/>
  </si>
  <si>
    <t>2003-22-P-01044</t>
    <phoneticPr fontId="5" type="noConversion"/>
  </si>
  <si>
    <t>张志军</t>
    <phoneticPr fontId="5" type="noConversion"/>
  </si>
  <si>
    <t>110228197004270919</t>
    <phoneticPr fontId="5" type="noConversion"/>
  </si>
  <si>
    <t>02层</t>
    <phoneticPr fontId="5" type="noConversion"/>
  </si>
  <si>
    <t>0208号</t>
    <phoneticPr fontId="5" type="noConversion"/>
  </si>
  <si>
    <t>154698</t>
    <phoneticPr fontId="5" type="noConversion"/>
  </si>
  <si>
    <t>北京市泰华房地产开发集团有限公司</t>
  </si>
  <si>
    <t>北京市房山区金马工业开发区8号</t>
    <phoneticPr fontId="5" type="noConversion"/>
  </si>
  <si>
    <t>2003-22-P-01064</t>
    <phoneticPr fontId="5" type="noConversion"/>
  </si>
  <si>
    <t>李承禄</t>
    <phoneticPr fontId="5" type="noConversion"/>
  </si>
  <si>
    <t>110108196601160413</t>
    <phoneticPr fontId="5" type="noConversion"/>
  </si>
  <si>
    <t>62752040</t>
    <phoneticPr fontId="5" type="noConversion"/>
  </si>
  <si>
    <t>树村万霖博雅明园</t>
    <phoneticPr fontId="5" type="noConversion"/>
  </si>
  <si>
    <t>1座</t>
    <phoneticPr fontId="5" type="noConversion"/>
  </si>
  <si>
    <t>2003-3-D1-01383</t>
    <phoneticPr fontId="5" type="noConversion"/>
  </si>
  <si>
    <t>501710</t>
    <phoneticPr fontId="5" type="noConversion"/>
  </si>
  <si>
    <t>陈兴建</t>
    <phoneticPr fontId="5" type="noConversion"/>
  </si>
  <si>
    <t>2003-22-P-01096</t>
    <phoneticPr fontId="5" type="noConversion"/>
  </si>
  <si>
    <t>周平</t>
    <phoneticPr fontId="5" type="noConversion"/>
  </si>
  <si>
    <t>420106196910115018</t>
    <phoneticPr fontId="5" type="noConversion"/>
  </si>
  <si>
    <t>68387744</t>
    <phoneticPr fontId="5" type="noConversion"/>
  </si>
  <si>
    <t>2003-3-D1-01411</t>
    <phoneticPr fontId="5" type="noConversion"/>
  </si>
  <si>
    <t>279403</t>
    <phoneticPr fontId="5" type="noConversion"/>
  </si>
  <si>
    <t>2003-22-P-01125-U</t>
    <phoneticPr fontId="5" type="noConversion"/>
  </si>
  <si>
    <t>韩东梅</t>
    <phoneticPr fontId="5" type="noConversion"/>
  </si>
  <si>
    <t>13920364736</t>
    <phoneticPr fontId="5" type="noConversion"/>
  </si>
  <si>
    <t>蓟门东里9号楼</t>
    <phoneticPr fontId="5" type="noConversion"/>
  </si>
  <si>
    <t>肖涛</t>
    <phoneticPr fontId="5" type="noConversion"/>
  </si>
  <si>
    <t>出正式报告</t>
    <phoneticPr fontId="5" type="noConversion"/>
  </si>
  <si>
    <t>2003-22-P-01163-U</t>
    <phoneticPr fontId="5" type="noConversion"/>
  </si>
  <si>
    <t>梅顺利</t>
    <phoneticPr fontId="5" type="noConversion"/>
  </si>
  <si>
    <t>132529196707231848</t>
    <phoneticPr fontId="5" type="noConversion"/>
  </si>
  <si>
    <t>66056096</t>
    <phoneticPr fontId="5" type="noConversion"/>
  </si>
  <si>
    <t>牡丹园西里</t>
    <phoneticPr fontId="5" type="noConversion"/>
  </si>
  <si>
    <t>1号楼</t>
    <phoneticPr fontId="5" type="noConversion"/>
  </si>
  <si>
    <t>梅顺利</t>
    <phoneticPr fontId="5" type="noConversion"/>
  </si>
  <si>
    <t>二手房</t>
    <phoneticPr fontId="5" type="noConversion"/>
  </si>
  <si>
    <t>2003-22-P-01164-U</t>
    <phoneticPr fontId="5" type="noConversion"/>
  </si>
  <si>
    <t>张越辉</t>
    <phoneticPr fontId="5" type="noConversion"/>
  </si>
  <si>
    <t>110103691213182</t>
    <phoneticPr fontId="5" type="noConversion"/>
  </si>
  <si>
    <t>68389851</t>
    <phoneticPr fontId="5" type="noConversion"/>
  </si>
  <si>
    <t>玉海园五里</t>
  </si>
  <si>
    <t>6号楼</t>
    <phoneticPr fontId="5" type="noConversion"/>
  </si>
  <si>
    <t>自制合同</t>
    <phoneticPr fontId="5" type="noConversion"/>
  </si>
  <si>
    <t>邓元明</t>
    <phoneticPr fontId="5" type="noConversion"/>
  </si>
  <si>
    <t>二手房</t>
  </si>
  <si>
    <t xml:space="preserve">李晶 </t>
    <phoneticPr fontId="5" type="noConversion"/>
  </si>
  <si>
    <t>2003-22-P-01168-M</t>
    <phoneticPr fontId="5" type="noConversion"/>
  </si>
  <si>
    <t>李华山</t>
    <phoneticPr fontId="5" type="noConversion"/>
  </si>
  <si>
    <t>110108197307218957</t>
    <phoneticPr fontId="5" type="noConversion"/>
  </si>
  <si>
    <t>13161760053</t>
    <phoneticPr fontId="5" type="noConversion"/>
  </si>
  <si>
    <t>2003-3-D1-01543</t>
    <phoneticPr fontId="5" type="noConversion"/>
  </si>
  <si>
    <t>233456</t>
    <phoneticPr fontId="5" type="noConversion"/>
  </si>
  <si>
    <t>2003-22-P-01184</t>
    <phoneticPr fontId="5" type="noConversion"/>
  </si>
  <si>
    <t>孙雍君</t>
    <phoneticPr fontId="5" type="noConversion"/>
  </si>
  <si>
    <t>220104196612211511</t>
    <phoneticPr fontId="5" type="noConversion"/>
  </si>
  <si>
    <t>2003-3-D1-01554</t>
    <phoneticPr fontId="5" type="noConversion"/>
  </si>
  <si>
    <t>279408</t>
    <phoneticPr fontId="5" type="noConversion"/>
  </si>
  <si>
    <t>2003-22-P-01187</t>
    <phoneticPr fontId="5" type="noConversion"/>
  </si>
  <si>
    <t>张琍</t>
    <phoneticPr fontId="5" type="noConversion"/>
  </si>
  <si>
    <t>110108197310233728</t>
    <phoneticPr fontId="5" type="noConversion"/>
  </si>
  <si>
    <t>八幢</t>
    <phoneticPr fontId="5" type="noConversion"/>
  </si>
  <si>
    <t>2003-3-D1-01558</t>
    <phoneticPr fontId="5" type="noConversion"/>
  </si>
  <si>
    <t>261274</t>
    <phoneticPr fontId="5" type="noConversion"/>
  </si>
  <si>
    <t>裴蓓</t>
    <phoneticPr fontId="5" type="noConversion"/>
  </si>
  <si>
    <t>2003-22-P-01188</t>
  </si>
  <si>
    <t>李宏民</t>
    <phoneticPr fontId="5" type="noConversion"/>
  </si>
  <si>
    <t>140103197611026312</t>
    <phoneticPr fontId="5" type="noConversion"/>
  </si>
  <si>
    <t>503号</t>
    <phoneticPr fontId="5" type="noConversion"/>
  </si>
  <si>
    <t>2003-3-D1-01559</t>
  </si>
  <si>
    <t>279413</t>
    <phoneticPr fontId="5" type="noConversion"/>
  </si>
  <si>
    <t>2003-22-P-01189</t>
    <phoneticPr fontId="5" type="noConversion"/>
  </si>
  <si>
    <t>刘桃</t>
    <phoneticPr fontId="5" type="noConversion"/>
  </si>
  <si>
    <t>510321751104002</t>
    <phoneticPr fontId="5" type="noConversion"/>
  </si>
  <si>
    <t>62327051</t>
    <phoneticPr fontId="5" type="noConversion"/>
  </si>
  <si>
    <t>2003-3-D1-01560</t>
    <phoneticPr fontId="5" type="noConversion"/>
  </si>
  <si>
    <t>261148</t>
    <phoneticPr fontId="5" type="noConversion"/>
  </si>
  <si>
    <t>2003-22-P-01195</t>
    <phoneticPr fontId="5" type="noConversion"/>
  </si>
  <si>
    <t>王泷</t>
    <phoneticPr fontId="5" type="noConversion"/>
  </si>
  <si>
    <t>430103720229103</t>
    <phoneticPr fontId="5" type="noConversion"/>
  </si>
  <si>
    <t>82928655</t>
    <phoneticPr fontId="5" type="noConversion"/>
  </si>
  <si>
    <t>24幢</t>
    <phoneticPr fontId="5" type="noConversion"/>
  </si>
  <si>
    <t>301号</t>
    <phoneticPr fontId="5" type="noConversion"/>
  </si>
  <si>
    <t>2003-3-D1-01567</t>
    <phoneticPr fontId="5" type="noConversion"/>
  </si>
  <si>
    <t>226648</t>
    <phoneticPr fontId="5" type="noConversion"/>
  </si>
  <si>
    <t>2003-22-P-01209-M</t>
    <phoneticPr fontId="5" type="noConversion"/>
  </si>
  <si>
    <t>李华明</t>
    <phoneticPr fontId="5" type="noConversion"/>
  </si>
  <si>
    <t>110108197807219737</t>
    <phoneticPr fontId="5" type="noConversion"/>
  </si>
  <si>
    <t>13910423358</t>
    <phoneticPr fontId="5" type="noConversion"/>
  </si>
  <si>
    <t>605号</t>
    <phoneticPr fontId="5" type="noConversion"/>
  </si>
  <si>
    <t>北京市住房资金管理中心西城区分中心</t>
    <phoneticPr fontId="5" type="noConversion"/>
  </si>
  <si>
    <t>282858</t>
    <phoneticPr fontId="5" type="noConversion"/>
  </si>
  <si>
    <t>2003-22-P-01210</t>
    <phoneticPr fontId="5" type="noConversion"/>
  </si>
  <si>
    <t>景恒心</t>
    <phoneticPr fontId="5" type="noConversion"/>
  </si>
  <si>
    <t>翠微路四号颐源居三期</t>
    <phoneticPr fontId="5" type="noConversion"/>
  </si>
  <si>
    <t>18座</t>
    <phoneticPr fontId="5" type="noConversion"/>
  </si>
  <si>
    <t>北京市万业源房地产开发有限责任公司</t>
  </si>
  <si>
    <t>北京市门头沟区石龙工业石龙南路3号</t>
  </si>
  <si>
    <t>11514261（1-1）</t>
  </si>
  <si>
    <t>邢晓东</t>
  </si>
  <si>
    <t>2003-22-P-01211</t>
    <phoneticPr fontId="5" type="noConversion"/>
  </si>
  <si>
    <t>黄敏</t>
    <phoneticPr fontId="5" type="noConversion"/>
  </si>
  <si>
    <t>110108700215893</t>
    <phoneticPr fontId="5" type="noConversion"/>
  </si>
  <si>
    <t>13601080117</t>
    <phoneticPr fontId="5" type="noConversion"/>
  </si>
  <si>
    <t>261137</t>
    <phoneticPr fontId="5" type="noConversion"/>
  </si>
  <si>
    <t>2003-22-P-01233</t>
    <phoneticPr fontId="5" type="noConversion"/>
  </si>
  <si>
    <t>叶海涛</t>
    <phoneticPr fontId="5" type="noConversion"/>
  </si>
  <si>
    <t>110102740731081</t>
    <phoneticPr fontId="5" type="noConversion"/>
  </si>
  <si>
    <t>A1座</t>
    <phoneticPr fontId="5" type="noConversion"/>
  </si>
  <si>
    <t>12号</t>
    <phoneticPr fontId="5" type="noConversion"/>
  </si>
  <si>
    <t>三室一厅一卫一厨</t>
    <phoneticPr fontId="5" type="noConversion"/>
  </si>
  <si>
    <t>商品房合同</t>
    <phoneticPr fontId="5" type="noConversion"/>
  </si>
  <si>
    <t>086894</t>
    <phoneticPr fontId="5" type="noConversion"/>
  </si>
  <si>
    <t>北京市海淀区太月元小区1号楼</t>
    <phoneticPr fontId="5" type="noConversion"/>
  </si>
  <si>
    <t>2003-22-P-01262</t>
    <phoneticPr fontId="5" type="noConversion"/>
  </si>
  <si>
    <t>刘国栋</t>
    <phoneticPr fontId="5" type="noConversion"/>
  </si>
  <si>
    <t>622301740611089</t>
    <phoneticPr fontId="5" type="noConversion"/>
  </si>
  <si>
    <t>62338273</t>
    <phoneticPr fontId="5" type="noConversion"/>
  </si>
  <si>
    <t>1402号</t>
    <phoneticPr fontId="5" type="noConversion"/>
  </si>
  <si>
    <t>2003-3-D1-01630</t>
    <phoneticPr fontId="5" type="noConversion"/>
  </si>
  <si>
    <t>264736</t>
    <phoneticPr fontId="5" type="noConversion"/>
  </si>
  <si>
    <t>2003-22-P-01285</t>
    <phoneticPr fontId="5" type="noConversion"/>
  </si>
  <si>
    <t>许宝凤</t>
    <phoneticPr fontId="5" type="noConversion"/>
  </si>
  <si>
    <t>110108680227072</t>
    <phoneticPr fontId="5" type="noConversion"/>
  </si>
  <si>
    <t>13801025852</t>
    <phoneticPr fontId="5" type="noConversion"/>
  </si>
  <si>
    <t>1102261164858（1-1）</t>
    <phoneticPr fontId="5" type="noConversion"/>
  </si>
  <si>
    <t>2003-22-P-01286</t>
    <phoneticPr fontId="5" type="noConversion"/>
  </si>
  <si>
    <t>李朝锋</t>
    <phoneticPr fontId="5" type="noConversion"/>
  </si>
  <si>
    <t>410126197303182110</t>
    <phoneticPr fontId="5" type="noConversion"/>
  </si>
  <si>
    <t>13901167110</t>
    <phoneticPr fontId="5" type="noConversion"/>
  </si>
  <si>
    <t>肖家河东村一号大发畜产住宅1#2#3#楼麒麟家园</t>
    <phoneticPr fontId="5" type="noConversion"/>
  </si>
  <si>
    <t>北京东方卓越房地产开发有限公司</t>
    <phoneticPr fontId="5" type="noConversion"/>
  </si>
  <si>
    <t>北京市平谷县兴谷经济技术开发区</t>
    <phoneticPr fontId="5" type="noConversion"/>
  </si>
  <si>
    <t>2003-22-P-01296</t>
    <phoneticPr fontId="5" type="noConversion"/>
  </si>
  <si>
    <t>张建明</t>
    <phoneticPr fontId="5" type="noConversion"/>
  </si>
  <si>
    <t>110111780124362</t>
    <phoneticPr fontId="5" type="noConversion"/>
  </si>
  <si>
    <t>1302号</t>
    <phoneticPr fontId="5" type="noConversion"/>
  </si>
  <si>
    <t>北京市住房资金管理中心市文教办分中心</t>
    <phoneticPr fontId="5" type="noConversion"/>
  </si>
  <si>
    <t>2003-22-P-01329-U</t>
    <phoneticPr fontId="5" type="noConversion"/>
  </si>
  <si>
    <t>叶君</t>
    <phoneticPr fontId="5" type="noConversion"/>
  </si>
  <si>
    <t>110107610218211</t>
    <phoneticPr fontId="5" type="noConversion"/>
  </si>
  <si>
    <t>68831895</t>
    <phoneticPr fontId="5" type="noConversion"/>
  </si>
  <si>
    <t>建西苑南里</t>
    <phoneticPr fontId="5" type="noConversion"/>
  </si>
  <si>
    <t>7单元</t>
    <phoneticPr fontId="5" type="noConversion"/>
  </si>
  <si>
    <t>303号</t>
    <phoneticPr fontId="5" type="noConversion"/>
  </si>
  <si>
    <t>买卖契约</t>
    <phoneticPr fontId="5" type="noConversion"/>
  </si>
  <si>
    <t>1100001088540</t>
    <phoneticPr fontId="5" type="noConversion"/>
  </si>
  <si>
    <t>2003-22-P-01330-U</t>
    <phoneticPr fontId="5" type="noConversion"/>
  </si>
  <si>
    <t>周宁利</t>
    <phoneticPr fontId="5" type="noConversion"/>
  </si>
  <si>
    <t>610124197911202124</t>
    <phoneticPr fontId="5" type="noConversion"/>
  </si>
  <si>
    <t>13021154626</t>
    <phoneticPr fontId="5" type="noConversion"/>
  </si>
  <si>
    <t>建西苑南里</t>
    <phoneticPr fontId="5" type="noConversion"/>
  </si>
  <si>
    <t>501</t>
    <phoneticPr fontId="5" type="noConversion"/>
  </si>
  <si>
    <t xml:space="preserve">六 </t>
    <phoneticPr fontId="5" type="noConversion"/>
  </si>
  <si>
    <t>2003-3-D1-01676</t>
    <phoneticPr fontId="5" type="noConversion"/>
  </si>
  <si>
    <t>2003-22-P-01331-U</t>
    <phoneticPr fontId="5" type="noConversion"/>
  </si>
  <si>
    <t>刘立华</t>
    <phoneticPr fontId="5" type="noConversion"/>
  </si>
  <si>
    <t>132828731005821</t>
    <phoneticPr fontId="5" type="noConversion"/>
  </si>
  <si>
    <t>13501117310</t>
    <phoneticPr fontId="5" type="noConversion"/>
  </si>
  <si>
    <t>402</t>
    <phoneticPr fontId="5" type="noConversion"/>
  </si>
  <si>
    <t>2003-3-D1-01677</t>
    <phoneticPr fontId="5" type="noConversion"/>
  </si>
  <si>
    <t>2003-22-P-01332-U</t>
    <phoneticPr fontId="5" type="noConversion"/>
  </si>
  <si>
    <t>王欣</t>
    <phoneticPr fontId="5" type="noConversion"/>
  </si>
  <si>
    <t>110106771207422</t>
    <phoneticPr fontId="5" type="noConversion"/>
  </si>
  <si>
    <t>13611142201</t>
    <phoneticPr fontId="5" type="noConversion"/>
  </si>
  <si>
    <t>中国信达资产管理公司北京办事处</t>
    <phoneticPr fontId="5" type="noConversion"/>
  </si>
  <si>
    <t>北京市朝阳区安华西里二区18号楼</t>
    <phoneticPr fontId="5" type="noConversion"/>
  </si>
  <si>
    <t>1100001088540</t>
    <phoneticPr fontId="5" type="noConversion"/>
  </si>
  <si>
    <t>2003-22-P-01334-M</t>
    <phoneticPr fontId="5" type="noConversion"/>
  </si>
  <si>
    <t>张雷</t>
    <phoneticPr fontId="5" type="noConversion"/>
  </si>
  <si>
    <t>210702711023081</t>
    <phoneticPr fontId="5" type="noConversion"/>
  </si>
  <si>
    <t>13301192623</t>
    <phoneticPr fontId="5" type="noConversion"/>
  </si>
  <si>
    <t>2003-3-D1-01681</t>
    <phoneticPr fontId="5" type="noConversion"/>
  </si>
  <si>
    <t>091213</t>
    <phoneticPr fontId="5" type="noConversion"/>
  </si>
  <si>
    <t>2003-22-P-01336</t>
    <phoneticPr fontId="5" type="noConversion"/>
  </si>
  <si>
    <t>汪文安</t>
    <phoneticPr fontId="5" type="noConversion"/>
  </si>
  <si>
    <t>110108680323183</t>
    <phoneticPr fontId="5" type="noConversion"/>
  </si>
  <si>
    <t>13661334350</t>
    <phoneticPr fontId="5" type="noConversion"/>
  </si>
  <si>
    <t>净土寺交大嘉园</t>
  </si>
  <si>
    <t>C幢</t>
    <phoneticPr fontId="5" type="noConversion"/>
  </si>
  <si>
    <t>C-1401号</t>
    <phoneticPr fontId="5" type="noConversion"/>
  </si>
  <si>
    <t>北京东和嘉业房地产开发有限公司</t>
  </si>
  <si>
    <t>270192</t>
    <phoneticPr fontId="5" type="noConversion"/>
  </si>
  <si>
    <t>北京市大兴县庞各庄镇工业西区82号</t>
  </si>
  <si>
    <t>1102241260003</t>
  </si>
  <si>
    <t>刘江</t>
  </si>
  <si>
    <t>2003-22-P-01341</t>
    <phoneticPr fontId="5" type="noConversion"/>
  </si>
  <si>
    <t>刘晋刚</t>
    <phoneticPr fontId="5" type="noConversion"/>
  </si>
  <si>
    <t>140103197410145710</t>
    <phoneticPr fontId="5" type="noConversion"/>
  </si>
  <si>
    <t>7号楼</t>
    <phoneticPr fontId="5" type="noConversion"/>
  </si>
  <si>
    <t>8单元</t>
    <phoneticPr fontId="5" type="noConversion"/>
  </si>
  <si>
    <t>601号房</t>
    <phoneticPr fontId="5" type="noConversion"/>
  </si>
  <si>
    <t>2003-22-P-01342</t>
    <phoneticPr fontId="5" type="noConversion"/>
  </si>
  <si>
    <t>吴岳华</t>
    <phoneticPr fontId="5" type="noConversion"/>
  </si>
  <si>
    <t>610122197609267514</t>
    <phoneticPr fontId="5" type="noConversion"/>
  </si>
  <si>
    <t>清河镇永泰园24#、25#楼</t>
    <phoneticPr fontId="5" type="noConversion"/>
  </si>
  <si>
    <t>05层</t>
    <phoneticPr fontId="5" type="noConversion"/>
  </si>
  <si>
    <t>0501号</t>
    <phoneticPr fontId="5" type="noConversion"/>
  </si>
  <si>
    <t>北京市泰华房地产开发集团有限公司</t>
    <phoneticPr fontId="5" type="noConversion"/>
  </si>
  <si>
    <t>154503</t>
    <phoneticPr fontId="5" type="noConversion"/>
  </si>
  <si>
    <t>北京市泰华房地产开发集团有限公司</t>
    <phoneticPr fontId="5" type="noConversion"/>
  </si>
  <si>
    <t>2003-22-P-01343</t>
    <phoneticPr fontId="5" type="noConversion"/>
  </si>
  <si>
    <t>陈巧林</t>
    <phoneticPr fontId="5" type="noConversion"/>
  </si>
  <si>
    <t>321001197510220032</t>
    <phoneticPr fontId="5" type="noConversion"/>
  </si>
  <si>
    <t>清河镇永泰园24#、25#楼</t>
    <phoneticPr fontId="5" type="noConversion"/>
  </si>
  <si>
    <t>24幢</t>
    <phoneticPr fontId="5" type="noConversion"/>
  </si>
  <si>
    <t>19层</t>
    <phoneticPr fontId="5" type="noConversion"/>
  </si>
  <si>
    <t>1901号</t>
    <phoneticPr fontId="5" type="noConversion"/>
  </si>
  <si>
    <t>154458</t>
    <phoneticPr fontId="5" type="noConversion"/>
  </si>
  <si>
    <t>2003-22-P-01361-U</t>
    <phoneticPr fontId="5" type="noConversion"/>
  </si>
  <si>
    <t>朱晓东</t>
    <phoneticPr fontId="5" type="noConversion"/>
  </si>
  <si>
    <t>110107197201151217</t>
    <phoneticPr fontId="5" type="noConversion"/>
  </si>
  <si>
    <t>68815872</t>
    <phoneticPr fontId="5" type="noConversion"/>
  </si>
  <si>
    <t>1100001088540</t>
    <phoneticPr fontId="5" type="noConversion"/>
  </si>
  <si>
    <t>2003-22-P-01362-U</t>
    <phoneticPr fontId="5" type="noConversion"/>
  </si>
  <si>
    <t>闫舸</t>
    <phoneticPr fontId="5" type="noConversion"/>
  </si>
  <si>
    <t>110108197511073724</t>
    <phoneticPr fontId="5" type="noConversion"/>
  </si>
  <si>
    <t>13683004877</t>
    <phoneticPr fontId="5" type="noConversion"/>
  </si>
  <si>
    <t>502</t>
    <phoneticPr fontId="5" type="noConversion"/>
  </si>
  <si>
    <t xml:space="preserve">六 </t>
    <phoneticPr fontId="5" type="noConversion"/>
  </si>
  <si>
    <t>2003-3-D1-01703</t>
    <phoneticPr fontId="5" type="noConversion"/>
  </si>
  <si>
    <t>2003-22-P-01373</t>
    <phoneticPr fontId="5" type="noConversion"/>
  </si>
  <si>
    <t>朱凯</t>
    <phoneticPr fontId="5" type="noConversion"/>
  </si>
  <si>
    <t>320123197704114054</t>
    <phoneticPr fontId="5" type="noConversion"/>
  </si>
  <si>
    <t>9座</t>
    <phoneticPr fontId="5" type="noConversion"/>
  </si>
  <si>
    <t>地上二层</t>
    <phoneticPr fontId="5" type="noConversion"/>
  </si>
  <si>
    <t>2003-22-P-01380</t>
    <phoneticPr fontId="5" type="noConversion"/>
  </si>
  <si>
    <t>赵荣生</t>
    <phoneticPr fontId="5" type="noConversion"/>
  </si>
  <si>
    <t>320106690128209</t>
    <phoneticPr fontId="5" type="noConversion"/>
  </si>
  <si>
    <t>13910989410</t>
    <phoneticPr fontId="5" type="noConversion"/>
  </si>
  <si>
    <t>21层</t>
    <phoneticPr fontId="5" type="noConversion"/>
  </si>
  <si>
    <t>06号</t>
    <phoneticPr fontId="5" type="noConversion"/>
  </si>
  <si>
    <t>2003-3-D1-01745</t>
    <phoneticPr fontId="5" type="noConversion"/>
  </si>
  <si>
    <t>212287</t>
    <phoneticPr fontId="5" type="noConversion"/>
  </si>
  <si>
    <t>2003-22-P-01386-M</t>
    <phoneticPr fontId="5" type="noConversion"/>
  </si>
  <si>
    <t>黄鸿滨</t>
    <phoneticPr fontId="5" type="noConversion"/>
  </si>
  <si>
    <t>110108770718183</t>
    <phoneticPr fontId="5" type="noConversion"/>
  </si>
  <si>
    <t>13910742707</t>
    <phoneticPr fontId="5" type="noConversion"/>
  </si>
  <si>
    <t>403号</t>
    <phoneticPr fontId="5" type="noConversion"/>
  </si>
  <si>
    <t>北京市住房资金管理中心大兴区分中心</t>
    <phoneticPr fontId="5" type="noConversion"/>
  </si>
  <si>
    <t>250180</t>
    <phoneticPr fontId="5" type="noConversion"/>
  </si>
  <si>
    <t xml:space="preserve">合同特定编号 </t>
    <phoneticPr fontId="5" type="noConversion"/>
  </si>
  <si>
    <t>2003-22-P-01387</t>
    <phoneticPr fontId="5" type="noConversion"/>
  </si>
  <si>
    <t>高红亮</t>
    <phoneticPr fontId="5" type="noConversion"/>
  </si>
  <si>
    <t>110222790728621</t>
    <phoneticPr fontId="5" type="noConversion"/>
  </si>
  <si>
    <t>1305号</t>
    <phoneticPr fontId="5" type="noConversion"/>
  </si>
  <si>
    <t>2003-3-D1-01756</t>
    <phoneticPr fontId="5" type="noConversion"/>
  </si>
  <si>
    <t>2003-22-P-01401</t>
    <phoneticPr fontId="5" type="noConversion"/>
  </si>
  <si>
    <t>吴刚</t>
    <phoneticPr fontId="5" type="noConversion"/>
  </si>
  <si>
    <t>110102671217081</t>
    <phoneticPr fontId="5" type="noConversion"/>
  </si>
  <si>
    <t>13701076550</t>
    <phoneticPr fontId="5" type="noConversion"/>
  </si>
  <si>
    <t>261156</t>
    <phoneticPr fontId="5" type="noConversion"/>
  </si>
  <si>
    <t>2003-22-P-01413</t>
    <phoneticPr fontId="5" type="noConversion"/>
  </si>
  <si>
    <t>于雪丽</t>
    <phoneticPr fontId="5" type="noConversion"/>
  </si>
  <si>
    <t>110108631123002</t>
    <phoneticPr fontId="5" type="noConversion"/>
  </si>
  <si>
    <t>102号</t>
    <phoneticPr fontId="5" type="noConversion"/>
  </si>
  <si>
    <t>084454</t>
    <phoneticPr fontId="5" type="noConversion"/>
  </si>
  <si>
    <t>2003-22-P-01415</t>
    <phoneticPr fontId="5" type="noConversion"/>
  </si>
  <si>
    <t>付京杰、丁丽敏</t>
    <phoneticPr fontId="5" type="noConversion"/>
  </si>
  <si>
    <t>110107196408202419、110108196801119327</t>
    <phoneticPr fontId="5" type="noConversion"/>
  </si>
  <si>
    <t>13501076373</t>
    <phoneticPr fontId="5" type="noConversion"/>
  </si>
  <si>
    <t>18幢</t>
    <phoneticPr fontId="5" type="noConversion"/>
  </si>
  <si>
    <t>263089</t>
    <phoneticPr fontId="5" type="noConversion"/>
  </si>
  <si>
    <t>2003-22-P-01417-M</t>
    <phoneticPr fontId="5" type="noConversion"/>
  </si>
  <si>
    <t>董雁瑾</t>
    <phoneticPr fontId="5" type="noConversion"/>
  </si>
  <si>
    <t>110108690828972</t>
    <phoneticPr fontId="5" type="noConversion"/>
  </si>
  <si>
    <t>13910825821</t>
    <phoneticPr fontId="5" type="noConversion"/>
  </si>
  <si>
    <t>B7座</t>
    <phoneticPr fontId="5" type="noConversion"/>
  </si>
  <si>
    <t>1001号</t>
    <phoneticPr fontId="5" type="noConversion"/>
  </si>
  <si>
    <t>063941</t>
    <phoneticPr fontId="5" type="noConversion"/>
  </si>
  <si>
    <t>2003-22-P-01428-M</t>
    <phoneticPr fontId="5" type="noConversion"/>
  </si>
  <si>
    <t>潘渊洋</t>
    <phoneticPr fontId="5" type="noConversion"/>
  </si>
  <si>
    <t>110108197605206364</t>
    <phoneticPr fontId="5" type="noConversion"/>
  </si>
  <si>
    <t>13801275445</t>
    <phoneticPr fontId="5" type="noConversion"/>
  </si>
  <si>
    <t>233657</t>
    <phoneticPr fontId="5" type="noConversion"/>
  </si>
  <si>
    <t>2003-22-P-01432-M</t>
    <phoneticPr fontId="5" type="noConversion"/>
  </si>
  <si>
    <t>杨俭辉</t>
    <phoneticPr fontId="5" type="noConversion"/>
  </si>
  <si>
    <t>510212197402181632</t>
    <phoneticPr fontId="5" type="noConversion"/>
  </si>
  <si>
    <t>13161218960</t>
    <phoneticPr fontId="5" type="noConversion"/>
  </si>
  <si>
    <t>1106号</t>
    <phoneticPr fontId="5" type="noConversion"/>
  </si>
  <si>
    <t>282806</t>
    <phoneticPr fontId="5" type="noConversion"/>
  </si>
  <si>
    <t>2003-22-P-01452</t>
    <phoneticPr fontId="5" type="noConversion"/>
  </si>
  <si>
    <t>贾赛红</t>
    <phoneticPr fontId="5" type="noConversion"/>
  </si>
  <si>
    <t>110222750612482</t>
    <phoneticPr fontId="5" type="noConversion"/>
  </si>
  <si>
    <t>西三旗育新嘉园</t>
    <phoneticPr fontId="5" type="noConversion"/>
  </si>
  <si>
    <t>竣工备案待发</t>
    <phoneticPr fontId="5" type="noConversion"/>
  </si>
  <si>
    <t>202147</t>
    <phoneticPr fontId="5" type="noConversion"/>
  </si>
  <si>
    <t>2003-22-P-01470-M</t>
    <phoneticPr fontId="5" type="noConversion"/>
  </si>
  <si>
    <t>刘华平</t>
    <phoneticPr fontId="5" type="noConversion"/>
  </si>
  <si>
    <t>110108660114640</t>
    <phoneticPr fontId="5" type="noConversion"/>
  </si>
  <si>
    <t>232578</t>
    <phoneticPr fontId="5" type="noConversion"/>
  </si>
  <si>
    <t>2003-22-P-01479</t>
    <phoneticPr fontId="5" type="noConversion"/>
  </si>
  <si>
    <t>龙永红</t>
    <phoneticPr fontId="5" type="noConversion"/>
  </si>
  <si>
    <t>420106670514489</t>
    <phoneticPr fontId="5" type="noConversion"/>
  </si>
  <si>
    <t>13501120554</t>
    <phoneticPr fontId="5" type="noConversion"/>
  </si>
  <si>
    <t>263059</t>
    <phoneticPr fontId="5" type="noConversion"/>
  </si>
  <si>
    <t>2003-22-P-01486-M</t>
    <phoneticPr fontId="5" type="noConversion"/>
  </si>
  <si>
    <t>石江明</t>
    <phoneticPr fontId="5" type="noConversion"/>
  </si>
  <si>
    <t>142602196810021512</t>
    <phoneticPr fontId="5" type="noConversion"/>
  </si>
  <si>
    <t>234348</t>
    <phoneticPr fontId="5" type="noConversion"/>
  </si>
  <si>
    <t>2.70，起居室层高3.30</t>
    <phoneticPr fontId="5" type="noConversion"/>
  </si>
  <si>
    <t>2003-22-P-01493-M</t>
    <phoneticPr fontId="5" type="noConversion"/>
  </si>
  <si>
    <t>鲍胜</t>
    <phoneticPr fontId="5" type="noConversion"/>
  </si>
  <si>
    <t>340821750603001</t>
    <phoneticPr fontId="5" type="noConversion"/>
  </si>
  <si>
    <t>1102号</t>
    <phoneticPr fontId="5" type="noConversion"/>
  </si>
  <si>
    <t>2003-3-D1-01857</t>
    <phoneticPr fontId="5" type="noConversion"/>
  </si>
  <si>
    <t>234113</t>
    <phoneticPr fontId="5" type="noConversion"/>
  </si>
  <si>
    <t>2003-22-P-01499</t>
    <phoneticPr fontId="5" type="noConversion"/>
  </si>
  <si>
    <t>巫雪莹</t>
    <phoneticPr fontId="5" type="noConversion"/>
  </si>
  <si>
    <t>110108710421374</t>
    <phoneticPr fontId="5" type="noConversion"/>
  </si>
  <si>
    <t>2003-3-D1-01867</t>
    <phoneticPr fontId="5" type="noConversion"/>
  </si>
  <si>
    <t>261269</t>
    <phoneticPr fontId="5" type="noConversion"/>
  </si>
  <si>
    <t>2003-22-P-01502-M</t>
    <phoneticPr fontId="5" type="noConversion"/>
  </si>
  <si>
    <t>李永强</t>
    <phoneticPr fontId="5" type="noConversion"/>
  </si>
  <si>
    <t>421002800204185</t>
    <phoneticPr fontId="5" type="noConversion"/>
  </si>
  <si>
    <t>13161831404</t>
    <phoneticPr fontId="5" type="noConversion"/>
  </si>
  <si>
    <t>1301号</t>
    <phoneticPr fontId="5" type="noConversion"/>
  </si>
  <si>
    <t>282803</t>
    <phoneticPr fontId="5" type="noConversion"/>
  </si>
  <si>
    <t>1101021053367</t>
    <phoneticPr fontId="5" type="noConversion"/>
  </si>
  <si>
    <t xml:space="preserve">合同特定编号 </t>
    <phoneticPr fontId="5" type="noConversion"/>
  </si>
  <si>
    <t>2003-22-P-01505</t>
    <phoneticPr fontId="5" type="noConversion"/>
  </si>
  <si>
    <t>沈雷</t>
    <phoneticPr fontId="5" type="noConversion"/>
  </si>
  <si>
    <t>210703701105261</t>
    <phoneticPr fontId="5" type="noConversion"/>
  </si>
  <si>
    <t>10座</t>
    <phoneticPr fontId="5" type="noConversion"/>
  </si>
  <si>
    <t>地上3层</t>
    <phoneticPr fontId="5" type="noConversion"/>
  </si>
  <si>
    <t>2003-22-P-01511</t>
    <phoneticPr fontId="5" type="noConversion"/>
  </si>
  <si>
    <t>巫云峰</t>
    <phoneticPr fontId="5" type="noConversion"/>
  </si>
  <si>
    <t>510112751110001</t>
    <phoneticPr fontId="5" type="noConversion"/>
  </si>
  <si>
    <t>2003-3-D1-01872</t>
    <phoneticPr fontId="5" type="noConversion"/>
  </si>
  <si>
    <t>陈颖</t>
    <phoneticPr fontId="5" type="noConversion"/>
  </si>
  <si>
    <t>2003-22-P-01512</t>
    <phoneticPr fontId="5" type="noConversion"/>
  </si>
  <si>
    <t>吴金强</t>
    <phoneticPr fontId="5" type="noConversion"/>
  </si>
  <si>
    <t>370112197603127737</t>
    <phoneticPr fontId="5" type="noConversion"/>
  </si>
  <si>
    <t>西三旗建材城西二里小区</t>
    <phoneticPr fontId="5" type="noConversion"/>
  </si>
  <si>
    <t>2座</t>
    <phoneticPr fontId="5" type="noConversion"/>
  </si>
  <si>
    <t>地上二层</t>
    <phoneticPr fontId="5" type="noConversion"/>
  </si>
  <si>
    <t>2003-3-D1-01874</t>
    <phoneticPr fontId="5" type="noConversion"/>
  </si>
  <si>
    <t>北京新奥广厦房地产开发有限公司</t>
  </si>
  <si>
    <t>2003-22-P-01516</t>
    <phoneticPr fontId="5" type="noConversion"/>
  </si>
  <si>
    <t>曹玲</t>
    <phoneticPr fontId="5" type="noConversion"/>
  </si>
  <si>
    <t>110108690326496</t>
    <phoneticPr fontId="5" type="noConversion"/>
  </si>
  <si>
    <t>巴沟南路35号万泉新新家园</t>
    <phoneticPr fontId="5" type="noConversion"/>
  </si>
  <si>
    <t>32幢</t>
    <phoneticPr fontId="5" type="noConversion"/>
  </si>
  <si>
    <t>506号</t>
    <phoneticPr fontId="5" type="noConversion"/>
  </si>
  <si>
    <t>北京万泉花园物业开发有限公司</t>
    <phoneticPr fontId="5" type="noConversion"/>
  </si>
  <si>
    <t>北京市住房资金管理中心宣武区分中心</t>
    <phoneticPr fontId="5" type="noConversion"/>
  </si>
  <si>
    <t>北京万泉花园物业开发有限公司</t>
    <phoneticPr fontId="5" type="noConversion"/>
  </si>
  <si>
    <t>北京市海淀区巴沟南路35号</t>
    <phoneticPr fontId="5" type="noConversion"/>
  </si>
  <si>
    <t>企合京总副字第011492号</t>
    <phoneticPr fontId="5" type="noConversion"/>
  </si>
  <si>
    <t>张世光</t>
    <phoneticPr fontId="5" type="noConversion"/>
  </si>
  <si>
    <t>合同特定编号、工程进度</t>
    <phoneticPr fontId="5" type="noConversion"/>
  </si>
  <si>
    <t>2003-22-P-01518</t>
    <phoneticPr fontId="5" type="noConversion"/>
  </si>
  <si>
    <t>孙艳春</t>
    <phoneticPr fontId="5" type="noConversion"/>
  </si>
  <si>
    <t>230103701031554</t>
    <phoneticPr fontId="5" type="noConversion"/>
  </si>
  <si>
    <t>13693013060</t>
    <phoneticPr fontId="5" type="noConversion"/>
  </si>
  <si>
    <t>张晓军</t>
    <phoneticPr fontId="5" type="noConversion"/>
  </si>
  <si>
    <t>2003-22-P-01527</t>
    <phoneticPr fontId="5" type="noConversion"/>
  </si>
  <si>
    <t>陆晓松</t>
    <phoneticPr fontId="5" type="noConversion"/>
  </si>
  <si>
    <t>110105730611616</t>
    <phoneticPr fontId="5" type="noConversion"/>
  </si>
  <si>
    <t>13611163180</t>
    <phoneticPr fontId="5" type="noConversion"/>
  </si>
  <si>
    <t>17幢</t>
    <phoneticPr fontId="5" type="noConversion"/>
  </si>
  <si>
    <t>296136</t>
    <phoneticPr fontId="5" type="noConversion"/>
  </si>
  <si>
    <t>2003-22-P-01584</t>
    <phoneticPr fontId="5" type="noConversion"/>
  </si>
  <si>
    <t>苏剑</t>
    <phoneticPr fontId="5" type="noConversion"/>
  </si>
  <si>
    <t>653101710424163</t>
    <phoneticPr fontId="5" type="noConversion"/>
  </si>
  <si>
    <t>2003-22-P-01585</t>
  </si>
  <si>
    <t>关松云</t>
    <phoneticPr fontId="5" type="noConversion"/>
  </si>
  <si>
    <t>110108770330072</t>
    <phoneticPr fontId="5" type="noConversion"/>
  </si>
  <si>
    <t>1座</t>
    <phoneticPr fontId="5" type="noConversion"/>
  </si>
  <si>
    <t>2003-22-P-01588</t>
    <phoneticPr fontId="5" type="noConversion"/>
  </si>
  <si>
    <t>平玉财</t>
    <phoneticPr fontId="5" type="noConversion"/>
  </si>
  <si>
    <t>211321740713243</t>
    <phoneticPr fontId="5" type="noConversion"/>
  </si>
  <si>
    <t>62904171</t>
    <phoneticPr fontId="5" type="noConversion"/>
  </si>
  <si>
    <t>1309D号</t>
    <phoneticPr fontId="5" type="noConversion"/>
  </si>
  <si>
    <t>278851</t>
    <phoneticPr fontId="5" type="noConversion"/>
  </si>
  <si>
    <t>2003-22-P-01589</t>
    <phoneticPr fontId="5" type="noConversion"/>
  </si>
  <si>
    <t>张志峰</t>
    <phoneticPr fontId="5" type="noConversion"/>
  </si>
  <si>
    <t>11010819720216637X</t>
    <phoneticPr fontId="5" type="noConversion"/>
  </si>
  <si>
    <t>62986688-5721</t>
    <phoneticPr fontId="5" type="noConversion"/>
  </si>
  <si>
    <t>上地南路10、12号院1#楼枫润家园1#楼</t>
    <phoneticPr fontId="5" type="noConversion"/>
  </si>
  <si>
    <t>北京丰利达房地产开发有限公司</t>
    <phoneticPr fontId="5" type="noConversion"/>
  </si>
  <si>
    <t>北京市海淀区上地南路6号院</t>
    <phoneticPr fontId="5" type="noConversion"/>
  </si>
  <si>
    <t>1101082172701</t>
    <phoneticPr fontId="5" type="noConversion"/>
  </si>
  <si>
    <t>徐金祥</t>
    <phoneticPr fontId="5" type="noConversion"/>
  </si>
  <si>
    <t>2003-22-P-01612</t>
    <phoneticPr fontId="5" type="noConversion"/>
  </si>
  <si>
    <t>汪俊英</t>
    <phoneticPr fontId="5" type="noConversion"/>
  </si>
  <si>
    <t>110227550621002</t>
    <phoneticPr fontId="5" type="noConversion"/>
  </si>
  <si>
    <t>北京市住房资金管理中心怀柔区分中心</t>
    <phoneticPr fontId="5" type="noConversion"/>
  </si>
  <si>
    <t>2003-22-P-01649</t>
    <phoneticPr fontId="5" type="noConversion"/>
  </si>
  <si>
    <t>郭玉荣</t>
    <phoneticPr fontId="5" type="noConversion"/>
  </si>
  <si>
    <t>110108700516182</t>
    <phoneticPr fontId="5" type="noConversion"/>
  </si>
  <si>
    <t>62757322</t>
    <phoneticPr fontId="5" type="noConversion"/>
  </si>
  <si>
    <t>2003-3-D1-01955</t>
    <phoneticPr fontId="5" type="noConversion"/>
  </si>
  <si>
    <t>2003-22-P-01663</t>
    <phoneticPr fontId="5" type="noConversion"/>
  </si>
  <si>
    <t>黄磊</t>
    <phoneticPr fontId="5" type="noConversion"/>
  </si>
  <si>
    <t>142432197507070030</t>
    <phoneticPr fontId="5" type="noConversion"/>
  </si>
  <si>
    <t>2003-22-P-01664</t>
  </si>
  <si>
    <t>高峰</t>
    <phoneticPr fontId="5" type="noConversion"/>
  </si>
  <si>
    <t>610103197702062418</t>
    <phoneticPr fontId="5" type="noConversion"/>
  </si>
  <si>
    <t>3座</t>
    <phoneticPr fontId="5" type="noConversion"/>
  </si>
  <si>
    <t>2003-22-P-01672</t>
    <phoneticPr fontId="5" type="noConversion"/>
  </si>
  <si>
    <t>祁金利</t>
    <phoneticPr fontId="5" type="noConversion"/>
  </si>
  <si>
    <t>110108196811201519</t>
    <phoneticPr fontId="5" type="noConversion"/>
  </si>
  <si>
    <t>13801179436</t>
    <phoneticPr fontId="5" type="noConversion"/>
  </si>
  <si>
    <t>1103C号</t>
    <phoneticPr fontId="5" type="noConversion"/>
  </si>
  <si>
    <t>278332</t>
    <phoneticPr fontId="5" type="noConversion"/>
  </si>
  <si>
    <t>2003-22-P-01676</t>
    <phoneticPr fontId="5" type="noConversion"/>
  </si>
  <si>
    <t>付元锋</t>
    <phoneticPr fontId="5" type="noConversion"/>
  </si>
  <si>
    <t>110108690302185</t>
    <phoneticPr fontId="5" type="noConversion"/>
  </si>
  <si>
    <t>13801168516</t>
    <phoneticPr fontId="5" type="noConversion"/>
  </si>
  <si>
    <t>海淀南路23号苏州街72号院</t>
    <phoneticPr fontId="5" type="noConversion"/>
  </si>
  <si>
    <t>508号</t>
    <phoneticPr fontId="5" type="noConversion"/>
  </si>
  <si>
    <t>北京银丰广厦房地产开发有限公司</t>
    <phoneticPr fontId="5" type="noConversion"/>
  </si>
  <si>
    <t>三室二厅一卫一厨</t>
    <phoneticPr fontId="5" type="noConversion"/>
  </si>
  <si>
    <t>148561</t>
    <phoneticPr fontId="5" type="noConversion"/>
  </si>
  <si>
    <t>北京银丰广厦房地产开发有限公司</t>
  </si>
  <si>
    <t>北京市海淀区阜石路67号银都大厦1808号</t>
    <phoneticPr fontId="5" type="noConversion"/>
  </si>
  <si>
    <t>1100001094032（1-1）</t>
    <phoneticPr fontId="5" type="noConversion"/>
  </si>
  <si>
    <t>路林</t>
    <phoneticPr fontId="5" type="noConversion"/>
  </si>
  <si>
    <t>2003-22-P-01679</t>
    <phoneticPr fontId="5" type="noConversion"/>
  </si>
  <si>
    <t>钮文进</t>
    <phoneticPr fontId="5" type="noConversion"/>
  </si>
  <si>
    <t>110102580309274</t>
    <phoneticPr fontId="5" type="noConversion"/>
  </si>
  <si>
    <t>四季青乡兰靛厂远大地区鲁迅文化园住宅一期A1-A3上河村</t>
    <phoneticPr fontId="5" type="noConversion"/>
  </si>
  <si>
    <t>A1幢</t>
    <phoneticPr fontId="5" type="noConversion"/>
  </si>
  <si>
    <t>北京市鲁艺房地产开发有限责任公司</t>
    <phoneticPr fontId="5" type="noConversion"/>
  </si>
  <si>
    <t>北京市住房资金管理中心市经贸委分中心</t>
    <phoneticPr fontId="5" type="noConversion"/>
  </si>
  <si>
    <t>北京市鲁艺房地产开发有限责任公司</t>
    <phoneticPr fontId="5" type="noConversion"/>
  </si>
  <si>
    <t>北京市海淀区玉渊潭公园进水闸西</t>
    <phoneticPr fontId="5" type="noConversion"/>
  </si>
  <si>
    <t>1100001502618（2-1）</t>
    <phoneticPr fontId="5" type="noConversion"/>
  </si>
  <si>
    <t>杨元惺</t>
    <phoneticPr fontId="5" type="noConversion"/>
  </si>
  <si>
    <t>2003-22-P-01691</t>
    <phoneticPr fontId="5" type="noConversion"/>
  </si>
  <si>
    <t>王春芳</t>
    <phoneticPr fontId="5" type="noConversion"/>
  </si>
  <si>
    <t>430426740826948</t>
    <phoneticPr fontId="5" type="noConversion"/>
  </si>
  <si>
    <t>13910827625</t>
    <phoneticPr fontId="5" type="noConversion"/>
  </si>
  <si>
    <t>1208C号</t>
    <phoneticPr fontId="5" type="noConversion"/>
  </si>
  <si>
    <t>278350</t>
    <phoneticPr fontId="5" type="noConversion"/>
  </si>
  <si>
    <t>2003-22-P-01694</t>
    <phoneticPr fontId="5" type="noConversion"/>
  </si>
  <si>
    <t>刘强</t>
    <phoneticPr fontId="5" type="noConversion"/>
  </si>
  <si>
    <t>110102671015111</t>
    <phoneticPr fontId="5" type="noConversion"/>
  </si>
  <si>
    <t>1104号</t>
    <phoneticPr fontId="5" type="noConversion"/>
  </si>
  <si>
    <t>地上三层</t>
    <phoneticPr fontId="5" type="noConversion"/>
  </si>
  <si>
    <t>2003-22-P-01695</t>
  </si>
  <si>
    <t>徐立</t>
    <phoneticPr fontId="5" type="noConversion"/>
  </si>
  <si>
    <t>330106691224213</t>
    <phoneticPr fontId="5" type="noConversion"/>
  </si>
  <si>
    <t>2003-22-P-01699</t>
    <phoneticPr fontId="5" type="noConversion"/>
  </si>
  <si>
    <t>卞春祥</t>
    <phoneticPr fontId="5" type="noConversion"/>
  </si>
  <si>
    <t>131082770913005</t>
    <phoneticPr fontId="5" type="noConversion"/>
  </si>
  <si>
    <t>159939</t>
    <phoneticPr fontId="5" type="noConversion"/>
  </si>
  <si>
    <t>2003-22-P-01726</t>
    <phoneticPr fontId="5" type="noConversion"/>
  </si>
  <si>
    <t>唐炜</t>
    <phoneticPr fontId="5" type="noConversion"/>
  </si>
  <si>
    <t>110108710812811</t>
    <phoneticPr fontId="5" type="noConversion"/>
  </si>
  <si>
    <t>13001146974</t>
    <phoneticPr fontId="5" type="noConversion"/>
  </si>
  <si>
    <t>608C号</t>
    <phoneticPr fontId="5" type="noConversion"/>
  </si>
  <si>
    <t>278857</t>
    <phoneticPr fontId="5" type="noConversion"/>
  </si>
  <si>
    <t>2003-22-P-01727</t>
    <phoneticPr fontId="5" type="noConversion"/>
  </si>
  <si>
    <t>安志辉</t>
    <phoneticPr fontId="5" type="noConversion"/>
  </si>
  <si>
    <t>110224197402200013</t>
    <phoneticPr fontId="5" type="noConversion"/>
  </si>
  <si>
    <t>地上三层</t>
    <phoneticPr fontId="5" type="noConversion"/>
  </si>
  <si>
    <t>2003-22-P-01728</t>
    <phoneticPr fontId="5" type="noConversion"/>
  </si>
  <si>
    <t>王毅</t>
    <phoneticPr fontId="5" type="noConversion"/>
  </si>
  <si>
    <t>340702197612252518</t>
    <phoneticPr fontId="5" type="noConversion"/>
  </si>
  <si>
    <t>2003-22-P-01745</t>
    <phoneticPr fontId="5" type="noConversion"/>
  </si>
  <si>
    <t>徐晓云</t>
    <phoneticPr fontId="5" type="noConversion"/>
  </si>
  <si>
    <t>110106781227002</t>
    <phoneticPr fontId="5" type="noConversion"/>
  </si>
  <si>
    <t>13911026421</t>
    <phoneticPr fontId="5" type="noConversion"/>
  </si>
  <si>
    <t>北京市平谷县兴谷经济技术开发区</t>
    <phoneticPr fontId="5" type="noConversion"/>
  </si>
  <si>
    <t>2003-22-P-01780</t>
    <phoneticPr fontId="5" type="noConversion"/>
  </si>
  <si>
    <t>谢国杰</t>
    <phoneticPr fontId="5" type="noConversion"/>
  </si>
  <si>
    <t>210211730626583</t>
    <phoneticPr fontId="5" type="noConversion"/>
  </si>
  <si>
    <t>13651069868</t>
    <phoneticPr fontId="5" type="noConversion"/>
  </si>
  <si>
    <t>三幢</t>
    <phoneticPr fontId="5" type="noConversion"/>
  </si>
  <si>
    <t>261281</t>
    <phoneticPr fontId="5" type="noConversion"/>
  </si>
  <si>
    <t>2003-22-P-01781</t>
  </si>
  <si>
    <t>付红波</t>
    <phoneticPr fontId="5" type="noConversion"/>
  </si>
  <si>
    <t>210211750418583</t>
    <phoneticPr fontId="5" type="noConversion"/>
  </si>
  <si>
    <t>外装修</t>
    <phoneticPr fontId="5" type="noConversion"/>
  </si>
  <si>
    <t>261256</t>
    <phoneticPr fontId="5" type="noConversion"/>
  </si>
  <si>
    <t>陈颖</t>
    <phoneticPr fontId="5" type="noConversion"/>
  </si>
  <si>
    <t>2003-22-P-01797</t>
    <phoneticPr fontId="5" type="noConversion"/>
  </si>
  <si>
    <t>钱卫东</t>
    <phoneticPr fontId="5" type="noConversion"/>
  </si>
  <si>
    <t>110105630330553</t>
    <phoneticPr fontId="5" type="noConversion"/>
  </si>
  <si>
    <t>279416</t>
    <phoneticPr fontId="5" type="noConversion"/>
  </si>
  <si>
    <t>2003-22-P-01809</t>
    <phoneticPr fontId="5" type="noConversion"/>
  </si>
  <si>
    <t>卢艳军</t>
    <phoneticPr fontId="5" type="noConversion"/>
  </si>
  <si>
    <t>110108641226645</t>
    <phoneticPr fontId="5" type="noConversion"/>
  </si>
  <si>
    <t>13001025584</t>
    <phoneticPr fontId="5" type="noConversion"/>
  </si>
  <si>
    <t>翠微中里万方苑</t>
  </si>
  <si>
    <t>2081号</t>
    <phoneticPr fontId="5" type="noConversion"/>
  </si>
  <si>
    <t>北京市海淀区翠微南里8号楼</t>
  </si>
  <si>
    <t>1100001137671（2-1）</t>
  </si>
  <si>
    <t>2003-22-P-01810</t>
    <phoneticPr fontId="5" type="noConversion"/>
  </si>
  <si>
    <t>刘振平</t>
    <phoneticPr fontId="5" type="noConversion"/>
  </si>
  <si>
    <t>110102630216275</t>
    <phoneticPr fontId="5" type="noConversion"/>
  </si>
  <si>
    <t>68476161</t>
    <phoneticPr fontId="5" type="noConversion"/>
  </si>
  <si>
    <t>2003-3-D1-02025</t>
    <phoneticPr fontId="5" type="noConversion"/>
  </si>
  <si>
    <t>279469</t>
    <phoneticPr fontId="5" type="noConversion"/>
  </si>
  <si>
    <t>2003-22-P-01814</t>
    <phoneticPr fontId="5" type="noConversion"/>
  </si>
  <si>
    <t>隋世芹</t>
    <phoneticPr fontId="5" type="noConversion"/>
  </si>
  <si>
    <t>370632197007109121</t>
    <phoneticPr fontId="5" type="noConversion"/>
  </si>
  <si>
    <t>2003-3-D1-02026</t>
    <phoneticPr fontId="5" type="noConversion"/>
  </si>
  <si>
    <t>2003-22-P-01815</t>
    <phoneticPr fontId="5" type="noConversion"/>
  </si>
  <si>
    <t>王涛</t>
    <phoneticPr fontId="5" type="noConversion"/>
  </si>
  <si>
    <t>110108811223091</t>
    <phoneticPr fontId="5" type="noConversion"/>
  </si>
  <si>
    <t>9座</t>
    <phoneticPr fontId="5" type="noConversion"/>
  </si>
  <si>
    <t>出地面</t>
    <phoneticPr fontId="5" type="noConversion"/>
  </si>
  <si>
    <t>2003-3-D1-02027</t>
    <phoneticPr fontId="5" type="noConversion"/>
  </si>
  <si>
    <t>2003-22-P-01816</t>
    <phoneticPr fontId="5" type="noConversion"/>
  </si>
  <si>
    <t>黄捷</t>
    <phoneticPr fontId="5" type="noConversion"/>
  </si>
  <si>
    <t>510302740220001</t>
    <phoneticPr fontId="5" type="noConversion"/>
  </si>
  <si>
    <t>3座</t>
    <phoneticPr fontId="5" type="noConversion"/>
  </si>
  <si>
    <t>地上三层</t>
    <phoneticPr fontId="5" type="noConversion"/>
  </si>
  <si>
    <t>2003-3-D1-02028</t>
    <phoneticPr fontId="5" type="noConversion"/>
  </si>
  <si>
    <t>2003-22-P-01817</t>
    <phoneticPr fontId="5" type="noConversion"/>
  </si>
  <si>
    <t>任鹏</t>
    <phoneticPr fontId="5" type="noConversion"/>
  </si>
  <si>
    <t>110102560304156</t>
    <phoneticPr fontId="5" type="noConversion"/>
  </si>
  <si>
    <t>903号</t>
    <phoneticPr fontId="5" type="noConversion"/>
  </si>
  <si>
    <t>2003-3-D1-02029</t>
    <phoneticPr fontId="5" type="noConversion"/>
  </si>
  <si>
    <t>2003-22-P-01818</t>
    <phoneticPr fontId="5" type="noConversion"/>
  </si>
  <si>
    <t>卢如青</t>
    <phoneticPr fontId="5" type="noConversion"/>
  </si>
  <si>
    <t>352623751123511</t>
    <phoneticPr fontId="5" type="noConversion"/>
  </si>
  <si>
    <t>1003号</t>
    <phoneticPr fontId="5" type="noConversion"/>
  </si>
  <si>
    <t>2003-3-D1-02030</t>
    <phoneticPr fontId="5" type="noConversion"/>
  </si>
  <si>
    <t>2003-22-P-01819</t>
    <phoneticPr fontId="5" type="noConversion"/>
  </si>
  <si>
    <t>吕宏毅</t>
    <phoneticPr fontId="5" type="noConversion"/>
  </si>
  <si>
    <t>13280119760502421X</t>
    <phoneticPr fontId="5" type="noConversion"/>
  </si>
  <si>
    <t>2003-3-D1-02031</t>
    <phoneticPr fontId="5" type="noConversion"/>
  </si>
  <si>
    <t>2003-22-P-01824</t>
    <phoneticPr fontId="5" type="noConversion"/>
  </si>
  <si>
    <t>彭红波</t>
    <phoneticPr fontId="5" type="noConversion"/>
  </si>
  <si>
    <t>420113197509020010</t>
    <phoneticPr fontId="5" type="noConversion"/>
  </si>
  <si>
    <t>0810号</t>
    <phoneticPr fontId="5" type="noConversion"/>
  </si>
  <si>
    <t>154473</t>
    <phoneticPr fontId="5" type="noConversion"/>
  </si>
  <si>
    <t>2003-22-P-01825</t>
  </si>
  <si>
    <t>秦宝波</t>
    <phoneticPr fontId="5" type="noConversion"/>
  </si>
  <si>
    <t>370624197108100652</t>
    <phoneticPr fontId="5" type="noConversion"/>
  </si>
  <si>
    <t>26层</t>
    <phoneticPr fontId="5" type="noConversion"/>
  </si>
  <si>
    <t>2608号</t>
    <phoneticPr fontId="5" type="noConversion"/>
  </si>
  <si>
    <t>154593</t>
    <phoneticPr fontId="5" type="noConversion"/>
  </si>
  <si>
    <t>2003-22-P-01843</t>
    <phoneticPr fontId="5" type="noConversion"/>
  </si>
  <si>
    <t>窦岳慧</t>
    <phoneticPr fontId="5" type="noConversion"/>
  </si>
  <si>
    <t>110108640508494</t>
    <phoneticPr fontId="5" type="noConversion"/>
  </si>
  <si>
    <t>11-10号</t>
    <phoneticPr fontId="5" type="noConversion"/>
  </si>
  <si>
    <t>北京市住房资金管理中心首钢归集分部</t>
    <phoneticPr fontId="5" type="noConversion"/>
  </si>
  <si>
    <t>2003-22-P-01858</t>
    <phoneticPr fontId="5" type="noConversion"/>
  </si>
  <si>
    <t>何江陵</t>
    <phoneticPr fontId="5" type="noConversion"/>
  </si>
  <si>
    <t>237643</t>
    <phoneticPr fontId="5" type="noConversion"/>
  </si>
  <si>
    <t>2003-22-P-01859</t>
    <phoneticPr fontId="5" type="noConversion"/>
  </si>
  <si>
    <t>蒋仲雄</t>
    <phoneticPr fontId="5" type="noConversion"/>
  </si>
  <si>
    <t>420203197502062536</t>
    <phoneticPr fontId="5" type="noConversion"/>
  </si>
  <si>
    <t>2003-22-P-01865</t>
    <phoneticPr fontId="5" type="noConversion"/>
  </si>
  <si>
    <t>廖厚才</t>
    <phoneticPr fontId="5" type="noConversion"/>
  </si>
  <si>
    <t>110221680404837</t>
    <phoneticPr fontId="5" type="noConversion"/>
  </si>
  <si>
    <t>13701270701</t>
    <phoneticPr fontId="5" type="noConversion"/>
  </si>
  <si>
    <t>7号楼</t>
    <phoneticPr fontId="5" type="noConversion"/>
  </si>
  <si>
    <t>01号</t>
    <phoneticPr fontId="5" type="noConversion"/>
  </si>
  <si>
    <t>166703</t>
    <phoneticPr fontId="5" type="noConversion"/>
  </si>
  <si>
    <t>2003-22-P-01866</t>
    <phoneticPr fontId="5" type="noConversion"/>
  </si>
  <si>
    <t>刘金月</t>
    <phoneticPr fontId="5" type="noConversion"/>
  </si>
  <si>
    <t>110227790823153</t>
    <phoneticPr fontId="5" type="noConversion"/>
  </si>
  <si>
    <t>1座</t>
    <phoneticPr fontId="5" type="noConversion"/>
  </si>
  <si>
    <t>2003-22-P-01867</t>
    <phoneticPr fontId="5" type="noConversion"/>
  </si>
  <si>
    <t>高志扬</t>
    <phoneticPr fontId="5" type="noConversion"/>
  </si>
  <si>
    <t>420106760302771</t>
    <phoneticPr fontId="5" type="noConversion"/>
  </si>
  <si>
    <t>13641319915</t>
    <phoneticPr fontId="5" type="noConversion"/>
  </si>
  <si>
    <t>13单元</t>
    <phoneticPr fontId="5" type="noConversion"/>
  </si>
  <si>
    <t>302A号</t>
    <phoneticPr fontId="5" type="noConversion"/>
  </si>
  <si>
    <t>三室一厅一卫一厨</t>
    <phoneticPr fontId="5" type="noConversion"/>
  </si>
  <si>
    <t>201397</t>
    <phoneticPr fontId="5" type="noConversion"/>
  </si>
  <si>
    <t>2003-22-P-01868</t>
    <phoneticPr fontId="5" type="noConversion"/>
  </si>
  <si>
    <t>薛文涛、田丰</t>
    <phoneticPr fontId="5" type="noConversion"/>
  </si>
  <si>
    <t>110108700701639、110108711022144</t>
    <phoneticPr fontId="5" type="noConversion"/>
  </si>
  <si>
    <t>13621169655</t>
    <phoneticPr fontId="5" type="noConversion"/>
  </si>
  <si>
    <t>1008C号</t>
    <phoneticPr fontId="5" type="noConversion"/>
  </si>
  <si>
    <t>278344</t>
    <phoneticPr fontId="5" type="noConversion"/>
  </si>
  <si>
    <t>2003-22-P-01896</t>
    <phoneticPr fontId="5" type="noConversion"/>
  </si>
  <si>
    <t>王肖梅</t>
    <phoneticPr fontId="5" type="noConversion"/>
  </si>
  <si>
    <t>321102196801130448</t>
    <phoneticPr fontId="5" type="noConversion"/>
  </si>
  <si>
    <t>大钟寺危改小区太阳园小区</t>
    <phoneticPr fontId="5" type="noConversion"/>
  </si>
  <si>
    <t>A4座</t>
    <phoneticPr fontId="5" type="noConversion"/>
  </si>
  <si>
    <t>2层</t>
    <phoneticPr fontId="5" type="noConversion"/>
  </si>
  <si>
    <t>03号</t>
    <phoneticPr fontId="5" type="noConversion"/>
  </si>
  <si>
    <t>128798</t>
    <phoneticPr fontId="5" type="noConversion"/>
  </si>
  <si>
    <t>北京市海淀区太月元小区1号楼</t>
    <phoneticPr fontId="5" type="noConversion"/>
  </si>
  <si>
    <t>2003-22-P-01920</t>
    <phoneticPr fontId="5" type="noConversion"/>
  </si>
  <si>
    <t>郁梅馨</t>
    <phoneticPr fontId="5" type="noConversion"/>
  </si>
  <si>
    <t>110102731211272</t>
    <phoneticPr fontId="5" type="noConversion"/>
  </si>
  <si>
    <t>63931919-8002</t>
    <phoneticPr fontId="5" type="noConversion"/>
  </si>
  <si>
    <t>清河镇清缘小区东区(清缘上河园1#、2#、3#、4#、5#、6#、7#）及配套公建清缘东里</t>
    <phoneticPr fontId="5" type="noConversion"/>
  </si>
  <si>
    <t>北京旭洲房地产开发有限责任公司</t>
    <phoneticPr fontId="5" type="noConversion"/>
  </si>
  <si>
    <t>290504</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</si>
  <si>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</si>
  <si>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</si>
  <si>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</si>
  <si>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鲍良广</t>
    <phoneticPr fontId="5" type="noConversion"/>
  </si>
  <si>
    <t>2003-22-P-01940</t>
    <phoneticPr fontId="5" type="noConversion"/>
  </si>
  <si>
    <t>王九刚</t>
    <phoneticPr fontId="5" type="noConversion"/>
  </si>
  <si>
    <t>130603196909250932</t>
    <phoneticPr fontId="5" type="noConversion"/>
  </si>
  <si>
    <t>2座</t>
    <phoneticPr fontId="5" type="noConversion"/>
  </si>
  <si>
    <t>地上2层</t>
    <phoneticPr fontId="5" type="noConversion"/>
  </si>
  <si>
    <t>2003-D1-02063</t>
    <phoneticPr fontId="5" type="noConversion"/>
  </si>
  <si>
    <t>2003-22-P-01941</t>
    <phoneticPr fontId="5" type="noConversion"/>
  </si>
  <si>
    <t>赵磊</t>
    <phoneticPr fontId="5" type="noConversion"/>
  </si>
  <si>
    <t>110108800421271</t>
    <phoneticPr fontId="5" type="noConversion"/>
  </si>
  <si>
    <t>北京市住房资金管理中心北京北辰实业集团公司分中心</t>
    <phoneticPr fontId="5" type="noConversion"/>
  </si>
  <si>
    <t>地上1层</t>
    <phoneticPr fontId="5" type="noConversion"/>
  </si>
  <si>
    <t>2003-3-D1-02064</t>
    <phoneticPr fontId="5" type="noConversion"/>
  </si>
  <si>
    <t>2003-22-P-01945</t>
    <phoneticPr fontId="5" type="noConversion"/>
  </si>
  <si>
    <t>顾振荣</t>
    <phoneticPr fontId="5" type="noConversion"/>
  </si>
  <si>
    <t>320121197608221121</t>
    <phoneticPr fontId="5" type="noConversion"/>
  </si>
  <si>
    <t>清河镇清缘小区东区(清缘上河园1#、2#、3#、4#、5#、6#、7#）及配套公建清缘东里</t>
    <phoneticPr fontId="5" type="noConversion"/>
  </si>
  <si>
    <t>290501</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</si>
  <si>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</si>
  <si>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</si>
  <si>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</si>
  <si>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2003-22-P-01947</t>
    <phoneticPr fontId="5" type="noConversion"/>
  </si>
  <si>
    <t>周华宝</t>
    <phoneticPr fontId="5" type="noConversion"/>
  </si>
  <si>
    <t>360602197507201012</t>
    <phoneticPr fontId="5" type="noConversion"/>
  </si>
  <si>
    <t>2003-22-P-01978</t>
    <phoneticPr fontId="5" type="noConversion"/>
  </si>
  <si>
    <t>周大明</t>
    <phoneticPr fontId="5" type="noConversion"/>
  </si>
  <si>
    <t>110102710303111</t>
    <phoneticPr fontId="5" type="noConversion"/>
  </si>
  <si>
    <t>13611325026</t>
    <phoneticPr fontId="5" type="noConversion"/>
  </si>
  <si>
    <t>1108C号</t>
    <phoneticPr fontId="5" type="noConversion"/>
  </si>
  <si>
    <t>305365</t>
    <phoneticPr fontId="5" type="noConversion"/>
  </si>
  <si>
    <t>2003-22-P-01986</t>
    <phoneticPr fontId="5" type="noConversion"/>
  </si>
  <si>
    <t>孙志焱</t>
    <phoneticPr fontId="5" type="noConversion"/>
  </si>
  <si>
    <t>430322197310246118</t>
    <phoneticPr fontId="5" type="noConversion"/>
  </si>
  <si>
    <t>13641114692</t>
    <phoneticPr fontId="5" type="noConversion"/>
  </si>
  <si>
    <t>半壁店圆梦居</t>
    <phoneticPr fontId="5" type="noConversion"/>
  </si>
  <si>
    <t>4座</t>
    <phoneticPr fontId="5" type="noConversion"/>
  </si>
  <si>
    <t>北京兴源房地产开发有限公司</t>
    <phoneticPr fontId="5" type="noConversion"/>
  </si>
  <si>
    <t>4066</t>
    <phoneticPr fontId="5" type="noConversion"/>
  </si>
  <si>
    <t>地上2层</t>
    <phoneticPr fontId="275" type="noConversion"/>
  </si>
  <si>
    <t>508530</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</si>
  <si>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</si>
  <si>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</si>
  <si>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</si>
  <si>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2003-22-P-01987</t>
  </si>
  <si>
    <t>关勇</t>
    <phoneticPr fontId="5" type="noConversion"/>
  </si>
  <si>
    <t>110108197312153772</t>
    <phoneticPr fontId="5" type="noConversion"/>
  </si>
  <si>
    <t>13520751121</t>
    <phoneticPr fontId="5" type="noConversion"/>
  </si>
  <si>
    <t>半壁店圆梦居</t>
    <phoneticPr fontId="5" type="noConversion"/>
  </si>
  <si>
    <t>3876</t>
    <phoneticPr fontId="5" type="noConversion"/>
  </si>
  <si>
    <t>地上2层</t>
    <phoneticPr fontId="275" type="noConversion"/>
  </si>
  <si>
    <t>508527</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</si>
  <si>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</si>
  <si>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</si>
  <si>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</si>
  <si>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2003-22-P-02017-M</t>
    <phoneticPr fontId="5" type="noConversion"/>
  </si>
  <si>
    <t>单卫</t>
    <phoneticPr fontId="5" type="noConversion"/>
  </si>
  <si>
    <t>370202197704023016</t>
    <phoneticPr fontId="5" type="noConversion"/>
  </si>
  <si>
    <t>13693010499</t>
    <phoneticPr fontId="5" type="noConversion"/>
  </si>
  <si>
    <t>7幢</t>
    <phoneticPr fontId="5" type="noConversion"/>
  </si>
  <si>
    <t>1203号</t>
    <phoneticPr fontId="5" type="noConversion"/>
  </si>
  <si>
    <t>250110</t>
    <phoneticPr fontId="5" type="noConversion"/>
  </si>
  <si>
    <t>2003-22-P-02019</t>
    <phoneticPr fontId="5" type="noConversion"/>
  </si>
  <si>
    <t>罗茜</t>
    <phoneticPr fontId="5" type="noConversion"/>
  </si>
  <si>
    <t>110108701008542</t>
    <phoneticPr fontId="5" type="noConversion"/>
  </si>
  <si>
    <t>玉渊潭乡五路居裕泽园</t>
    <phoneticPr fontId="5" type="noConversion"/>
  </si>
  <si>
    <t>北京裕泽房地产开发有限责任公司</t>
    <phoneticPr fontId="5" type="noConversion"/>
  </si>
  <si>
    <t>地上6层</t>
    <phoneticPr fontId="5" type="noConversion"/>
  </si>
  <si>
    <t>邹晓明</t>
    <phoneticPr fontId="5" type="noConversion"/>
  </si>
  <si>
    <t>北京裕泽房地产开发有限责任公司</t>
    <phoneticPr fontId="5" type="noConversion"/>
  </si>
  <si>
    <t>北京市海淀区阜成路73号一层</t>
    <phoneticPr fontId="5" type="noConversion"/>
  </si>
  <si>
    <t>110108104885（1-1）</t>
    <phoneticPr fontId="5" type="noConversion"/>
  </si>
  <si>
    <t>李森</t>
    <phoneticPr fontId="5" type="noConversion"/>
  </si>
  <si>
    <t>2003-22-P-02025</t>
    <phoneticPr fontId="5" type="noConversion"/>
  </si>
  <si>
    <t>王晓天</t>
    <phoneticPr fontId="5" type="noConversion"/>
  </si>
  <si>
    <t>110108570413141</t>
    <phoneticPr fontId="5" type="noConversion"/>
  </si>
  <si>
    <t>13021210420</t>
    <phoneticPr fontId="5" type="noConversion"/>
  </si>
  <si>
    <t>圆明园西路圆明园花园</t>
    <phoneticPr fontId="5" type="noConversion"/>
  </si>
  <si>
    <t>H1幢</t>
    <phoneticPr fontId="5" type="noConversion"/>
  </si>
  <si>
    <t>北京圆明园花园别墅有限公司</t>
    <phoneticPr fontId="5" type="noConversion"/>
  </si>
  <si>
    <t>W</t>
    <phoneticPr fontId="5" type="noConversion"/>
  </si>
  <si>
    <t>008713</t>
    <phoneticPr fontId="5" type="noConversion"/>
  </si>
  <si>
    <t>北京圆明园花园别墅有限公司</t>
    <phoneticPr fontId="5" type="noConversion"/>
  </si>
  <si>
    <t>北京市海淀区海淀乡肖家河后营村</t>
    <phoneticPr fontId="5" type="noConversion"/>
  </si>
  <si>
    <t>企合京总副字第004283号</t>
    <phoneticPr fontId="5" type="noConversion"/>
  </si>
  <si>
    <t>周海斌</t>
    <phoneticPr fontId="5" type="noConversion"/>
  </si>
  <si>
    <t>2003-22-P-02044</t>
    <phoneticPr fontId="5" type="noConversion"/>
  </si>
  <si>
    <t>李彦民</t>
    <phoneticPr fontId="5" type="noConversion"/>
  </si>
  <si>
    <t>130603196409280932</t>
    <phoneticPr fontId="5" type="noConversion"/>
  </si>
  <si>
    <t>2003-D1-02096</t>
    <phoneticPr fontId="5" type="noConversion"/>
  </si>
  <si>
    <t>145299</t>
    <phoneticPr fontId="5" type="noConversion"/>
  </si>
  <si>
    <t>北京市怀柔县雁栖工业开发区46号</t>
    <phoneticPr fontId="5" type="noConversion"/>
  </si>
  <si>
    <t>2003-22-P-02049</t>
    <phoneticPr fontId="5" type="noConversion"/>
  </si>
  <si>
    <t>赵佳平、李晓钢</t>
    <phoneticPr fontId="5" type="noConversion"/>
  </si>
  <si>
    <t>130702196011120364、130703196312110916</t>
    <phoneticPr fontId="5" type="noConversion"/>
  </si>
  <si>
    <t>13301132051</t>
    <phoneticPr fontId="5" type="noConversion"/>
  </si>
  <si>
    <t>903C号</t>
    <phoneticPr fontId="5" type="noConversion"/>
  </si>
  <si>
    <t>278876</t>
    <phoneticPr fontId="5" type="noConversion"/>
  </si>
  <si>
    <t>2003-22-P-02056</t>
    <phoneticPr fontId="5" type="noConversion"/>
  </si>
  <si>
    <t>邵虹</t>
    <phoneticPr fontId="5" type="noConversion"/>
  </si>
  <si>
    <t>110108651025142</t>
    <phoneticPr fontId="5" type="noConversion"/>
  </si>
  <si>
    <t>13801173766</t>
    <phoneticPr fontId="5" type="noConversion"/>
  </si>
  <si>
    <t>圆明园西路圆明园花园</t>
    <phoneticPr fontId="5" type="noConversion"/>
  </si>
  <si>
    <t>北京市住房资金管理中心市一轻工业总公司分中心</t>
    <phoneticPr fontId="5" type="noConversion"/>
  </si>
  <si>
    <t>完工待验收</t>
    <phoneticPr fontId="5" type="noConversion"/>
  </si>
  <si>
    <t>邹晓明</t>
    <phoneticPr fontId="5" type="noConversion"/>
  </si>
  <si>
    <t>008705</t>
    <phoneticPr fontId="5" type="noConversion"/>
  </si>
  <si>
    <t>企合京总副字第004283号</t>
    <phoneticPr fontId="5" type="noConversion"/>
  </si>
  <si>
    <t>周海斌</t>
    <phoneticPr fontId="5" type="noConversion"/>
  </si>
  <si>
    <t>2003-22-P-02058</t>
    <phoneticPr fontId="5" type="noConversion"/>
  </si>
  <si>
    <t>杨如冰</t>
    <phoneticPr fontId="5" type="noConversion"/>
  </si>
  <si>
    <t>332525197503080028</t>
    <phoneticPr fontId="5" type="noConversion"/>
  </si>
  <si>
    <t>五幢</t>
    <phoneticPr fontId="5" type="noConversion"/>
  </si>
  <si>
    <t>2003-3-D1-02101</t>
    <phoneticPr fontId="5" type="noConversion"/>
  </si>
  <si>
    <t>279479</t>
    <phoneticPr fontId="5" type="noConversion"/>
  </si>
  <si>
    <t>2003-22-P-02076-M</t>
    <phoneticPr fontId="5" type="noConversion"/>
  </si>
  <si>
    <t>岑宇</t>
    <phoneticPr fontId="5" type="noConversion"/>
  </si>
  <si>
    <t>110108770223892</t>
    <phoneticPr fontId="5" type="noConversion"/>
  </si>
  <si>
    <t>902号</t>
    <phoneticPr fontId="5" type="noConversion"/>
  </si>
  <si>
    <t>2003-3-D1-02104</t>
    <phoneticPr fontId="5" type="noConversion"/>
  </si>
  <si>
    <t>073601</t>
    <phoneticPr fontId="5" type="noConversion"/>
  </si>
  <si>
    <t>2003-22-P-02077</t>
    <phoneticPr fontId="5" type="noConversion"/>
  </si>
  <si>
    <t>林浩鹏</t>
    <phoneticPr fontId="5" type="noConversion"/>
  </si>
  <si>
    <t>110106196907123030</t>
    <phoneticPr fontId="5" type="noConversion"/>
  </si>
  <si>
    <t>清河西三旗转盘东路3号沁春家园</t>
    <phoneticPr fontId="5" type="noConversion"/>
  </si>
  <si>
    <t>北京都市房地产开发有限责任公司</t>
    <phoneticPr fontId="5" type="noConversion"/>
  </si>
  <si>
    <t>六</t>
    <phoneticPr fontId="5" type="noConversion"/>
  </si>
  <si>
    <t>045166</t>
    <phoneticPr fontId="5" type="noConversion"/>
  </si>
  <si>
    <t>北京都市房地产开发有限责任公司</t>
  </si>
  <si>
    <t>北京市平谷县马昌营镇马天路北侧</t>
    <phoneticPr fontId="5" type="noConversion"/>
  </si>
  <si>
    <t>1100001504797（2-1）</t>
    <phoneticPr fontId="5" type="noConversion"/>
  </si>
  <si>
    <t>方向东</t>
    <phoneticPr fontId="5" type="noConversion"/>
  </si>
  <si>
    <t>2003-22-P-02082</t>
    <phoneticPr fontId="5" type="noConversion"/>
  </si>
  <si>
    <t>蒋海燕</t>
    <phoneticPr fontId="5" type="noConversion"/>
  </si>
  <si>
    <t>450304750108154</t>
    <phoneticPr fontId="5" type="noConversion"/>
  </si>
  <si>
    <t>9单元</t>
    <phoneticPr fontId="5" type="noConversion"/>
  </si>
  <si>
    <t>290517</t>
    <phoneticPr fontId="5" type="noConversion"/>
  </si>
  <si>
    <t>鲍良广</t>
    <phoneticPr fontId="5" type="noConversion"/>
  </si>
  <si>
    <t>2003-22-P-02087</t>
    <phoneticPr fontId="5" type="noConversion"/>
  </si>
  <si>
    <t>刘晓辉</t>
    <phoneticPr fontId="5" type="noConversion"/>
  </si>
  <si>
    <t>230106680515176</t>
    <phoneticPr fontId="5" type="noConversion"/>
  </si>
  <si>
    <t>四季青乡通泰小区（郦城）</t>
  </si>
  <si>
    <t>D3幢</t>
    <phoneticPr fontId="5" type="noConversion"/>
  </si>
  <si>
    <t>北京永泰房地产开发有限责任公司</t>
  </si>
  <si>
    <t>1--2</t>
    <phoneticPr fontId="5" type="noConversion"/>
  </si>
  <si>
    <t>三室三厅三卫一厨</t>
    <phoneticPr fontId="5" type="noConversion"/>
  </si>
  <si>
    <t>北京市平谷区府前西街22号</t>
    <phoneticPr fontId="5" type="noConversion"/>
  </si>
  <si>
    <t>1100001021453（1-1）</t>
  </si>
  <si>
    <t>戴浩</t>
  </si>
  <si>
    <t>2003-22-P-02091</t>
    <phoneticPr fontId="5" type="noConversion"/>
  </si>
  <si>
    <t>杨汉忠</t>
    <phoneticPr fontId="5" type="noConversion"/>
  </si>
  <si>
    <t>110106197306290030</t>
    <phoneticPr fontId="5" type="noConversion"/>
  </si>
  <si>
    <t>145433</t>
    <phoneticPr fontId="5" type="noConversion"/>
  </si>
  <si>
    <t>谭尊可</t>
    <phoneticPr fontId="5" type="noConversion"/>
  </si>
  <si>
    <t>现售</t>
    <phoneticPr fontId="5" type="noConversion"/>
  </si>
  <si>
    <t>2003-22-P-02095</t>
    <phoneticPr fontId="5" type="noConversion"/>
  </si>
  <si>
    <t>冯明明</t>
    <phoneticPr fontId="5" type="noConversion"/>
  </si>
  <si>
    <t>110108601004002</t>
    <phoneticPr fontId="5" type="noConversion"/>
  </si>
  <si>
    <t>62339124</t>
    <phoneticPr fontId="5" type="noConversion"/>
  </si>
  <si>
    <t>H1幢</t>
    <phoneticPr fontId="5" type="noConversion"/>
  </si>
  <si>
    <t>邹晓明</t>
    <phoneticPr fontId="5" type="noConversion"/>
  </si>
  <si>
    <t>W</t>
    <phoneticPr fontId="5" type="noConversion"/>
  </si>
  <si>
    <t>008704</t>
    <phoneticPr fontId="5" type="noConversion"/>
  </si>
  <si>
    <t>2003-22-P-02098</t>
    <phoneticPr fontId="5" type="noConversion"/>
  </si>
  <si>
    <t>温勇</t>
    <phoneticPr fontId="5" type="noConversion"/>
  </si>
  <si>
    <t>130502770505151</t>
    <phoneticPr fontId="5" type="noConversion"/>
  </si>
  <si>
    <t>13611169628</t>
    <phoneticPr fontId="5" type="noConversion"/>
  </si>
  <si>
    <t>602F号</t>
    <phoneticPr fontId="5" type="noConversion"/>
  </si>
  <si>
    <t>305361</t>
    <phoneticPr fontId="5" type="noConversion"/>
  </si>
  <si>
    <t>2003-22-P-02111</t>
    <phoneticPr fontId="5" type="noConversion"/>
  </si>
  <si>
    <t>薛明</t>
    <phoneticPr fontId="5" type="noConversion"/>
  </si>
  <si>
    <t>110108600104373</t>
    <phoneticPr fontId="5" type="noConversion"/>
  </si>
  <si>
    <t>清河镇永泰园小区</t>
    <phoneticPr fontId="5" type="noConversion"/>
  </si>
  <si>
    <t>A反单元</t>
    <phoneticPr fontId="5" type="noConversion"/>
  </si>
  <si>
    <t>北京市金百禾房地产开发有限责任公司</t>
    <phoneticPr fontId="5" type="noConversion"/>
  </si>
  <si>
    <t>评估费优惠,7折</t>
    <phoneticPr fontId="5" type="noConversion"/>
  </si>
  <si>
    <t>253670</t>
    <phoneticPr fontId="5" type="noConversion"/>
  </si>
  <si>
    <t>北京市金百禾房地产开发有限责任公司</t>
  </si>
  <si>
    <t>北京市海淀区清河镇一街57号一层</t>
    <phoneticPr fontId="5" type="noConversion"/>
  </si>
  <si>
    <t>1101081507759（2-2)</t>
    <phoneticPr fontId="5" type="noConversion"/>
  </si>
  <si>
    <t>靳水明</t>
    <phoneticPr fontId="5" type="noConversion"/>
  </si>
  <si>
    <t>2003-22-P-02116</t>
    <phoneticPr fontId="5" type="noConversion"/>
  </si>
  <si>
    <t>马相武</t>
    <phoneticPr fontId="5" type="noConversion"/>
  </si>
  <si>
    <t>110108580218893</t>
    <phoneticPr fontId="5" type="noConversion"/>
  </si>
  <si>
    <t>62512333</t>
    <phoneticPr fontId="5" type="noConversion"/>
  </si>
  <si>
    <t>圆明园西路圆明园花园</t>
    <phoneticPr fontId="5" type="noConversion"/>
  </si>
  <si>
    <t>2003-3-D1-02118</t>
    <phoneticPr fontId="5" type="noConversion"/>
  </si>
  <si>
    <t>008717</t>
    <phoneticPr fontId="5" type="noConversion"/>
  </si>
  <si>
    <t>周海斌</t>
    <phoneticPr fontId="5" type="noConversion"/>
  </si>
  <si>
    <t>2003-22-P-02123-M</t>
    <phoneticPr fontId="5" type="noConversion"/>
  </si>
  <si>
    <t>杜珂</t>
    <phoneticPr fontId="5" type="noConversion"/>
  </si>
  <si>
    <t>412301741112056</t>
    <phoneticPr fontId="5" type="noConversion"/>
  </si>
  <si>
    <t>2003-3-D1-02120</t>
    <phoneticPr fontId="5" type="noConversion"/>
  </si>
  <si>
    <t>063947</t>
    <phoneticPr fontId="5" type="noConversion"/>
  </si>
  <si>
    <t>2003-22-P-02135-M</t>
    <phoneticPr fontId="5" type="noConversion"/>
  </si>
  <si>
    <t>白利军</t>
    <phoneticPr fontId="5" type="noConversion"/>
  </si>
  <si>
    <t>650103197902200616</t>
    <phoneticPr fontId="5" type="noConversion"/>
  </si>
  <si>
    <t>2003-3-D1-02123</t>
    <phoneticPr fontId="5" type="noConversion"/>
  </si>
  <si>
    <t>233655</t>
    <phoneticPr fontId="5" type="noConversion"/>
  </si>
  <si>
    <t>2.80，起居室层高3.20</t>
    <phoneticPr fontId="5" type="noConversion"/>
  </si>
  <si>
    <t>2003-22-P-02148</t>
    <phoneticPr fontId="5" type="noConversion"/>
  </si>
  <si>
    <t>戴丰、张晓岚</t>
    <phoneticPr fontId="5" type="noConversion"/>
  </si>
  <si>
    <t>110106681208003、110108680805546</t>
    <phoneticPr fontId="5" type="noConversion"/>
  </si>
  <si>
    <t>翠微路四号颐源居三期</t>
    <phoneticPr fontId="5" type="noConversion"/>
  </si>
  <si>
    <t>19座</t>
    <phoneticPr fontId="5" type="noConversion"/>
  </si>
  <si>
    <t>08号</t>
    <phoneticPr fontId="5" type="noConversion"/>
  </si>
  <si>
    <t>2003-22-P-02149</t>
    <phoneticPr fontId="5" type="noConversion"/>
  </si>
  <si>
    <t>王强</t>
    <phoneticPr fontId="5" type="noConversion"/>
  </si>
  <si>
    <t>210521197811120015</t>
    <phoneticPr fontId="5" type="noConversion"/>
  </si>
  <si>
    <t>清河小营美欣家园</t>
    <phoneticPr fontId="5" type="noConversion"/>
  </si>
  <si>
    <t>A幢</t>
    <phoneticPr fontId="5" type="noConversion"/>
  </si>
  <si>
    <t>1502号</t>
    <phoneticPr fontId="5" type="noConversion"/>
  </si>
  <si>
    <t>145300</t>
    <phoneticPr fontId="5" type="noConversion"/>
  </si>
  <si>
    <t>2003-22-P-02154</t>
    <phoneticPr fontId="5" type="noConversion"/>
  </si>
  <si>
    <t>刘凤英</t>
    <phoneticPr fontId="5" type="noConversion"/>
  </si>
  <si>
    <t>110108196905230441</t>
    <phoneticPr fontId="5" type="noConversion"/>
  </si>
  <si>
    <t>13301127787</t>
    <phoneticPr fontId="5" type="noConversion"/>
  </si>
  <si>
    <t>西苑地区小清河北岸肖家河天秀花园B区</t>
    <phoneticPr fontId="5" type="noConversion"/>
  </si>
  <si>
    <t>26幢</t>
    <phoneticPr fontId="5" type="noConversion"/>
  </si>
  <si>
    <t>006195</t>
    <phoneticPr fontId="5" type="noConversion"/>
  </si>
  <si>
    <t>北京海开房地产集团公司</t>
    <phoneticPr fontId="5" type="noConversion"/>
  </si>
  <si>
    <t>北京市海淀区海淀南路21号</t>
    <phoneticPr fontId="5" type="noConversion"/>
  </si>
  <si>
    <t>1100001411957(1-1)</t>
    <phoneticPr fontId="5" type="noConversion"/>
  </si>
  <si>
    <t>2003-22-P-02157-U</t>
    <phoneticPr fontId="5" type="noConversion"/>
  </si>
  <si>
    <t>薄文泽</t>
    <phoneticPr fontId="5" type="noConversion"/>
  </si>
  <si>
    <t>110108196402121876</t>
    <phoneticPr fontId="5" type="noConversion"/>
  </si>
  <si>
    <t>13161935956</t>
    <phoneticPr fontId="5" type="noConversion"/>
  </si>
  <si>
    <t>海淀区小南庄怡秀园</t>
    <phoneticPr fontId="5" type="noConversion"/>
  </si>
  <si>
    <t>4号楼</t>
    <phoneticPr fontId="5" type="noConversion"/>
  </si>
  <si>
    <t>151号</t>
    <phoneticPr fontId="5" type="noConversion"/>
  </si>
  <si>
    <t>2003-22-P-02160</t>
    <phoneticPr fontId="5" type="noConversion"/>
  </si>
  <si>
    <t>邓红蕾</t>
    <phoneticPr fontId="5" type="noConversion"/>
  </si>
  <si>
    <t>370920720707386</t>
    <phoneticPr fontId="5" type="noConversion"/>
  </si>
  <si>
    <t>2003-22-P-02161</t>
    <phoneticPr fontId="5" type="noConversion"/>
  </si>
  <si>
    <t>吕宝强</t>
    <phoneticPr fontId="5" type="noConversion"/>
  </si>
  <si>
    <t>110108680307861</t>
    <phoneticPr fontId="5" type="noConversion"/>
  </si>
  <si>
    <t>北京丰利达房地产开发有限公司</t>
    <phoneticPr fontId="5" type="noConversion"/>
  </si>
  <si>
    <t>北京市海淀区上地南路6号院</t>
    <phoneticPr fontId="5" type="noConversion"/>
  </si>
  <si>
    <t>1101082172701</t>
    <phoneticPr fontId="5" type="noConversion"/>
  </si>
  <si>
    <t>合同特定编号、工程进度</t>
    <phoneticPr fontId="5" type="noConversion"/>
  </si>
  <si>
    <t>2003-22-P-02169</t>
    <phoneticPr fontId="5" type="noConversion"/>
  </si>
  <si>
    <t>杨金奎</t>
    <phoneticPr fontId="5" type="noConversion"/>
  </si>
  <si>
    <t>110105600709113</t>
    <phoneticPr fontId="5" type="noConversion"/>
  </si>
  <si>
    <t>玉渊潭乡五路居裕泽园</t>
    <phoneticPr fontId="5" type="noConversion"/>
  </si>
  <si>
    <t>北京市住房资金管理中心崇文区分中心</t>
    <phoneticPr fontId="5" type="noConversion"/>
  </si>
  <si>
    <t>北京裕泽房地产开发有限责任公司</t>
    <phoneticPr fontId="5" type="noConversion"/>
  </si>
  <si>
    <t>110108104885（1-1）</t>
    <phoneticPr fontId="5" type="noConversion"/>
  </si>
  <si>
    <t>2003-22-P-02171</t>
    <phoneticPr fontId="5" type="noConversion"/>
  </si>
  <si>
    <t>王庆岗</t>
    <phoneticPr fontId="5" type="noConversion"/>
  </si>
  <si>
    <t>110101197009252036</t>
    <phoneticPr fontId="5" type="noConversion"/>
  </si>
  <si>
    <t>2003-3-D1-02137</t>
    <phoneticPr fontId="5" type="noConversion"/>
  </si>
  <si>
    <t>2003-22-P-02172</t>
    <phoneticPr fontId="5" type="noConversion"/>
  </si>
  <si>
    <t>奚小春</t>
    <phoneticPr fontId="5" type="noConversion"/>
  </si>
  <si>
    <t>110104610204005</t>
    <phoneticPr fontId="5" type="noConversion"/>
  </si>
  <si>
    <t>地上2层</t>
    <phoneticPr fontId="5" type="noConversion"/>
  </si>
  <si>
    <t>2003-D1-02138</t>
    <phoneticPr fontId="5" type="noConversion"/>
  </si>
  <si>
    <t>2003-22-P-02173</t>
    <phoneticPr fontId="5" type="noConversion"/>
  </si>
  <si>
    <t>吴立</t>
    <phoneticPr fontId="5" type="noConversion"/>
  </si>
  <si>
    <t>413024197502030018</t>
    <phoneticPr fontId="5" type="noConversion"/>
  </si>
  <si>
    <t>2003-3-D1-02139</t>
    <phoneticPr fontId="5" type="noConversion"/>
  </si>
  <si>
    <t>2003-22-P-02185-U</t>
  </si>
  <si>
    <t>陆建全</t>
  </si>
  <si>
    <t>110107580219211</t>
  </si>
  <si>
    <t>13683347265</t>
  </si>
  <si>
    <t>502</t>
  </si>
  <si>
    <t>陆健全</t>
  </si>
  <si>
    <t>2003-3-D1-02141</t>
  </si>
  <si>
    <t>1100001088540</t>
  </si>
  <si>
    <t>中介</t>
  </si>
  <si>
    <t>不含税费及出让金</t>
  </si>
  <si>
    <t>2003-22-P-02192</t>
    <phoneticPr fontId="5" type="noConversion"/>
  </si>
  <si>
    <t>郑小军</t>
    <phoneticPr fontId="5" type="noConversion"/>
  </si>
  <si>
    <t>610103740724241</t>
    <phoneticPr fontId="5" type="noConversion"/>
  </si>
  <si>
    <t>13910523279</t>
    <phoneticPr fontId="5" type="noConversion"/>
  </si>
  <si>
    <t>北京圆明园花园别墅有限公司</t>
    <phoneticPr fontId="5" type="noConversion"/>
  </si>
  <si>
    <t>W</t>
    <phoneticPr fontId="5" type="noConversion"/>
  </si>
  <si>
    <t>020299</t>
    <phoneticPr fontId="5" type="noConversion"/>
  </si>
  <si>
    <t>北京市海淀区海淀乡肖家河后营村</t>
    <phoneticPr fontId="5" type="noConversion"/>
  </si>
  <si>
    <t>2003-22-P-02195</t>
    <phoneticPr fontId="5" type="noConversion"/>
  </si>
  <si>
    <t>李晓松</t>
    <phoneticPr fontId="5" type="noConversion"/>
  </si>
  <si>
    <t>422228750415475</t>
    <phoneticPr fontId="5" type="noConversion"/>
  </si>
  <si>
    <t>13501222148</t>
    <phoneticPr fontId="5" type="noConversion"/>
  </si>
  <si>
    <t>201B号</t>
    <phoneticPr fontId="5" type="noConversion"/>
  </si>
  <si>
    <t>305362</t>
    <phoneticPr fontId="5" type="noConversion"/>
  </si>
  <si>
    <t>2003-22-P-02232-U</t>
    <phoneticPr fontId="5" type="noConversion"/>
  </si>
  <si>
    <t>雷颖</t>
    <phoneticPr fontId="5" type="noConversion"/>
  </si>
  <si>
    <t>110108197804093737</t>
    <phoneticPr fontId="5" type="noConversion"/>
  </si>
  <si>
    <t>13601322887</t>
    <phoneticPr fontId="5" type="noConversion"/>
  </si>
  <si>
    <t>6号楼</t>
    <phoneticPr fontId="5" type="noConversion"/>
  </si>
  <si>
    <t>603号</t>
    <phoneticPr fontId="5" type="noConversion"/>
  </si>
  <si>
    <t>雷颖</t>
    <phoneticPr fontId="5" type="noConversion"/>
  </si>
  <si>
    <t>2003-3-D1-02158</t>
    <phoneticPr fontId="5" type="noConversion"/>
  </si>
  <si>
    <t>2003-22-P-02235</t>
    <phoneticPr fontId="5" type="noConversion"/>
  </si>
  <si>
    <t>王小容</t>
    <phoneticPr fontId="5" type="noConversion"/>
  </si>
  <si>
    <t>110108631120008</t>
    <phoneticPr fontId="5" type="noConversion"/>
  </si>
  <si>
    <t>62783663</t>
    <phoneticPr fontId="5" type="noConversion"/>
  </si>
  <si>
    <t>13幢</t>
    <phoneticPr fontId="5" type="noConversion"/>
  </si>
  <si>
    <t>1层</t>
    <phoneticPr fontId="5" type="noConversion"/>
  </si>
  <si>
    <t>104号</t>
    <phoneticPr fontId="5" type="noConversion"/>
  </si>
  <si>
    <t>北京市海淀区东北旺农场机关</t>
    <phoneticPr fontId="5" type="noConversion"/>
  </si>
  <si>
    <t>2003-22-P-02245</t>
    <phoneticPr fontId="5" type="noConversion"/>
  </si>
  <si>
    <t>孙志焱</t>
    <phoneticPr fontId="5" type="noConversion"/>
  </si>
  <si>
    <t>半壁店圆梦居</t>
    <phoneticPr fontId="5" type="noConversion"/>
  </si>
  <si>
    <t>基础</t>
    <phoneticPr fontId="275" type="noConversion"/>
  </si>
  <si>
    <t>508556</t>
    <phoneticPr fontId="5" type="noConversion"/>
  </si>
  <si>
    <t>2003-22-P-02245</t>
    <phoneticPr fontId="5" type="noConversion"/>
  </si>
  <si>
    <t>翟福森</t>
    <phoneticPr fontId="5" type="noConversion"/>
  </si>
  <si>
    <t>130921197410202812</t>
    <phoneticPr fontId="5" type="noConversion"/>
  </si>
  <si>
    <t>13501237219</t>
    <phoneticPr fontId="5" type="noConversion"/>
  </si>
  <si>
    <t>2003-22-P-02253</t>
    <phoneticPr fontId="5" type="noConversion"/>
  </si>
  <si>
    <t>曾捷英</t>
    <phoneticPr fontId="5" type="noConversion"/>
  </si>
  <si>
    <t>422601690711004</t>
    <phoneticPr fontId="5" type="noConversion"/>
  </si>
  <si>
    <t>红联北村今典花园</t>
    <phoneticPr fontId="5" type="noConversion"/>
  </si>
  <si>
    <t>9号楼A座</t>
    <phoneticPr fontId="5" type="noConversion"/>
  </si>
  <si>
    <t>二十二层</t>
    <phoneticPr fontId="5" type="noConversion"/>
  </si>
  <si>
    <t>2203号</t>
    <phoneticPr fontId="5" type="noConversion"/>
  </si>
  <si>
    <t>205630</t>
    <phoneticPr fontId="5" type="noConversion"/>
  </si>
  <si>
    <t>北京市海淀区北太平庄牤牛桥15号</t>
    <phoneticPr fontId="5" type="noConversion"/>
  </si>
  <si>
    <t>张宝全</t>
    <phoneticPr fontId="5" type="noConversion"/>
  </si>
  <si>
    <t>2003-22-P-02257</t>
    <phoneticPr fontId="5" type="noConversion"/>
  </si>
  <si>
    <t>邓婕</t>
    <phoneticPr fontId="5" type="noConversion"/>
  </si>
  <si>
    <t>110108197406213721</t>
    <phoneticPr fontId="5" type="noConversion"/>
  </si>
  <si>
    <t>13601150260</t>
    <phoneticPr fontId="5" type="noConversion"/>
  </si>
  <si>
    <t>508565</t>
    <phoneticPr fontId="5" type="noConversion"/>
  </si>
  <si>
    <t>北京市密云县西智路口番子牌工业小区</t>
    <phoneticPr fontId="5" type="noConversion"/>
  </si>
  <si>
    <t>陈永杰</t>
    <phoneticPr fontId="5" type="noConversion"/>
  </si>
  <si>
    <t>2003-22-P-02265</t>
    <phoneticPr fontId="5" type="noConversion"/>
  </si>
  <si>
    <t>李振军、孔春凤</t>
    <phoneticPr fontId="5" type="noConversion"/>
  </si>
  <si>
    <t>110108620601635、110108711026142</t>
    <phoneticPr fontId="5" type="noConversion"/>
  </si>
  <si>
    <t>13520877294</t>
    <phoneticPr fontId="5" type="noConversion"/>
  </si>
  <si>
    <t>14幢</t>
    <phoneticPr fontId="5" type="noConversion"/>
  </si>
  <si>
    <t>1层</t>
    <phoneticPr fontId="5" type="noConversion"/>
  </si>
  <si>
    <t>北京市住房资金管理中心航空系统分中心(I)</t>
    <phoneticPr fontId="5" type="noConversion"/>
  </si>
  <si>
    <t>北京市安达房地产开发公司</t>
    <phoneticPr fontId="5" type="noConversion"/>
  </si>
  <si>
    <t>2003-22-P-02268-M</t>
    <phoneticPr fontId="5" type="noConversion"/>
  </si>
  <si>
    <t>史杰</t>
    <phoneticPr fontId="5" type="noConversion"/>
  </si>
  <si>
    <t>14010219680607062X</t>
    <phoneticPr fontId="5" type="noConversion"/>
  </si>
  <si>
    <t>234525</t>
    <phoneticPr fontId="5" type="noConversion"/>
  </si>
  <si>
    <t>2003-22-P-02273</t>
    <phoneticPr fontId="5" type="noConversion"/>
  </si>
  <si>
    <t>武冰、逯璐</t>
    <phoneticPr fontId="5" type="noConversion"/>
  </si>
  <si>
    <t>110108711222571、110102770513082</t>
    <phoneticPr fontId="5" type="noConversion"/>
  </si>
  <si>
    <t>地上2层</t>
    <phoneticPr fontId="5" type="noConversion"/>
  </si>
  <si>
    <t>2003-3-D1-02175</t>
    <phoneticPr fontId="5" type="noConversion"/>
  </si>
  <si>
    <t>2003-22-P-02275-M</t>
    <phoneticPr fontId="5" type="noConversion"/>
  </si>
  <si>
    <t>周静</t>
    <phoneticPr fontId="5" type="noConversion"/>
  </si>
  <si>
    <t>210703197606142424</t>
    <phoneticPr fontId="5" type="noConversion"/>
  </si>
  <si>
    <t>13910161359</t>
    <phoneticPr fontId="5" type="noConversion"/>
  </si>
  <si>
    <t>1706号</t>
    <phoneticPr fontId="5" type="noConversion"/>
  </si>
  <si>
    <t>北京天恒房地产股份有限公司</t>
    <phoneticPr fontId="5" type="noConversion"/>
  </si>
  <si>
    <t>282823</t>
    <phoneticPr fontId="5" type="noConversion"/>
  </si>
  <si>
    <t>2003-22-P-02282-U</t>
    <phoneticPr fontId="5" type="noConversion"/>
  </si>
  <si>
    <t>范丽霞</t>
    <phoneticPr fontId="5" type="noConversion"/>
  </si>
  <si>
    <t>110105650617152</t>
    <phoneticPr fontId="5" type="noConversion"/>
  </si>
  <si>
    <t>84283763</t>
    <phoneticPr fontId="5" type="noConversion"/>
  </si>
  <si>
    <t>知春里</t>
    <phoneticPr fontId="5" type="noConversion"/>
  </si>
  <si>
    <t>10#楼</t>
    <phoneticPr fontId="5" type="noConversion"/>
  </si>
  <si>
    <t>现房合同</t>
    <phoneticPr fontId="5" type="noConversion"/>
  </si>
  <si>
    <t>非正常交易（单位内部）</t>
    <phoneticPr fontId="5" type="noConversion"/>
  </si>
  <si>
    <t>不含税费</t>
    <phoneticPr fontId="5" type="noConversion"/>
  </si>
  <si>
    <t>2003-22-P-02283</t>
    <phoneticPr fontId="5" type="noConversion"/>
  </si>
  <si>
    <t>杨波</t>
    <phoneticPr fontId="5" type="noConversion"/>
  </si>
  <si>
    <t>110108197310224231</t>
    <phoneticPr fontId="5" type="noConversion"/>
  </si>
  <si>
    <t>615号</t>
    <phoneticPr fontId="5" type="noConversion"/>
  </si>
  <si>
    <t>2003-22-P-02303</t>
    <phoneticPr fontId="5" type="noConversion"/>
  </si>
  <si>
    <t>梁杰</t>
    <phoneticPr fontId="5" type="noConversion"/>
  </si>
  <si>
    <t>370602198004251612</t>
    <phoneticPr fontId="5" type="noConversion"/>
  </si>
  <si>
    <t>1303号</t>
    <phoneticPr fontId="5" type="noConversion"/>
  </si>
  <si>
    <t>邓晓澜</t>
    <phoneticPr fontId="5" type="noConversion"/>
  </si>
  <si>
    <t>2003-22-P-02304</t>
    <phoneticPr fontId="5" type="noConversion"/>
  </si>
  <si>
    <t>叶继红</t>
    <phoneticPr fontId="5" type="noConversion"/>
  </si>
  <si>
    <t>11010219710413304X</t>
    <phoneticPr fontId="5" type="noConversion"/>
  </si>
  <si>
    <t>地上3层</t>
    <phoneticPr fontId="5" type="noConversion"/>
  </si>
  <si>
    <t>2003-3-D1-02187</t>
    <phoneticPr fontId="5" type="noConversion"/>
  </si>
  <si>
    <t>2003-22-P-02306</t>
    <phoneticPr fontId="5" type="noConversion"/>
  </si>
  <si>
    <t>李江南</t>
    <phoneticPr fontId="5" type="noConversion"/>
  </si>
  <si>
    <t>110108570923402</t>
    <phoneticPr fontId="5" type="noConversion"/>
  </si>
  <si>
    <t>北京市住房资金管理中心宣武区分中心</t>
    <phoneticPr fontId="5" type="noConversion"/>
  </si>
  <si>
    <t>261248</t>
    <phoneticPr fontId="5" type="noConversion"/>
  </si>
  <si>
    <t>2003-22-P-02311</t>
    <phoneticPr fontId="5" type="noConversion"/>
  </si>
  <si>
    <t>陆旭军</t>
    <phoneticPr fontId="5" type="noConversion"/>
  </si>
  <si>
    <t>370206197502100445</t>
    <phoneticPr fontId="5" type="noConversion"/>
  </si>
  <si>
    <t>703号</t>
    <phoneticPr fontId="5" type="noConversion"/>
  </si>
  <si>
    <t>2003-22-P-02341-M</t>
    <phoneticPr fontId="5" type="noConversion"/>
  </si>
  <si>
    <t>刘冬梅</t>
    <phoneticPr fontId="5" type="noConversion"/>
  </si>
  <si>
    <t>110108691127222</t>
    <phoneticPr fontId="5" type="noConversion"/>
  </si>
  <si>
    <t>1301号</t>
    <phoneticPr fontId="5" type="noConversion"/>
  </si>
  <si>
    <t>2003-3-D1-02196</t>
    <phoneticPr fontId="5" type="noConversion"/>
  </si>
  <si>
    <t>233467</t>
    <phoneticPr fontId="5" type="noConversion"/>
  </si>
  <si>
    <t>3.20，卧室层高2.80</t>
    <phoneticPr fontId="5" type="noConversion"/>
  </si>
  <si>
    <t>2003-22-P-02379</t>
    <phoneticPr fontId="5" type="noConversion"/>
  </si>
  <si>
    <t>胡德军</t>
    <phoneticPr fontId="5" type="noConversion"/>
  </si>
  <si>
    <t>410102195907133010</t>
    <phoneticPr fontId="5" type="noConversion"/>
  </si>
  <si>
    <t>13311097332</t>
    <phoneticPr fontId="5" type="noConversion"/>
  </si>
  <si>
    <t>马连洼地区百旺家苑项目百旺家苑</t>
    <phoneticPr fontId="5" type="noConversion"/>
  </si>
  <si>
    <t>B1-15幢</t>
    <phoneticPr fontId="5" type="noConversion"/>
  </si>
  <si>
    <t>北京德成兴业房地产开发有限公司</t>
  </si>
  <si>
    <t>商品房合同</t>
    <phoneticPr fontId="5" type="noConversion"/>
  </si>
  <si>
    <t>240596</t>
    <phoneticPr fontId="5" type="noConversion"/>
  </si>
  <si>
    <t>北京市海淀区海淀南路21号</t>
  </si>
  <si>
    <t>11000012793271-1</t>
  </si>
  <si>
    <t>穆鹏</t>
  </si>
  <si>
    <t>2003-22-P-02380</t>
    <phoneticPr fontId="5" type="noConversion"/>
  </si>
  <si>
    <t>林岩</t>
    <phoneticPr fontId="5" type="noConversion"/>
  </si>
  <si>
    <t>110108570205401</t>
    <phoneticPr fontId="5" type="noConversion"/>
  </si>
  <si>
    <t>13693350707</t>
    <phoneticPr fontId="5" type="noConversion"/>
  </si>
  <si>
    <t>261211</t>
    <phoneticPr fontId="5" type="noConversion"/>
  </si>
  <si>
    <t>2003-22-P-02381</t>
    <phoneticPr fontId="5" type="noConversion"/>
  </si>
  <si>
    <t>付俊秋</t>
    <phoneticPr fontId="5" type="noConversion"/>
  </si>
  <si>
    <t>110226760816282</t>
    <phoneticPr fontId="5" type="noConversion"/>
  </si>
  <si>
    <t>13321131186</t>
    <phoneticPr fontId="5" type="noConversion"/>
  </si>
  <si>
    <t>4372</t>
    <phoneticPr fontId="5" type="noConversion"/>
  </si>
  <si>
    <t>508566</t>
    <phoneticPr fontId="5" type="noConversion"/>
  </si>
  <si>
    <t>2003-22-P-02388</t>
    <phoneticPr fontId="5" type="noConversion"/>
  </si>
  <si>
    <t>薛芳毅</t>
    <phoneticPr fontId="5" type="noConversion"/>
  </si>
  <si>
    <t>412925750427051</t>
    <phoneticPr fontId="5" type="noConversion"/>
  </si>
  <si>
    <t>27层</t>
    <phoneticPr fontId="5" type="noConversion"/>
  </si>
  <si>
    <t>2710号</t>
    <phoneticPr fontId="5" type="noConversion"/>
  </si>
  <si>
    <t>154587</t>
    <phoneticPr fontId="5" type="noConversion"/>
  </si>
  <si>
    <t>2003-22-P-02402</t>
    <phoneticPr fontId="5" type="noConversion"/>
  </si>
  <si>
    <t>李长春</t>
    <phoneticPr fontId="5" type="noConversion"/>
  </si>
  <si>
    <t>110108560219003</t>
    <phoneticPr fontId="5" type="noConversion"/>
  </si>
  <si>
    <t>60281343</t>
    <phoneticPr fontId="5" type="noConversion"/>
  </si>
  <si>
    <t>709号</t>
    <phoneticPr fontId="5" type="noConversion"/>
  </si>
  <si>
    <t>地上1层</t>
    <phoneticPr fontId="5" type="noConversion"/>
  </si>
  <si>
    <t>2003-3-D1-02221</t>
    <phoneticPr fontId="5" type="noConversion"/>
  </si>
  <si>
    <t>2003-22-P-02421-U</t>
    <phoneticPr fontId="5" type="noConversion"/>
  </si>
  <si>
    <t>温泉</t>
    <phoneticPr fontId="5" type="noConversion"/>
  </si>
  <si>
    <t>510103720128343</t>
    <phoneticPr fontId="5" type="noConversion"/>
  </si>
  <si>
    <t>13601352456</t>
    <phoneticPr fontId="5" type="noConversion"/>
  </si>
  <si>
    <t>恩济庄永安东里</t>
    <phoneticPr fontId="5" type="noConversion"/>
  </si>
  <si>
    <t>5门</t>
    <phoneticPr fontId="5" type="noConversion"/>
  </si>
  <si>
    <t>温泉</t>
    <phoneticPr fontId="5" type="noConversion"/>
  </si>
  <si>
    <t>三室三厅一卫一厨</t>
    <phoneticPr fontId="5" type="noConversion"/>
  </si>
  <si>
    <t>朋友</t>
    <phoneticPr fontId="5" type="noConversion"/>
  </si>
  <si>
    <t>双方</t>
    <phoneticPr fontId="5" type="noConversion"/>
  </si>
  <si>
    <t>含出让金</t>
    <phoneticPr fontId="5" type="noConversion"/>
  </si>
  <si>
    <t>2003-22-P-02422</t>
    <phoneticPr fontId="5" type="noConversion"/>
  </si>
  <si>
    <t>董燕全</t>
    <phoneticPr fontId="5" type="noConversion"/>
  </si>
  <si>
    <t>110108640311891</t>
    <phoneticPr fontId="5" type="noConversion"/>
  </si>
  <si>
    <t>13621188393</t>
    <phoneticPr fontId="5" type="noConversion"/>
  </si>
  <si>
    <t>1309B号</t>
    <phoneticPr fontId="5" type="noConversion"/>
  </si>
  <si>
    <t>2003-3-D1-02226</t>
    <phoneticPr fontId="5" type="noConversion"/>
  </si>
  <si>
    <t>2003-22-P-02424</t>
    <phoneticPr fontId="5" type="noConversion"/>
  </si>
  <si>
    <t>刘鹏</t>
    <phoneticPr fontId="5" type="noConversion"/>
  </si>
  <si>
    <t>11010819770517681X</t>
    <phoneticPr fontId="5" type="noConversion"/>
  </si>
  <si>
    <t>2003-3-D1-02227</t>
    <phoneticPr fontId="5" type="noConversion"/>
  </si>
  <si>
    <t>2003-22-P-02425</t>
    <phoneticPr fontId="5" type="noConversion"/>
  </si>
  <si>
    <t>李洪权</t>
    <phoneticPr fontId="5" type="noConversion"/>
  </si>
  <si>
    <t>512223197305070018</t>
    <phoneticPr fontId="5" type="noConversion"/>
  </si>
  <si>
    <t>4座</t>
    <phoneticPr fontId="5" type="noConversion"/>
  </si>
  <si>
    <t>2003-3-D1-02228</t>
    <phoneticPr fontId="5" type="noConversion"/>
  </si>
  <si>
    <t>2003-22-P-02426</t>
    <phoneticPr fontId="5" type="noConversion"/>
  </si>
  <si>
    <t>周国洪</t>
    <phoneticPr fontId="5" type="noConversion"/>
  </si>
  <si>
    <t>610103197508152858</t>
    <phoneticPr fontId="5" type="noConversion"/>
  </si>
  <si>
    <t>403号</t>
    <phoneticPr fontId="5" type="noConversion"/>
  </si>
  <si>
    <t>2003-3-D1-02229</t>
    <phoneticPr fontId="5" type="noConversion"/>
  </si>
  <si>
    <t>2003-22-P-02438</t>
    <phoneticPr fontId="5" type="noConversion"/>
  </si>
  <si>
    <t>孙铭明</t>
    <phoneticPr fontId="5" type="noConversion"/>
  </si>
  <si>
    <t>130102720131152</t>
    <phoneticPr fontId="5" type="noConversion"/>
  </si>
  <si>
    <t>2003-3-D1-02233</t>
    <phoneticPr fontId="5" type="noConversion"/>
  </si>
  <si>
    <t>2003-22-P-02440-M</t>
    <phoneticPr fontId="5" type="noConversion"/>
  </si>
  <si>
    <t>程燕杰</t>
    <phoneticPr fontId="5" type="noConversion"/>
  </si>
  <si>
    <t>110225197201210318</t>
    <phoneticPr fontId="5" type="noConversion"/>
  </si>
  <si>
    <t>13801274090</t>
    <phoneticPr fontId="5" type="noConversion"/>
  </si>
  <si>
    <t>7幢</t>
    <phoneticPr fontId="5" type="noConversion"/>
  </si>
  <si>
    <t>北京天恒房地产股份有限公司</t>
    <phoneticPr fontId="5" type="noConversion"/>
  </si>
  <si>
    <t>250166</t>
    <phoneticPr fontId="5" type="noConversion"/>
  </si>
  <si>
    <t>2003-22-P-02441</t>
    <phoneticPr fontId="5" type="noConversion"/>
  </si>
  <si>
    <t>姚强</t>
    <phoneticPr fontId="5" type="noConversion"/>
  </si>
  <si>
    <t>610103681031379</t>
    <phoneticPr fontId="5" type="noConversion"/>
  </si>
  <si>
    <t>2003-3-D1-02235</t>
    <phoneticPr fontId="5" type="noConversion"/>
  </si>
  <si>
    <t>变更(面积录错)</t>
    <phoneticPr fontId="5" type="noConversion"/>
  </si>
  <si>
    <t>261273</t>
    <phoneticPr fontId="5" type="noConversion"/>
  </si>
  <si>
    <t>2003-22-P-02455</t>
    <phoneticPr fontId="5" type="noConversion"/>
  </si>
  <si>
    <t>王泽林</t>
    <phoneticPr fontId="5" type="noConversion"/>
  </si>
  <si>
    <t>512929197306131114</t>
    <phoneticPr fontId="5" type="noConversion"/>
  </si>
  <si>
    <t>13377097181</t>
    <phoneticPr fontId="5" type="noConversion"/>
  </si>
  <si>
    <t>A(1号楼)座</t>
    <phoneticPr fontId="5" type="noConversion"/>
  </si>
  <si>
    <t>北京中鑫源房地产开发有限公司</t>
    <phoneticPr fontId="5" type="noConversion"/>
  </si>
  <si>
    <r>
      <t>变更</t>
    </r>
    <r>
      <rPr>
        <sz val="10"/>
        <rFont val="Times New Roman"/>
        <family val="1"/>
      </rPr>
      <t>(</t>
    </r>
    <r>
      <rPr>
        <sz val="10"/>
        <rFont val="宋体"/>
        <family val="3"/>
        <charset val="134"/>
      </rPr>
      <t>客户电话录错</t>
    </r>
    <r>
      <rPr>
        <sz val="10"/>
        <rFont val="Times New Roman"/>
        <family val="1"/>
      </rPr>
      <t>)</t>
    </r>
    <phoneticPr fontId="5" type="noConversion"/>
  </si>
  <si>
    <t>505605</t>
    <phoneticPr fontId="5" type="noConversion"/>
  </si>
  <si>
    <t>北京中鑫源房地产开发有限公司</t>
    <phoneticPr fontId="5" type="noConversion"/>
  </si>
  <si>
    <t>2003-22-P-02487</t>
    <phoneticPr fontId="5" type="noConversion"/>
  </si>
  <si>
    <t>邱荣杰</t>
    <phoneticPr fontId="5" type="noConversion"/>
  </si>
  <si>
    <t>232126720907003</t>
    <phoneticPr fontId="5" type="noConversion"/>
  </si>
  <si>
    <t>13910928587</t>
    <phoneticPr fontId="5" type="noConversion"/>
  </si>
  <si>
    <t>907B号</t>
    <phoneticPr fontId="5" type="noConversion"/>
  </si>
  <si>
    <t>305366</t>
    <phoneticPr fontId="5" type="noConversion"/>
  </si>
  <si>
    <t>2003-22-P-02494-M</t>
  </si>
  <si>
    <t>周成</t>
  </si>
  <si>
    <t>420107196209150030</t>
  </si>
  <si>
    <t>2003-3-D1-02336</t>
  </si>
  <si>
    <t>233458</t>
  </si>
  <si>
    <t>3.20，卧室层高2.80</t>
  </si>
  <si>
    <t>2003-22-P-02496</t>
    <phoneticPr fontId="5" type="noConversion"/>
  </si>
  <si>
    <t>董娟</t>
    <phoneticPr fontId="5" type="noConversion"/>
  </si>
  <si>
    <t>110108621026272</t>
    <phoneticPr fontId="5" type="noConversion"/>
  </si>
  <si>
    <t>15号楼</t>
    <phoneticPr fontId="5" type="noConversion"/>
  </si>
  <si>
    <r>
      <t>21</t>
    </r>
    <r>
      <rPr>
        <sz val="10"/>
        <color indexed="8"/>
        <rFont val="宋体"/>
        <family val="3"/>
        <charset val="134"/>
      </rPr>
      <t>层</t>
    </r>
  </si>
  <si>
    <r>
      <t>2118</t>
    </r>
    <r>
      <rPr>
        <sz val="10"/>
        <color indexed="8"/>
        <rFont val="宋体"/>
        <family val="3"/>
        <charset val="134"/>
      </rPr>
      <t>号</t>
    </r>
    <phoneticPr fontId="5" type="noConversion"/>
  </si>
  <si>
    <t>一室一厅一卫一厨</t>
    <phoneticPr fontId="5" type="noConversion"/>
  </si>
  <si>
    <t>地上14层</t>
    <phoneticPr fontId="5" type="noConversion"/>
  </si>
  <si>
    <t>一</t>
    <phoneticPr fontId="5" type="noConversion"/>
  </si>
  <si>
    <t>515787</t>
    <phoneticPr fontId="5" type="noConversion"/>
  </si>
  <si>
    <t>2003-22-P-02498</t>
    <phoneticPr fontId="5" type="noConversion"/>
  </si>
  <si>
    <t>赵殿军</t>
    <phoneticPr fontId="5" type="noConversion"/>
  </si>
  <si>
    <t>370103710417507</t>
    <phoneticPr fontId="5" type="noConversion"/>
  </si>
  <si>
    <t>西三旗建材城西二里小区</t>
    <phoneticPr fontId="5" type="noConversion"/>
  </si>
  <si>
    <t xml:space="preserve"> </t>
    <phoneticPr fontId="5" type="noConversion"/>
  </si>
  <si>
    <t>北京新奥广厦房地产开发有限公司</t>
    <phoneticPr fontId="5" type="noConversion"/>
  </si>
  <si>
    <t>2003-3-D1-02249</t>
    <phoneticPr fontId="5" type="noConversion"/>
  </si>
  <si>
    <t>2003-22-P-02534</t>
    <phoneticPr fontId="5" type="noConversion"/>
  </si>
  <si>
    <t>田山明</t>
    <phoneticPr fontId="5" type="noConversion"/>
  </si>
  <si>
    <t>110108601023373</t>
    <phoneticPr fontId="5" type="noConversion"/>
  </si>
  <si>
    <t>13601009148</t>
    <phoneticPr fontId="5" type="noConversion"/>
  </si>
  <si>
    <t>四季青乡通达地区云会里远流清园（诚品建筑）</t>
    <phoneticPr fontId="5" type="noConversion"/>
  </si>
  <si>
    <t>6幢</t>
    <phoneticPr fontId="5" type="noConversion"/>
  </si>
  <si>
    <r>
      <t>8</t>
    </r>
    <r>
      <rPr>
        <sz val="10"/>
        <color indexed="8"/>
        <rFont val="宋体"/>
        <family val="3"/>
        <charset val="134"/>
      </rPr>
      <t>单元</t>
    </r>
    <phoneticPr fontId="5" type="noConversion"/>
  </si>
  <si>
    <t>1004号</t>
    <phoneticPr fontId="5" type="noConversion"/>
  </si>
  <si>
    <t>北京世博伟业房地产开发有限公司</t>
    <phoneticPr fontId="5" type="noConversion"/>
  </si>
  <si>
    <t>北京市住房资金管理中心</t>
    <phoneticPr fontId="5" type="noConversion"/>
  </si>
  <si>
    <t>四</t>
    <phoneticPr fontId="5" type="noConversion"/>
  </si>
  <si>
    <t>257952</t>
    <phoneticPr fontId="5" type="noConversion"/>
  </si>
  <si>
    <t>北京市密云县顺城胡同5号</t>
    <phoneticPr fontId="5" type="noConversion"/>
  </si>
  <si>
    <t>1100002192526</t>
    <phoneticPr fontId="5" type="noConversion"/>
  </si>
  <si>
    <t>金锡顺</t>
    <phoneticPr fontId="5" type="noConversion"/>
  </si>
  <si>
    <t>预售</t>
    <phoneticPr fontId="5" type="noConversion"/>
  </si>
  <si>
    <t>2003-22-P-02547</t>
    <phoneticPr fontId="5" type="noConversion"/>
  </si>
  <si>
    <t>邓长斌</t>
    <phoneticPr fontId="5" type="noConversion"/>
  </si>
  <si>
    <t>130103197602070053</t>
    <phoneticPr fontId="5" type="noConversion"/>
  </si>
  <si>
    <t>13671350806</t>
    <phoneticPr fontId="5" type="noConversion"/>
  </si>
  <si>
    <t>半壁店圆梦居</t>
    <phoneticPr fontId="5" type="noConversion"/>
  </si>
  <si>
    <r>
      <t>4</t>
    </r>
    <r>
      <rPr>
        <sz val="10"/>
        <rFont val="宋体"/>
        <family val="3"/>
        <charset val="134"/>
      </rPr>
      <t>幢</t>
    </r>
    <phoneticPr fontId="5" type="noConversion"/>
  </si>
  <si>
    <r>
      <t>1</t>
    </r>
    <r>
      <rPr>
        <sz val="10"/>
        <rFont val="宋体"/>
        <family val="3"/>
        <charset val="134"/>
      </rPr>
      <t>单元</t>
    </r>
    <phoneticPr fontId="5" type="noConversion"/>
  </si>
  <si>
    <r>
      <t>302</t>
    </r>
    <r>
      <rPr>
        <sz val="10"/>
        <rFont val="宋体"/>
        <family val="3"/>
        <charset val="134"/>
      </rPr>
      <t>号</t>
    </r>
    <phoneticPr fontId="5" type="noConversion"/>
  </si>
  <si>
    <t>苏海</t>
    <phoneticPr fontId="5" type="noConversion"/>
  </si>
  <si>
    <t>基础</t>
    <phoneticPr fontId="275" type="noConversion"/>
  </si>
  <si>
    <t>可抵押商品住宅</t>
    <phoneticPr fontId="5" type="noConversion"/>
  </si>
  <si>
    <t>合同</t>
    <phoneticPr fontId="5" type="noConversion"/>
  </si>
  <si>
    <t>508555</t>
    <phoneticPr fontId="5" type="noConversion"/>
  </si>
  <si>
    <t>北京兴源房地产开发有限公司</t>
    <phoneticPr fontId="5" type="noConversion"/>
  </si>
  <si>
    <t>2003-22-P-02559</t>
    <phoneticPr fontId="5" type="noConversion"/>
  </si>
  <si>
    <t>艾琳</t>
    <phoneticPr fontId="5" type="noConversion"/>
  </si>
  <si>
    <t>152324720916002</t>
    <phoneticPr fontId="5" type="noConversion"/>
  </si>
  <si>
    <r>
      <t>文慧园</t>
    </r>
    <r>
      <rPr>
        <sz val="10"/>
        <color indexed="8"/>
        <rFont val="Times New Roman"/>
        <family val="1"/>
      </rPr>
      <t/>
    </r>
    <phoneticPr fontId="5" type="noConversion"/>
  </si>
  <si>
    <t>15号楼</t>
    <phoneticPr fontId="5" type="noConversion"/>
  </si>
  <si>
    <r>
      <t>20</t>
    </r>
    <r>
      <rPr>
        <sz val="10"/>
        <color indexed="8"/>
        <rFont val="宋体"/>
        <family val="3"/>
        <charset val="134"/>
      </rPr>
      <t>层</t>
    </r>
    <phoneticPr fontId="5" type="noConversion"/>
  </si>
  <si>
    <r>
      <t>2016</t>
    </r>
    <r>
      <rPr>
        <sz val="10"/>
        <color indexed="8"/>
        <rFont val="宋体"/>
        <family val="3"/>
        <charset val="134"/>
      </rPr>
      <t>号</t>
    </r>
    <phoneticPr fontId="5" type="noConversion"/>
  </si>
  <si>
    <t>515774</t>
    <phoneticPr fontId="5" type="noConversion"/>
  </si>
  <si>
    <t>北京市海淀区甘家口15号楼</t>
    <phoneticPr fontId="5" type="noConversion"/>
  </si>
  <si>
    <t>董殿毅</t>
    <phoneticPr fontId="5" type="noConversion"/>
  </si>
  <si>
    <t>2003-22-P-02581</t>
    <phoneticPr fontId="5" type="noConversion"/>
  </si>
  <si>
    <t>谢强</t>
    <phoneticPr fontId="5" type="noConversion"/>
  </si>
  <si>
    <t>110108691116893</t>
    <phoneticPr fontId="5" type="noConversion"/>
  </si>
  <si>
    <t>五道口东升园华清嘉园</t>
  </si>
  <si>
    <t>展春园座</t>
    <phoneticPr fontId="5" type="noConversion"/>
  </si>
  <si>
    <t>华润置地(北京)股份有限公司(原北京市华远房地产股份有限公司)</t>
    <phoneticPr fontId="5" type="noConversion"/>
  </si>
  <si>
    <t>华润置地(北京)股份有限公司</t>
  </si>
  <si>
    <t>北京市西城区西直门大街118号冠华大厦11-14层</t>
    <phoneticPr fontId="5" type="noConversion"/>
  </si>
  <si>
    <t>企股京总字第009371号</t>
    <phoneticPr fontId="5" type="noConversion"/>
  </si>
  <si>
    <t>王印</t>
    <phoneticPr fontId="5" type="noConversion"/>
  </si>
  <si>
    <t>2003-22-P-02589</t>
    <phoneticPr fontId="5" type="noConversion"/>
  </si>
  <si>
    <t>苏凤梅</t>
    <phoneticPr fontId="5" type="noConversion"/>
  </si>
  <si>
    <t>110108550624636</t>
    <phoneticPr fontId="5" type="noConversion"/>
  </si>
  <si>
    <t>15号楼</t>
    <phoneticPr fontId="5" type="noConversion"/>
  </si>
  <si>
    <t>6层</t>
    <phoneticPr fontId="5" type="noConversion"/>
  </si>
  <si>
    <t>616号</t>
    <phoneticPr fontId="5" type="noConversion"/>
  </si>
  <si>
    <t>北京市威凯房地产开发经营公司</t>
    <phoneticPr fontId="5" type="noConversion"/>
  </si>
  <si>
    <t>地上14层</t>
    <phoneticPr fontId="5" type="noConversion"/>
  </si>
  <si>
    <t>515743</t>
    <phoneticPr fontId="5" type="noConversion"/>
  </si>
  <si>
    <t>2003-22-P-02595</t>
  </si>
  <si>
    <t>亢伟</t>
  </si>
  <si>
    <t>110108680722544</t>
  </si>
  <si>
    <t>二幢</t>
  </si>
  <si>
    <t>2003-3-D1-02273</t>
  </si>
  <si>
    <t>277974</t>
  </si>
  <si>
    <t>2003-22-P-02596</t>
    <phoneticPr fontId="5" type="noConversion"/>
  </si>
  <si>
    <t>吴志凌</t>
    <phoneticPr fontId="5" type="noConversion"/>
  </si>
  <si>
    <t>420106197112034541</t>
    <phoneticPr fontId="5" type="noConversion"/>
  </si>
  <si>
    <t>一单元</t>
    <phoneticPr fontId="5" type="noConversion"/>
  </si>
  <si>
    <t>2003-3-D1-02274</t>
    <phoneticPr fontId="5" type="noConversion"/>
  </si>
  <si>
    <t>279476</t>
    <phoneticPr fontId="5" type="noConversion"/>
  </si>
  <si>
    <t>2003-22-P-02597</t>
    <phoneticPr fontId="5" type="noConversion"/>
  </si>
  <si>
    <t>李跃红</t>
    <phoneticPr fontId="5" type="noConversion"/>
  </si>
  <si>
    <t>110108691224572</t>
    <phoneticPr fontId="5" type="noConversion"/>
  </si>
  <si>
    <t>102号</t>
    <phoneticPr fontId="5" type="noConversion"/>
  </si>
  <si>
    <t>基本完工</t>
    <phoneticPr fontId="5" type="noConversion"/>
  </si>
  <si>
    <t>2003-3-D1-02275</t>
    <phoneticPr fontId="5" type="noConversion"/>
  </si>
  <si>
    <t>279474</t>
    <phoneticPr fontId="5" type="noConversion"/>
  </si>
  <si>
    <t>2003-22-P-02598</t>
    <phoneticPr fontId="5" type="noConversion"/>
  </si>
  <si>
    <t>郑新</t>
    <phoneticPr fontId="5" type="noConversion"/>
  </si>
  <si>
    <t>37012119730516742X</t>
    <phoneticPr fontId="5" type="noConversion"/>
  </si>
  <si>
    <t>417号</t>
    <phoneticPr fontId="5" type="noConversion"/>
  </si>
  <si>
    <t>515798</t>
    <phoneticPr fontId="5" type="noConversion"/>
  </si>
  <si>
    <t>2003-22-P-02605</t>
    <phoneticPr fontId="5" type="noConversion"/>
  </si>
  <si>
    <t>朱建华</t>
    <phoneticPr fontId="5" type="noConversion"/>
  </si>
  <si>
    <t>110108580720233</t>
    <phoneticPr fontId="5" type="noConversion"/>
  </si>
  <si>
    <t>13681429835</t>
    <phoneticPr fontId="5" type="noConversion"/>
  </si>
  <si>
    <t>14幢</t>
    <phoneticPr fontId="5" type="noConversion"/>
  </si>
  <si>
    <t>701号</t>
    <phoneticPr fontId="5" type="noConversion"/>
  </si>
  <si>
    <t>北京市住房资金管理中心海淀区分中心</t>
    <phoneticPr fontId="5" type="noConversion"/>
  </si>
  <si>
    <t>邹晓鸣</t>
    <phoneticPr fontId="5" type="noConversion"/>
  </si>
  <si>
    <t>赵锐</t>
    <phoneticPr fontId="5" type="noConversion"/>
  </si>
  <si>
    <t>2003-22-P-02607</t>
    <phoneticPr fontId="5" type="noConversion"/>
  </si>
  <si>
    <t>田蕾</t>
    <phoneticPr fontId="5" type="noConversion"/>
  </si>
  <si>
    <t>11010119750210052X</t>
    <phoneticPr fontId="5" type="noConversion"/>
  </si>
  <si>
    <t>北京住房公积金管理中心平谷管理部</t>
    <phoneticPr fontId="5" type="noConversion"/>
  </si>
  <si>
    <t>2003-3-D1-02277</t>
    <phoneticPr fontId="5" type="noConversion"/>
  </si>
  <si>
    <t>2003-22-P-02608</t>
    <phoneticPr fontId="5" type="noConversion"/>
  </si>
  <si>
    <t>张蕾茗</t>
    <phoneticPr fontId="5" type="noConversion"/>
  </si>
  <si>
    <t>110108670802891</t>
    <phoneticPr fontId="5" type="noConversion"/>
  </si>
  <si>
    <t>地上2层</t>
    <phoneticPr fontId="5" type="noConversion"/>
  </si>
  <si>
    <t>2003-3-D1-02278</t>
    <phoneticPr fontId="5" type="noConversion"/>
  </si>
  <si>
    <t>2003-22-P-02609</t>
    <phoneticPr fontId="5" type="noConversion"/>
  </si>
  <si>
    <t>王宏</t>
    <phoneticPr fontId="5" type="noConversion"/>
  </si>
  <si>
    <t>110108621231143</t>
    <phoneticPr fontId="5" type="noConversion"/>
  </si>
  <si>
    <t>海淀区</t>
    <phoneticPr fontId="5" type="noConversion"/>
  </si>
  <si>
    <t>4座</t>
    <phoneticPr fontId="5" type="noConversion"/>
  </si>
  <si>
    <t>1单元</t>
    <phoneticPr fontId="5" type="noConversion"/>
  </si>
  <si>
    <t>402号</t>
    <phoneticPr fontId="5" type="noConversion"/>
  </si>
  <si>
    <t>2003-3-D1-02279</t>
    <phoneticPr fontId="5" type="noConversion"/>
  </si>
  <si>
    <t>2003-22-P-02610</t>
    <phoneticPr fontId="5" type="noConversion"/>
  </si>
  <si>
    <t>李强</t>
    <phoneticPr fontId="5" type="noConversion"/>
  </si>
  <si>
    <t>110105197508092511</t>
    <phoneticPr fontId="5" type="noConversion"/>
  </si>
  <si>
    <t>2003-3-D1-02280</t>
    <phoneticPr fontId="5" type="noConversion"/>
  </si>
  <si>
    <t>2003-22-P-02616</t>
    <phoneticPr fontId="5" type="noConversion"/>
  </si>
  <si>
    <t>王腾蛟</t>
    <phoneticPr fontId="5" type="noConversion"/>
  </si>
  <si>
    <t>370121731024741</t>
    <phoneticPr fontId="5" type="noConversion"/>
  </si>
  <si>
    <t>82321574</t>
    <phoneticPr fontId="5" type="noConversion"/>
  </si>
  <si>
    <t>蓝靛厂居住区I地块蓝靛厂居住区（世纪城三期）</t>
    <phoneticPr fontId="5" type="noConversion"/>
  </si>
  <si>
    <t>春荫园</t>
    <phoneticPr fontId="5" type="noConversion"/>
  </si>
  <si>
    <t>10幢</t>
    <phoneticPr fontId="5" type="noConversion"/>
  </si>
  <si>
    <t>6F号</t>
    <phoneticPr fontId="5" type="noConversion"/>
  </si>
  <si>
    <t>北京市住房资金管理中心北京大学分中心</t>
    <phoneticPr fontId="5" type="noConversion"/>
  </si>
  <si>
    <t>地上7层</t>
    <phoneticPr fontId="5" type="noConversion"/>
  </si>
  <si>
    <t>2003-3-D1-02282</t>
    <phoneticPr fontId="5" type="noConversion"/>
  </si>
  <si>
    <t>516782</t>
    <phoneticPr fontId="5" type="noConversion"/>
  </si>
  <si>
    <t>北京海淀区四季青厂西门小区21号楼</t>
    <phoneticPr fontId="5" type="noConversion"/>
  </si>
  <si>
    <t>黄如防</t>
    <phoneticPr fontId="5" type="noConversion"/>
  </si>
  <si>
    <t>2003-22-P-02625</t>
    <phoneticPr fontId="5" type="noConversion"/>
  </si>
  <si>
    <t>白煜</t>
    <phoneticPr fontId="5" type="noConversion"/>
  </si>
  <si>
    <t>210402751202051</t>
    <phoneticPr fontId="5" type="noConversion"/>
  </si>
  <si>
    <t>清河镇清缘小区东区(清缘上河园1#、2#、3#、4#、5#、6#、7#）及配套公建清缘东里</t>
    <phoneticPr fontId="5" type="noConversion"/>
  </si>
  <si>
    <t>1幢</t>
    <phoneticPr fontId="5" type="noConversion"/>
  </si>
  <si>
    <t>602号</t>
    <phoneticPr fontId="5" type="noConversion"/>
  </si>
  <si>
    <t>北京旭洲房地产开发有限责任公司</t>
    <phoneticPr fontId="5" type="noConversion"/>
  </si>
  <si>
    <t>二室一厅一卫一厨</t>
    <phoneticPr fontId="5" type="noConversion"/>
  </si>
  <si>
    <t>290554</t>
    <phoneticPr fontId="5" type="noConversion"/>
  </si>
  <si>
    <t>北京市朝阳区姚家园路石佛营东里133号楼108室</t>
    <phoneticPr fontId="5" type="noConversion"/>
  </si>
  <si>
    <t>鲍良广</t>
    <phoneticPr fontId="5" type="noConversion"/>
  </si>
  <si>
    <t>合同特定编号</t>
    <phoneticPr fontId="5" type="noConversion"/>
  </si>
  <si>
    <t>2003-22-P-02646</t>
    <phoneticPr fontId="5" type="noConversion"/>
  </si>
  <si>
    <t>金燕如</t>
    <phoneticPr fontId="5" type="noConversion"/>
  </si>
  <si>
    <t>110108620709574</t>
    <phoneticPr fontId="5" type="noConversion"/>
  </si>
  <si>
    <t>62513477</t>
    <phoneticPr fontId="5" type="noConversion"/>
  </si>
  <si>
    <t>圆明园西路圆明园花园</t>
    <phoneticPr fontId="5" type="noConversion"/>
  </si>
  <si>
    <t>竣工备案待发</t>
    <phoneticPr fontId="5" type="noConversion"/>
  </si>
  <si>
    <t>邹晓明</t>
    <phoneticPr fontId="5" type="noConversion"/>
  </si>
  <si>
    <t>017892</t>
    <phoneticPr fontId="5" type="noConversion"/>
  </si>
  <si>
    <t>2003-22-P-02673</t>
    <phoneticPr fontId="5" type="noConversion"/>
  </si>
  <si>
    <t>高岩</t>
    <phoneticPr fontId="5" type="noConversion"/>
  </si>
  <si>
    <t>110108580206235</t>
    <phoneticPr fontId="5" type="noConversion"/>
  </si>
  <si>
    <t>13161530508</t>
    <phoneticPr fontId="5" type="noConversion"/>
  </si>
  <si>
    <r>
      <t>东升乡马坊村宝盛北里</t>
    </r>
    <r>
      <rPr>
        <sz val="10"/>
        <rFont val="Times New Roman"/>
        <family val="1"/>
      </rPr>
      <t/>
    </r>
    <phoneticPr fontId="5" type="noConversion"/>
  </si>
  <si>
    <t>A02幢</t>
    <phoneticPr fontId="5" type="noConversion"/>
  </si>
  <si>
    <t>北京宝晟住房股份有限公司</t>
    <phoneticPr fontId="5" type="noConversion"/>
  </si>
  <si>
    <t>525486</t>
    <phoneticPr fontId="5" type="noConversion"/>
  </si>
  <si>
    <t>北京市东城区沙滩后街22号</t>
    <phoneticPr fontId="5" type="noConversion"/>
  </si>
  <si>
    <t>1100001505756</t>
    <phoneticPr fontId="5" type="noConversion"/>
  </si>
  <si>
    <t>李发增</t>
    <phoneticPr fontId="5" type="noConversion"/>
  </si>
  <si>
    <t>陈颖</t>
    <phoneticPr fontId="5" type="noConversion"/>
  </si>
  <si>
    <t>2003-22-P-02693-U</t>
    <phoneticPr fontId="5" type="noConversion"/>
  </si>
  <si>
    <t>胡文波</t>
    <phoneticPr fontId="5" type="noConversion"/>
  </si>
  <si>
    <t>110102196901212387</t>
    <phoneticPr fontId="5" type="noConversion"/>
  </si>
  <si>
    <t>13661105287</t>
    <phoneticPr fontId="5" type="noConversion"/>
  </si>
  <si>
    <t>蓟门里小区北2号楼</t>
    <phoneticPr fontId="5" type="noConversion"/>
  </si>
  <si>
    <t>503号</t>
    <phoneticPr fontId="5" type="noConversion"/>
  </si>
  <si>
    <t>胡文波</t>
    <phoneticPr fontId="5" type="noConversion"/>
  </si>
  <si>
    <t>正常交易</t>
    <phoneticPr fontId="5" type="noConversion"/>
  </si>
  <si>
    <t>不含税费、含出让金</t>
    <phoneticPr fontId="5" type="noConversion"/>
  </si>
  <si>
    <t>2003-22-P-02700</t>
    <phoneticPr fontId="5" type="noConversion"/>
  </si>
  <si>
    <t>张英涛</t>
    <phoneticPr fontId="5" type="noConversion"/>
  </si>
  <si>
    <t>210121760528801</t>
    <phoneticPr fontId="5" type="noConversion"/>
  </si>
  <si>
    <t>316号</t>
    <phoneticPr fontId="5" type="noConversion"/>
  </si>
  <si>
    <t>北京市威凯房地产开发经营公司</t>
    <phoneticPr fontId="5" type="noConversion"/>
  </si>
  <si>
    <t>二</t>
    <phoneticPr fontId="5" type="noConversion"/>
  </si>
  <si>
    <t>2003-3-D1-02300</t>
    <phoneticPr fontId="5" type="noConversion"/>
  </si>
  <si>
    <t>515768</t>
    <phoneticPr fontId="5" type="noConversion"/>
  </si>
  <si>
    <t>北京市海淀区甘家口15号楼</t>
    <phoneticPr fontId="5" type="noConversion"/>
  </si>
  <si>
    <t>2003-22-P-02704</t>
    <phoneticPr fontId="5" type="noConversion"/>
  </si>
  <si>
    <t>李晓迪</t>
    <phoneticPr fontId="5" type="noConversion"/>
  </si>
  <si>
    <t>110105196608314164</t>
    <phoneticPr fontId="5" type="noConversion"/>
  </si>
  <si>
    <t>809号</t>
    <phoneticPr fontId="5" type="noConversion"/>
  </si>
  <si>
    <t>地上15层</t>
    <phoneticPr fontId="5" type="noConversion"/>
  </si>
  <si>
    <t>515710</t>
    <phoneticPr fontId="5" type="noConversion"/>
  </si>
  <si>
    <t>北京威凯房地产开发经营公司</t>
    <phoneticPr fontId="5" type="noConversion"/>
  </si>
  <si>
    <t>2003-22-P-02707</t>
    <phoneticPr fontId="5" type="noConversion"/>
  </si>
  <si>
    <t>陈平</t>
    <phoneticPr fontId="5" type="noConversion"/>
  </si>
  <si>
    <t>110101540418401</t>
    <phoneticPr fontId="5" type="noConversion"/>
  </si>
  <si>
    <t>二室二厅二卫一厨</t>
    <phoneticPr fontId="5" type="noConversion"/>
  </si>
  <si>
    <t>北京市住房资金管理中心丰台第一管理部</t>
    <phoneticPr fontId="5" type="noConversion"/>
  </si>
  <si>
    <t>261121</t>
    <phoneticPr fontId="5" type="noConversion"/>
  </si>
  <si>
    <t>2003-22-P-02710</t>
  </si>
  <si>
    <t>戴志晖</t>
    <phoneticPr fontId="5" type="noConversion"/>
  </si>
  <si>
    <t>110108731227732</t>
    <phoneticPr fontId="5" type="noConversion"/>
  </si>
  <si>
    <t>13161276796</t>
    <phoneticPr fontId="5" type="noConversion"/>
  </si>
  <si>
    <t>515578</t>
    <phoneticPr fontId="5" type="noConversion"/>
  </si>
  <si>
    <t>2003-22-P-02711</t>
  </si>
  <si>
    <t>宋广利</t>
    <phoneticPr fontId="5" type="noConversion"/>
  </si>
  <si>
    <t>110102760625271</t>
    <phoneticPr fontId="5" type="noConversion"/>
  </si>
  <si>
    <t>68219844</t>
    <phoneticPr fontId="5" type="noConversion"/>
  </si>
  <si>
    <t>103号</t>
    <phoneticPr fontId="5" type="noConversion"/>
  </si>
  <si>
    <t>515602</t>
    <phoneticPr fontId="5" type="noConversion"/>
  </si>
  <si>
    <t>陈永杰</t>
    <phoneticPr fontId="5" type="noConversion"/>
  </si>
  <si>
    <t>2003-22-P-02712</t>
  </si>
  <si>
    <t>孙永忠</t>
    <phoneticPr fontId="5" type="noConversion"/>
  </si>
  <si>
    <t>652326197202020515</t>
    <phoneticPr fontId="5" type="noConversion"/>
  </si>
  <si>
    <t>13671211970</t>
    <phoneticPr fontId="5" type="noConversion"/>
  </si>
  <si>
    <t>5幢</t>
    <phoneticPr fontId="5" type="noConversion"/>
  </si>
  <si>
    <t>601号</t>
    <phoneticPr fontId="5" type="noConversion"/>
  </si>
  <si>
    <t>515649</t>
    <phoneticPr fontId="5" type="noConversion"/>
  </si>
  <si>
    <t>北京市密云县西智路口番子牌工业小区</t>
    <phoneticPr fontId="5" type="noConversion"/>
  </si>
  <si>
    <t>2003-22-P-02716</t>
    <phoneticPr fontId="5" type="noConversion"/>
  </si>
  <si>
    <t>秦玲瑾</t>
    <phoneticPr fontId="5" type="noConversion"/>
  </si>
  <si>
    <t>110108541121276</t>
    <phoneticPr fontId="5" type="noConversion"/>
  </si>
  <si>
    <t>62758157</t>
    <phoneticPr fontId="5" type="noConversion"/>
  </si>
  <si>
    <t>清河镇危改小区</t>
    <phoneticPr fontId="5" type="noConversion"/>
  </si>
  <si>
    <t>北京紫都房地产开发有限公司</t>
    <phoneticPr fontId="5" type="noConversion"/>
  </si>
  <si>
    <t>出地面</t>
    <phoneticPr fontId="5" type="noConversion"/>
  </si>
  <si>
    <t>2003-3-D1-02303</t>
    <phoneticPr fontId="5" type="noConversion"/>
  </si>
  <si>
    <t>北京市房山区良乡凯旋大街建设路18号</t>
    <phoneticPr fontId="5" type="noConversion"/>
  </si>
  <si>
    <t>2003-22-P-02721</t>
    <phoneticPr fontId="5" type="noConversion"/>
  </si>
  <si>
    <t>赵金锋</t>
    <phoneticPr fontId="5" type="noConversion"/>
  </si>
  <si>
    <t>410181761204201</t>
    <phoneticPr fontId="5" type="noConversion"/>
  </si>
  <si>
    <t>13611313839</t>
    <phoneticPr fontId="5" type="noConversion"/>
  </si>
  <si>
    <t>A02幢</t>
    <phoneticPr fontId="5" type="noConversion"/>
  </si>
  <si>
    <t>525434</t>
    <phoneticPr fontId="5" type="noConversion"/>
  </si>
  <si>
    <t>北京市东城区沙滩后街22号</t>
    <phoneticPr fontId="5" type="noConversion"/>
  </si>
  <si>
    <t>2003-22-P-02722</t>
  </si>
  <si>
    <t>张旭明</t>
    <phoneticPr fontId="5" type="noConversion"/>
  </si>
  <si>
    <t>152131740921031</t>
    <phoneticPr fontId="5" type="noConversion"/>
  </si>
  <si>
    <t>13011206067</t>
    <phoneticPr fontId="5" type="noConversion"/>
  </si>
  <si>
    <r>
      <t>东升乡马坊村宝盛北里</t>
    </r>
    <r>
      <rPr>
        <sz val="10"/>
        <rFont val="Times New Roman"/>
        <family val="1"/>
      </rPr>
      <t/>
    </r>
    <phoneticPr fontId="5" type="noConversion"/>
  </si>
  <si>
    <t>2单元</t>
    <phoneticPr fontId="5" type="noConversion"/>
  </si>
  <si>
    <t>北京宝晟住房股份有限公司</t>
    <phoneticPr fontId="5" type="noConversion"/>
  </si>
  <si>
    <t>525442</t>
    <phoneticPr fontId="5" type="noConversion"/>
  </si>
  <si>
    <t>1100001505756</t>
    <phoneticPr fontId="5" type="noConversion"/>
  </si>
  <si>
    <t>李发增</t>
    <phoneticPr fontId="5" type="noConversion"/>
  </si>
  <si>
    <t>2003-22-P-02723</t>
  </si>
  <si>
    <t>李华峰</t>
    <phoneticPr fontId="5" type="noConversion"/>
  </si>
  <si>
    <t>412925751218325</t>
    <phoneticPr fontId="5" type="noConversion"/>
  </si>
  <si>
    <t>13681464073</t>
    <phoneticPr fontId="5" type="noConversion"/>
  </si>
  <si>
    <t>A01幢</t>
    <phoneticPr fontId="5" type="noConversion"/>
  </si>
  <si>
    <t>901号</t>
    <phoneticPr fontId="5" type="noConversion"/>
  </si>
  <si>
    <t>竣工备案待发</t>
    <phoneticPr fontId="5" type="noConversion"/>
  </si>
  <si>
    <t>525491</t>
    <phoneticPr fontId="5" type="noConversion"/>
  </si>
  <si>
    <t>2003-22-P-02725</t>
    <phoneticPr fontId="5" type="noConversion"/>
  </si>
  <si>
    <t>冷振涛</t>
    <phoneticPr fontId="5" type="noConversion"/>
  </si>
  <si>
    <t>220603740510167</t>
    <phoneticPr fontId="5" type="noConversion"/>
  </si>
  <si>
    <t>13701330745</t>
    <phoneticPr fontId="5" type="noConversion"/>
  </si>
  <si>
    <t>一室一卫一厨</t>
    <phoneticPr fontId="5" type="noConversion"/>
  </si>
  <si>
    <t>515614</t>
    <phoneticPr fontId="5" type="noConversion"/>
  </si>
  <si>
    <t>2003-22-P-02726</t>
    <phoneticPr fontId="5" type="noConversion"/>
  </si>
  <si>
    <t>侯玉红</t>
    <phoneticPr fontId="5" type="noConversion"/>
  </si>
  <si>
    <t>110108690923344</t>
    <phoneticPr fontId="5" type="noConversion"/>
  </si>
  <si>
    <t>63178123</t>
    <phoneticPr fontId="5" type="noConversion"/>
  </si>
  <si>
    <t>基础</t>
    <phoneticPr fontId="275" type="noConversion"/>
  </si>
  <si>
    <t>515585</t>
    <phoneticPr fontId="5" type="noConversion"/>
  </si>
  <si>
    <t>2003-22-P-02727</t>
  </si>
  <si>
    <t>郝红</t>
    <phoneticPr fontId="5" type="noConversion"/>
  </si>
  <si>
    <t>412801197609280322</t>
    <phoneticPr fontId="5" type="noConversion"/>
  </si>
  <si>
    <t>68386301</t>
    <phoneticPr fontId="5" type="noConversion"/>
  </si>
  <si>
    <t>4单元</t>
    <phoneticPr fontId="5" type="noConversion"/>
  </si>
  <si>
    <t>裴蓓</t>
    <phoneticPr fontId="5" type="noConversion"/>
  </si>
  <si>
    <t>515623</t>
    <phoneticPr fontId="5" type="noConversion"/>
  </si>
  <si>
    <t>2003-22-P-02745</t>
    <phoneticPr fontId="5" type="noConversion"/>
  </si>
  <si>
    <t>任霞</t>
    <phoneticPr fontId="5" type="noConversion"/>
  </si>
  <si>
    <t>110102196112012729</t>
    <phoneticPr fontId="5" type="noConversion"/>
  </si>
  <si>
    <t>2003-3-D1-02311</t>
    <phoneticPr fontId="5" type="noConversion"/>
  </si>
  <si>
    <t>2003-22-P-02746</t>
  </si>
  <si>
    <t>文海龙</t>
  </si>
  <si>
    <t>142733750326181</t>
  </si>
  <si>
    <t>西三旗建材城西二里小区</t>
  </si>
  <si>
    <t>2座</t>
  </si>
  <si>
    <t>地上3层</t>
  </si>
  <si>
    <t>2003-3-D1-02312</t>
  </si>
  <si>
    <t>北京市密云县工业开发区水源路乙140</t>
  </si>
  <si>
    <t>王玉锁</t>
  </si>
  <si>
    <t>2003-22-P-02747</t>
  </si>
  <si>
    <t>陈沛</t>
  </si>
  <si>
    <t>620103771105233</t>
  </si>
  <si>
    <t>10座</t>
  </si>
  <si>
    <t>1303号</t>
  </si>
  <si>
    <t>2003-3-D1-02313</t>
  </si>
  <si>
    <t>2003-22-P-02748</t>
    <phoneticPr fontId="5" type="noConversion"/>
  </si>
  <si>
    <t>张兵</t>
    <phoneticPr fontId="5" type="noConversion"/>
  </si>
  <si>
    <t>130604197601200614</t>
    <phoneticPr fontId="5" type="noConversion"/>
  </si>
  <si>
    <t>10座</t>
    <phoneticPr fontId="5" type="noConversion"/>
  </si>
  <si>
    <t>702号</t>
    <phoneticPr fontId="5" type="noConversion"/>
  </si>
  <si>
    <t>2003-3-D1-02314</t>
    <phoneticPr fontId="5" type="noConversion"/>
  </si>
  <si>
    <t>王玉锁</t>
    <phoneticPr fontId="5" type="noConversion"/>
  </si>
  <si>
    <t>2003-22-P-02749</t>
    <phoneticPr fontId="5" type="noConversion"/>
  </si>
  <si>
    <t>崔秋云</t>
    <phoneticPr fontId="5" type="noConversion"/>
  </si>
  <si>
    <t>110221197710240026</t>
    <phoneticPr fontId="5" type="noConversion"/>
  </si>
  <si>
    <t>2003-3-D1-02315</t>
    <phoneticPr fontId="5" type="noConversion"/>
  </si>
  <si>
    <t>变更(抵押人名字录错)</t>
    <phoneticPr fontId="5" type="noConversion"/>
  </si>
  <si>
    <t>2003-22-P-02750</t>
    <phoneticPr fontId="5" type="noConversion"/>
  </si>
  <si>
    <t>任勇</t>
    <phoneticPr fontId="5" type="noConversion"/>
  </si>
  <si>
    <t>110108197401124914</t>
    <phoneticPr fontId="5" type="noConversion"/>
  </si>
  <si>
    <t>2003-3-D1-02316</t>
    <phoneticPr fontId="5" type="noConversion"/>
  </si>
  <si>
    <t>2003-22-P-02751</t>
  </si>
  <si>
    <t>于有森</t>
    <phoneticPr fontId="5" type="noConversion"/>
  </si>
  <si>
    <t>372431730430301</t>
    <phoneticPr fontId="5" type="noConversion"/>
  </si>
  <si>
    <t>503号</t>
    <phoneticPr fontId="5" type="noConversion"/>
  </si>
  <si>
    <t>2003-3-D1-02317</t>
    <phoneticPr fontId="5" type="noConversion"/>
  </si>
  <si>
    <t>2003-22-P-02752</t>
  </si>
  <si>
    <t>刘东、孙端</t>
  </si>
  <si>
    <t>110102641030111、110105630301254</t>
  </si>
  <si>
    <t>3座</t>
  </si>
  <si>
    <t>地上5层</t>
  </si>
  <si>
    <t>2003-3-D1-02318</t>
  </si>
  <si>
    <t>2003-22-P-02760</t>
    <phoneticPr fontId="5" type="noConversion"/>
  </si>
  <si>
    <t>赵生得</t>
    <phoneticPr fontId="5" type="noConversion"/>
  </si>
  <si>
    <t>632124781128531</t>
    <phoneticPr fontId="5" type="noConversion"/>
  </si>
  <si>
    <t>2003-22-P-02779-M</t>
    <phoneticPr fontId="5" type="noConversion"/>
  </si>
  <si>
    <t>谢辉</t>
    <phoneticPr fontId="5" type="noConversion"/>
  </si>
  <si>
    <t>120102197110280013</t>
    <phoneticPr fontId="5" type="noConversion"/>
  </si>
  <si>
    <t>封顶</t>
    <phoneticPr fontId="5" type="noConversion"/>
  </si>
  <si>
    <t>2003-3-D1-02330</t>
    <phoneticPr fontId="5" type="noConversion"/>
  </si>
  <si>
    <t>234569</t>
    <phoneticPr fontId="5" type="noConversion"/>
  </si>
  <si>
    <t>2.7，卧室层高5.0</t>
    <phoneticPr fontId="5" type="noConversion"/>
  </si>
  <si>
    <t>2003-22-P-02783</t>
    <phoneticPr fontId="5" type="noConversion"/>
  </si>
  <si>
    <t>630104197811090522</t>
    <phoneticPr fontId="5" type="noConversion"/>
  </si>
  <si>
    <t>9层</t>
    <phoneticPr fontId="5" type="noConversion"/>
  </si>
  <si>
    <t>地上14层</t>
    <phoneticPr fontId="5" type="noConversion"/>
  </si>
  <si>
    <t>515876</t>
    <phoneticPr fontId="5" type="noConversion"/>
  </si>
  <si>
    <t>2003-22-P-02791</t>
  </si>
  <si>
    <t>于国栋</t>
  </si>
  <si>
    <t>130304770728201</t>
  </si>
  <si>
    <t>2003-3-D1-02334</t>
  </si>
  <si>
    <t>2003-22-P-02800</t>
    <phoneticPr fontId="5" type="noConversion"/>
  </si>
  <si>
    <t>劳加庆</t>
    <phoneticPr fontId="5" type="noConversion"/>
  </si>
  <si>
    <t>370502197409293239</t>
    <phoneticPr fontId="5" type="noConversion"/>
  </si>
  <si>
    <t>290578</t>
    <phoneticPr fontId="5" type="noConversion"/>
  </si>
  <si>
    <t>1101052374772(1-1)</t>
    <phoneticPr fontId="5" type="noConversion"/>
  </si>
  <si>
    <t>鲍良广</t>
    <phoneticPr fontId="5" type="noConversion"/>
  </si>
  <si>
    <t>2003-22-P-02810</t>
    <phoneticPr fontId="5" type="noConversion"/>
  </si>
  <si>
    <t>马莉莉</t>
    <phoneticPr fontId="5" type="noConversion"/>
  </si>
  <si>
    <t>110104197401141241</t>
    <phoneticPr fontId="5" type="noConversion"/>
  </si>
  <si>
    <t>1911号</t>
    <phoneticPr fontId="5" type="noConversion"/>
  </si>
  <si>
    <t>515832</t>
    <phoneticPr fontId="5" type="noConversion"/>
  </si>
  <si>
    <t>2003-22-P-02812</t>
    <phoneticPr fontId="5" type="noConversion"/>
  </si>
  <si>
    <t>龚裕、张云</t>
    <phoneticPr fontId="5" type="noConversion"/>
  </si>
  <si>
    <t>110108610716571、110108631004852</t>
    <phoneticPr fontId="5" type="noConversion"/>
  </si>
  <si>
    <t>13901241744</t>
    <phoneticPr fontId="5" type="noConversion"/>
  </si>
  <si>
    <t>E03幢</t>
    <phoneticPr fontId="5" type="noConversion"/>
  </si>
  <si>
    <t>二单元</t>
    <phoneticPr fontId="5" type="noConversion"/>
  </si>
  <si>
    <t>201号</t>
    <phoneticPr fontId="5" type="noConversion"/>
  </si>
  <si>
    <t>三室二厅二卫一厨</t>
    <phoneticPr fontId="5" type="noConversion"/>
  </si>
  <si>
    <t>020349</t>
    <phoneticPr fontId="5" type="noConversion"/>
  </si>
  <si>
    <t>2003-22-P-02819</t>
    <phoneticPr fontId="5" type="noConversion"/>
  </si>
  <si>
    <t>郭长全</t>
    <phoneticPr fontId="5" type="noConversion"/>
  </si>
  <si>
    <t>372321780720625</t>
    <phoneticPr fontId="5" type="noConversion"/>
  </si>
  <si>
    <t>13701254737</t>
    <phoneticPr fontId="5" type="noConversion"/>
  </si>
  <si>
    <t>525481</t>
    <phoneticPr fontId="5" type="noConversion"/>
  </si>
  <si>
    <t>2003-22-P-02826</t>
    <phoneticPr fontId="5" type="noConversion"/>
  </si>
  <si>
    <t>付勇</t>
    <phoneticPr fontId="5" type="noConversion"/>
  </si>
  <si>
    <t>230206197111270710</t>
    <phoneticPr fontId="5" type="noConversion"/>
  </si>
  <si>
    <t>279480</t>
    <phoneticPr fontId="5" type="noConversion"/>
  </si>
  <si>
    <t>2003-22-P-02827</t>
    <phoneticPr fontId="5" type="noConversion"/>
  </si>
  <si>
    <t>范立春</t>
    <phoneticPr fontId="5" type="noConversion"/>
  </si>
  <si>
    <t>110108660228262</t>
    <phoneticPr fontId="5" type="noConversion"/>
  </si>
  <si>
    <t>62332554</t>
    <phoneticPr fontId="5" type="noConversion"/>
  </si>
  <si>
    <t>5单元</t>
    <phoneticPr fontId="5" type="noConversion"/>
  </si>
  <si>
    <t>303L号</t>
    <phoneticPr fontId="5" type="noConversion"/>
  </si>
  <si>
    <t>三室一厅一卫一厨</t>
    <phoneticPr fontId="5" type="noConversion"/>
  </si>
  <si>
    <t>305466</t>
    <phoneticPr fontId="5" type="noConversion"/>
  </si>
  <si>
    <t>2003-22-P-02848</t>
    <phoneticPr fontId="5" type="noConversion"/>
  </si>
  <si>
    <t>关旭迎</t>
    <phoneticPr fontId="5" type="noConversion"/>
  </si>
  <si>
    <t>210703197409202045</t>
    <phoneticPr fontId="5" type="noConversion"/>
  </si>
  <si>
    <t>九C座</t>
    <phoneticPr fontId="5" type="noConversion"/>
  </si>
  <si>
    <t>21层</t>
    <phoneticPr fontId="5" type="noConversion"/>
  </si>
  <si>
    <t>2103号</t>
    <phoneticPr fontId="5" type="noConversion"/>
  </si>
  <si>
    <t>北京安地房地产开发有限责任公司</t>
    <phoneticPr fontId="5" type="noConversion"/>
  </si>
  <si>
    <t>二室二厅一卫一厨</t>
    <phoneticPr fontId="5" type="noConversion"/>
  </si>
  <si>
    <t>现房</t>
    <phoneticPr fontId="5" type="noConversion"/>
  </si>
  <si>
    <t>205636</t>
    <phoneticPr fontId="5" type="noConversion"/>
  </si>
  <si>
    <t>北京市海淀区北太平庄牤牛桥15号</t>
    <phoneticPr fontId="5" type="noConversion"/>
  </si>
  <si>
    <t>张宝全</t>
    <phoneticPr fontId="5" type="noConversion"/>
  </si>
  <si>
    <t>2003-22-P-02851</t>
    <phoneticPr fontId="5" type="noConversion"/>
  </si>
  <si>
    <t xml:space="preserve">薛萍 </t>
    <phoneticPr fontId="5" type="noConversion"/>
  </si>
  <si>
    <t>230107197603021826</t>
    <phoneticPr fontId="5" type="noConversion"/>
  </si>
  <si>
    <t>3幢</t>
    <phoneticPr fontId="5" type="noConversion"/>
  </si>
  <si>
    <t>北京高苑房地产开发有限公司</t>
    <phoneticPr fontId="5" type="noConversion"/>
  </si>
  <si>
    <t>新增</t>
    <phoneticPr fontId="5" type="noConversion"/>
  </si>
  <si>
    <t>202152</t>
    <phoneticPr fontId="5" type="noConversion"/>
  </si>
  <si>
    <t>北京市昌平区南口镇</t>
    <phoneticPr fontId="5" type="noConversion"/>
  </si>
  <si>
    <t>张淑军</t>
    <phoneticPr fontId="5" type="noConversion"/>
  </si>
  <si>
    <t>2003-22-P-02854</t>
    <phoneticPr fontId="5" type="noConversion"/>
  </si>
  <si>
    <t>岳益民</t>
    <phoneticPr fontId="5" type="noConversion"/>
  </si>
  <si>
    <t>650204750812121</t>
    <phoneticPr fontId="5" type="noConversion"/>
  </si>
  <si>
    <t>88570379</t>
    <phoneticPr fontId="5" type="noConversion"/>
  </si>
  <si>
    <t>A(1)座</t>
    <phoneticPr fontId="5" type="noConversion"/>
  </si>
  <si>
    <t>东C号</t>
    <phoneticPr fontId="5" type="noConversion"/>
  </si>
  <si>
    <t>505644</t>
    <phoneticPr fontId="5" type="noConversion"/>
  </si>
  <si>
    <t>北京中鑫源房地产开发有限公司</t>
    <phoneticPr fontId="5" type="noConversion"/>
  </si>
  <si>
    <t>1100002096117</t>
    <phoneticPr fontId="5" type="noConversion"/>
  </si>
  <si>
    <t>2003-22-P-02859</t>
    <phoneticPr fontId="5" type="noConversion"/>
  </si>
  <si>
    <t>李桂萍</t>
    <phoneticPr fontId="5" type="noConversion"/>
  </si>
  <si>
    <t>53252419760527182X</t>
    <phoneticPr fontId="5" type="noConversion"/>
  </si>
  <si>
    <t>13601395847</t>
    <phoneticPr fontId="5" type="noConversion"/>
  </si>
  <si>
    <t>14西A号</t>
    <phoneticPr fontId="5" type="noConversion"/>
  </si>
  <si>
    <t>基础</t>
    <phoneticPr fontId="5" type="noConversion"/>
  </si>
  <si>
    <t>三</t>
    <phoneticPr fontId="5" type="noConversion"/>
  </si>
  <si>
    <t>505639</t>
    <phoneticPr fontId="5" type="noConversion"/>
  </si>
  <si>
    <t>北京密云县工业开发区内</t>
    <phoneticPr fontId="5" type="noConversion"/>
  </si>
  <si>
    <t>2003-22-P-02860</t>
    <phoneticPr fontId="5" type="noConversion"/>
  </si>
  <si>
    <t>张广军</t>
    <phoneticPr fontId="5" type="noConversion"/>
  </si>
  <si>
    <t>110222740826571</t>
    <phoneticPr fontId="5" type="noConversion"/>
  </si>
  <si>
    <t>13910823582</t>
    <phoneticPr fontId="5" type="noConversion"/>
  </si>
  <si>
    <t>A01号楼（A01幢）</t>
    <phoneticPr fontId="5" type="noConversion"/>
  </si>
  <si>
    <t>527695</t>
    <phoneticPr fontId="5" type="noConversion"/>
  </si>
  <si>
    <t>1100001505756</t>
    <phoneticPr fontId="5" type="noConversion"/>
  </si>
  <si>
    <t>2003-22-P-02862</t>
  </si>
  <si>
    <t>陈辑超</t>
  </si>
  <si>
    <t>120104197810166011</t>
  </si>
  <si>
    <t>13661316170</t>
  </si>
  <si>
    <t>2003-3-D1-02343</t>
  </si>
  <si>
    <t>530212</t>
  </si>
  <si>
    <t>2003-22-P-02887-M</t>
    <phoneticPr fontId="5" type="noConversion"/>
  </si>
  <si>
    <t>华玲</t>
    <phoneticPr fontId="5" type="noConversion"/>
  </si>
  <si>
    <t>110102571125086</t>
    <phoneticPr fontId="5" type="noConversion"/>
  </si>
  <si>
    <t>063950</t>
    <phoneticPr fontId="5" type="noConversion"/>
  </si>
  <si>
    <t>1100001505041（1-1）</t>
    <phoneticPr fontId="5" type="noConversion"/>
  </si>
  <si>
    <t xml:space="preserve">合同特定编号 </t>
    <phoneticPr fontId="5" type="noConversion"/>
  </si>
  <si>
    <t>2003-22-P-02890</t>
    <phoneticPr fontId="5" type="noConversion"/>
  </si>
  <si>
    <t>于洁</t>
    <phoneticPr fontId="5" type="noConversion"/>
  </si>
  <si>
    <t>110102197704071524</t>
    <phoneticPr fontId="5" type="noConversion"/>
  </si>
  <si>
    <t>13501029633</t>
    <phoneticPr fontId="5" type="noConversion"/>
  </si>
  <si>
    <t>宋宇</t>
    <phoneticPr fontId="5" type="noConversion"/>
  </si>
  <si>
    <t>515597</t>
    <phoneticPr fontId="5" type="noConversion"/>
  </si>
  <si>
    <t>2003-22-P-02895</t>
    <phoneticPr fontId="5" type="noConversion"/>
  </si>
  <si>
    <t>张能鲲</t>
    <phoneticPr fontId="5" type="noConversion"/>
  </si>
  <si>
    <t>352624197601240016</t>
    <phoneticPr fontId="5" type="noConversion"/>
  </si>
  <si>
    <t>13911082220</t>
    <phoneticPr fontId="5" type="noConversion"/>
  </si>
  <si>
    <t>东升乡马坊村宝盛北里</t>
    <phoneticPr fontId="5" type="noConversion"/>
  </si>
  <si>
    <t>1</t>
    <phoneticPr fontId="5" type="noConversion"/>
  </si>
  <si>
    <t>七</t>
    <phoneticPr fontId="5" type="noConversion"/>
  </si>
  <si>
    <t>2003-22-P-02896-M</t>
    <phoneticPr fontId="5" type="noConversion"/>
  </si>
  <si>
    <t>郭晓东</t>
    <phoneticPr fontId="5" type="noConversion"/>
  </si>
  <si>
    <t>532901720129031</t>
    <phoneticPr fontId="5" type="noConversion"/>
  </si>
  <si>
    <t>6单元</t>
    <phoneticPr fontId="5" type="noConversion"/>
  </si>
  <si>
    <t>234117</t>
    <phoneticPr fontId="5" type="noConversion"/>
  </si>
  <si>
    <t>3.20，卧室层高2.80</t>
    <phoneticPr fontId="5" type="noConversion"/>
  </si>
  <si>
    <t>2003-22-P-02904</t>
    <phoneticPr fontId="5" type="noConversion"/>
  </si>
  <si>
    <t>丁宇忠</t>
    <phoneticPr fontId="5" type="noConversion"/>
  </si>
  <si>
    <t>110229197209130035</t>
    <phoneticPr fontId="5" type="noConversion"/>
  </si>
  <si>
    <t>13621336010</t>
    <phoneticPr fontId="5" type="noConversion"/>
  </si>
  <si>
    <t>501号</t>
    <phoneticPr fontId="5" type="noConversion"/>
  </si>
  <si>
    <t>525440</t>
    <phoneticPr fontId="5" type="noConversion"/>
  </si>
  <si>
    <t>2003-22-P-02923</t>
    <phoneticPr fontId="5" type="noConversion"/>
  </si>
  <si>
    <t>马超力</t>
    <phoneticPr fontId="5" type="noConversion"/>
  </si>
  <si>
    <t>210602197211241012</t>
    <phoneticPr fontId="5" type="noConversion"/>
  </si>
  <si>
    <t>13910422432</t>
    <phoneticPr fontId="5" type="noConversion"/>
  </si>
  <si>
    <t>525490</t>
    <phoneticPr fontId="5" type="noConversion"/>
  </si>
  <si>
    <t>2003-22-P-02934</t>
    <phoneticPr fontId="5" type="noConversion"/>
  </si>
  <si>
    <t>王颖</t>
    <phoneticPr fontId="5" type="noConversion"/>
  </si>
  <si>
    <t>110108710603632</t>
    <phoneticPr fontId="5" type="noConversion"/>
  </si>
  <si>
    <t>21层</t>
    <phoneticPr fontId="5" type="noConversion"/>
  </si>
  <si>
    <t>2129号</t>
    <phoneticPr fontId="5" type="noConversion"/>
  </si>
  <si>
    <t>地上18层</t>
    <phoneticPr fontId="5" type="noConversion"/>
  </si>
  <si>
    <t>515735</t>
    <phoneticPr fontId="5" type="noConversion"/>
  </si>
  <si>
    <t>2003-22-P-02937</t>
    <phoneticPr fontId="5" type="noConversion"/>
  </si>
  <si>
    <t>王丽</t>
    <phoneticPr fontId="5" type="noConversion"/>
  </si>
  <si>
    <t>110101197406194028</t>
    <phoneticPr fontId="5" type="noConversion"/>
  </si>
  <si>
    <t>13501280625</t>
    <phoneticPr fontId="5" type="noConversion"/>
  </si>
  <si>
    <r>
      <t>东升乡马坊村宝盛北里</t>
    </r>
    <r>
      <rPr>
        <sz val="10"/>
        <rFont val="Times New Roman"/>
        <family val="1"/>
      </rPr>
      <t/>
    </r>
    <phoneticPr fontId="5" type="noConversion"/>
  </si>
  <si>
    <t>A02幢</t>
    <phoneticPr fontId="5" type="noConversion"/>
  </si>
  <si>
    <t>101号</t>
    <phoneticPr fontId="5" type="noConversion"/>
  </si>
  <si>
    <t>北京市住房资金管理中心外企分中心</t>
    <phoneticPr fontId="5" type="noConversion"/>
  </si>
  <si>
    <t>525427</t>
    <phoneticPr fontId="5" type="noConversion"/>
  </si>
  <si>
    <t>2003-22-P-02941-U</t>
    <phoneticPr fontId="5" type="noConversion"/>
  </si>
  <si>
    <t>荣顺杰</t>
    <phoneticPr fontId="5" type="noConversion"/>
  </si>
  <si>
    <t>110106661226423</t>
    <phoneticPr fontId="5" type="noConversion"/>
  </si>
  <si>
    <t>13810338858</t>
    <phoneticPr fontId="5" type="noConversion"/>
  </si>
  <si>
    <t>花园路3号1号院</t>
    <phoneticPr fontId="5" type="noConversion"/>
  </si>
  <si>
    <t>111号</t>
    <phoneticPr fontId="5" type="noConversion"/>
  </si>
  <si>
    <t>蔡其侃</t>
    <phoneticPr fontId="5" type="noConversion"/>
  </si>
  <si>
    <t>2003-22-P-02943</t>
    <phoneticPr fontId="5" type="noConversion"/>
  </si>
  <si>
    <t>张晓海</t>
    <phoneticPr fontId="5" type="noConversion"/>
  </si>
  <si>
    <t>110108711225273</t>
    <phoneticPr fontId="5" type="noConversion"/>
  </si>
  <si>
    <t>13701209528</t>
    <phoneticPr fontId="5" type="noConversion"/>
  </si>
  <si>
    <t>A01幢</t>
    <phoneticPr fontId="5" type="noConversion"/>
  </si>
  <si>
    <t>527689</t>
    <phoneticPr fontId="5" type="noConversion"/>
  </si>
  <si>
    <t>2003-22-P-02945</t>
    <phoneticPr fontId="5" type="noConversion"/>
  </si>
  <si>
    <t>祖巍</t>
    <phoneticPr fontId="5" type="noConversion"/>
  </si>
  <si>
    <t>110102600504304</t>
    <phoneticPr fontId="5" type="noConversion"/>
  </si>
  <si>
    <t>62952187</t>
    <phoneticPr fontId="5" type="noConversion"/>
  </si>
  <si>
    <t>2幢</t>
    <phoneticPr fontId="5" type="noConversion"/>
  </si>
  <si>
    <t>103号</t>
    <phoneticPr fontId="5" type="noConversion"/>
  </si>
  <si>
    <t>北京住房公积金管理中心朝阳第三管理部</t>
    <phoneticPr fontId="5" type="noConversion"/>
  </si>
  <si>
    <t>305468</t>
    <phoneticPr fontId="5" type="noConversion"/>
  </si>
  <si>
    <t>2003-22-P-02947</t>
  </si>
  <si>
    <t>邹慧明</t>
  </si>
  <si>
    <t>320923197712218121</t>
  </si>
  <si>
    <t>4座</t>
  </si>
  <si>
    <t>地上4层</t>
  </si>
  <si>
    <t>2003-3-D1-02371</t>
  </si>
  <si>
    <t>2003-22-P-02948</t>
  </si>
  <si>
    <t>尚海东</t>
  </si>
  <si>
    <t>110111770220861</t>
  </si>
  <si>
    <t>1003号</t>
  </si>
  <si>
    <t>2003-3-D1-02372</t>
  </si>
  <si>
    <t>2003-22-P-02949</t>
  </si>
  <si>
    <t>何晗春</t>
  </si>
  <si>
    <t>330725780917452</t>
  </si>
  <si>
    <t>2003-3-D1-02373</t>
  </si>
  <si>
    <t>2003-22-P-02950</t>
  </si>
  <si>
    <t>姚洋</t>
  </si>
  <si>
    <t>110106197710041220</t>
  </si>
  <si>
    <t>303号</t>
  </si>
  <si>
    <t>北京市住房资金管理中心市一轻工业总公司分中心</t>
  </si>
  <si>
    <t>2003-3-D1-02374</t>
  </si>
  <si>
    <t>2003-22-P-02951</t>
  </si>
  <si>
    <t>沈汉坤</t>
  </si>
  <si>
    <t>350624197409021014</t>
  </si>
  <si>
    <t>903号</t>
  </si>
  <si>
    <t>2003-3-D1-02375</t>
  </si>
  <si>
    <t>2003-22-P-02953</t>
    <phoneticPr fontId="5" type="noConversion"/>
  </si>
  <si>
    <t>宋绯</t>
    <phoneticPr fontId="5" type="noConversion"/>
  </si>
  <si>
    <t>110108691111012</t>
    <phoneticPr fontId="5" type="noConversion"/>
  </si>
  <si>
    <t>62368202</t>
    <phoneticPr fontId="5" type="noConversion"/>
  </si>
  <si>
    <t>403G号</t>
    <phoneticPr fontId="5" type="noConversion"/>
  </si>
  <si>
    <t>北京市住房资金管理中心北京旅游集团有限责任公司分中心</t>
    <phoneticPr fontId="5" type="noConversion"/>
  </si>
  <si>
    <t>305461</t>
    <phoneticPr fontId="5" type="noConversion"/>
  </si>
  <si>
    <t>2003-22-P-02956</t>
    <phoneticPr fontId="5" type="noConversion"/>
  </si>
  <si>
    <t>黄南平</t>
    <phoneticPr fontId="5" type="noConversion"/>
  </si>
  <si>
    <t>110108540630181</t>
    <phoneticPr fontId="5" type="noConversion"/>
  </si>
  <si>
    <t>蓝靛厂居住区I地块蓝靛厂居住区（世纪城三期）春荫园</t>
    <phoneticPr fontId="5" type="noConversion"/>
  </si>
  <si>
    <t>15B号</t>
    <phoneticPr fontId="5" type="noConversion"/>
  </si>
  <si>
    <t>北京金源鸿大房地产有限公司</t>
    <phoneticPr fontId="5" type="noConversion"/>
  </si>
  <si>
    <t>2003-3-D1-02376</t>
    <phoneticPr fontId="5" type="noConversion"/>
  </si>
  <si>
    <t>1100001033600（1-1）</t>
    <phoneticPr fontId="5" type="noConversion"/>
  </si>
  <si>
    <t>黄如论</t>
    <phoneticPr fontId="5" type="noConversion"/>
  </si>
  <si>
    <t>特定编号</t>
    <phoneticPr fontId="5" type="noConversion"/>
  </si>
  <si>
    <t>2003-22-P-03018</t>
  </si>
  <si>
    <t>杜婷</t>
  </si>
  <si>
    <t>110106791231272</t>
  </si>
  <si>
    <t>13683516597</t>
  </si>
  <si>
    <t>802号</t>
  </si>
  <si>
    <t>一室二厅一卫一厨</t>
  </si>
  <si>
    <t>2003-3-D1-02403</t>
  </si>
  <si>
    <t>530217</t>
  </si>
  <si>
    <t>2003-22-P-03031</t>
    <phoneticPr fontId="5" type="noConversion"/>
  </si>
  <si>
    <t>张爱军</t>
    <phoneticPr fontId="5" type="noConversion"/>
  </si>
  <si>
    <t>110108720222851</t>
    <phoneticPr fontId="5" type="noConversion"/>
  </si>
  <si>
    <t>13661198072</t>
    <phoneticPr fontId="5" type="noConversion"/>
  </si>
  <si>
    <t>2幢</t>
    <phoneticPr fontId="5" type="noConversion"/>
  </si>
  <si>
    <t>地上3层</t>
    <phoneticPr fontId="275" type="noConversion"/>
  </si>
  <si>
    <t>515509</t>
    <phoneticPr fontId="5" type="noConversion"/>
  </si>
  <si>
    <t>2003-22-P-03032</t>
  </si>
  <si>
    <t>叶培</t>
    <phoneticPr fontId="5" type="noConversion"/>
  </si>
  <si>
    <t>110108197609283711</t>
    <phoneticPr fontId="5" type="noConversion"/>
  </si>
  <si>
    <t>13301039750</t>
    <phoneticPr fontId="5" type="noConversion"/>
  </si>
  <si>
    <t>502号</t>
    <phoneticPr fontId="5" type="noConversion"/>
  </si>
  <si>
    <t>515626</t>
    <phoneticPr fontId="5" type="noConversion"/>
  </si>
  <si>
    <t>2003-22-P-03034</t>
    <phoneticPr fontId="5" type="noConversion"/>
  </si>
  <si>
    <t>吕忠</t>
    <phoneticPr fontId="5" type="noConversion"/>
  </si>
  <si>
    <t>110109195605130336</t>
    <phoneticPr fontId="5" type="noConversion"/>
  </si>
  <si>
    <t>19#座</t>
    <phoneticPr fontId="5" type="noConversion"/>
  </si>
  <si>
    <t>604号</t>
    <phoneticPr fontId="5" type="noConversion"/>
  </si>
  <si>
    <t>北京市住房资金管理中心华北电力集团公司分中心</t>
    <phoneticPr fontId="5" type="noConversion"/>
  </si>
  <si>
    <t>2003-22-P-03036</t>
    <phoneticPr fontId="5" type="noConversion"/>
  </si>
  <si>
    <t>杨波</t>
    <phoneticPr fontId="5" type="noConversion"/>
  </si>
  <si>
    <t>420601197304150622</t>
    <phoneticPr fontId="5" type="noConversion"/>
  </si>
  <si>
    <t>13001990860</t>
    <phoneticPr fontId="5" type="noConversion"/>
  </si>
  <si>
    <t>527678</t>
    <phoneticPr fontId="5" type="noConversion"/>
  </si>
  <si>
    <t>2003-22-P-03064</t>
  </si>
  <si>
    <t>闫强</t>
  </si>
  <si>
    <t>230103197209075512</t>
  </si>
  <si>
    <t>82877162</t>
  </si>
  <si>
    <t>2003-3-D1-02415</t>
  </si>
  <si>
    <t>530202</t>
  </si>
  <si>
    <t>2003-22-P-03067</t>
    <phoneticPr fontId="5" type="noConversion"/>
  </si>
  <si>
    <t>刘晓方</t>
    <phoneticPr fontId="5" type="noConversion"/>
  </si>
  <si>
    <t>110221197105125310</t>
    <phoneticPr fontId="5" type="noConversion"/>
  </si>
  <si>
    <t>13520583778</t>
    <phoneticPr fontId="5" type="noConversion"/>
  </si>
  <si>
    <t>A02幢</t>
  </si>
  <si>
    <t>北京市住房资金管理中心西城区分中心</t>
    <phoneticPr fontId="5" type="noConversion"/>
  </si>
  <si>
    <t>525445</t>
    <phoneticPr fontId="5" type="noConversion"/>
  </si>
  <si>
    <t>2003-22-P-03074</t>
  </si>
  <si>
    <t>段海涛</t>
    <phoneticPr fontId="5" type="noConversion"/>
  </si>
  <si>
    <t>23102219740523001X</t>
    <phoneticPr fontId="5" type="noConversion"/>
  </si>
  <si>
    <t>三室二厅一卫一厨</t>
    <phoneticPr fontId="5" type="noConversion"/>
  </si>
  <si>
    <t>290541</t>
    <phoneticPr fontId="5" type="noConversion"/>
  </si>
  <si>
    <t>2003-22-P-03097-U</t>
    <phoneticPr fontId="5" type="noConversion"/>
  </si>
  <si>
    <t>钟宇林</t>
    <phoneticPr fontId="5" type="noConversion"/>
  </si>
  <si>
    <t>110106650507093</t>
    <phoneticPr fontId="5" type="noConversion"/>
  </si>
  <si>
    <t>13693572630</t>
    <phoneticPr fontId="5" type="noConversion"/>
  </si>
  <si>
    <t>八里庄北里23号楼</t>
    <phoneticPr fontId="5" type="noConversion"/>
  </si>
  <si>
    <t>8层806</t>
    <phoneticPr fontId="5" type="noConversion"/>
  </si>
  <si>
    <t>钟宇林</t>
    <phoneticPr fontId="5" type="noConversion"/>
  </si>
  <si>
    <t xml:space="preserve">邹晓鸣 </t>
    <phoneticPr fontId="5" type="noConversion"/>
  </si>
  <si>
    <t>黄振标</t>
    <phoneticPr fontId="5" type="noConversion"/>
  </si>
  <si>
    <t>2003-22-P-03132</t>
  </si>
  <si>
    <t>黄贵和</t>
  </si>
  <si>
    <t>210404730409005</t>
  </si>
  <si>
    <t>1004号</t>
  </si>
  <si>
    <t>2003-3-D1-02448</t>
  </si>
  <si>
    <t>2003-22-P-03133</t>
  </si>
  <si>
    <t>于宏志</t>
  </si>
  <si>
    <t>370282740523361</t>
  </si>
  <si>
    <t>1204号</t>
  </si>
  <si>
    <t>2003-3-D1-02449</t>
  </si>
  <si>
    <t>2003-22-P-03134</t>
  </si>
  <si>
    <t>王诚勃</t>
  </si>
  <si>
    <t>130603197111140640</t>
  </si>
  <si>
    <t>2003-3-D1-02450</t>
  </si>
  <si>
    <t>2003-22-P-03135</t>
    <phoneticPr fontId="5" type="noConversion"/>
  </si>
  <si>
    <t>韩晓红</t>
    <phoneticPr fontId="5" type="noConversion"/>
  </si>
  <si>
    <t>110102570227302</t>
    <phoneticPr fontId="5" type="noConversion"/>
  </si>
  <si>
    <t>13681429695</t>
    <phoneticPr fontId="5" type="noConversion"/>
  </si>
  <si>
    <t>302号</t>
    <phoneticPr fontId="5" type="noConversion"/>
  </si>
  <si>
    <t>北京市住房资金管理中心华北电力集团公司分中心</t>
    <phoneticPr fontId="5" type="noConversion"/>
  </si>
  <si>
    <t>2003-3-D1-02451</t>
    <phoneticPr fontId="5" type="noConversion"/>
  </si>
  <si>
    <t>299258</t>
    <phoneticPr fontId="5" type="noConversion"/>
  </si>
  <si>
    <t>2003-22-P-03146</t>
    <phoneticPr fontId="5" type="noConversion"/>
  </si>
  <si>
    <t>赵国红</t>
    <phoneticPr fontId="5" type="noConversion"/>
  </si>
  <si>
    <t>130603196905081289</t>
    <phoneticPr fontId="5" type="noConversion"/>
  </si>
  <si>
    <t>12层</t>
    <phoneticPr fontId="5" type="noConversion"/>
  </si>
  <si>
    <t>1216号</t>
    <phoneticPr fontId="5" type="noConversion"/>
  </si>
  <si>
    <t>北京市住房资金管理中心崇文区分中心</t>
    <phoneticPr fontId="5" type="noConversion"/>
  </si>
  <si>
    <t>地上18层</t>
    <phoneticPr fontId="5" type="noConversion"/>
  </si>
  <si>
    <t>N</t>
    <phoneticPr fontId="5" type="noConversion"/>
  </si>
  <si>
    <t>515810</t>
    <phoneticPr fontId="5" type="noConversion"/>
  </si>
  <si>
    <t>2003-22-P-03161-M</t>
  </si>
  <si>
    <t>郑洪明</t>
  </si>
  <si>
    <t>330227197110014438</t>
  </si>
  <si>
    <t>234515</t>
  </si>
  <si>
    <t>2003-22-P-03164</t>
  </si>
  <si>
    <t>张献兵</t>
  </si>
  <si>
    <t>360104740801005</t>
  </si>
  <si>
    <t>13683520461</t>
  </si>
  <si>
    <t>蓝靛厂居住区I地块蓝靛厂居住区（世纪城三期）</t>
  </si>
  <si>
    <t>春荫园</t>
  </si>
  <si>
    <t>9幢</t>
  </si>
  <si>
    <t>7D号</t>
  </si>
  <si>
    <t>527252</t>
  </si>
  <si>
    <t>北京海淀区四季青厂西门小区21号楼</t>
  </si>
  <si>
    <t>黄如防</t>
  </si>
  <si>
    <t>2003-22-P-03170</t>
  </si>
  <si>
    <t>孙彦</t>
  </si>
  <si>
    <t>110108196801146026</t>
  </si>
  <si>
    <t>1504号</t>
  </si>
  <si>
    <t>北京市住房资金管理中心建工集团分中心</t>
  </si>
  <si>
    <t>154399</t>
  </si>
  <si>
    <t>北京市房山区金马工业开发区8号</t>
  </si>
  <si>
    <t>2003-22-P-03172</t>
    <phoneticPr fontId="5" type="noConversion"/>
  </si>
  <si>
    <t>王雷</t>
    <phoneticPr fontId="5" type="noConversion"/>
  </si>
  <si>
    <t>110106196906183314</t>
    <phoneticPr fontId="5" type="noConversion"/>
  </si>
  <si>
    <t>62282884</t>
    <phoneticPr fontId="5" type="noConversion"/>
  </si>
  <si>
    <t>23层</t>
    <phoneticPr fontId="5" type="noConversion"/>
  </si>
  <si>
    <t>北京中鑫源房地产开发集团有限公司</t>
    <phoneticPr fontId="5" type="noConversion"/>
  </si>
  <si>
    <t>505526</t>
    <phoneticPr fontId="5" type="noConversion"/>
  </si>
  <si>
    <t>2003-22-P-03178</t>
    <phoneticPr fontId="5" type="noConversion"/>
  </si>
  <si>
    <t>窦传铭</t>
    <phoneticPr fontId="5" type="noConversion"/>
  </si>
  <si>
    <t>370727197710260098</t>
    <phoneticPr fontId="5" type="noConversion"/>
  </si>
  <si>
    <t>290556</t>
    <phoneticPr fontId="5" type="noConversion"/>
  </si>
  <si>
    <t>2003-22-P-03185</t>
    <phoneticPr fontId="5" type="noConversion"/>
  </si>
  <si>
    <t>王艳</t>
    <phoneticPr fontId="5" type="noConversion"/>
  </si>
  <si>
    <t>110105197601175426</t>
    <phoneticPr fontId="5" type="noConversion"/>
  </si>
  <si>
    <t>清河小营美欣家园</t>
    <phoneticPr fontId="5" type="noConversion"/>
  </si>
  <si>
    <t>145506</t>
    <phoneticPr fontId="5" type="noConversion"/>
  </si>
  <si>
    <t>1102271146163（1-1）</t>
    <phoneticPr fontId="5" type="noConversion"/>
  </si>
  <si>
    <t>2003-22-P-03196</t>
    <phoneticPr fontId="5" type="noConversion"/>
  </si>
  <si>
    <t>曾志峰</t>
    <phoneticPr fontId="5" type="noConversion"/>
  </si>
  <si>
    <t>360312720829001</t>
    <phoneticPr fontId="5" type="noConversion"/>
  </si>
  <si>
    <t>2116号</t>
    <phoneticPr fontId="5" type="noConversion"/>
  </si>
  <si>
    <t>地上18层</t>
    <phoneticPr fontId="5" type="noConversion"/>
  </si>
  <si>
    <t>515884</t>
    <phoneticPr fontId="5" type="noConversion"/>
  </si>
  <si>
    <t>北京市海淀区甘家口甲12号</t>
    <phoneticPr fontId="5" type="noConversion"/>
  </si>
  <si>
    <t>1101081437256（1-1）</t>
    <phoneticPr fontId="5" type="noConversion"/>
  </si>
  <si>
    <t>2003-22-P-03197</t>
    <phoneticPr fontId="5" type="noConversion"/>
  </si>
  <si>
    <t>戴悦</t>
    <phoneticPr fontId="5" type="noConversion"/>
  </si>
  <si>
    <t>110104197009293013</t>
    <phoneticPr fontId="5" type="noConversion"/>
  </si>
  <si>
    <t>7层</t>
    <phoneticPr fontId="5" type="noConversion"/>
  </si>
  <si>
    <t>708号</t>
    <phoneticPr fontId="5" type="noConversion"/>
  </si>
  <si>
    <t>515800</t>
    <phoneticPr fontId="5" type="noConversion"/>
  </si>
  <si>
    <t>北京市海淀区甘家口甲12号</t>
    <phoneticPr fontId="5" type="noConversion"/>
  </si>
  <si>
    <t>1101081437256（1-1）</t>
    <phoneticPr fontId="5" type="noConversion"/>
  </si>
  <si>
    <t>2003-22-P-03198</t>
    <phoneticPr fontId="5" type="noConversion"/>
  </si>
  <si>
    <t>轧仲芳</t>
    <phoneticPr fontId="5" type="noConversion"/>
  </si>
  <si>
    <t>110102621205042</t>
    <phoneticPr fontId="5" type="noConversion"/>
  </si>
  <si>
    <t>15#楼</t>
    <phoneticPr fontId="5" type="noConversion"/>
  </si>
  <si>
    <t>20层</t>
    <phoneticPr fontId="5" type="noConversion"/>
  </si>
  <si>
    <t>2009号</t>
    <phoneticPr fontId="5" type="noConversion"/>
  </si>
  <si>
    <t>515705</t>
    <phoneticPr fontId="5" type="noConversion"/>
  </si>
  <si>
    <t>1101081437256（1-1）</t>
    <phoneticPr fontId="5" type="noConversion"/>
  </si>
  <si>
    <t>2003-22-P-03199</t>
    <phoneticPr fontId="5" type="noConversion"/>
  </si>
  <si>
    <t>陈凤志</t>
    <phoneticPr fontId="5" type="noConversion"/>
  </si>
  <si>
    <t>110110196206290535</t>
    <phoneticPr fontId="5" type="noConversion"/>
  </si>
  <si>
    <t>13901183566</t>
    <phoneticPr fontId="5" type="noConversion"/>
  </si>
  <si>
    <t>蓝靛厂居住区I地块蓝靛厂居住区（世纪城三期）</t>
    <phoneticPr fontId="5" type="noConversion"/>
  </si>
  <si>
    <t>春荫园</t>
    <phoneticPr fontId="5" type="noConversion"/>
  </si>
  <si>
    <t>12幢</t>
    <phoneticPr fontId="5" type="noConversion"/>
  </si>
  <si>
    <t>10B号</t>
    <phoneticPr fontId="5" type="noConversion"/>
  </si>
  <si>
    <t>527267</t>
    <phoneticPr fontId="5" type="noConversion"/>
  </si>
  <si>
    <t>黄如防</t>
    <phoneticPr fontId="5" type="noConversion"/>
  </si>
  <si>
    <t>2003-22-P-03201</t>
    <phoneticPr fontId="5" type="noConversion"/>
  </si>
  <si>
    <t>曲海英</t>
    <phoneticPr fontId="5" type="noConversion"/>
  </si>
  <si>
    <t>210423197305263416</t>
    <phoneticPr fontId="5" type="noConversion"/>
  </si>
  <si>
    <t>清河镇清缘小区东区(清缘上河园1#、2#、3#、4#、5#、6#、7#）及配套公建清缘东里</t>
    <phoneticPr fontId="5" type="noConversion"/>
  </si>
  <si>
    <t>2#幢</t>
    <phoneticPr fontId="5" type="noConversion"/>
  </si>
  <si>
    <t>307825</t>
    <phoneticPr fontId="5" type="noConversion"/>
  </si>
  <si>
    <t>2003-22-P-03205</t>
    <phoneticPr fontId="5" type="noConversion"/>
  </si>
  <si>
    <t>张鑫</t>
    <phoneticPr fontId="5" type="noConversion"/>
  </si>
  <si>
    <t>110108720418182</t>
    <phoneticPr fontId="5" type="noConversion"/>
  </si>
  <si>
    <t>307805</t>
    <phoneticPr fontId="5" type="noConversion"/>
  </si>
  <si>
    <t>2003-22-P-03207</t>
    <phoneticPr fontId="5" type="noConversion"/>
  </si>
  <si>
    <t>郭学</t>
    <phoneticPr fontId="5" type="noConversion"/>
  </si>
  <si>
    <t>110105560507831</t>
    <phoneticPr fontId="5" type="noConversion"/>
  </si>
  <si>
    <t>290568</t>
    <phoneticPr fontId="5" type="noConversion"/>
  </si>
  <si>
    <t>2003-22-P-03208</t>
    <phoneticPr fontId="5" type="noConversion"/>
  </si>
  <si>
    <t>张金玲</t>
    <phoneticPr fontId="5" type="noConversion"/>
  </si>
  <si>
    <t>379012197701294427</t>
    <phoneticPr fontId="5" type="noConversion"/>
  </si>
  <si>
    <t>9单元</t>
    <phoneticPr fontId="5" type="noConversion"/>
  </si>
  <si>
    <t>290565</t>
    <phoneticPr fontId="5" type="noConversion"/>
  </si>
  <si>
    <t>2003-22-P-03220</t>
  </si>
  <si>
    <t>赵丽珍</t>
  </si>
  <si>
    <t>110108730516380</t>
  </si>
  <si>
    <t>13683622107</t>
  </si>
  <si>
    <t>530216</t>
  </si>
  <si>
    <t>2003-22-P-03248</t>
  </si>
  <si>
    <t>吴春涛</t>
  </si>
  <si>
    <t>110108720209373</t>
  </si>
  <si>
    <t>13611284921</t>
  </si>
  <si>
    <t>204号</t>
  </si>
  <si>
    <t>530209</t>
  </si>
  <si>
    <t>2003-22-P-03255</t>
  </si>
  <si>
    <t>李慧兰</t>
  </si>
  <si>
    <t>110108196305274221</t>
  </si>
  <si>
    <t>13901283308</t>
  </si>
  <si>
    <t>902号</t>
  </si>
  <si>
    <t>北京住房公积金管理中心朝阳第三管理部</t>
  </si>
  <si>
    <t>530291</t>
  </si>
  <si>
    <t>2003-22-P-03256-U</t>
  </si>
  <si>
    <t>张月珍</t>
  </si>
  <si>
    <t>110102530328232</t>
  </si>
  <si>
    <t>13681482470</t>
  </si>
  <si>
    <t>宋继才</t>
  </si>
  <si>
    <t>不含税费</t>
  </si>
  <si>
    <t>2003-22-P-03257</t>
    <phoneticPr fontId="5" type="noConversion"/>
  </si>
  <si>
    <t>狄浩林</t>
    <phoneticPr fontId="5" type="noConversion"/>
  </si>
  <si>
    <t>150103197412191018</t>
    <phoneticPr fontId="5" type="noConversion"/>
  </si>
  <si>
    <t>13671222024</t>
    <phoneticPr fontId="5" type="noConversion"/>
  </si>
  <si>
    <t>527645</t>
    <phoneticPr fontId="5" type="noConversion"/>
  </si>
  <si>
    <t>2003-22-P-03264</t>
  </si>
  <si>
    <t>杨东颖</t>
  </si>
  <si>
    <t>110224760113382</t>
  </si>
  <si>
    <t>2层</t>
  </si>
  <si>
    <t>北京住房公积金管理中心丰台第一管理部</t>
  </si>
  <si>
    <t>地上19层</t>
  </si>
  <si>
    <t>515853</t>
  </si>
  <si>
    <t>2003-22-P-03273</t>
  </si>
  <si>
    <t>张云霞</t>
  </si>
  <si>
    <t>450103650902106</t>
  </si>
  <si>
    <t>海淀乡肖家河天秀花园秋水园</t>
  </si>
  <si>
    <t>07号楼</t>
  </si>
  <si>
    <t>01层</t>
    <phoneticPr fontId="5" type="noConversion"/>
  </si>
  <si>
    <t>10号</t>
  </si>
  <si>
    <t>北京海开万科房地产开发有限责任公司</t>
  </si>
  <si>
    <t>未开工</t>
  </si>
  <si>
    <t>邹晓明</t>
  </si>
  <si>
    <t>楼层号</t>
    <phoneticPr fontId="5" type="noConversion"/>
  </si>
  <si>
    <t>北京市密云县工业开发区水源路乙31号</t>
  </si>
  <si>
    <t>1102281271092(1-1)</t>
  </si>
  <si>
    <t>吴有富</t>
  </si>
  <si>
    <t>合同特定编号、工程进度</t>
  </si>
  <si>
    <t>2003-22-P-03286</t>
  </si>
  <si>
    <t>闫军</t>
  </si>
  <si>
    <t>410303700930001</t>
  </si>
  <si>
    <t>清河镇清缘小区东区(清缘上河园1#、2#、3#、4#、5#、6#、7#）及配套公建清缘东里</t>
  </si>
  <si>
    <t>北京旭洲房地产开发有限责任公司</t>
  </si>
  <si>
    <t>290584</t>
  </si>
  <si>
    <t>北京市朝阳区姚家园路石佛营东里133号楼108室</t>
  </si>
  <si>
    <t>1101052374772(1-1)</t>
  </si>
  <si>
    <t>鲍良广</t>
  </si>
  <si>
    <t>2003-22-P-03296</t>
  </si>
  <si>
    <t>刘芳</t>
  </si>
  <si>
    <t>110103197501291822</t>
  </si>
  <si>
    <t>1幢</t>
  </si>
  <si>
    <t>702号</t>
  </si>
  <si>
    <t>290509</t>
  </si>
  <si>
    <t>2003-22-P-03307</t>
  </si>
  <si>
    <t>石峰</t>
  </si>
  <si>
    <t>150103791225051</t>
  </si>
  <si>
    <t>1703号</t>
  </si>
  <si>
    <t>地上18层</t>
  </si>
  <si>
    <t>515833</t>
  </si>
  <si>
    <t>2003-22-P-03319</t>
  </si>
  <si>
    <t>沈忱</t>
  </si>
  <si>
    <t>140901730226271</t>
  </si>
  <si>
    <t>14层</t>
  </si>
  <si>
    <t>1402号</t>
  </si>
  <si>
    <t>2003-22-P-03324</t>
  </si>
  <si>
    <t>张凌云</t>
  </si>
  <si>
    <t>142601197307171335</t>
  </si>
  <si>
    <t>502号</t>
  </si>
  <si>
    <t>北京住房公积金管理中心海淀第二管理部</t>
  </si>
  <si>
    <t>2003-3-D1-02426</t>
  </si>
  <si>
    <t>2003-22-P-03329</t>
  </si>
  <si>
    <t>叶剑</t>
  </si>
  <si>
    <t>410103197608101372</t>
  </si>
  <si>
    <t>1001号</t>
  </si>
  <si>
    <t>515813</t>
  </si>
  <si>
    <t>2003-22-P-03338</t>
  </si>
  <si>
    <t>罗志良</t>
  </si>
  <si>
    <t>110108680905187</t>
  </si>
  <si>
    <t>62751530</t>
  </si>
  <si>
    <t>6单元</t>
  </si>
  <si>
    <t>2G号</t>
  </si>
  <si>
    <t>2003-3-D1-02492</t>
  </si>
  <si>
    <t>527339</t>
  </si>
  <si>
    <t>2003-22-P-03340</t>
  </si>
  <si>
    <t>王宝峰</t>
  </si>
  <si>
    <t>11010819760209271X</t>
  </si>
  <si>
    <t>402号</t>
  </si>
  <si>
    <t>2003-3-D1-02493</t>
  </si>
  <si>
    <t>2003-22-P-03341</t>
  </si>
  <si>
    <t>陈静</t>
  </si>
  <si>
    <t>132402681017144</t>
  </si>
  <si>
    <t>9座</t>
  </si>
  <si>
    <t>2003-3-D1-02447</t>
  </si>
  <si>
    <t>2003-22-P-03342</t>
  </si>
  <si>
    <t>赵爱民</t>
  </si>
  <si>
    <t>110101700505454</t>
  </si>
  <si>
    <t>2003-3-D1-02495</t>
  </si>
  <si>
    <t>2003-22-P-03343</t>
  </si>
  <si>
    <t>聂俊峰</t>
  </si>
  <si>
    <t>610113197609220031</t>
  </si>
  <si>
    <t>2003-3-D1-02496</t>
  </si>
  <si>
    <t>2003-22-P-03344</t>
  </si>
  <si>
    <t>李军</t>
  </si>
  <si>
    <t>511002197612151519</t>
  </si>
  <si>
    <t>2003-3-D1-02497</t>
  </si>
  <si>
    <t>2003-22-P-03345</t>
  </si>
  <si>
    <t>孙大岭</t>
  </si>
  <si>
    <t>110105700705583</t>
  </si>
  <si>
    <t>2003-3-D1-02498</t>
  </si>
  <si>
    <t>2003-22-P-03346</t>
  </si>
  <si>
    <t>姜科</t>
  </si>
  <si>
    <t>110105780328863</t>
  </si>
  <si>
    <t>13611211282</t>
  </si>
  <si>
    <t>B幢</t>
  </si>
  <si>
    <t>1120号</t>
  </si>
  <si>
    <t>526004</t>
  </si>
  <si>
    <t>2003-22-P-03353</t>
  </si>
  <si>
    <t>罗歆</t>
  </si>
  <si>
    <t>652901197811080420</t>
  </si>
  <si>
    <t>1517号</t>
  </si>
  <si>
    <t>515805</t>
  </si>
  <si>
    <t>2003-22-P-03383-M</t>
  </si>
  <si>
    <t>罗维</t>
  </si>
  <si>
    <t>510303197601110537</t>
  </si>
  <si>
    <t>13691215643</t>
  </si>
  <si>
    <t>706号</t>
  </si>
  <si>
    <t>北京天恒房地产股份有限公司</t>
  </si>
  <si>
    <t>250112</t>
  </si>
  <si>
    <t>2003-22-P-03384-M</t>
  </si>
  <si>
    <t>周长军</t>
  </si>
  <si>
    <t>110223770801057</t>
  </si>
  <si>
    <t>13810009293</t>
  </si>
  <si>
    <t>7#幢</t>
  </si>
  <si>
    <t>1304号</t>
  </si>
  <si>
    <t>300336</t>
  </si>
  <si>
    <t>2003-22-P-03386</t>
    <phoneticPr fontId="5" type="noConversion"/>
  </si>
  <si>
    <t>王鸿雁</t>
    <phoneticPr fontId="5" type="noConversion"/>
  </si>
  <si>
    <t>110108770618575</t>
    <phoneticPr fontId="5" type="noConversion"/>
  </si>
  <si>
    <t>13501157793</t>
    <phoneticPr fontId="5" type="noConversion"/>
  </si>
  <si>
    <t>北京住房公积金管理中心东城第一管理部</t>
    <phoneticPr fontId="5" type="noConversion"/>
  </si>
  <si>
    <t>结构施工</t>
    <phoneticPr fontId="5" type="noConversion"/>
  </si>
  <si>
    <t>2003-3-D1-02494</t>
    <phoneticPr fontId="5" type="noConversion"/>
  </si>
  <si>
    <t>299262</t>
    <phoneticPr fontId="5" type="noConversion"/>
  </si>
  <si>
    <t>2003-22-P-03409</t>
  </si>
  <si>
    <t>陈庆中</t>
  </si>
  <si>
    <t>132932771101441</t>
  </si>
  <si>
    <t>82750480</t>
  </si>
  <si>
    <t>527629</t>
  </si>
  <si>
    <t>2003-22-P-03415</t>
  </si>
  <si>
    <t>吴泽权</t>
  </si>
  <si>
    <t>413027750121761</t>
  </si>
  <si>
    <t>21层</t>
  </si>
  <si>
    <t>2117号</t>
  </si>
  <si>
    <t>515827</t>
  </si>
  <si>
    <t>宋哲、杨安</t>
  </si>
  <si>
    <t>110108641223003、510212671011034</t>
  </si>
  <si>
    <t>300077</t>
  </si>
  <si>
    <t>2003-22-P-03449</t>
  </si>
  <si>
    <t>李炳刚</t>
  </si>
  <si>
    <t>350102196711150490</t>
  </si>
  <si>
    <t>清河镇永泰园小区5号住宅楼</t>
  </si>
  <si>
    <t>5幢</t>
  </si>
  <si>
    <t>531号</t>
  </si>
  <si>
    <t>北京市海淀区清河镇一街57号一层</t>
  </si>
  <si>
    <t>1101081507759（2-2）</t>
  </si>
  <si>
    <t>靳水明</t>
  </si>
  <si>
    <t>2003-22-P-03452</t>
  </si>
  <si>
    <t>李昊</t>
  </si>
  <si>
    <t>622701197803130313</t>
  </si>
  <si>
    <t>290580</t>
  </si>
  <si>
    <t>2003-22-P-03459</t>
  </si>
  <si>
    <t>贾美健</t>
  </si>
  <si>
    <t>110101581216452</t>
  </si>
  <si>
    <t>清河镇永泰园21#22#23#楼</t>
  </si>
  <si>
    <t>22号楼</t>
  </si>
  <si>
    <t>22层</t>
  </si>
  <si>
    <t>2206号</t>
  </si>
  <si>
    <t>154382</t>
  </si>
  <si>
    <t>2003-22-P-03462</t>
  </si>
  <si>
    <t>郝烁</t>
  </si>
  <si>
    <t>110108197710117822</t>
  </si>
  <si>
    <t>515855</t>
  </si>
  <si>
    <t>2003-22-P-03465</t>
  </si>
  <si>
    <t>刘产权</t>
  </si>
  <si>
    <t>230103196712103214</t>
  </si>
  <si>
    <t>16层</t>
  </si>
  <si>
    <t>1611号</t>
  </si>
  <si>
    <t>515866</t>
  </si>
  <si>
    <t>2003-22-P-03487</t>
  </si>
  <si>
    <t>刘天惠</t>
  </si>
  <si>
    <t>220102671107331</t>
  </si>
  <si>
    <t>13501053857</t>
  </si>
  <si>
    <t>半壁店圆梦居</t>
  </si>
  <si>
    <t>北京兴源房地产开发有限公司</t>
  </si>
  <si>
    <t>陈颖</t>
  </si>
  <si>
    <t>515539</t>
  </si>
  <si>
    <t>北京市密云县西智路口番子牌工业小区</t>
  </si>
  <si>
    <t>陈永杰</t>
  </si>
  <si>
    <t>2003-22-P-03488</t>
  </si>
  <si>
    <t>彭新春</t>
  </si>
  <si>
    <t>422123197702138517</t>
  </si>
  <si>
    <t>13681455432</t>
  </si>
  <si>
    <t>515514</t>
  </si>
  <si>
    <t>2003-22-P-03489</t>
  </si>
  <si>
    <t>倪慧娟</t>
  </si>
  <si>
    <t>330719197610185927</t>
  </si>
  <si>
    <t>13301163875</t>
  </si>
  <si>
    <t>515546</t>
  </si>
  <si>
    <t>2003-22-P-03490</t>
  </si>
  <si>
    <t>张辉</t>
  </si>
  <si>
    <t>110108750803346</t>
  </si>
  <si>
    <t>13051206752</t>
  </si>
  <si>
    <t>515558</t>
  </si>
  <si>
    <t>2003-22-P-03507-M</t>
  </si>
  <si>
    <t>黄有鹏</t>
  </si>
  <si>
    <t>110102790630151</t>
  </si>
  <si>
    <t>13910971379</t>
  </si>
  <si>
    <t>1604号</t>
  </si>
  <si>
    <t>北京市西城区建设开发公司</t>
  </si>
  <si>
    <t>282818</t>
  </si>
  <si>
    <t>2003-22-P-03517</t>
  </si>
  <si>
    <t>陈莉</t>
  </si>
  <si>
    <t>110101197310122046</t>
  </si>
  <si>
    <t>18层</t>
  </si>
  <si>
    <t>1813号</t>
  </si>
  <si>
    <t>515911</t>
  </si>
  <si>
    <t>2003-22-P-03518</t>
  </si>
  <si>
    <t>陈龙</t>
  </si>
  <si>
    <t>422126197907017013</t>
  </si>
  <si>
    <t>19层</t>
  </si>
  <si>
    <t>1901号</t>
  </si>
  <si>
    <t>515865</t>
  </si>
  <si>
    <t>2003-22-P-03545</t>
  </si>
  <si>
    <t>韩颖</t>
  </si>
  <si>
    <t>110108197712050940</t>
  </si>
  <si>
    <t>2003-3-D1-02550</t>
  </si>
  <si>
    <t>2003-22-P-03547</t>
  </si>
  <si>
    <t>谢华</t>
  </si>
  <si>
    <t>110108751122221</t>
  </si>
  <si>
    <t>13910751655</t>
  </si>
  <si>
    <t>8层</t>
  </si>
  <si>
    <t>820号</t>
  </si>
  <si>
    <t>526021</t>
  </si>
  <si>
    <t>2003-22-P-03550</t>
  </si>
  <si>
    <t>曲春梅</t>
  </si>
  <si>
    <t>230828197412098089</t>
  </si>
  <si>
    <t>9单元</t>
  </si>
  <si>
    <t>703号</t>
  </si>
  <si>
    <t>290553</t>
  </si>
  <si>
    <t>2003-22-P-03555</t>
  </si>
  <si>
    <t>王旭</t>
  </si>
  <si>
    <t>11010819761014273X</t>
  </si>
  <si>
    <t>上地南路10、12号院1#楼枫润家园1#楼</t>
  </si>
  <si>
    <t>北京丰利达房地产开发有限公司</t>
  </si>
  <si>
    <t>北京市海淀区上地南路6号院</t>
  </si>
  <si>
    <t>1101082172701</t>
  </si>
  <si>
    <t>徐金祥</t>
  </si>
  <si>
    <t>2003-22-P-03569</t>
  </si>
  <si>
    <t>杨华卫</t>
  </si>
  <si>
    <t>372823701125001</t>
  </si>
  <si>
    <t>13521897373</t>
  </si>
  <si>
    <t>515648</t>
  </si>
  <si>
    <t>2003-22-P-03607</t>
  </si>
  <si>
    <t>葛彬、王万宁</t>
  </si>
  <si>
    <t>110104560217164、110105540709583</t>
  </si>
  <si>
    <t>2003-3-D1-02565</t>
  </si>
  <si>
    <t>2003-22-P-03613</t>
  </si>
  <si>
    <t>周良</t>
  </si>
  <si>
    <t>110108197804260056</t>
  </si>
  <si>
    <t>13611145262</t>
  </si>
  <si>
    <t>A01幢</t>
  </si>
  <si>
    <t>527612</t>
  </si>
  <si>
    <t>2003-22-P-03614</t>
  </si>
  <si>
    <t>孙建军</t>
  </si>
  <si>
    <t>110108701030604</t>
  </si>
  <si>
    <t>0604号</t>
  </si>
  <si>
    <t>北京市住房资金管理中心市政工程总公司分中心</t>
  </si>
  <si>
    <t>154400</t>
  </si>
  <si>
    <t>2003-22-P-03615</t>
  </si>
  <si>
    <t>高其才</t>
  </si>
  <si>
    <t>420106640904521</t>
  </si>
  <si>
    <t>62773475</t>
  </si>
  <si>
    <t>1209B号</t>
  </si>
  <si>
    <t>2003-22-P-03620</t>
  </si>
  <si>
    <t>李秀惠</t>
  </si>
  <si>
    <t>110108700214972</t>
  </si>
  <si>
    <t>13651056488</t>
  </si>
  <si>
    <t>1609A号</t>
  </si>
  <si>
    <t>地上2层</t>
  </si>
  <si>
    <t>2003-22-P-03623</t>
  </si>
  <si>
    <t>陈大铭、杨学会</t>
  </si>
  <si>
    <t>320911197511185399、13022319760119002X</t>
  </si>
  <si>
    <t>408号</t>
  </si>
  <si>
    <t>515885</t>
  </si>
  <si>
    <t>2003-22-P-03624</t>
  </si>
  <si>
    <t>熊新、夏刚</t>
  </si>
  <si>
    <t>110108710411544、110102711023111</t>
  </si>
  <si>
    <t>62986677-337</t>
  </si>
  <si>
    <t>玉渊潭乡五路居裕泽园</t>
  </si>
  <si>
    <t>北京裕泽房地产开发有限责任公司</t>
  </si>
  <si>
    <t>北京市海淀区阜成路73号一层</t>
  </si>
  <si>
    <t>110108104885（1-1）</t>
  </si>
  <si>
    <t>李森</t>
  </si>
  <si>
    <t>2003-22-P-03626</t>
  </si>
  <si>
    <t>张学军</t>
  </si>
  <si>
    <t>430404197506100535</t>
  </si>
  <si>
    <t>68748088-8189</t>
  </si>
  <si>
    <t>290579</t>
  </si>
  <si>
    <t>2003-22-P-03629</t>
  </si>
  <si>
    <t>刘英华</t>
  </si>
  <si>
    <t>232722740815072</t>
  </si>
  <si>
    <t>13层</t>
  </si>
  <si>
    <t>1317号</t>
  </si>
  <si>
    <t>515930</t>
  </si>
  <si>
    <t>2003-22-P-03631</t>
  </si>
  <si>
    <t>尚静雯</t>
  </si>
  <si>
    <t>610114197903290045</t>
  </si>
  <si>
    <t>1417号</t>
  </si>
  <si>
    <t>515919</t>
  </si>
  <si>
    <t>2003-22-P-03652</t>
  </si>
  <si>
    <t>卢燕</t>
  </si>
  <si>
    <t>110102720905082</t>
  </si>
  <si>
    <t>13701088643</t>
  </si>
  <si>
    <t>530253</t>
  </si>
  <si>
    <t>2003-22-P-03653</t>
  </si>
  <si>
    <t>刘东宁</t>
  </si>
  <si>
    <t>211003720329422</t>
  </si>
  <si>
    <t>1316号</t>
  </si>
  <si>
    <t>515817</t>
  </si>
  <si>
    <t>2003-22-P-03659</t>
  </si>
  <si>
    <t>俞晨</t>
  </si>
  <si>
    <t>110108197606242279</t>
  </si>
  <si>
    <t>9层</t>
  </si>
  <si>
    <t>904号</t>
  </si>
  <si>
    <t>地上15层</t>
  </si>
  <si>
    <t>307767</t>
  </si>
  <si>
    <t>2003-22-P-03670</t>
  </si>
  <si>
    <t>杨现峰</t>
  </si>
  <si>
    <t>142603197405062012</t>
  </si>
  <si>
    <t>1705号</t>
  </si>
  <si>
    <t>307824</t>
  </si>
  <si>
    <t>2003-22-P-03674</t>
  </si>
  <si>
    <t>蒋泽勇</t>
  </si>
  <si>
    <t>110107640620065</t>
  </si>
  <si>
    <t>290503</t>
  </si>
  <si>
    <t>2003-22-P-03675</t>
  </si>
  <si>
    <t>王东</t>
  </si>
  <si>
    <t>370204740225231</t>
  </si>
  <si>
    <t>290589</t>
  </si>
  <si>
    <t>2003-22-P-03679</t>
  </si>
  <si>
    <t>杨建平</t>
  </si>
  <si>
    <t>110102197603021915</t>
  </si>
  <si>
    <t>13051290869</t>
  </si>
  <si>
    <t>527615</t>
  </si>
  <si>
    <t>2003-22-P-03689</t>
  </si>
  <si>
    <t>薛艳春</t>
  </si>
  <si>
    <t>230103730513683</t>
  </si>
  <si>
    <t>1112号</t>
  </si>
  <si>
    <t>515969</t>
  </si>
  <si>
    <t>2003-22-P-03705</t>
  </si>
  <si>
    <t>曹怡</t>
  </si>
  <si>
    <t>110108720626602</t>
  </si>
  <si>
    <t>13161071910</t>
  </si>
  <si>
    <t>515519</t>
  </si>
  <si>
    <t>2003-22-P-03706</t>
  </si>
  <si>
    <t>吴秉刚</t>
  </si>
  <si>
    <t>231022197503125117</t>
  </si>
  <si>
    <t>13910051052</t>
  </si>
  <si>
    <t>518092</t>
  </si>
  <si>
    <t>2003-22-P-03709</t>
  </si>
  <si>
    <t>张宝连</t>
  </si>
  <si>
    <t>110102530113121</t>
  </si>
  <si>
    <t>807号</t>
  </si>
  <si>
    <t>515936</t>
  </si>
  <si>
    <t>2003-22-P-03721</t>
  </si>
  <si>
    <t>梁士龙</t>
  </si>
  <si>
    <t>220102710616331</t>
  </si>
  <si>
    <t>13683522695</t>
  </si>
  <si>
    <t>530227</t>
  </si>
  <si>
    <t>2003-22-P-03724</t>
  </si>
  <si>
    <t>李阳</t>
  </si>
  <si>
    <t>110101750701101</t>
  </si>
  <si>
    <t>1408号</t>
  </si>
  <si>
    <t>515856</t>
  </si>
  <si>
    <t>2003-22-P-03726</t>
  </si>
  <si>
    <t>侯胜杰</t>
  </si>
  <si>
    <t>132801780406281</t>
  </si>
  <si>
    <t>13910909278</t>
  </si>
  <si>
    <t>2003-3-D1-02594</t>
  </si>
  <si>
    <t>527616</t>
  </si>
  <si>
    <t>2003-22-P-03735</t>
  </si>
  <si>
    <t>张卫红</t>
  </si>
  <si>
    <t>142724197702183723</t>
  </si>
  <si>
    <t xml:space="preserve">1505号 </t>
  </si>
  <si>
    <t>北京市西城区西海北沿20号</t>
  </si>
  <si>
    <t>1100001517882</t>
  </si>
  <si>
    <t>周婷婷</t>
  </si>
  <si>
    <t>2003-22-P-03737</t>
  </si>
  <si>
    <t>齐小同</t>
  </si>
  <si>
    <t>510102197111308412</t>
  </si>
  <si>
    <t>2003-3-D1-02596</t>
  </si>
  <si>
    <t>2003-22-P-03745-M</t>
  </si>
  <si>
    <t>张硕</t>
  </si>
  <si>
    <t>15040219721210037X</t>
  </si>
  <si>
    <t>82877603</t>
  </si>
  <si>
    <t>250115</t>
  </si>
  <si>
    <t>2003-22-P-03750</t>
  </si>
  <si>
    <t>刘晓明、王丹</t>
  </si>
  <si>
    <t>110108740308571、110108197404235425</t>
  </si>
  <si>
    <t>68713548</t>
  </si>
  <si>
    <t>小清河北岸肖家河天秀花园B区</t>
  </si>
  <si>
    <t>北京海开房地产集团公司</t>
  </si>
  <si>
    <t>302313</t>
  </si>
  <si>
    <t>1100001411957(1-1)</t>
  </si>
  <si>
    <t>杨建侯</t>
  </si>
  <si>
    <t>2003-22-P-03752</t>
  </si>
  <si>
    <t>秦飞</t>
  </si>
  <si>
    <t>511121790701869</t>
  </si>
  <si>
    <t>13651270330</t>
  </si>
  <si>
    <t>B座</t>
  </si>
  <si>
    <t>2003-3-D1-02599</t>
  </si>
  <si>
    <t>505642</t>
  </si>
  <si>
    <t>2003-22-P-03773</t>
  </si>
  <si>
    <t>武锦平</t>
  </si>
  <si>
    <t>110103591207036</t>
  </si>
  <si>
    <t>13501329085</t>
  </si>
  <si>
    <t>531346</t>
  </si>
  <si>
    <t>2003-22-P-03780</t>
  </si>
  <si>
    <t>刘青川</t>
  </si>
  <si>
    <t>231027197700116810</t>
  </si>
  <si>
    <t>1717号</t>
  </si>
  <si>
    <t>515907</t>
  </si>
  <si>
    <t>2003-22-P-03782-M</t>
  </si>
  <si>
    <t>王守友</t>
  </si>
  <si>
    <t>610103197409172052</t>
  </si>
  <si>
    <t>13910964818</t>
  </si>
  <si>
    <t>282855</t>
  </si>
  <si>
    <t>2003-22-P-03811</t>
  </si>
  <si>
    <t>耿巍</t>
  </si>
  <si>
    <t>110102711020192</t>
  </si>
  <si>
    <t>13701021235</t>
  </si>
  <si>
    <t>512号</t>
  </si>
  <si>
    <t>536423</t>
  </si>
  <si>
    <t>2003-22-P-03812</t>
  </si>
  <si>
    <t>宋国东</t>
  </si>
  <si>
    <t>220223197304200617</t>
  </si>
  <si>
    <t>13911802099</t>
  </si>
  <si>
    <t>846号</t>
  </si>
  <si>
    <t>526059</t>
  </si>
  <si>
    <t>2003-22-P-03830</t>
  </si>
  <si>
    <t>段惠娟</t>
  </si>
  <si>
    <t>110108690114372</t>
  </si>
  <si>
    <t>13910635608</t>
  </si>
  <si>
    <t>地上6层</t>
  </si>
  <si>
    <t>515550</t>
  </si>
  <si>
    <t>2003-22-P-03831</t>
  </si>
  <si>
    <t>刘秋亮</t>
  </si>
  <si>
    <t>370722197408111014</t>
  </si>
  <si>
    <t>64721888-8640</t>
  </si>
  <si>
    <t>518076</t>
  </si>
  <si>
    <t>2003-22-P-03832</t>
  </si>
  <si>
    <t>邱小彬</t>
  </si>
  <si>
    <t>110105197702069630</t>
  </si>
  <si>
    <t>1802号</t>
  </si>
  <si>
    <t>307744</t>
  </si>
  <si>
    <t>2003-22-P-03846-M</t>
  </si>
  <si>
    <t>卢韵</t>
  </si>
  <si>
    <t>440902780617004</t>
  </si>
  <si>
    <t>308217</t>
  </si>
  <si>
    <t>2003-22-P-03851</t>
  </si>
  <si>
    <t>王凤芹</t>
  </si>
  <si>
    <t>440106196410311921</t>
  </si>
  <si>
    <t>13901385057</t>
  </si>
  <si>
    <t>2003-3-D1-02611</t>
  </si>
  <si>
    <t>530239</t>
  </si>
  <si>
    <t>2003-22-P-03863</t>
  </si>
  <si>
    <t>何春梅</t>
  </si>
  <si>
    <t>36010219770323632X</t>
  </si>
  <si>
    <t>13681546936</t>
  </si>
  <si>
    <t>518093</t>
  </si>
  <si>
    <t>2003-22-P-03891</t>
  </si>
  <si>
    <t>王培栋</t>
  </si>
  <si>
    <t>370203771215121</t>
  </si>
  <si>
    <t>清河小营美欣家园</t>
  </si>
  <si>
    <t>A幢</t>
  </si>
  <si>
    <t>1501号</t>
  </si>
  <si>
    <t>北京希科合力房地产开发有限公司</t>
  </si>
  <si>
    <t>北京市住房资金管理中心市经贸委分中心</t>
  </si>
  <si>
    <t>145516</t>
  </si>
  <si>
    <t>北京市怀柔县雁栖工业开发区46号</t>
  </si>
  <si>
    <t>1102271146163（1-1）</t>
  </si>
  <si>
    <t>谭尊可</t>
  </si>
  <si>
    <t>2003-22-P-03900</t>
  </si>
  <si>
    <t>张惠英</t>
  </si>
  <si>
    <t>650104197506263320</t>
  </si>
  <si>
    <t>307727</t>
  </si>
  <si>
    <t>2003-22-P-03930</t>
  </si>
  <si>
    <t>边京利</t>
  </si>
  <si>
    <t>110106691014241</t>
  </si>
  <si>
    <t>13901222860</t>
  </si>
  <si>
    <t>北京市住房资金管理中心中国航天科工集团第三研究院分中心</t>
  </si>
  <si>
    <t>530231</t>
  </si>
  <si>
    <t>2003-22-P-03953</t>
  </si>
  <si>
    <t>杨石磊</t>
  </si>
  <si>
    <t>140102197711082323</t>
  </si>
  <si>
    <t>13910568682</t>
  </si>
  <si>
    <t>518081</t>
  </si>
  <si>
    <t>2003-22-P-03962</t>
  </si>
  <si>
    <t>华瑜</t>
  </si>
  <si>
    <t>321100197303140442</t>
  </si>
  <si>
    <t>13693392899</t>
  </si>
  <si>
    <t>曙光花园</t>
  </si>
  <si>
    <t>望河园</t>
  </si>
  <si>
    <t>乙2号楼</t>
  </si>
  <si>
    <t>8单元</t>
  </si>
  <si>
    <t>邹哓鸣</t>
  </si>
  <si>
    <t>彭莹</t>
  </si>
  <si>
    <t>506653</t>
  </si>
  <si>
    <t>2003-22-P-03975</t>
  </si>
  <si>
    <t>李均煜</t>
  </si>
  <si>
    <t>110108580131601</t>
  </si>
  <si>
    <t>2003-3-D1-02645</t>
  </si>
  <si>
    <t>2003-22-P-03976</t>
  </si>
  <si>
    <t>陈金玲</t>
  </si>
  <si>
    <t>110108600226134</t>
  </si>
  <si>
    <t>2003-3-D1-02646</t>
  </si>
  <si>
    <t>2003-22-P-03977</t>
  </si>
  <si>
    <t>马喜文</t>
  </si>
  <si>
    <t>110105195208100832</t>
  </si>
  <si>
    <t>北京住房公积金管理中心西城第二管理部</t>
  </si>
  <si>
    <t>2003-3-D1-02647</t>
  </si>
  <si>
    <t>2003-22-P-03985</t>
  </si>
  <si>
    <t>高丰</t>
  </si>
  <si>
    <t>110108197406041819</t>
  </si>
  <si>
    <t>13910154393</t>
  </si>
  <si>
    <t>404I号</t>
  </si>
  <si>
    <t>305311</t>
  </si>
  <si>
    <t>2003-22-P-03988</t>
  </si>
  <si>
    <t>马来燕</t>
  </si>
  <si>
    <t>110108721029634</t>
  </si>
  <si>
    <t>13801121029</t>
  </si>
  <si>
    <t>西三旗花园</t>
  </si>
  <si>
    <t>25幢</t>
  </si>
  <si>
    <t>北京首创阳光房地产有限责任公司</t>
  </si>
  <si>
    <t>280425</t>
  </si>
  <si>
    <t>北京市怀柔县湖光小区33号院梅苑8号楼</t>
  </si>
  <si>
    <t>刘晓光</t>
  </si>
  <si>
    <t>2003-22-P-03989</t>
  </si>
  <si>
    <t>贾晓文</t>
  </si>
  <si>
    <t>110111680402302</t>
  </si>
  <si>
    <t>13701036507</t>
  </si>
  <si>
    <t>527604</t>
  </si>
  <si>
    <t>2003-22-P-03991</t>
  </si>
  <si>
    <t>许西加、郭文恒</t>
  </si>
  <si>
    <t>110101197611221523、140202197505252032</t>
  </si>
  <si>
    <t>2003-22-P-03992</t>
  </si>
  <si>
    <t>李彬</t>
  </si>
  <si>
    <t>110222197306070324</t>
  </si>
  <si>
    <t>515981</t>
  </si>
  <si>
    <t>2003-22-P-04001-U</t>
  </si>
  <si>
    <t>张琦</t>
  </si>
  <si>
    <t>130403197607181218</t>
  </si>
  <si>
    <t>13910413395</t>
  </si>
  <si>
    <t>牡丹园北里</t>
  </si>
  <si>
    <t>甲1号楼</t>
  </si>
  <si>
    <t>东803号</t>
  </si>
  <si>
    <t>2003-22-P-04010</t>
  </si>
  <si>
    <t>徐红春</t>
  </si>
  <si>
    <t>110101680505304</t>
  </si>
  <si>
    <t>13911403467</t>
  </si>
  <si>
    <t>515522</t>
  </si>
  <si>
    <t>2003-22-P-04013</t>
  </si>
  <si>
    <t>董云锋</t>
  </si>
  <si>
    <t>610103197310052851</t>
  </si>
  <si>
    <t>907号</t>
  </si>
  <si>
    <t>307781</t>
  </si>
  <si>
    <t>北京市朝阳区姚家园卢石佛营东里133号楼108室</t>
  </si>
  <si>
    <t>1101052374772（1-1）</t>
  </si>
  <si>
    <t>2003-22-P-04019</t>
  </si>
  <si>
    <t>毛峥嵘</t>
  </si>
  <si>
    <t>110108690503342</t>
  </si>
  <si>
    <t>2003-3-D1-02653</t>
  </si>
  <si>
    <t>2003-22-P-04025</t>
  </si>
  <si>
    <t>曹文忠</t>
  </si>
  <si>
    <t>210604700701003</t>
  </si>
  <si>
    <t>571号</t>
  </si>
  <si>
    <t>2003-22-P-04043</t>
  </si>
  <si>
    <t>侯芳</t>
  </si>
  <si>
    <t>210211770608142</t>
  </si>
  <si>
    <t>1302号</t>
  </si>
  <si>
    <t>515986</t>
  </si>
  <si>
    <t>2003-22-P-04044</t>
  </si>
  <si>
    <t>范炬</t>
  </si>
  <si>
    <t>110108197504248952</t>
  </si>
  <si>
    <t>1702号</t>
  </si>
  <si>
    <t>307874</t>
  </si>
  <si>
    <t>2003-22-P-04049</t>
  </si>
  <si>
    <t>孙俊文</t>
  </si>
  <si>
    <t>14222619720927271X</t>
  </si>
  <si>
    <t>13910122936</t>
  </si>
  <si>
    <t>乙5号楼</t>
  </si>
  <si>
    <t>506637</t>
  </si>
  <si>
    <t>2003-22-P-04055</t>
  </si>
  <si>
    <t>郝艳为</t>
  </si>
  <si>
    <t>2003-22-P-04063-U</t>
  </si>
  <si>
    <t>稻香园12号楼东门1402号</t>
  </si>
  <si>
    <t>14</t>
  </si>
  <si>
    <t>2003-22-P-04093</t>
  </si>
  <si>
    <t>包童</t>
  </si>
  <si>
    <t>110102681205191</t>
  </si>
  <si>
    <t>805号</t>
  </si>
  <si>
    <t>515909</t>
  </si>
  <si>
    <t>2003-22-P-04116-M</t>
  </si>
  <si>
    <t>张素娟</t>
  </si>
  <si>
    <t>370121197509137425</t>
  </si>
  <si>
    <t>13651136992</t>
  </si>
  <si>
    <t>308248</t>
  </si>
  <si>
    <t>2003-22-P-04129-M</t>
  </si>
  <si>
    <t>李波</t>
  </si>
  <si>
    <t>120222197807310412</t>
  </si>
  <si>
    <t>13910250468</t>
  </si>
  <si>
    <t>1704号</t>
  </si>
  <si>
    <t>308235</t>
  </si>
  <si>
    <t>2003-22-P-04131</t>
  </si>
  <si>
    <t>刘子厚</t>
  </si>
  <si>
    <t>110102631022311</t>
  </si>
  <si>
    <t>1902号</t>
  </si>
  <si>
    <t>515994</t>
  </si>
  <si>
    <t>2003-22-P-04142</t>
  </si>
  <si>
    <t>赵宏亮</t>
  </si>
  <si>
    <t>120105700826391</t>
  </si>
  <si>
    <t>翠微路四号颐源居三期</t>
  </si>
  <si>
    <t>19座</t>
  </si>
  <si>
    <t>09号</t>
  </si>
  <si>
    <t>北京住房公积金管理中心石景山第一管理部</t>
  </si>
  <si>
    <t>2003-22-P-04156</t>
  </si>
  <si>
    <t>申永印</t>
  </si>
  <si>
    <t>110108630119379</t>
  </si>
  <si>
    <t>1号楼</t>
  </si>
  <si>
    <t>1层02号</t>
  </si>
  <si>
    <t>房屋买卖合同</t>
  </si>
  <si>
    <t>中国华融资产管理公司北京办事处</t>
  </si>
  <si>
    <t>北京市西城区阜城门内大街293号</t>
  </si>
  <si>
    <t>交付日期、合同特定编号、合同编号、法定代表人、层高</t>
  </si>
  <si>
    <t>现售</t>
  </si>
  <si>
    <t>2003-22-P-04157</t>
  </si>
  <si>
    <t>毛广中</t>
  </si>
  <si>
    <t>110108600210377</t>
  </si>
  <si>
    <t>5层02号</t>
  </si>
  <si>
    <t>2003-22-P-04158</t>
  </si>
  <si>
    <t>方立春</t>
  </si>
  <si>
    <t>110107620427123</t>
  </si>
  <si>
    <t>2层03号</t>
  </si>
  <si>
    <t>2003-22-P-04159</t>
  </si>
  <si>
    <t>姚星亮</t>
  </si>
  <si>
    <t>110108620825343</t>
  </si>
  <si>
    <t>2003-22-P-04160</t>
  </si>
  <si>
    <t>葛林关</t>
  </si>
  <si>
    <t>110108630216373</t>
  </si>
  <si>
    <t>6层01号</t>
  </si>
  <si>
    <t>复式</t>
  </si>
  <si>
    <t>2003-22-P-04161</t>
  </si>
  <si>
    <t>赵国明</t>
  </si>
  <si>
    <t>110108630210373</t>
  </si>
  <si>
    <t>3层01号</t>
  </si>
  <si>
    <t>2003-22-P-04162</t>
  </si>
  <si>
    <t>骆志礼</t>
  </si>
  <si>
    <t>110107580416121</t>
  </si>
  <si>
    <t>3层03号</t>
  </si>
  <si>
    <t>2003-22-P-04163</t>
  </si>
  <si>
    <t>叶学文</t>
  </si>
  <si>
    <t>110107196201191214</t>
  </si>
  <si>
    <t>2层01号</t>
  </si>
  <si>
    <t>2003-22-P-04164</t>
  </si>
  <si>
    <t>焦文鑫</t>
  </si>
  <si>
    <t>110108601101495</t>
  </si>
  <si>
    <t>6层03号</t>
  </si>
  <si>
    <t>2003-22-P-04165</t>
  </si>
  <si>
    <t>张正傲</t>
  </si>
  <si>
    <t>110108620229371</t>
  </si>
  <si>
    <t>3层02号</t>
  </si>
  <si>
    <t>2003-22-P-04166</t>
  </si>
  <si>
    <t>杨德祥</t>
  </si>
  <si>
    <t>110108580416341</t>
  </si>
  <si>
    <t>2003-22-P-04167</t>
  </si>
  <si>
    <t>薛红卫</t>
  </si>
  <si>
    <t>110108630513341</t>
  </si>
  <si>
    <t>2003-22-P-04168</t>
  </si>
  <si>
    <t>聂思能</t>
  </si>
  <si>
    <t>110107580408121</t>
  </si>
  <si>
    <t>4层02号</t>
  </si>
  <si>
    <t>2003-22-P-04169</t>
  </si>
  <si>
    <t>张连仲</t>
  </si>
  <si>
    <t>110108580507343</t>
  </si>
  <si>
    <t>4层01号</t>
  </si>
  <si>
    <t>2003-22-P-04170</t>
  </si>
  <si>
    <t>刘志荣</t>
  </si>
  <si>
    <t>110107580418125</t>
  </si>
  <si>
    <t>联系电话、交付日期、合同特定编号、合同编号、法定代表人、层高</t>
  </si>
  <si>
    <t>2003-22-P-04171</t>
  </si>
  <si>
    <t>卞延林</t>
  </si>
  <si>
    <t>110107591002123</t>
  </si>
  <si>
    <t>5层01号</t>
  </si>
  <si>
    <t>2003-22-P-04172</t>
  </si>
  <si>
    <t>陈同林</t>
  </si>
  <si>
    <t>110108580925375</t>
  </si>
  <si>
    <t>2003-22-P-04173</t>
  </si>
  <si>
    <t>徐自生</t>
  </si>
  <si>
    <t>110108580222379</t>
  </si>
  <si>
    <t>4层03号</t>
  </si>
  <si>
    <t>2003-22-P-04174</t>
  </si>
  <si>
    <t>耿元安</t>
  </si>
  <si>
    <t>110108630925375</t>
  </si>
  <si>
    <t>2003-22-P-04175</t>
  </si>
  <si>
    <t>孙文亮</t>
  </si>
  <si>
    <t>110107590823123</t>
  </si>
  <si>
    <t>2003-22-P-04176</t>
  </si>
  <si>
    <t>汪立志</t>
  </si>
  <si>
    <t>110108590115341</t>
  </si>
  <si>
    <t>2003-22-P-04177</t>
  </si>
  <si>
    <t>潘孝荣</t>
  </si>
  <si>
    <t>110108621001377</t>
  </si>
  <si>
    <t>2003-22-P-04178</t>
  </si>
  <si>
    <t>吕卫</t>
  </si>
  <si>
    <t>110108680408373</t>
  </si>
  <si>
    <t>2003-22-P-04179</t>
  </si>
  <si>
    <t>金德平</t>
  </si>
  <si>
    <t>110107581005127</t>
  </si>
  <si>
    <t>2003-22-P-04180</t>
  </si>
  <si>
    <t>李远标</t>
  </si>
  <si>
    <t>110108600301377</t>
  </si>
  <si>
    <t>2003-22-P-04181</t>
  </si>
  <si>
    <t>黄前仁</t>
  </si>
  <si>
    <t>110108621014371</t>
  </si>
  <si>
    <t>2003-22-P-04182</t>
  </si>
  <si>
    <t>李祖跃</t>
  </si>
  <si>
    <t>110108610114343</t>
  </si>
  <si>
    <t>2003-22-P-04183</t>
  </si>
  <si>
    <t>王兴运</t>
  </si>
  <si>
    <t>110108620125373</t>
  </si>
  <si>
    <t>2003-22-P-04184</t>
  </si>
  <si>
    <t>田华</t>
  </si>
  <si>
    <t>110108611108343</t>
  </si>
  <si>
    <t>2003-22-P-04185</t>
  </si>
  <si>
    <t>黄殿斌</t>
  </si>
  <si>
    <t>110108580915371</t>
  </si>
  <si>
    <t>2003-22-P-04186</t>
  </si>
  <si>
    <t>罗云成</t>
  </si>
  <si>
    <t>110108610825343</t>
  </si>
  <si>
    <t>2003-22-P-04187</t>
  </si>
  <si>
    <t>李文献</t>
  </si>
  <si>
    <t>110108196302173433</t>
  </si>
  <si>
    <t>2003-22-P-04188</t>
  </si>
  <si>
    <t>白川龙</t>
  </si>
  <si>
    <t>110107600220123</t>
  </si>
  <si>
    <t>2003-22-P-04189</t>
  </si>
  <si>
    <t>晋丛付</t>
  </si>
  <si>
    <t>110108621226343</t>
  </si>
  <si>
    <t>2003-22-P-04190</t>
  </si>
  <si>
    <t>吴同杰</t>
  </si>
  <si>
    <t>110108196212183718</t>
  </si>
  <si>
    <t xml:space="preserve">4单元 </t>
  </si>
  <si>
    <t>1层03号</t>
  </si>
  <si>
    <t>2003-22-P-04191</t>
  </si>
  <si>
    <t>高崇康</t>
  </si>
  <si>
    <t>110107580712123</t>
  </si>
  <si>
    <t xml:space="preserve">1单元 </t>
  </si>
  <si>
    <t>2003-22-P-04192</t>
  </si>
  <si>
    <t>罗元广</t>
  </si>
  <si>
    <t>110108610418341</t>
  </si>
  <si>
    <t>2003-22-P-04193</t>
  </si>
  <si>
    <t>110107630709123</t>
  </si>
  <si>
    <t>2003-22-P-04194</t>
  </si>
  <si>
    <t>孙文生</t>
  </si>
  <si>
    <t>110107196004191231</t>
  </si>
  <si>
    <t>2003-22-P-04195</t>
  </si>
  <si>
    <t>孙学元</t>
  </si>
  <si>
    <t>110108581005345</t>
  </si>
  <si>
    <t>2003-22-P-04196</t>
  </si>
  <si>
    <t>张春庆</t>
  </si>
  <si>
    <t>110108580701377</t>
  </si>
  <si>
    <t>2003-22-P-04197</t>
  </si>
  <si>
    <t>温庆祥</t>
  </si>
  <si>
    <t>110107195803111256</t>
  </si>
  <si>
    <t>1层01号</t>
  </si>
  <si>
    <t>2003-22-P-04198</t>
  </si>
  <si>
    <t>尹成利</t>
  </si>
  <si>
    <t>110108620518341</t>
  </si>
  <si>
    <t>2003-22-P-04199</t>
  </si>
  <si>
    <t>石红星</t>
  </si>
  <si>
    <t>110107630407125</t>
  </si>
  <si>
    <t>2003-22-P-04200</t>
  </si>
  <si>
    <t>李泽辉</t>
  </si>
  <si>
    <t>110108610214345</t>
  </si>
  <si>
    <t>2003-22-P-04201</t>
  </si>
  <si>
    <t>孔祥法</t>
  </si>
  <si>
    <t>110108630414347</t>
  </si>
  <si>
    <t>2003-22-P-04202</t>
  </si>
  <si>
    <t>高方祥</t>
  </si>
  <si>
    <t>110108611211341</t>
  </si>
  <si>
    <t>67661166呼9121710</t>
  </si>
  <si>
    <t>2003-22-P-04203</t>
  </si>
  <si>
    <t>陈炳龙</t>
  </si>
  <si>
    <t>110108580402345</t>
  </si>
  <si>
    <t>2003-22-P-04204</t>
  </si>
  <si>
    <t>刘福贤</t>
  </si>
  <si>
    <t>110108640306371</t>
  </si>
  <si>
    <t>6层02号</t>
  </si>
  <si>
    <t>2003-22-P-04205</t>
  </si>
  <si>
    <t>刘源发</t>
  </si>
  <si>
    <t>110107620808123</t>
  </si>
  <si>
    <t>2003-22-P-04206</t>
  </si>
  <si>
    <t>文建清</t>
  </si>
  <si>
    <t>11010719630205127x</t>
  </si>
  <si>
    <t>2003-22-P-04207</t>
  </si>
  <si>
    <t>雷启军</t>
  </si>
  <si>
    <t>110108196102013419</t>
  </si>
  <si>
    <t>5层03号</t>
  </si>
  <si>
    <t>2003-22-P-04208</t>
  </si>
  <si>
    <t>徐志刚</t>
  </si>
  <si>
    <t>110108620410379</t>
  </si>
  <si>
    <t>2003-22-P-04209</t>
  </si>
  <si>
    <t>李来荣</t>
  </si>
  <si>
    <t>110108581020375</t>
  </si>
  <si>
    <t>2003-22-P-04210</t>
  </si>
  <si>
    <t>余家海</t>
  </si>
  <si>
    <t>110107620422121</t>
  </si>
  <si>
    <t>2003-22-P-04211</t>
  </si>
  <si>
    <t>金志明</t>
  </si>
  <si>
    <t>110108196006223731</t>
  </si>
  <si>
    <t>2003-22-P-04212</t>
  </si>
  <si>
    <t>姚得忠</t>
  </si>
  <si>
    <t>110108630126341</t>
  </si>
  <si>
    <t>2003-22-P-04238</t>
  </si>
  <si>
    <t>吕向荣</t>
  </si>
  <si>
    <t>432801197109015016</t>
  </si>
  <si>
    <t>3层</t>
  </si>
  <si>
    <t>515860</t>
  </si>
  <si>
    <t>2003-22-P-04240</t>
    <phoneticPr fontId="5" type="noConversion"/>
  </si>
  <si>
    <t>许方</t>
    <phoneticPr fontId="5" type="noConversion"/>
  </si>
  <si>
    <t>413001730331001</t>
    <phoneticPr fontId="5" type="noConversion"/>
  </si>
  <si>
    <t>13601090404</t>
    <phoneticPr fontId="5" type="noConversion"/>
  </si>
  <si>
    <t>西直门北大街时代之光名苑</t>
    <phoneticPr fontId="5" type="noConversion"/>
  </si>
  <si>
    <t>3号楼（D）座（通邮1号楼）</t>
    <phoneticPr fontId="5" type="noConversion"/>
  </si>
  <si>
    <t>6层（实际5层）</t>
    <phoneticPr fontId="5" type="noConversion"/>
  </si>
  <si>
    <t>07#号</t>
    <phoneticPr fontId="5" type="noConversion"/>
  </si>
  <si>
    <t>北京京洲房地产开发有限公司</t>
    <phoneticPr fontId="5" type="noConversion"/>
  </si>
  <si>
    <t>九</t>
    <phoneticPr fontId="5" type="noConversion"/>
  </si>
  <si>
    <t>2003-3-D1-02688</t>
    <phoneticPr fontId="5" type="noConversion"/>
  </si>
  <si>
    <t>308320</t>
    <phoneticPr fontId="5" type="noConversion"/>
  </si>
  <si>
    <t>北京市海淀区西直门北大街46号时代之光名苑一层</t>
    <phoneticPr fontId="5" type="noConversion"/>
  </si>
  <si>
    <t>1100001348719（2-1）</t>
    <phoneticPr fontId="5" type="noConversion"/>
  </si>
  <si>
    <t>赵健</t>
    <phoneticPr fontId="5" type="noConversion"/>
  </si>
  <si>
    <t>周婷婷</t>
    <phoneticPr fontId="5" type="noConversion"/>
  </si>
  <si>
    <t>2003-22-P-04272</t>
  </si>
  <si>
    <t>2003-3-D1-02697</t>
  </si>
  <si>
    <t>527797</t>
  </si>
  <si>
    <t>2003-22-P-04278</t>
  </si>
  <si>
    <t>王身宇</t>
  </si>
  <si>
    <t>150102730703401</t>
  </si>
  <si>
    <t>蓝靛厂居住区J地块蓝靛厂居住区（世纪城三期）翠叠园</t>
  </si>
  <si>
    <t>6幢</t>
  </si>
  <si>
    <t>15B号</t>
  </si>
  <si>
    <t>特定编号</t>
  </si>
  <si>
    <t>2003-22-P-04297</t>
  </si>
  <si>
    <t>吕军</t>
  </si>
  <si>
    <t>110105700401113</t>
  </si>
  <si>
    <t>65912511</t>
  </si>
  <si>
    <t>东G号</t>
  </si>
  <si>
    <t>505543</t>
  </si>
  <si>
    <t>2003-22-P-04298-M</t>
  </si>
  <si>
    <t>乌新丽</t>
  </si>
  <si>
    <t>110108790311004</t>
  </si>
  <si>
    <t>13910612013</t>
  </si>
  <si>
    <t>1401号</t>
  </si>
  <si>
    <t>282862</t>
  </si>
  <si>
    <t>2003-22-P-04299-M</t>
  </si>
  <si>
    <t>柯敦健</t>
  </si>
  <si>
    <t>130503510130061</t>
  </si>
  <si>
    <t>13641044783</t>
  </si>
  <si>
    <t>10#幢</t>
  </si>
  <si>
    <t>318458</t>
  </si>
  <si>
    <t>2003-22-P-04300</t>
  </si>
  <si>
    <t>孙伟科</t>
  </si>
  <si>
    <t>610427710721283</t>
  </si>
  <si>
    <t>1404号</t>
  </si>
  <si>
    <t>307761</t>
  </si>
  <si>
    <t>2003-22-P-04301</t>
  </si>
  <si>
    <t>王全有</t>
  </si>
  <si>
    <t>110108521216603</t>
  </si>
  <si>
    <t>13621212126</t>
  </si>
  <si>
    <t>515547</t>
  </si>
  <si>
    <t>2003-22-P-04302</t>
  </si>
  <si>
    <t>潘振伟</t>
  </si>
  <si>
    <t>140104741121221</t>
  </si>
  <si>
    <t>13901180977</t>
  </si>
  <si>
    <t>515545</t>
  </si>
  <si>
    <t>2003-22-P-04303</t>
  </si>
  <si>
    <t>吴东辉</t>
  </si>
  <si>
    <t>110108690802373</t>
  </si>
  <si>
    <t>13311253655</t>
  </si>
  <si>
    <t>508544</t>
  </si>
  <si>
    <t>2003-22-P-04315</t>
  </si>
  <si>
    <t>李宏伟</t>
  </si>
  <si>
    <t>220105197205211611</t>
  </si>
  <si>
    <t>1612号</t>
  </si>
  <si>
    <t>2003-22-P-04316</t>
  </si>
  <si>
    <t>郭佳润</t>
  </si>
  <si>
    <t>513401760828061</t>
  </si>
  <si>
    <t>801号</t>
  </si>
  <si>
    <t>515940</t>
  </si>
  <si>
    <t>2003-22-P-04319</t>
  </si>
  <si>
    <t>刘芳、李军</t>
  </si>
  <si>
    <t>110108701031632、110103701127181</t>
  </si>
  <si>
    <t>13693123918</t>
  </si>
  <si>
    <t>505578</t>
  </si>
  <si>
    <t>2003-22-P-04332-M</t>
  </si>
  <si>
    <t>袁欣</t>
  </si>
  <si>
    <t>610102197510160316</t>
  </si>
  <si>
    <t>1101号</t>
  </si>
  <si>
    <t>250183</t>
  </si>
  <si>
    <t>2003-22-P-04358</t>
  </si>
  <si>
    <t>吴非</t>
  </si>
  <si>
    <t>41040219760323001X</t>
  </si>
  <si>
    <t>1708号</t>
  </si>
  <si>
    <t>307745</t>
  </si>
  <si>
    <t>2003-22-P-04362</t>
  </si>
  <si>
    <t>窦明晖</t>
  </si>
  <si>
    <t>410303197611090564</t>
  </si>
  <si>
    <t>13693683155</t>
  </si>
  <si>
    <t>518060</t>
  </si>
  <si>
    <t>2003-22-P-04363</t>
  </si>
  <si>
    <t>刘伟群</t>
  </si>
  <si>
    <t>110108651004372</t>
  </si>
  <si>
    <t>13801091676</t>
  </si>
  <si>
    <t>515566</t>
  </si>
  <si>
    <t>2003-22-P-04376-U</t>
  </si>
  <si>
    <t>张文海</t>
  </si>
  <si>
    <t>140602197602235535</t>
  </si>
  <si>
    <t>151号</t>
  </si>
  <si>
    <t>北京富利进出口集团公司</t>
  </si>
  <si>
    <t xml:space="preserve">四 </t>
  </si>
  <si>
    <t>中国富利进出口集团公司</t>
  </si>
  <si>
    <t>价格不含厨卫装修</t>
  </si>
  <si>
    <t>2003-22-P-04385</t>
    <phoneticPr fontId="5" type="noConversion"/>
  </si>
  <si>
    <t>范晓秋</t>
    <phoneticPr fontId="5" type="noConversion"/>
  </si>
  <si>
    <t>210204651001582</t>
    <phoneticPr fontId="5" type="noConversion"/>
  </si>
  <si>
    <t>62639080-223、13601157529</t>
    <phoneticPr fontId="5" type="noConversion"/>
  </si>
  <si>
    <t>知春路17号知春嘉园</t>
    <phoneticPr fontId="5" type="noConversion"/>
  </si>
  <si>
    <t>1904号</t>
    <phoneticPr fontId="5" type="noConversion"/>
  </si>
  <si>
    <t>四室一厅三卫一厨</t>
    <phoneticPr fontId="5" type="noConversion"/>
  </si>
  <si>
    <t>北京住房公积金管理中心海淀第一管理部（北京市住房资金管理中心海淀区分中心）</t>
    <phoneticPr fontId="5" type="noConversion"/>
  </si>
  <si>
    <t>彭莹</t>
    <phoneticPr fontId="5" type="noConversion"/>
  </si>
  <si>
    <t>213219</t>
    <phoneticPr fontId="5" type="noConversion"/>
  </si>
  <si>
    <t>北京经济发展投资公司</t>
    <phoneticPr fontId="5" type="noConversion"/>
  </si>
  <si>
    <t>北京市海淀区双榆树知春路76号</t>
    <phoneticPr fontId="5" type="noConversion"/>
  </si>
  <si>
    <t>11501549（9-2）</t>
    <phoneticPr fontId="5" type="noConversion"/>
  </si>
  <si>
    <t>张淑惠</t>
    <phoneticPr fontId="5" type="noConversion"/>
  </si>
  <si>
    <t>单位职工有优惠</t>
    <phoneticPr fontId="5" type="noConversion"/>
  </si>
  <si>
    <t>2003-22-P-04394</t>
    <phoneticPr fontId="5" type="noConversion"/>
  </si>
  <si>
    <t>张亚</t>
    <phoneticPr fontId="5" type="noConversion"/>
  </si>
  <si>
    <t>210102197411295616</t>
    <phoneticPr fontId="5" type="noConversion"/>
  </si>
  <si>
    <t>13651227117</t>
    <phoneticPr fontId="5" type="noConversion"/>
  </si>
  <si>
    <t>1303号</t>
    <phoneticPr fontId="5" type="noConversion"/>
  </si>
  <si>
    <t>2003-3-D1-02729</t>
    <phoneticPr fontId="5" type="noConversion"/>
  </si>
  <si>
    <t>299344</t>
    <phoneticPr fontId="5" type="noConversion"/>
  </si>
  <si>
    <t>2003-22-P-04395</t>
  </si>
  <si>
    <t>张倩</t>
  </si>
  <si>
    <t>652301750907082</t>
  </si>
  <si>
    <t>2003-3-D1-02730</t>
  </si>
  <si>
    <t>2003-22-P-04405</t>
  </si>
  <si>
    <t>110108197607288930</t>
  </si>
  <si>
    <t xml:space="preserve">1206号 </t>
  </si>
  <si>
    <t>2003-22-P-04406</t>
  </si>
  <si>
    <t>杨薇</t>
  </si>
  <si>
    <t>610111720219284</t>
  </si>
  <si>
    <t>906号</t>
  </si>
  <si>
    <t>2003-22-P-04417-M</t>
  </si>
  <si>
    <t>王彦</t>
  </si>
  <si>
    <t>220104641222156</t>
  </si>
  <si>
    <t>62302592</t>
  </si>
  <si>
    <t>B3座</t>
  </si>
  <si>
    <t>1301号</t>
  </si>
  <si>
    <t>234151</t>
  </si>
  <si>
    <t>2.70M，起居室层高3.3M</t>
  </si>
  <si>
    <t>2003-22-P-04418</t>
  </si>
  <si>
    <t>鞠登峰</t>
  </si>
  <si>
    <t>372801197310260818</t>
  </si>
  <si>
    <t>2003-22-P-04430</t>
  </si>
  <si>
    <t>米鸿</t>
  </si>
  <si>
    <t>110102680525196</t>
  </si>
  <si>
    <t>806号</t>
  </si>
  <si>
    <t>515857</t>
  </si>
  <si>
    <t>2003-22-P-04431</t>
  </si>
  <si>
    <t>张梅</t>
  </si>
  <si>
    <t>110102670923304</t>
  </si>
  <si>
    <t>709号</t>
  </si>
  <si>
    <t>515924</t>
  </si>
  <si>
    <t>2003-22-P-04435</t>
  </si>
  <si>
    <t>杨斌</t>
  </si>
  <si>
    <t>110108780131541</t>
  </si>
  <si>
    <t>13701224391</t>
  </si>
  <si>
    <t>515656</t>
  </si>
  <si>
    <t>2003-22-P-04437</t>
  </si>
  <si>
    <t>王培</t>
  </si>
  <si>
    <t>110108610228004</t>
  </si>
  <si>
    <t>62511185</t>
  </si>
  <si>
    <t>圆明园西路圆明园花园</t>
  </si>
  <si>
    <t>H1幢</t>
  </si>
  <si>
    <t>北京圆明园花园别墅有限公司</t>
  </si>
  <si>
    <t>W</t>
  </si>
  <si>
    <t>017906</t>
  </si>
  <si>
    <t>北京市海淀区海淀乡肖家河后营村</t>
  </si>
  <si>
    <t>企合京总副字第004283号</t>
  </si>
  <si>
    <t>周海斌</t>
  </si>
  <si>
    <t>2003-22-P-04438</t>
  </si>
  <si>
    <t>张龙</t>
  </si>
  <si>
    <t>150204197606241919</t>
  </si>
  <si>
    <t>309号</t>
  </si>
  <si>
    <t>307875</t>
  </si>
  <si>
    <t>2003-22-P-04459</t>
  </si>
  <si>
    <t>王未未</t>
  </si>
  <si>
    <t>640102790316122</t>
  </si>
  <si>
    <t>65881618</t>
  </si>
  <si>
    <t>1126号</t>
  </si>
  <si>
    <t>526054</t>
  </si>
  <si>
    <t>2003-22-P-04486</t>
  </si>
  <si>
    <t>蔡志明</t>
  </si>
  <si>
    <t>310107730921543</t>
  </si>
  <si>
    <t>705号</t>
  </si>
  <si>
    <t>515916</t>
  </si>
  <si>
    <t>2003-22-P-04489</t>
  </si>
  <si>
    <t>刘海涛</t>
  </si>
  <si>
    <t>370725197803063277</t>
  </si>
  <si>
    <t>13651116556</t>
  </si>
  <si>
    <t>161号</t>
  </si>
  <si>
    <t>534286</t>
  </si>
  <si>
    <t>2003-22-P-04526-M</t>
  </si>
  <si>
    <t>李英伟</t>
  </si>
  <si>
    <t>110108196808305755</t>
  </si>
  <si>
    <t>64218508</t>
  </si>
  <si>
    <t>234593</t>
  </si>
  <si>
    <t>2003-22-P-04540</t>
  </si>
  <si>
    <t>隋君</t>
  </si>
  <si>
    <t>220523770111001</t>
  </si>
  <si>
    <t>13910051050</t>
  </si>
  <si>
    <t>1119号</t>
  </si>
  <si>
    <t>531454</t>
  </si>
  <si>
    <t>2003-22-P-04542</t>
  </si>
  <si>
    <t>刘京</t>
  </si>
  <si>
    <t>阜石路与玉泉路交汇处东南角玉阜嘉园</t>
  </si>
  <si>
    <t>二室一厅二卫一厨</t>
  </si>
  <si>
    <t>1100001411957（1-1）</t>
  </si>
  <si>
    <t>2003-22-P-04559</t>
    <phoneticPr fontId="5" type="noConversion"/>
  </si>
  <si>
    <t>李晓钢、刘宇晖</t>
    <phoneticPr fontId="5" type="noConversion"/>
  </si>
  <si>
    <t>110108660428237、110108681203572</t>
    <phoneticPr fontId="5" type="noConversion"/>
  </si>
  <si>
    <t>13801165138</t>
    <phoneticPr fontId="5" type="noConversion"/>
  </si>
  <si>
    <t>西A号</t>
    <phoneticPr fontId="5" type="noConversion"/>
  </si>
  <si>
    <t>2003-3-D1-02765</t>
    <phoneticPr fontId="5" type="noConversion"/>
  </si>
  <si>
    <t>505538</t>
    <phoneticPr fontId="5" type="noConversion"/>
  </si>
  <si>
    <t>2003-22-P-04569</t>
  </si>
  <si>
    <t>宋格</t>
  </si>
  <si>
    <t>110105197404155848</t>
  </si>
  <si>
    <t>10H号</t>
  </si>
  <si>
    <t>2003-22-P-04577</t>
  </si>
  <si>
    <t>林光全</t>
  </si>
  <si>
    <t>510521197512281899</t>
  </si>
  <si>
    <t>62968448-8525</t>
  </si>
  <si>
    <t>1108号</t>
  </si>
  <si>
    <t>307823</t>
  </si>
  <si>
    <t>2003-22-P-04581</t>
  </si>
  <si>
    <t>赵唯克、冯汝琳</t>
  </si>
  <si>
    <t>110102571008337、542121380512002</t>
  </si>
  <si>
    <t>文慧园15、16号楼</t>
  </si>
  <si>
    <t>16幢</t>
  </si>
  <si>
    <t>20层</t>
  </si>
  <si>
    <t>2003号</t>
  </si>
  <si>
    <t>515965</t>
  </si>
  <si>
    <t>2003-22-P-04610</t>
  </si>
  <si>
    <t>叶胜放</t>
  </si>
  <si>
    <t>340702197604021031</t>
  </si>
  <si>
    <t>1603号</t>
  </si>
  <si>
    <t>515946</t>
  </si>
  <si>
    <t>2003-22-P-04639</t>
  </si>
  <si>
    <t>韩荔</t>
  </si>
  <si>
    <t>150202780302182</t>
  </si>
  <si>
    <t>F座</t>
  </si>
  <si>
    <t>537024</t>
  </si>
  <si>
    <t>北京市密云县工业开发区大盛路18号</t>
  </si>
  <si>
    <t>1100001170805(2-1)</t>
  </si>
  <si>
    <t>2003-22-P-04640</t>
    <phoneticPr fontId="5" type="noConversion"/>
  </si>
  <si>
    <t>王小光、汤爱中</t>
    <phoneticPr fontId="5" type="noConversion"/>
  </si>
  <si>
    <t>330681760709423、340302760712082</t>
    <phoneticPr fontId="5" type="noConversion"/>
  </si>
  <si>
    <t>13701246446</t>
    <phoneticPr fontId="5" type="noConversion"/>
  </si>
  <si>
    <t>25幢</t>
    <phoneticPr fontId="5" type="noConversion"/>
  </si>
  <si>
    <t>1405号</t>
    <phoneticPr fontId="5" type="noConversion"/>
  </si>
  <si>
    <t>154545</t>
    <phoneticPr fontId="5" type="noConversion"/>
  </si>
  <si>
    <t>2003-22-P-04643</t>
  </si>
  <si>
    <t>齐虹</t>
  </si>
  <si>
    <t>110108197611021323</t>
  </si>
  <si>
    <t>1706号</t>
  </si>
  <si>
    <t>307857</t>
  </si>
  <si>
    <t>2003-22-P-04644</t>
    <phoneticPr fontId="5" type="noConversion"/>
  </si>
  <si>
    <t>李毓倩</t>
    <phoneticPr fontId="5" type="noConversion"/>
  </si>
  <si>
    <t>110102780123272</t>
    <phoneticPr fontId="5" type="noConversion"/>
  </si>
  <si>
    <t>13301305226</t>
    <phoneticPr fontId="5" type="noConversion"/>
  </si>
  <si>
    <t>506号</t>
    <phoneticPr fontId="5" type="noConversion"/>
  </si>
  <si>
    <t>北京住房公积金管理中心朝阳第一管理部</t>
    <phoneticPr fontId="5" type="noConversion"/>
  </si>
  <si>
    <t>2003-3-D1-02787</t>
    <phoneticPr fontId="5" type="noConversion"/>
  </si>
  <si>
    <t>531401</t>
    <phoneticPr fontId="5" type="noConversion"/>
  </si>
  <si>
    <t>2003-22-P-04648</t>
  </si>
  <si>
    <t>芦丽霞</t>
  </si>
  <si>
    <t>110108701004004</t>
  </si>
  <si>
    <t>1306号</t>
  </si>
  <si>
    <t>307771</t>
  </si>
  <si>
    <t>2003-22-P-04649</t>
    <phoneticPr fontId="5" type="noConversion"/>
  </si>
  <si>
    <t>胡英姿</t>
    <phoneticPr fontId="5" type="noConversion"/>
  </si>
  <si>
    <t>450103710915052</t>
    <phoneticPr fontId="5" type="noConversion"/>
  </si>
  <si>
    <t>13910590971</t>
    <phoneticPr fontId="5" type="noConversion"/>
  </si>
  <si>
    <t>5层</t>
    <phoneticPr fontId="5" type="noConversion"/>
  </si>
  <si>
    <t>02号</t>
    <phoneticPr fontId="5" type="noConversion"/>
  </si>
  <si>
    <t>548248</t>
    <phoneticPr fontId="5" type="noConversion"/>
  </si>
  <si>
    <t>2003-22-P-04673</t>
    <phoneticPr fontId="5" type="noConversion"/>
  </si>
  <si>
    <t>王利</t>
    <phoneticPr fontId="5" type="noConversion"/>
  </si>
  <si>
    <t>110106620806097</t>
    <phoneticPr fontId="5" type="noConversion"/>
  </si>
  <si>
    <t>8层</t>
    <phoneticPr fontId="5" type="noConversion"/>
  </si>
  <si>
    <t>801号</t>
    <phoneticPr fontId="5" type="noConversion"/>
  </si>
  <si>
    <t>北京耀辉置业有限公司</t>
    <phoneticPr fontId="5" type="noConversion"/>
  </si>
  <si>
    <t>北京市住房资金管理中心市环境卫生管理局分中心</t>
    <phoneticPr fontId="5" type="noConversion"/>
  </si>
  <si>
    <t>五</t>
    <phoneticPr fontId="5" type="noConversion"/>
  </si>
  <si>
    <t>门头沟区石龙工业区龙园路10-25号</t>
    <phoneticPr fontId="5" type="noConversion"/>
  </si>
  <si>
    <t>王清福</t>
    <phoneticPr fontId="5" type="noConversion"/>
  </si>
  <si>
    <t>2003-22-P-04674</t>
  </si>
  <si>
    <t>刘兴军</t>
  </si>
  <si>
    <t>110108650620781</t>
  </si>
  <si>
    <t>531752</t>
  </si>
  <si>
    <t>2003-22-P-04675</t>
    <phoneticPr fontId="5" type="noConversion"/>
  </si>
  <si>
    <t>徐旭</t>
    <phoneticPr fontId="5" type="noConversion"/>
  </si>
  <si>
    <t>110108196907159714</t>
    <phoneticPr fontId="5" type="noConversion"/>
  </si>
  <si>
    <t>窑洼村双泉堡住宅小区</t>
    <phoneticPr fontId="5" type="noConversion"/>
  </si>
  <si>
    <t>北京寅丰房地产开发有限责任公司</t>
    <phoneticPr fontId="5" type="noConversion"/>
  </si>
  <si>
    <t>北京住房公积金管理中心中关村管理部</t>
    <phoneticPr fontId="5" type="noConversion"/>
  </si>
  <si>
    <t>九</t>
    <phoneticPr fontId="5" type="noConversion"/>
  </si>
  <si>
    <t>2003-3-D1-02791</t>
    <phoneticPr fontId="5" type="noConversion"/>
  </si>
  <si>
    <t>527701</t>
    <phoneticPr fontId="5" type="noConversion"/>
  </si>
  <si>
    <t>1102261089510</t>
    <phoneticPr fontId="5" type="noConversion"/>
  </si>
  <si>
    <t>周婷婷</t>
    <phoneticPr fontId="5" type="noConversion"/>
  </si>
  <si>
    <t>2003-22-P-04681</t>
  </si>
  <si>
    <t>祁亮</t>
  </si>
  <si>
    <t>620102740708531</t>
  </si>
  <si>
    <t>13910206391</t>
  </si>
  <si>
    <t>19#幢</t>
  </si>
  <si>
    <t>1012号</t>
  </si>
  <si>
    <t>2003-22-P-04707</t>
    <phoneticPr fontId="5" type="noConversion"/>
  </si>
  <si>
    <t>欧阳智辉</t>
    <phoneticPr fontId="5" type="noConversion"/>
  </si>
  <si>
    <t>432924197711010015</t>
    <phoneticPr fontId="5" type="noConversion"/>
  </si>
  <si>
    <t>13910415358</t>
    <phoneticPr fontId="5" type="noConversion"/>
  </si>
  <si>
    <t>16层</t>
    <phoneticPr fontId="5" type="noConversion"/>
  </si>
  <si>
    <t>01号</t>
    <phoneticPr fontId="5" type="noConversion"/>
  </si>
  <si>
    <t>北京住房公积金管理中心朝阳第三管理部</t>
    <phoneticPr fontId="5" type="noConversion"/>
  </si>
  <si>
    <t>2003-3-D1-02795</t>
    <phoneticPr fontId="5" type="noConversion"/>
  </si>
  <si>
    <t>547890</t>
    <phoneticPr fontId="5" type="noConversion"/>
  </si>
  <si>
    <t>2003-22-P-04729</t>
    <phoneticPr fontId="5" type="noConversion"/>
  </si>
  <si>
    <t>白露</t>
    <phoneticPr fontId="5" type="noConversion"/>
  </si>
  <si>
    <t>210002790909552</t>
    <phoneticPr fontId="5" type="noConversion"/>
  </si>
  <si>
    <t>13910294736</t>
    <phoneticPr fontId="5" type="noConversion"/>
  </si>
  <si>
    <t>A4座</t>
    <phoneticPr fontId="5" type="noConversion"/>
  </si>
  <si>
    <t>10层</t>
    <phoneticPr fontId="5" type="noConversion"/>
  </si>
  <si>
    <t>547409</t>
    <phoneticPr fontId="5" type="noConversion"/>
  </si>
  <si>
    <t>2003-22-P-04734-M</t>
    <phoneticPr fontId="5" type="noConversion"/>
  </si>
  <si>
    <t>王红柏</t>
    <phoneticPr fontId="5" type="noConversion"/>
  </si>
  <si>
    <t>110108670318223</t>
    <phoneticPr fontId="5" type="noConversion"/>
  </si>
  <si>
    <t>13051311757</t>
    <phoneticPr fontId="5" type="noConversion"/>
  </si>
  <si>
    <t>清河镇永泰园24#、25#楼</t>
    <phoneticPr fontId="5" type="noConversion"/>
  </si>
  <si>
    <t>0411号</t>
    <phoneticPr fontId="5" type="noConversion"/>
  </si>
  <si>
    <t>十</t>
    <phoneticPr fontId="5" type="noConversion"/>
  </si>
  <si>
    <t>2003-3-D1-02799</t>
    <phoneticPr fontId="5" type="noConversion"/>
  </si>
  <si>
    <t>154468</t>
    <phoneticPr fontId="5" type="noConversion"/>
  </si>
  <si>
    <t>2003-22-P-04737-M</t>
    <phoneticPr fontId="5" type="noConversion"/>
  </si>
  <si>
    <t>赵忠</t>
    <phoneticPr fontId="5" type="noConversion"/>
  </si>
  <si>
    <t>110108196901280054</t>
    <phoneticPr fontId="5" type="noConversion"/>
  </si>
  <si>
    <t>13671129979</t>
    <phoneticPr fontId="5" type="noConversion"/>
  </si>
  <si>
    <t>北洼路车道沟南里北洼路住宅楼(财智公馆)</t>
    <phoneticPr fontId="5" type="noConversion"/>
  </si>
  <si>
    <t>1222号</t>
    <phoneticPr fontId="5" type="noConversion"/>
  </si>
  <si>
    <t>北京建房房地产开发有限公司</t>
    <phoneticPr fontId="5" type="noConversion"/>
  </si>
  <si>
    <t>2003-3-D1-02801</t>
    <phoneticPr fontId="5" type="noConversion"/>
  </si>
  <si>
    <t>501620</t>
    <phoneticPr fontId="5" type="noConversion"/>
  </si>
  <si>
    <t>北京市宣武区铁树斜街90号远东饭店306房</t>
    <phoneticPr fontId="5" type="noConversion"/>
  </si>
  <si>
    <t>1100001157549(1-1)</t>
    <phoneticPr fontId="5" type="noConversion"/>
  </si>
  <si>
    <t>张益纯</t>
    <phoneticPr fontId="5" type="noConversion"/>
  </si>
  <si>
    <t>合同特定编号、邮政编码、联系电话</t>
    <phoneticPr fontId="5" type="noConversion"/>
  </si>
  <si>
    <t>2003-22-P-04752</t>
  </si>
  <si>
    <t>曾曲</t>
  </si>
  <si>
    <t>430421771103533</t>
  </si>
  <si>
    <t>2003-22-P-04753</t>
    <phoneticPr fontId="5" type="noConversion"/>
  </si>
  <si>
    <t>马东立</t>
    <phoneticPr fontId="5" type="noConversion"/>
  </si>
  <si>
    <t>110108661201221</t>
    <phoneticPr fontId="5" type="noConversion"/>
  </si>
  <si>
    <t>窑洼村双泉堡住宅小区</t>
    <phoneticPr fontId="5" type="noConversion"/>
  </si>
  <si>
    <t>2003-3-D1-02808</t>
    <phoneticPr fontId="5" type="noConversion"/>
  </si>
  <si>
    <t>527702</t>
    <phoneticPr fontId="5" type="noConversion"/>
  </si>
  <si>
    <t>2003-22-P-04757</t>
    <phoneticPr fontId="5" type="noConversion"/>
  </si>
  <si>
    <t>贾颖</t>
    <phoneticPr fontId="5" type="noConversion"/>
  </si>
  <si>
    <t>110108650716224</t>
    <phoneticPr fontId="5" type="noConversion"/>
  </si>
  <si>
    <t>13693125582</t>
    <phoneticPr fontId="5" type="noConversion"/>
  </si>
  <si>
    <t>17层</t>
    <phoneticPr fontId="5" type="noConversion"/>
  </si>
  <si>
    <t>1703号</t>
    <phoneticPr fontId="5" type="noConversion"/>
  </si>
  <si>
    <t>515945</t>
    <phoneticPr fontId="5" type="noConversion"/>
  </si>
  <si>
    <t>2003-22-P-04770</t>
  </si>
  <si>
    <t>马勇</t>
  </si>
  <si>
    <t>533222197612190034</t>
  </si>
  <si>
    <t>13520555129</t>
  </si>
  <si>
    <t>A2座</t>
  </si>
  <si>
    <t>08号</t>
  </si>
  <si>
    <t>北京住房公积金管理中心东城第二管理部</t>
  </si>
  <si>
    <t>2003-3-D1-02809</t>
  </si>
  <si>
    <t>548224</t>
  </si>
  <si>
    <t>2003-22-P-04773</t>
  </si>
  <si>
    <t>卓明</t>
  </si>
  <si>
    <t>330227197004051630</t>
  </si>
  <si>
    <t>2003-22-P-04785</t>
    <phoneticPr fontId="5" type="noConversion"/>
  </si>
  <si>
    <t>王雪耘</t>
    <phoneticPr fontId="5" type="noConversion"/>
  </si>
  <si>
    <t>110108681210224</t>
    <phoneticPr fontId="5" type="noConversion"/>
  </si>
  <si>
    <t>13501208550</t>
    <phoneticPr fontId="5" type="noConversion"/>
  </si>
  <si>
    <t>299351</t>
    <phoneticPr fontId="5" type="noConversion"/>
  </si>
  <si>
    <t>2003-22-P-04788</t>
    <phoneticPr fontId="5" type="noConversion"/>
  </si>
  <si>
    <t>阎凤美</t>
    <phoneticPr fontId="5" type="noConversion"/>
  </si>
  <si>
    <t>110102621117274</t>
    <phoneticPr fontId="5" type="noConversion"/>
  </si>
  <si>
    <t>13671089227</t>
    <phoneticPr fontId="5" type="noConversion"/>
  </si>
  <si>
    <t>1213号</t>
    <phoneticPr fontId="5" type="noConversion"/>
  </si>
  <si>
    <t>北京住房公积金管理中心西城第一管理部</t>
    <phoneticPr fontId="5" type="noConversion"/>
  </si>
  <si>
    <t>550812</t>
    <phoneticPr fontId="5" type="noConversion"/>
  </si>
  <si>
    <t>2003-22-P-04811</t>
  </si>
  <si>
    <t>彭以莉</t>
    <phoneticPr fontId="5" type="noConversion"/>
  </si>
  <si>
    <t>110224701013004</t>
    <phoneticPr fontId="5" type="noConversion"/>
  </si>
  <si>
    <t>13611269055</t>
    <phoneticPr fontId="5" type="noConversion"/>
  </si>
  <si>
    <t>10层</t>
    <phoneticPr fontId="5" type="noConversion"/>
  </si>
  <si>
    <t>10西G号</t>
    <phoneticPr fontId="5" type="noConversion"/>
  </si>
  <si>
    <t>505577</t>
    <phoneticPr fontId="5" type="noConversion"/>
  </si>
  <si>
    <t>2003-22-P-04812</t>
    <phoneticPr fontId="5" type="noConversion"/>
  </si>
  <si>
    <t>许静</t>
    <phoneticPr fontId="5" type="noConversion"/>
  </si>
  <si>
    <t>210782770808502</t>
    <phoneticPr fontId="5" type="noConversion"/>
  </si>
  <si>
    <t>13910617992</t>
    <phoneticPr fontId="5" type="noConversion"/>
  </si>
  <si>
    <t>内外装修</t>
    <phoneticPr fontId="275" type="noConversion"/>
  </si>
  <si>
    <t>518089</t>
    <phoneticPr fontId="5" type="noConversion"/>
  </si>
  <si>
    <t>2003-22-P-04813-M</t>
    <phoneticPr fontId="5" type="noConversion"/>
  </si>
  <si>
    <t>肖伟</t>
    <phoneticPr fontId="5" type="noConversion"/>
  </si>
  <si>
    <t>110108700108541</t>
    <phoneticPr fontId="5" type="noConversion"/>
  </si>
  <si>
    <t>13161596060</t>
    <phoneticPr fontId="5" type="noConversion"/>
  </si>
  <si>
    <t>12层</t>
    <phoneticPr fontId="5" type="noConversion"/>
  </si>
  <si>
    <t>1208号</t>
    <phoneticPr fontId="5" type="noConversion"/>
  </si>
  <si>
    <t>501663</t>
    <phoneticPr fontId="5" type="noConversion"/>
  </si>
  <si>
    <t>北京建房房地产开发有限公司</t>
    <phoneticPr fontId="5" type="noConversion"/>
  </si>
  <si>
    <t>北京市宣武区铁树斜街90号远东饭店306房</t>
    <phoneticPr fontId="5" type="noConversion"/>
  </si>
  <si>
    <t>1100001157549(1-1)</t>
    <phoneticPr fontId="5" type="noConversion"/>
  </si>
  <si>
    <t>合同特定编号、邮政编码、联系电话</t>
    <phoneticPr fontId="5" type="noConversion"/>
  </si>
  <si>
    <t>2003-22-P-04819</t>
    <phoneticPr fontId="5" type="noConversion"/>
  </si>
  <si>
    <t>张强</t>
    <phoneticPr fontId="5" type="noConversion"/>
  </si>
  <si>
    <t>110108550411001</t>
    <phoneticPr fontId="5" type="noConversion"/>
  </si>
  <si>
    <t>62622804</t>
    <phoneticPr fontId="5" type="noConversion"/>
  </si>
  <si>
    <t>23幢</t>
    <phoneticPr fontId="5" type="noConversion"/>
  </si>
  <si>
    <t>三室一厅二卫一厨</t>
    <phoneticPr fontId="5" type="noConversion"/>
  </si>
  <si>
    <t>315550</t>
    <phoneticPr fontId="5" type="noConversion"/>
  </si>
  <si>
    <t>2003-22-P-04828</t>
  </si>
  <si>
    <t>范勇</t>
  </si>
  <si>
    <t>110108196811271429</t>
  </si>
  <si>
    <t>13301305236</t>
  </si>
  <si>
    <t>1层</t>
  </si>
  <si>
    <t>05号</t>
  </si>
  <si>
    <t>北京住房公积金管理中心朝阳第一管理部</t>
  </si>
  <si>
    <t>2003-3-D1-02821</t>
  </si>
  <si>
    <t>547403</t>
  </si>
  <si>
    <t>2003-22-P-04842</t>
  </si>
  <si>
    <t>王晓平</t>
    <phoneticPr fontId="5" type="noConversion"/>
  </si>
  <si>
    <t>210623197609110989</t>
    <phoneticPr fontId="5" type="noConversion"/>
  </si>
  <si>
    <t>13671173359</t>
    <phoneticPr fontId="5" type="noConversion"/>
  </si>
  <si>
    <t>911号</t>
    <phoneticPr fontId="5" type="noConversion"/>
  </si>
  <si>
    <t>515955</t>
    <phoneticPr fontId="5" type="noConversion"/>
  </si>
  <si>
    <t>2003-22-P-04844</t>
    <phoneticPr fontId="5" type="noConversion"/>
  </si>
  <si>
    <t>谢爽</t>
    <phoneticPr fontId="5" type="noConversion"/>
  </si>
  <si>
    <t>120107197905165424</t>
    <phoneticPr fontId="5" type="noConversion"/>
  </si>
  <si>
    <t>13671228460</t>
    <phoneticPr fontId="5" type="noConversion"/>
  </si>
  <si>
    <t>11层</t>
    <phoneticPr fontId="5" type="noConversion"/>
  </si>
  <si>
    <t>07号</t>
    <phoneticPr fontId="5" type="noConversion"/>
  </si>
  <si>
    <t>547820</t>
    <phoneticPr fontId="5" type="noConversion"/>
  </si>
  <si>
    <t>2003-22-P-04855</t>
    <phoneticPr fontId="5" type="noConversion"/>
  </si>
  <si>
    <t>刘学军</t>
    <phoneticPr fontId="5" type="noConversion"/>
  </si>
  <si>
    <t>110108680803933</t>
    <phoneticPr fontId="5" type="noConversion"/>
  </si>
  <si>
    <t>13563630017</t>
    <phoneticPr fontId="5" type="noConversion"/>
  </si>
  <si>
    <t>537629</t>
    <phoneticPr fontId="5" type="noConversion"/>
  </si>
  <si>
    <t>2003-22-P-04867</t>
    <phoneticPr fontId="5" type="noConversion"/>
  </si>
  <si>
    <t>张建春</t>
    <phoneticPr fontId="5" type="noConversion"/>
  </si>
  <si>
    <t>110221197502118325</t>
    <phoneticPr fontId="5" type="noConversion"/>
  </si>
  <si>
    <t>13701203140</t>
    <phoneticPr fontId="5" type="noConversion"/>
  </si>
  <si>
    <t>A2座</t>
    <phoneticPr fontId="5" type="noConversion"/>
  </si>
  <si>
    <t>06号</t>
    <phoneticPr fontId="5" type="noConversion"/>
  </si>
  <si>
    <t>548266</t>
    <phoneticPr fontId="5" type="noConversion"/>
  </si>
  <si>
    <t>2003-22-P-04876</t>
    <phoneticPr fontId="5" type="noConversion"/>
  </si>
  <si>
    <t>梁鸿飞</t>
    <phoneticPr fontId="5" type="noConversion"/>
  </si>
  <si>
    <t>110108650210635</t>
    <phoneticPr fontId="5" type="noConversion"/>
  </si>
  <si>
    <t>9幢</t>
    <phoneticPr fontId="5" type="noConversion"/>
  </si>
  <si>
    <t>308213</t>
    <phoneticPr fontId="5" type="noConversion"/>
  </si>
  <si>
    <t>北京市西城区北营房东里12号楼</t>
    <phoneticPr fontId="5" type="noConversion"/>
  </si>
  <si>
    <t>2003-22-P-04887</t>
    <phoneticPr fontId="5" type="noConversion"/>
  </si>
  <si>
    <t>李国鼐、李宗真</t>
    <phoneticPr fontId="5" type="noConversion"/>
  </si>
  <si>
    <t>110108290515223、110108730623972</t>
    <phoneticPr fontId="5" type="noConversion"/>
  </si>
  <si>
    <t>2003-3-D1-02834</t>
    <phoneticPr fontId="5" type="noConversion"/>
  </si>
  <si>
    <t>527715</t>
    <phoneticPr fontId="5" type="noConversion"/>
  </si>
  <si>
    <t>1102261089510</t>
    <phoneticPr fontId="5" type="noConversion"/>
  </si>
  <si>
    <t>2003-22-P-04902</t>
    <phoneticPr fontId="5" type="noConversion"/>
  </si>
  <si>
    <t>夏灏</t>
    <phoneticPr fontId="5" type="noConversion"/>
  </si>
  <si>
    <t>432322197809170011</t>
    <phoneticPr fontId="5" type="noConversion"/>
  </si>
  <si>
    <t>13810020191</t>
    <phoneticPr fontId="5" type="noConversion"/>
  </si>
  <si>
    <t>内外装修</t>
    <phoneticPr fontId="5" type="noConversion"/>
  </si>
  <si>
    <t>547894</t>
    <phoneticPr fontId="5" type="noConversion"/>
  </si>
  <si>
    <t>2003-22-P-04905</t>
    <phoneticPr fontId="5" type="noConversion"/>
  </si>
  <si>
    <t>刘维</t>
    <phoneticPr fontId="5" type="noConversion"/>
  </si>
  <si>
    <t>110108197604051428</t>
    <phoneticPr fontId="5" type="noConversion"/>
  </si>
  <si>
    <t>13910290085</t>
    <phoneticPr fontId="5" type="noConversion"/>
  </si>
  <si>
    <t>F座</t>
    <phoneticPr fontId="5" type="noConversion"/>
  </si>
  <si>
    <t>702号</t>
    <phoneticPr fontId="5" type="noConversion"/>
  </si>
  <si>
    <t>北京住房公积金管理中心西城第二管理部</t>
    <phoneticPr fontId="5" type="noConversion"/>
  </si>
  <si>
    <t>537016</t>
    <phoneticPr fontId="5" type="noConversion"/>
  </si>
  <si>
    <t>2003-22-P-04908</t>
    <phoneticPr fontId="5" type="noConversion"/>
  </si>
  <si>
    <t>龙莺</t>
    <phoneticPr fontId="5" type="noConversion"/>
  </si>
  <si>
    <t>430103197710172728</t>
    <phoneticPr fontId="5" type="noConversion"/>
  </si>
  <si>
    <t>东升乡南马坊村宝盛里</t>
    <phoneticPr fontId="5" type="noConversion"/>
  </si>
  <si>
    <t>11单元</t>
    <phoneticPr fontId="5" type="noConversion"/>
  </si>
  <si>
    <t>B07200300196</t>
    <phoneticPr fontId="5" type="noConversion"/>
  </si>
  <si>
    <t>2003-22-P-04909</t>
    <phoneticPr fontId="5" type="noConversion"/>
  </si>
  <si>
    <t>姜玲</t>
    <phoneticPr fontId="5" type="noConversion"/>
  </si>
  <si>
    <t>110108197701139720</t>
    <phoneticPr fontId="5" type="noConversion"/>
  </si>
  <si>
    <t>82876062</t>
    <phoneticPr fontId="5" type="noConversion"/>
  </si>
  <si>
    <t>D座</t>
    <phoneticPr fontId="5" type="noConversion"/>
  </si>
  <si>
    <t>531775</t>
    <phoneticPr fontId="5" type="noConversion"/>
  </si>
  <si>
    <t>2003-22-P-04921</t>
    <phoneticPr fontId="5" type="noConversion"/>
  </si>
  <si>
    <t>陈广超</t>
    <phoneticPr fontId="5" type="noConversion"/>
  </si>
  <si>
    <t>210402196907260216</t>
    <phoneticPr fontId="5" type="noConversion"/>
  </si>
  <si>
    <t>82384695</t>
    <phoneticPr fontId="5" type="noConversion"/>
  </si>
  <si>
    <t>02号</t>
    <phoneticPr fontId="5" type="noConversion"/>
  </si>
  <si>
    <t>547484</t>
    <phoneticPr fontId="5" type="noConversion"/>
  </si>
  <si>
    <t>2003-22-P-04924</t>
    <phoneticPr fontId="5" type="noConversion"/>
  </si>
  <si>
    <t>胡萍</t>
    <phoneticPr fontId="5" type="noConversion"/>
  </si>
  <si>
    <t>420106197409054041</t>
    <phoneticPr fontId="5" type="noConversion"/>
  </si>
  <si>
    <t>13910597495</t>
    <phoneticPr fontId="5" type="noConversion"/>
  </si>
  <si>
    <t>北京住房公积金管理中心海淀第一管理部</t>
    <phoneticPr fontId="5" type="noConversion"/>
  </si>
  <si>
    <t>2003-3-D1-02900</t>
    <phoneticPr fontId="5" type="noConversion"/>
  </si>
  <si>
    <t>299389</t>
    <phoneticPr fontId="5" type="noConversion"/>
  </si>
  <si>
    <t>2003-22-P-04926</t>
    <phoneticPr fontId="5" type="noConversion"/>
  </si>
  <si>
    <t>赵迪</t>
    <phoneticPr fontId="5" type="noConversion"/>
  </si>
  <si>
    <t>410202620107001</t>
    <phoneticPr fontId="5" type="noConversion"/>
  </si>
  <si>
    <t>13521064062</t>
    <phoneticPr fontId="5" type="noConversion"/>
  </si>
  <si>
    <t>A3座</t>
    <phoneticPr fontId="5" type="noConversion"/>
  </si>
  <si>
    <t>2003-3-D1-02843</t>
    <phoneticPr fontId="5" type="noConversion"/>
  </si>
  <si>
    <t>547865</t>
    <phoneticPr fontId="5" type="noConversion"/>
  </si>
  <si>
    <t>2003-22-P-04927</t>
  </si>
  <si>
    <t>胡小萌</t>
  </si>
  <si>
    <t>110101197703053520</t>
  </si>
  <si>
    <t>13621329506</t>
  </si>
  <si>
    <t>A3座</t>
  </si>
  <si>
    <t>07号</t>
  </si>
  <si>
    <t>北京住房公积金管理中心海淀第一管理部</t>
  </si>
  <si>
    <t>2003-3-D1-02844</t>
  </si>
  <si>
    <t>547869</t>
  </si>
  <si>
    <t>2003-22-P-04932-M</t>
    <phoneticPr fontId="5" type="noConversion"/>
  </si>
  <si>
    <t>邵文建</t>
    <phoneticPr fontId="5" type="noConversion"/>
  </si>
  <si>
    <t>110102196603231934</t>
    <phoneticPr fontId="5" type="noConversion"/>
  </si>
  <si>
    <t>65883573</t>
    <phoneticPr fontId="5" type="noConversion"/>
  </si>
  <si>
    <t>25幢</t>
    <phoneticPr fontId="5" type="noConversion"/>
  </si>
  <si>
    <t>0911号</t>
    <phoneticPr fontId="5" type="noConversion"/>
  </si>
  <si>
    <t>154482</t>
    <phoneticPr fontId="5" type="noConversion"/>
  </si>
  <si>
    <t>2003-22-P-04933</t>
    <phoneticPr fontId="5" type="noConversion"/>
  </si>
  <si>
    <t>刘颖</t>
    <phoneticPr fontId="5" type="noConversion"/>
  </si>
  <si>
    <t>420111197710175601</t>
    <phoneticPr fontId="5" type="noConversion"/>
  </si>
  <si>
    <t>13810124767</t>
    <phoneticPr fontId="5" type="noConversion"/>
  </si>
  <si>
    <t>348号</t>
    <phoneticPr fontId="5" type="noConversion"/>
  </si>
  <si>
    <t>536510</t>
    <phoneticPr fontId="5" type="noConversion"/>
  </si>
  <si>
    <t>2003-22-P-04939</t>
    <phoneticPr fontId="5" type="noConversion"/>
  </si>
  <si>
    <t>张芸</t>
    <phoneticPr fontId="5" type="noConversion"/>
  </si>
  <si>
    <t>362226197811070046</t>
    <phoneticPr fontId="5" type="noConversion"/>
  </si>
  <si>
    <t>玉渊潭乡靛厂村吴家场住宅小区</t>
    <phoneticPr fontId="5" type="noConversion"/>
  </si>
  <si>
    <t>9层</t>
    <phoneticPr fontId="5" type="noConversion"/>
  </si>
  <si>
    <t>910号</t>
    <phoneticPr fontId="5" type="noConversion"/>
  </si>
  <si>
    <t>北京耀辉置业有限公司</t>
    <phoneticPr fontId="5" type="noConversion"/>
  </si>
  <si>
    <t>结构施工</t>
    <phoneticPr fontId="5" type="noConversion"/>
  </si>
  <si>
    <t>1100002260421（1-1）</t>
    <phoneticPr fontId="5" type="noConversion"/>
  </si>
  <si>
    <t>2003-22-P-04940-M</t>
    <phoneticPr fontId="5" type="noConversion"/>
  </si>
  <si>
    <t>徐英杰</t>
    <phoneticPr fontId="5" type="noConversion"/>
  </si>
  <si>
    <t>110102690729303</t>
    <phoneticPr fontId="5" type="noConversion"/>
  </si>
  <si>
    <t>82056478、82056332</t>
    <phoneticPr fontId="5" type="noConversion"/>
  </si>
  <si>
    <t>06层</t>
    <phoneticPr fontId="5" type="noConversion"/>
  </si>
  <si>
    <t>0610号</t>
    <phoneticPr fontId="5" type="noConversion"/>
  </si>
  <si>
    <t>321832</t>
    <phoneticPr fontId="5" type="noConversion"/>
  </si>
  <si>
    <t>2003-22-P-04951</t>
    <phoneticPr fontId="5" type="noConversion"/>
  </si>
  <si>
    <t>于文彬</t>
    <phoneticPr fontId="5" type="noConversion"/>
  </si>
  <si>
    <t>62040219770815135X</t>
    <phoneticPr fontId="5" type="noConversion"/>
  </si>
  <si>
    <t>13641115404</t>
    <phoneticPr fontId="5" type="noConversion"/>
  </si>
  <si>
    <t>北京住房公积金管理中心方庄管理部</t>
    <phoneticPr fontId="5" type="noConversion"/>
  </si>
  <si>
    <t>2003-3-D1-02849</t>
    <phoneticPr fontId="5" type="noConversion"/>
  </si>
  <si>
    <t>299400</t>
    <phoneticPr fontId="5" type="noConversion"/>
  </si>
  <si>
    <t>2003-22-P-04958</t>
    <phoneticPr fontId="5" type="noConversion"/>
  </si>
  <si>
    <t>焦淑荷</t>
    <phoneticPr fontId="5" type="noConversion"/>
  </si>
  <si>
    <t>110108570816002</t>
    <phoneticPr fontId="5" type="noConversion"/>
  </si>
  <si>
    <t>82390168</t>
    <phoneticPr fontId="5" type="noConversion"/>
  </si>
  <si>
    <t>547814</t>
    <phoneticPr fontId="5" type="noConversion"/>
  </si>
  <si>
    <t>2003-22-P-04959</t>
  </si>
  <si>
    <t>任蕊</t>
    <phoneticPr fontId="5" type="noConversion"/>
  </si>
  <si>
    <t>110108820401972</t>
    <phoneticPr fontId="5" type="noConversion"/>
  </si>
  <si>
    <t>13910704810</t>
    <phoneticPr fontId="5" type="noConversion"/>
  </si>
  <si>
    <t>A座</t>
    <phoneticPr fontId="5" type="noConversion"/>
  </si>
  <si>
    <t>3A06号</t>
    <phoneticPr fontId="5" type="noConversion"/>
  </si>
  <si>
    <t>531736</t>
    <phoneticPr fontId="5" type="noConversion"/>
  </si>
  <si>
    <t>2003-22-P-04968</t>
    <phoneticPr fontId="5" type="noConversion"/>
  </si>
  <si>
    <t>戴树和</t>
    <phoneticPr fontId="5" type="noConversion"/>
  </si>
  <si>
    <t>370829660305295</t>
    <phoneticPr fontId="5" type="noConversion"/>
  </si>
  <si>
    <t>13501039658</t>
    <phoneticPr fontId="5" type="noConversion"/>
  </si>
  <si>
    <t>10C号</t>
    <phoneticPr fontId="5" type="noConversion"/>
  </si>
  <si>
    <t>北京市住房资金管理中心朝阳区分中心</t>
    <phoneticPr fontId="5" type="noConversion"/>
  </si>
  <si>
    <t>555166</t>
    <phoneticPr fontId="5" type="noConversion"/>
  </si>
  <si>
    <t>2003-22-P-04976</t>
    <phoneticPr fontId="5" type="noConversion"/>
  </si>
  <si>
    <t>原倩</t>
    <phoneticPr fontId="5" type="noConversion"/>
  </si>
  <si>
    <t>640102197608211527</t>
    <phoneticPr fontId="5" type="noConversion"/>
  </si>
  <si>
    <t>1＃幢</t>
    <phoneticPr fontId="5" type="noConversion"/>
  </si>
  <si>
    <t>510号</t>
    <phoneticPr fontId="5" type="noConversion"/>
  </si>
  <si>
    <t>门头沟区石龙工业区龙园路10-25号</t>
    <phoneticPr fontId="5" type="noConversion"/>
  </si>
  <si>
    <t>王清福</t>
    <phoneticPr fontId="5" type="noConversion"/>
  </si>
  <si>
    <t>2003-22-P-04978</t>
  </si>
  <si>
    <t>许绍波</t>
  </si>
  <si>
    <t>110102711230302</t>
  </si>
  <si>
    <t>2003-22-P-04983</t>
    <phoneticPr fontId="5" type="noConversion"/>
  </si>
  <si>
    <t>李海涛</t>
    <phoneticPr fontId="5" type="noConversion"/>
  </si>
  <si>
    <t>110229197612030018</t>
    <phoneticPr fontId="5" type="noConversion"/>
  </si>
  <si>
    <t>北京住房公积金管理中心海淀第二管理部</t>
    <phoneticPr fontId="5" type="noConversion"/>
  </si>
  <si>
    <t>318520</t>
    <phoneticPr fontId="5" type="noConversion"/>
  </si>
  <si>
    <t>北京市西城区北营房东里12号楼</t>
    <phoneticPr fontId="5" type="noConversion"/>
  </si>
  <si>
    <t>1101021053367</t>
    <phoneticPr fontId="5" type="noConversion"/>
  </si>
  <si>
    <t>2003-22-P-04984</t>
    <phoneticPr fontId="5" type="noConversion"/>
  </si>
  <si>
    <t>肖垣</t>
    <phoneticPr fontId="5" type="noConversion"/>
  </si>
  <si>
    <t>110108560503891</t>
    <phoneticPr fontId="5" type="noConversion"/>
  </si>
  <si>
    <t>13801336801</t>
    <phoneticPr fontId="5" type="noConversion"/>
  </si>
  <si>
    <t>美丽西园</t>
    <phoneticPr fontId="5" type="noConversion"/>
  </si>
  <si>
    <t>4门</t>
    <phoneticPr fontId="5" type="noConversion"/>
  </si>
  <si>
    <t>419号</t>
    <phoneticPr fontId="5" type="noConversion"/>
  </si>
  <si>
    <t>北京市海淀区玉渊潭农工商总公司</t>
    <phoneticPr fontId="5" type="noConversion"/>
  </si>
  <si>
    <t>北京市海淀区玉渊潭乡农工商总公司</t>
    <phoneticPr fontId="5" type="noConversion"/>
  </si>
  <si>
    <t>北京市海淀区阜成路73号</t>
    <phoneticPr fontId="5" type="noConversion"/>
  </si>
  <si>
    <t>邓晓澜</t>
    <phoneticPr fontId="5" type="noConversion"/>
  </si>
  <si>
    <t>2003-22-P-04985</t>
    <phoneticPr fontId="5" type="noConversion"/>
  </si>
  <si>
    <t>孙占民</t>
    <phoneticPr fontId="5" type="noConversion"/>
  </si>
  <si>
    <t>110108195410213717</t>
    <phoneticPr fontId="5" type="noConversion"/>
  </si>
  <si>
    <t>北京住房公积金管理中心宣武第二管理部</t>
    <phoneticPr fontId="5" type="noConversion"/>
  </si>
  <si>
    <t>2003-22-P-04986</t>
    <phoneticPr fontId="5" type="noConversion"/>
  </si>
  <si>
    <t>王则力</t>
    <phoneticPr fontId="5" type="noConversion"/>
  </si>
  <si>
    <t>220103197304293728</t>
    <phoneticPr fontId="5" type="noConversion"/>
  </si>
  <si>
    <t>13701257785</t>
    <phoneticPr fontId="5" type="noConversion"/>
  </si>
  <si>
    <t>547848</t>
    <phoneticPr fontId="5" type="noConversion"/>
  </si>
  <si>
    <t>2003-22-P-05009</t>
    <phoneticPr fontId="5" type="noConversion"/>
  </si>
  <si>
    <t>郝宇臻</t>
    <phoneticPr fontId="5" type="noConversion"/>
  </si>
  <si>
    <t>140203751223321</t>
    <phoneticPr fontId="5" type="noConversion"/>
  </si>
  <si>
    <t>603号</t>
    <phoneticPr fontId="5" type="noConversion"/>
  </si>
  <si>
    <t>318504</t>
    <phoneticPr fontId="5" type="noConversion"/>
  </si>
  <si>
    <t>北京市西城区北营房东里12号楼</t>
    <phoneticPr fontId="5" type="noConversion"/>
  </si>
  <si>
    <t>2003-22-P-05010</t>
    <phoneticPr fontId="5" type="noConversion"/>
  </si>
  <si>
    <t>邱永慧</t>
    <phoneticPr fontId="5" type="noConversion"/>
  </si>
  <si>
    <t>110108771012732</t>
    <phoneticPr fontId="5" type="noConversion"/>
  </si>
  <si>
    <t>13520895257</t>
    <phoneticPr fontId="5" type="noConversion"/>
  </si>
  <si>
    <t>3单元</t>
    <phoneticPr fontId="5" type="noConversion"/>
  </si>
  <si>
    <t>北京住房公积金管理中心海淀第一管理部</t>
    <phoneticPr fontId="5" type="noConversion"/>
  </si>
  <si>
    <t>2003-3-D1-02863</t>
    <phoneticPr fontId="5" type="noConversion"/>
  </si>
  <si>
    <t>299374</t>
    <phoneticPr fontId="5" type="noConversion"/>
  </si>
  <si>
    <t>2003-22-P-05021</t>
  </si>
  <si>
    <t>李津菁</t>
  </si>
  <si>
    <t>110106197810121527</t>
  </si>
  <si>
    <t>13621356013</t>
  </si>
  <si>
    <t>2003-3-D1-02866</t>
  </si>
  <si>
    <t>299359</t>
  </si>
  <si>
    <t>2003-22-P-05023</t>
    <phoneticPr fontId="5" type="noConversion"/>
  </si>
  <si>
    <t>段小勤</t>
    <phoneticPr fontId="5" type="noConversion"/>
  </si>
  <si>
    <t>110108196802136313</t>
    <phoneticPr fontId="5" type="noConversion"/>
  </si>
  <si>
    <t>68913016</t>
    <phoneticPr fontId="5" type="noConversion"/>
  </si>
  <si>
    <t>评估免费</t>
    <phoneticPr fontId="5" type="noConversion"/>
  </si>
  <si>
    <t>548233</t>
    <phoneticPr fontId="5" type="noConversion"/>
  </si>
  <si>
    <t>2003-22-P-05025</t>
    <phoneticPr fontId="5" type="noConversion"/>
  </si>
  <si>
    <t>王可毅</t>
    <phoneticPr fontId="5" type="noConversion"/>
  </si>
  <si>
    <t>120101196812263014</t>
    <phoneticPr fontId="5" type="noConversion"/>
  </si>
  <si>
    <t>13671290962</t>
    <phoneticPr fontId="5" type="noConversion"/>
  </si>
  <si>
    <t>美丽西园</t>
    <phoneticPr fontId="5" type="noConversion"/>
  </si>
  <si>
    <t>5门</t>
    <phoneticPr fontId="5" type="noConversion"/>
  </si>
  <si>
    <t>514号</t>
    <phoneticPr fontId="5" type="noConversion"/>
  </si>
  <si>
    <t>北京市海淀区阜成路73号</t>
    <phoneticPr fontId="5" type="noConversion"/>
  </si>
  <si>
    <t>1101081402212（1-1）</t>
    <phoneticPr fontId="5" type="noConversion"/>
  </si>
  <si>
    <t>李森</t>
    <phoneticPr fontId="5" type="noConversion"/>
  </si>
  <si>
    <t>2003-22-P-05027</t>
  </si>
  <si>
    <t>孙琳</t>
    <phoneticPr fontId="5" type="noConversion"/>
  </si>
  <si>
    <t>231083770624662</t>
    <phoneticPr fontId="5" type="noConversion"/>
  </si>
  <si>
    <t>13041162816</t>
    <phoneticPr fontId="5" type="noConversion"/>
  </si>
  <si>
    <t>1026号</t>
    <phoneticPr fontId="5" type="noConversion"/>
  </si>
  <si>
    <t>北京住房公积金管理中心中关村管理部</t>
    <phoneticPr fontId="5" type="noConversion"/>
  </si>
  <si>
    <t>536329</t>
    <phoneticPr fontId="5" type="noConversion"/>
  </si>
  <si>
    <t>2003-22-P-05028</t>
    <phoneticPr fontId="5" type="noConversion"/>
  </si>
  <si>
    <t>蔡国</t>
    <phoneticPr fontId="5" type="noConversion"/>
  </si>
  <si>
    <t>110108197404186010</t>
    <phoneticPr fontId="5" type="noConversion"/>
  </si>
  <si>
    <t>13601170813</t>
    <phoneticPr fontId="5" type="noConversion"/>
  </si>
  <si>
    <t>04号</t>
    <phoneticPr fontId="5" type="noConversion"/>
  </si>
  <si>
    <t>547880</t>
    <phoneticPr fontId="5" type="noConversion"/>
  </si>
  <si>
    <t>2003-22-P-05032</t>
    <phoneticPr fontId="5" type="noConversion"/>
  </si>
  <si>
    <t>钟永锋</t>
    <phoneticPr fontId="5" type="noConversion"/>
  </si>
  <si>
    <t>420602197810211113</t>
    <phoneticPr fontId="5" type="noConversion"/>
  </si>
  <si>
    <t>13683560235</t>
    <phoneticPr fontId="5" type="noConversion"/>
  </si>
  <si>
    <t>5座</t>
    <phoneticPr fontId="5" type="noConversion"/>
  </si>
  <si>
    <t>北京住房公积金管理中心海淀第一管理部</t>
    <phoneticPr fontId="5" type="noConversion"/>
  </si>
  <si>
    <t>2003-3-D1-02868</t>
    <phoneticPr fontId="5" type="noConversion"/>
  </si>
  <si>
    <t>565217</t>
    <phoneticPr fontId="5" type="noConversion"/>
  </si>
  <si>
    <t>2003-22-P-05042</t>
    <phoneticPr fontId="5" type="noConversion"/>
  </si>
  <si>
    <t>丁春玲</t>
    <phoneticPr fontId="5" type="noConversion"/>
  </si>
  <si>
    <t>110108591102574</t>
    <phoneticPr fontId="5" type="noConversion"/>
  </si>
  <si>
    <t>13161021305</t>
    <phoneticPr fontId="5" type="noConversion"/>
  </si>
  <si>
    <t>508554</t>
    <phoneticPr fontId="5" type="noConversion"/>
  </si>
  <si>
    <t>2003-22-P-05046</t>
  </si>
  <si>
    <t>孟艳华</t>
    <phoneticPr fontId="5" type="noConversion"/>
  </si>
  <si>
    <t>370822197612130824</t>
    <phoneticPr fontId="5" type="noConversion"/>
  </si>
  <si>
    <t>82386895</t>
    <phoneticPr fontId="5" type="noConversion"/>
  </si>
  <si>
    <t>547826</t>
    <phoneticPr fontId="5" type="noConversion"/>
  </si>
  <si>
    <t>2003-22-P-05047</t>
  </si>
  <si>
    <t>李长英</t>
    <phoneticPr fontId="5" type="noConversion"/>
  </si>
  <si>
    <t>211402197504291427</t>
    <phoneticPr fontId="5" type="noConversion"/>
  </si>
  <si>
    <t>62325570</t>
    <phoneticPr fontId="5" type="noConversion"/>
  </si>
  <si>
    <t>A3座</t>
    <phoneticPr fontId="5" type="noConversion"/>
  </si>
  <si>
    <t>07号</t>
    <phoneticPr fontId="5" type="noConversion"/>
  </si>
  <si>
    <t>547871</t>
    <phoneticPr fontId="5" type="noConversion"/>
  </si>
  <si>
    <t>2003-22-P-05051</t>
    <phoneticPr fontId="5" type="noConversion"/>
  </si>
  <si>
    <t>张俊英</t>
    <phoneticPr fontId="5" type="noConversion"/>
  </si>
  <si>
    <t>110108481005374</t>
    <phoneticPr fontId="5" type="noConversion"/>
  </si>
  <si>
    <t>68156239</t>
    <phoneticPr fontId="5" type="noConversion"/>
  </si>
  <si>
    <t>202号</t>
    <phoneticPr fontId="5" type="noConversion"/>
  </si>
  <si>
    <t>518056</t>
    <phoneticPr fontId="5" type="noConversion"/>
  </si>
  <si>
    <t>2003-22-P-05052</t>
    <phoneticPr fontId="5" type="noConversion"/>
  </si>
  <si>
    <t>康中卜</t>
    <phoneticPr fontId="5" type="noConversion"/>
  </si>
  <si>
    <t>110108500908371</t>
    <phoneticPr fontId="5" type="noConversion"/>
  </si>
  <si>
    <t>13671253205</t>
    <phoneticPr fontId="5" type="noConversion"/>
  </si>
  <si>
    <t>515688</t>
    <phoneticPr fontId="5" type="noConversion"/>
  </si>
  <si>
    <t>2003-22-P-05053</t>
  </si>
  <si>
    <t>郭琳</t>
    <phoneticPr fontId="5" type="noConversion"/>
  </si>
  <si>
    <t>110105700914042</t>
    <phoneticPr fontId="5" type="noConversion"/>
  </si>
  <si>
    <t>13901175482</t>
    <phoneticPr fontId="5" type="noConversion"/>
  </si>
  <si>
    <t>515679</t>
    <phoneticPr fontId="5" type="noConversion"/>
  </si>
  <si>
    <t>2003-22-P-05066</t>
  </si>
  <si>
    <t>于永侠</t>
  </si>
  <si>
    <t>379008751223022</t>
  </si>
  <si>
    <t>13651151120</t>
  </si>
  <si>
    <t>2003-3-D1-02877</t>
  </si>
  <si>
    <t>547490</t>
  </si>
  <si>
    <t>2003-22-P-05067</t>
  </si>
  <si>
    <t>高崇武</t>
  </si>
  <si>
    <t>232301197608083916</t>
  </si>
  <si>
    <t>13321129792</t>
  </si>
  <si>
    <t>2003-3-D1-02878</t>
  </si>
  <si>
    <t>547529</t>
  </si>
  <si>
    <t>2003-22-P-05068</t>
  </si>
  <si>
    <t>李宁</t>
  </si>
  <si>
    <t>211402197801051040</t>
  </si>
  <si>
    <t>13911316835</t>
  </si>
  <si>
    <t>03号</t>
  </si>
  <si>
    <t>2003-3-D1-02879</t>
  </si>
  <si>
    <t>547436</t>
  </si>
  <si>
    <t>2003-22-P-05069</t>
  </si>
  <si>
    <t>孙绍芝</t>
  </si>
  <si>
    <t>110108660301230</t>
  </si>
  <si>
    <t>13910761885</t>
  </si>
  <si>
    <t>2003-3-D1-02880</t>
  </si>
  <si>
    <t>548298</t>
  </si>
  <si>
    <t>2003-22-P-05070</t>
    <phoneticPr fontId="5" type="noConversion"/>
  </si>
  <si>
    <t>杜万古</t>
    <phoneticPr fontId="5" type="noConversion"/>
  </si>
  <si>
    <t>150203681017091</t>
    <phoneticPr fontId="5" type="noConversion"/>
  </si>
  <si>
    <t>13911189192</t>
    <phoneticPr fontId="5" type="noConversion"/>
  </si>
  <si>
    <t>547412</t>
    <phoneticPr fontId="5" type="noConversion"/>
  </si>
  <si>
    <t>2003-22-P-05083</t>
  </si>
  <si>
    <t>谢朝阳</t>
  </si>
  <si>
    <t>610103197409132472</t>
  </si>
  <si>
    <t>318513</t>
  </si>
  <si>
    <t>2003-22-P-05089</t>
    <phoneticPr fontId="5" type="noConversion"/>
  </si>
  <si>
    <t>李宝杰</t>
    <phoneticPr fontId="5" type="noConversion"/>
  </si>
  <si>
    <t>110108651225142</t>
    <phoneticPr fontId="5" type="noConversion"/>
  </si>
  <si>
    <t>13001103239</t>
    <phoneticPr fontId="5" type="noConversion"/>
  </si>
  <si>
    <t>805号</t>
    <phoneticPr fontId="5" type="noConversion"/>
  </si>
  <si>
    <t>555855</t>
    <phoneticPr fontId="5" type="noConversion"/>
  </si>
  <si>
    <t>2003-22-P-05090</t>
  </si>
  <si>
    <t>张勇</t>
  </si>
  <si>
    <t>110108781109223</t>
  </si>
  <si>
    <t>13301068668</t>
  </si>
  <si>
    <t>548253</t>
  </si>
  <si>
    <t>2003-22-P-05091</t>
  </si>
  <si>
    <t>薛金合</t>
  </si>
  <si>
    <t>632822760522001</t>
  </si>
  <si>
    <t>13661048385</t>
  </si>
  <si>
    <t>515号</t>
  </si>
  <si>
    <t>550831</t>
  </si>
  <si>
    <t>2003-22-P-05094</t>
  </si>
  <si>
    <t>高胜利</t>
  </si>
  <si>
    <t>210381770206101</t>
  </si>
  <si>
    <t>62982266-1737</t>
  </si>
  <si>
    <t>508号</t>
  </si>
  <si>
    <t>318463</t>
  </si>
  <si>
    <t>2003-22-P-05141</t>
    <phoneticPr fontId="5" type="noConversion"/>
  </si>
  <si>
    <t>张鲁京</t>
    <phoneticPr fontId="5" type="noConversion"/>
  </si>
  <si>
    <t>110103197309210922</t>
    <phoneticPr fontId="5" type="noConversion"/>
  </si>
  <si>
    <t>13621089134</t>
    <phoneticPr fontId="5" type="noConversion"/>
  </si>
  <si>
    <t>2003-3-D1-02898</t>
    <phoneticPr fontId="5" type="noConversion"/>
  </si>
  <si>
    <t>555852</t>
    <phoneticPr fontId="5" type="noConversion"/>
  </si>
  <si>
    <t>2003-22-P-05142</t>
    <phoneticPr fontId="5" type="noConversion"/>
  </si>
  <si>
    <t>龚昊天</t>
    <phoneticPr fontId="5" type="noConversion"/>
  </si>
  <si>
    <t>110108741018271</t>
    <phoneticPr fontId="5" type="noConversion"/>
  </si>
  <si>
    <t>82915588--2454</t>
    <phoneticPr fontId="5" type="noConversion"/>
  </si>
  <si>
    <t>8座</t>
    <phoneticPr fontId="5" type="noConversion"/>
  </si>
  <si>
    <t>2003-3-D1-02899</t>
    <phoneticPr fontId="5" type="noConversion"/>
  </si>
  <si>
    <t>1102281326100</t>
    <phoneticPr fontId="5" type="noConversion"/>
  </si>
  <si>
    <t>2003-22-P-05143</t>
    <phoneticPr fontId="5" type="noConversion"/>
  </si>
  <si>
    <t>高建学</t>
    <phoneticPr fontId="5" type="noConversion"/>
  </si>
  <si>
    <t>130629740424001</t>
    <phoneticPr fontId="5" type="noConversion"/>
  </si>
  <si>
    <t>13910393869</t>
    <phoneticPr fontId="5" type="noConversion"/>
  </si>
  <si>
    <t>8座</t>
    <phoneticPr fontId="5" type="noConversion"/>
  </si>
  <si>
    <t>555864</t>
    <phoneticPr fontId="5" type="noConversion"/>
  </si>
  <si>
    <t>2003-22-P-05144</t>
    <phoneticPr fontId="5" type="noConversion"/>
  </si>
  <si>
    <t>马涛</t>
    <phoneticPr fontId="5" type="noConversion"/>
  </si>
  <si>
    <t>110102790709003</t>
    <phoneticPr fontId="5" type="noConversion"/>
  </si>
  <si>
    <t>8座</t>
    <phoneticPr fontId="5" type="noConversion"/>
  </si>
  <si>
    <t>1206号</t>
    <phoneticPr fontId="5" type="noConversion"/>
  </si>
  <si>
    <t>北京住房公积金管理中心朝阳第一管理部</t>
    <phoneticPr fontId="5" type="noConversion"/>
  </si>
  <si>
    <t>2003-3-D1-02901</t>
    <phoneticPr fontId="5" type="noConversion"/>
  </si>
  <si>
    <t>2003-22-P-05145</t>
    <phoneticPr fontId="5" type="noConversion"/>
  </si>
  <si>
    <t>陈志坚</t>
    <phoneticPr fontId="5" type="noConversion"/>
  </si>
  <si>
    <t>440804197509222013</t>
    <phoneticPr fontId="5" type="noConversion"/>
  </si>
  <si>
    <t>13901140213</t>
    <phoneticPr fontId="5" type="noConversion"/>
  </si>
  <si>
    <t>北京住房公积金管理中心方庄管理部</t>
    <phoneticPr fontId="5" type="noConversion"/>
  </si>
  <si>
    <t>2003-3-D1-02902</t>
    <phoneticPr fontId="5" type="noConversion"/>
  </si>
  <si>
    <t>299384</t>
    <phoneticPr fontId="5" type="noConversion"/>
  </si>
  <si>
    <t>2003-22-P-05146</t>
    <phoneticPr fontId="5" type="noConversion"/>
  </si>
  <si>
    <t>潘淑玲</t>
    <phoneticPr fontId="5" type="noConversion"/>
  </si>
  <si>
    <t>110108640127634</t>
    <phoneticPr fontId="5" type="noConversion"/>
  </si>
  <si>
    <t>13671269173</t>
    <phoneticPr fontId="5" type="noConversion"/>
  </si>
  <si>
    <t>306号</t>
    <phoneticPr fontId="5" type="noConversion"/>
  </si>
  <si>
    <t>2003-3-D1-02903</t>
    <phoneticPr fontId="5" type="noConversion"/>
  </si>
  <si>
    <t>555854</t>
    <phoneticPr fontId="5" type="noConversion"/>
  </si>
  <si>
    <t>2003-22-P-05147</t>
    <phoneticPr fontId="5" type="noConversion"/>
  </si>
  <si>
    <t>律燕娟</t>
    <phoneticPr fontId="5" type="noConversion"/>
  </si>
  <si>
    <t>410305790209406</t>
    <phoneticPr fontId="5" type="noConversion"/>
  </si>
  <si>
    <t>13681499266</t>
    <phoneticPr fontId="5" type="noConversion"/>
  </si>
  <si>
    <t>2003-3-D1-02904</t>
    <phoneticPr fontId="5" type="noConversion"/>
  </si>
  <si>
    <t>299388</t>
    <phoneticPr fontId="5" type="noConversion"/>
  </si>
  <si>
    <t>2003-22-P-05148</t>
    <phoneticPr fontId="5" type="noConversion"/>
  </si>
  <si>
    <t>黄燚成</t>
    <phoneticPr fontId="5" type="noConversion"/>
  </si>
  <si>
    <t>110108701220471</t>
    <phoneticPr fontId="5" type="noConversion"/>
  </si>
  <si>
    <t>1005号</t>
    <phoneticPr fontId="5" type="noConversion"/>
  </si>
  <si>
    <t>2003-3-D1-02905</t>
    <phoneticPr fontId="5" type="noConversion"/>
  </si>
  <si>
    <t>1102281326100</t>
    <phoneticPr fontId="5" type="noConversion"/>
  </si>
  <si>
    <t>2003-22-P-05149</t>
    <phoneticPr fontId="5" type="noConversion"/>
  </si>
  <si>
    <t>许铁柱</t>
    <phoneticPr fontId="5" type="noConversion"/>
  </si>
  <si>
    <t>110108520106005</t>
    <phoneticPr fontId="5" type="noConversion"/>
  </si>
  <si>
    <t>62933506</t>
    <phoneticPr fontId="5" type="noConversion"/>
  </si>
  <si>
    <t>905号</t>
    <phoneticPr fontId="5" type="noConversion"/>
  </si>
  <si>
    <t>2003-3-D1-02906</t>
    <phoneticPr fontId="5" type="noConversion"/>
  </si>
  <si>
    <t>555862</t>
    <phoneticPr fontId="5" type="noConversion"/>
  </si>
  <si>
    <t>2003-22-P-05150</t>
    <phoneticPr fontId="5" type="noConversion"/>
  </si>
  <si>
    <t>王燕红</t>
    <phoneticPr fontId="5" type="noConversion"/>
  </si>
  <si>
    <t>110101771115252</t>
    <phoneticPr fontId="5" type="noConversion"/>
  </si>
  <si>
    <t>13611208186</t>
    <phoneticPr fontId="5" type="noConversion"/>
  </si>
  <si>
    <t>704号</t>
    <phoneticPr fontId="5" type="noConversion"/>
  </si>
  <si>
    <t>2003-3-D1-02907</t>
    <phoneticPr fontId="5" type="noConversion"/>
  </si>
  <si>
    <t>565327</t>
    <phoneticPr fontId="5" type="noConversion"/>
  </si>
  <si>
    <t>2003-22-P-05154</t>
    <phoneticPr fontId="5" type="noConversion"/>
  </si>
  <si>
    <t>陈刚</t>
    <phoneticPr fontId="5" type="noConversion"/>
  </si>
  <si>
    <t>110111197707311016</t>
    <phoneticPr fontId="5" type="noConversion"/>
  </si>
  <si>
    <t>北京住房公积金管理中心西城第二管理部</t>
    <phoneticPr fontId="5" type="noConversion"/>
  </si>
  <si>
    <t>十</t>
    <phoneticPr fontId="5" type="noConversion"/>
  </si>
  <si>
    <t>2003-3-D1-02908</t>
    <phoneticPr fontId="5" type="noConversion"/>
  </si>
  <si>
    <t>1102281326100</t>
    <phoneticPr fontId="5" type="noConversion"/>
  </si>
  <si>
    <t>2003-22-P-05161</t>
  </si>
  <si>
    <t>周军平</t>
  </si>
  <si>
    <t>362401761029443</t>
  </si>
  <si>
    <t>西三旗沁春家园</t>
  </si>
  <si>
    <t>6(B反)号</t>
  </si>
  <si>
    <t>519363</t>
  </si>
  <si>
    <t>1100001504797（2-1）</t>
  </si>
  <si>
    <t>方飓</t>
  </si>
  <si>
    <t>2003-22-P-05167</t>
  </si>
  <si>
    <t>刘文生</t>
  </si>
  <si>
    <t>110108660825636</t>
  </si>
  <si>
    <t>62281203</t>
  </si>
  <si>
    <t>547558</t>
  </si>
  <si>
    <t>2003-22-P-05205</t>
  </si>
  <si>
    <t>丁桂霞</t>
  </si>
  <si>
    <t>110108580703222</t>
  </si>
  <si>
    <t>13671039173</t>
  </si>
  <si>
    <t>01号</t>
  </si>
  <si>
    <t>547425</t>
  </si>
  <si>
    <t>2003-22-P-05207</t>
  </si>
  <si>
    <t>赵立和</t>
  </si>
  <si>
    <t>110108560428631</t>
  </si>
  <si>
    <t>62359051</t>
  </si>
  <si>
    <t>513号</t>
  </si>
  <si>
    <t>550628</t>
  </si>
  <si>
    <t>2003-22-P-05213-M</t>
  </si>
  <si>
    <t>李一新</t>
  </si>
  <si>
    <t>110108197501303450</t>
  </si>
  <si>
    <t>13311230498</t>
  </si>
  <si>
    <t>北洼路车道沟南里北洼路住宅楼(财智公馆)</t>
  </si>
  <si>
    <t>12层</t>
  </si>
  <si>
    <t>1206号</t>
  </si>
  <si>
    <t>北京建房房地产开发有限公司</t>
  </si>
  <si>
    <t>501664</t>
  </si>
  <si>
    <t>北京市宣武区铁树斜街90号远东饭店306房</t>
  </si>
  <si>
    <t>1100001157549(1-1)</t>
  </si>
  <si>
    <t>张益纯</t>
  </si>
  <si>
    <t>合同特定编号、邮政编码、联系电话</t>
  </si>
  <si>
    <t>2003-22-P-05235</t>
  </si>
  <si>
    <t>姚志杰</t>
  </si>
  <si>
    <t>110101690121351</t>
  </si>
  <si>
    <t>13801393073</t>
  </si>
  <si>
    <t>北京住房公积金管理中心方庄管理部</t>
  </si>
  <si>
    <t>515695</t>
  </si>
  <si>
    <t>1102281149818</t>
  </si>
  <si>
    <t>2003-22-P-05249</t>
    <phoneticPr fontId="5" type="noConversion"/>
  </si>
  <si>
    <t>王冬梅</t>
    <phoneticPr fontId="5" type="noConversion"/>
  </si>
  <si>
    <t>230102801223192</t>
    <phoneticPr fontId="5" type="noConversion"/>
  </si>
  <si>
    <t>13810232009</t>
    <phoneticPr fontId="5" type="noConversion"/>
  </si>
  <si>
    <t>805号</t>
    <phoneticPr fontId="5" type="noConversion"/>
  </si>
  <si>
    <t>北京住房公积金管理中心方庄管理部</t>
    <phoneticPr fontId="5" type="noConversion"/>
  </si>
  <si>
    <t>565357</t>
    <phoneticPr fontId="5" type="noConversion"/>
  </si>
  <si>
    <t>2003-22-P-05250</t>
    <phoneticPr fontId="5" type="noConversion"/>
  </si>
  <si>
    <t>聂影</t>
    <phoneticPr fontId="5" type="noConversion"/>
  </si>
  <si>
    <t>110105721229214</t>
    <phoneticPr fontId="5" type="noConversion"/>
  </si>
  <si>
    <t>13601366540</t>
    <phoneticPr fontId="5" type="noConversion"/>
  </si>
  <si>
    <t>14层</t>
    <phoneticPr fontId="5" type="noConversion"/>
  </si>
  <si>
    <t>12B05号</t>
    <phoneticPr fontId="5" type="noConversion"/>
  </si>
  <si>
    <t>531780</t>
    <phoneticPr fontId="5" type="noConversion"/>
  </si>
  <si>
    <t>2003-22-P-05260</t>
    <phoneticPr fontId="5" type="noConversion"/>
  </si>
  <si>
    <t>邹燕侨</t>
    <phoneticPr fontId="5" type="noConversion"/>
  </si>
  <si>
    <t>510102700717611</t>
    <phoneticPr fontId="5" type="noConversion"/>
  </si>
  <si>
    <t>13693674134</t>
    <phoneticPr fontId="5" type="noConversion"/>
  </si>
  <si>
    <t>18层</t>
    <phoneticPr fontId="5" type="noConversion"/>
  </si>
  <si>
    <t>1805号</t>
    <phoneticPr fontId="5" type="noConversion"/>
  </si>
  <si>
    <t>549336</t>
    <phoneticPr fontId="5" type="noConversion"/>
  </si>
  <si>
    <t>2003-22-P-05267</t>
    <phoneticPr fontId="5" type="noConversion"/>
  </si>
  <si>
    <t>吕梅元</t>
    <phoneticPr fontId="5" type="noConversion"/>
  </si>
  <si>
    <t>110104790102004</t>
    <phoneticPr fontId="5" type="noConversion"/>
  </si>
  <si>
    <t>605号</t>
    <phoneticPr fontId="5" type="noConversion"/>
  </si>
  <si>
    <t>北京住房公积金管理中心宣武第一管理部</t>
    <phoneticPr fontId="5" type="noConversion"/>
  </si>
  <si>
    <t>2003-22-P-05273</t>
    <phoneticPr fontId="5" type="noConversion"/>
  </si>
  <si>
    <t>张凯</t>
    <phoneticPr fontId="5" type="noConversion"/>
  </si>
  <si>
    <t>210102197801066018</t>
    <phoneticPr fontId="5" type="noConversion"/>
  </si>
  <si>
    <t>13161783917</t>
    <phoneticPr fontId="5" type="noConversion"/>
  </si>
  <si>
    <t>D座</t>
    <phoneticPr fontId="5" type="noConversion"/>
  </si>
  <si>
    <t>3层</t>
    <phoneticPr fontId="5" type="noConversion"/>
  </si>
  <si>
    <t>312号</t>
    <phoneticPr fontId="5" type="noConversion"/>
  </si>
  <si>
    <t>北京住房公积金管理中心朝阳第三管理部</t>
    <phoneticPr fontId="5" type="noConversion"/>
  </si>
  <si>
    <t>288264</t>
    <phoneticPr fontId="5" type="noConversion"/>
  </si>
  <si>
    <t>2003-22-P-05284</t>
    <phoneticPr fontId="5" type="noConversion"/>
  </si>
  <si>
    <t>栗雪然</t>
    <phoneticPr fontId="5" type="noConversion"/>
  </si>
  <si>
    <t>110108197211090717</t>
    <phoneticPr fontId="5" type="noConversion"/>
  </si>
  <si>
    <t>13601191542</t>
    <phoneticPr fontId="5" type="noConversion"/>
  </si>
  <si>
    <t>2003-3-D1-02928</t>
    <phoneticPr fontId="5" type="noConversion"/>
  </si>
  <si>
    <t>547580</t>
    <phoneticPr fontId="5" type="noConversion"/>
  </si>
  <si>
    <t>2003-22-P-05286</t>
    <phoneticPr fontId="5" type="noConversion"/>
  </si>
  <si>
    <t>李秀芬</t>
    <phoneticPr fontId="5" type="noConversion"/>
  </si>
  <si>
    <t>371425198010160025</t>
    <phoneticPr fontId="5" type="noConversion"/>
  </si>
  <si>
    <t>13601177882</t>
    <phoneticPr fontId="5" type="noConversion"/>
  </si>
  <si>
    <t>15层</t>
    <phoneticPr fontId="5" type="noConversion"/>
  </si>
  <si>
    <t>1506号</t>
    <phoneticPr fontId="5" type="noConversion"/>
  </si>
  <si>
    <t>537077</t>
    <phoneticPr fontId="5" type="noConversion"/>
  </si>
  <si>
    <t>2003-22-P-05301</t>
    <phoneticPr fontId="5" type="noConversion"/>
  </si>
  <si>
    <t>穆桂义</t>
    <phoneticPr fontId="5" type="noConversion"/>
  </si>
  <si>
    <t>110108571130601</t>
    <phoneticPr fontId="5" type="noConversion"/>
  </si>
  <si>
    <t>13701224085</t>
    <phoneticPr fontId="5" type="noConversion"/>
  </si>
  <si>
    <t>北京住房公积金管理中心西城第二管理部</t>
    <phoneticPr fontId="5" type="noConversion"/>
  </si>
  <si>
    <t>527609</t>
    <phoneticPr fontId="5" type="noConversion"/>
  </si>
  <si>
    <t>2003-22-P-05302</t>
  </si>
  <si>
    <t>刘建平</t>
    <phoneticPr fontId="5" type="noConversion"/>
  </si>
  <si>
    <t>110108196301036154</t>
    <phoneticPr fontId="5" type="noConversion"/>
  </si>
  <si>
    <t>13903164615</t>
    <phoneticPr fontId="5" type="noConversion"/>
  </si>
  <si>
    <t>东升乡马坊村宝盛里</t>
    <phoneticPr fontId="5" type="noConversion"/>
  </si>
  <si>
    <t>36幢</t>
    <phoneticPr fontId="5" type="noConversion"/>
  </si>
  <si>
    <t>561536</t>
    <phoneticPr fontId="5" type="noConversion"/>
  </si>
  <si>
    <t>2003-22-P-05304</t>
    <phoneticPr fontId="5" type="noConversion"/>
  </si>
  <si>
    <t>张栩</t>
    <phoneticPr fontId="5" type="noConversion"/>
  </si>
  <si>
    <t>110108760816573</t>
    <phoneticPr fontId="5" type="noConversion"/>
  </si>
  <si>
    <t>13501161086</t>
    <phoneticPr fontId="5" type="noConversion"/>
  </si>
  <si>
    <t>A3座</t>
    <phoneticPr fontId="5" type="noConversion"/>
  </si>
  <si>
    <t>05号</t>
    <phoneticPr fontId="5" type="noConversion"/>
  </si>
  <si>
    <t>548292</t>
    <phoneticPr fontId="5" type="noConversion"/>
  </si>
  <si>
    <t>2003-22-P-05309</t>
    <phoneticPr fontId="5" type="noConversion"/>
  </si>
  <si>
    <t>李志刚</t>
    <phoneticPr fontId="5" type="noConversion"/>
  </si>
  <si>
    <t>110229197011080810</t>
    <phoneticPr fontId="5" type="noConversion"/>
  </si>
  <si>
    <t>13910926486</t>
    <phoneticPr fontId="5" type="noConversion"/>
  </si>
  <si>
    <t>5座</t>
    <phoneticPr fontId="5" type="noConversion"/>
  </si>
  <si>
    <t>1802号</t>
    <phoneticPr fontId="5" type="noConversion"/>
  </si>
  <si>
    <t>2003-3-D1-02932</t>
    <phoneticPr fontId="5" type="noConversion"/>
  </si>
  <si>
    <t>555871</t>
    <phoneticPr fontId="5" type="noConversion"/>
  </si>
  <si>
    <t>2003-22-P-05321</t>
    <phoneticPr fontId="5" type="noConversion"/>
  </si>
  <si>
    <t>康慨</t>
    <phoneticPr fontId="5" type="noConversion"/>
  </si>
  <si>
    <t>110108720420975</t>
    <phoneticPr fontId="5" type="noConversion"/>
  </si>
  <si>
    <t>13701380420</t>
    <phoneticPr fontId="5" type="noConversion"/>
  </si>
  <si>
    <t>11层</t>
    <phoneticPr fontId="5" type="noConversion"/>
  </si>
  <si>
    <t>1110号</t>
    <phoneticPr fontId="5" type="noConversion"/>
  </si>
  <si>
    <t>北京住房公积金管理中心朝阳第一管理部</t>
    <phoneticPr fontId="5" type="noConversion"/>
  </si>
  <si>
    <t>307892</t>
    <phoneticPr fontId="5" type="noConversion"/>
  </si>
  <si>
    <t>2003-22-P-05338</t>
    <phoneticPr fontId="5" type="noConversion"/>
  </si>
  <si>
    <t>贾梅霞</t>
    <phoneticPr fontId="5" type="noConversion"/>
  </si>
  <si>
    <t>110107730203032</t>
    <phoneticPr fontId="5" type="noConversion"/>
  </si>
  <si>
    <t>13701312170</t>
    <phoneticPr fontId="5" type="noConversion"/>
  </si>
  <si>
    <t>清河镇永泰园21#22#23#楼</t>
    <phoneticPr fontId="5" type="noConversion"/>
  </si>
  <si>
    <t>22号楼（幢）</t>
    <phoneticPr fontId="5" type="noConversion"/>
  </si>
  <si>
    <t>2104号</t>
    <phoneticPr fontId="5" type="noConversion"/>
  </si>
  <si>
    <t>154480</t>
    <phoneticPr fontId="5" type="noConversion"/>
  </si>
  <si>
    <t>2003-22-P-05351</t>
    <phoneticPr fontId="5" type="noConversion"/>
  </si>
  <si>
    <t>张海珍</t>
    <phoneticPr fontId="5" type="noConversion"/>
  </si>
  <si>
    <t>110108197610081420</t>
    <phoneticPr fontId="5" type="noConversion"/>
  </si>
  <si>
    <t>13020006175</t>
    <phoneticPr fontId="5" type="noConversion"/>
  </si>
  <si>
    <t>906号</t>
    <phoneticPr fontId="5" type="noConversion"/>
  </si>
  <si>
    <t>307787</t>
    <phoneticPr fontId="5" type="noConversion"/>
  </si>
  <si>
    <t>2003-22-P-05354</t>
    <phoneticPr fontId="5" type="noConversion"/>
  </si>
  <si>
    <t>白鹏</t>
    <phoneticPr fontId="5" type="noConversion"/>
  </si>
  <si>
    <t>230102197612294314</t>
    <phoneticPr fontId="5" type="noConversion"/>
  </si>
  <si>
    <t>13810515925</t>
    <phoneticPr fontId="5" type="noConversion"/>
  </si>
  <si>
    <t>547576</t>
    <phoneticPr fontId="5" type="noConversion"/>
  </si>
  <si>
    <t>2003-22-P-05371</t>
  </si>
  <si>
    <t>杨辉</t>
  </si>
  <si>
    <t>110108197512232213</t>
  </si>
  <si>
    <t>13911716415</t>
  </si>
  <si>
    <t>537015</t>
  </si>
  <si>
    <t>2003-22-P-05386</t>
    <phoneticPr fontId="5" type="noConversion"/>
  </si>
  <si>
    <t>何军锋</t>
    <phoneticPr fontId="5" type="noConversion"/>
  </si>
  <si>
    <t>41282519770520251X</t>
    <phoneticPr fontId="5" type="noConversion"/>
  </si>
  <si>
    <t>13301100966</t>
    <phoneticPr fontId="5" type="noConversion"/>
  </si>
  <si>
    <t>1104号</t>
    <phoneticPr fontId="5" type="noConversion"/>
  </si>
  <si>
    <t>2003-3-D1-02940</t>
    <phoneticPr fontId="5" type="noConversion"/>
  </si>
  <si>
    <t>299396</t>
    <phoneticPr fontId="5" type="noConversion"/>
  </si>
  <si>
    <t>2003-22-P-05387</t>
    <phoneticPr fontId="5" type="noConversion"/>
  </si>
  <si>
    <t>张冬梅</t>
    <phoneticPr fontId="5" type="noConversion"/>
  </si>
  <si>
    <t>210112197310240627</t>
    <phoneticPr fontId="5" type="noConversion"/>
  </si>
  <si>
    <t>13651097879</t>
    <phoneticPr fontId="5" type="noConversion"/>
  </si>
  <si>
    <t>1205号</t>
    <phoneticPr fontId="5" type="noConversion"/>
  </si>
  <si>
    <t>2003-3-D1-02941</t>
    <phoneticPr fontId="5" type="noConversion"/>
  </si>
  <si>
    <t>565348</t>
    <phoneticPr fontId="5" type="noConversion"/>
  </si>
  <si>
    <t>2003-22-P-05388</t>
    <phoneticPr fontId="5" type="noConversion"/>
  </si>
  <si>
    <t>陈吉峰</t>
    <phoneticPr fontId="5" type="noConversion"/>
  </si>
  <si>
    <t>210723710719421</t>
    <phoneticPr fontId="5" type="noConversion"/>
  </si>
  <si>
    <t>13501204545</t>
    <phoneticPr fontId="5" type="noConversion"/>
  </si>
  <si>
    <t>2003-3-D1-02942</t>
    <phoneticPr fontId="5" type="noConversion"/>
  </si>
  <si>
    <t>299391</t>
    <phoneticPr fontId="5" type="noConversion"/>
  </si>
  <si>
    <t>2003-22-P-05403</t>
  </si>
  <si>
    <t>王文涛</t>
  </si>
  <si>
    <t>110105196510202551</t>
  </si>
  <si>
    <t>2003-22-P-05406</t>
  </si>
  <si>
    <t>龙静</t>
  </si>
  <si>
    <t>110108197501192746</t>
  </si>
  <si>
    <t>13801261315</t>
  </si>
  <si>
    <t>537099</t>
  </si>
  <si>
    <t>2003-22-P-05413-M</t>
    <phoneticPr fontId="5" type="noConversion"/>
  </si>
  <si>
    <t>金纪文</t>
    <phoneticPr fontId="5" type="noConversion"/>
  </si>
  <si>
    <t>110108671101230</t>
    <phoneticPr fontId="5" type="noConversion"/>
  </si>
  <si>
    <t>67659613</t>
    <phoneticPr fontId="5" type="noConversion"/>
  </si>
  <si>
    <t>北洼路车道沟南里北洼路住宅楼(财智公馆)</t>
    <phoneticPr fontId="5" type="noConversion"/>
  </si>
  <si>
    <t>北京建房房地产开发有限公司</t>
    <phoneticPr fontId="5" type="noConversion"/>
  </si>
  <si>
    <t>501690</t>
    <phoneticPr fontId="5" type="noConversion"/>
  </si>
  <si>
    <t>北京市宣武区铁树斜街90号远东饭店306房</t>
    <phoneticPr fontId="5" type="noConversion"/>
  </si>
  <si>
    <t>张益纯</t>
    <phoneticPr fontId="5" type="noConversion"/>
  </si>
  <si>
    <t>2003-22-P-05414</t>
  </si>
  <si>
    <t>郑翊</t>
  </si>
  <si>
    <t>110102760816151</t>
  </si>
  <si>
    <t>13701172036</t>
  </si>
  <si>
    <t>1212号</t>
  </si>
  <si>
    <t>550658</t>
  </si>
  <si>
    <t>2003-22-P-05419</t>
    <phoneticPr fontId="5" type="noConversion"/>
  </si>
  <si>
    <t>赵伯宇</t>
    <phoneticPr fontId="5" type="noConversion"/>
  </si>
  <si>
    <t>110102670509334</t>
    <phoneticPr fontId="5" type="noConversion"/>
  </si>
  <si>
    <t>18#幢</t>
    <phoneticPr fontId="5" type="noConversion"/>
  </si>
  <si>
    <t>1004号</t>
    <phoneticPr fontId="5" type="noConversion"/>
  </si>
  <si>
    <t>北京住房公积金管理中心宣武第二管理部</t>
    <phoneticPr fontId="5" type="noConversion"/>
  </si>
  <si>
    <t>2003-3-D1-02949</t>
    <phoneticPr fontId="5" type="noConversion"/>
  </si>
  <si>
    <t>2003-22-P-05450</t>
  </si>
  <si>
    <t>李凯</t>
  </si>
  <si>
    <t>110108621015551</t>
  </si>
  <si>
    <t>安宁庄路煤炭四厂北厂区当代城市家园</t>
  </si>
  <si>
    <t>北京当代房地产开发有限责任公司</t>
  </si>
  <si>
    <t>北京市平谷县经济技术开发区3号楼308室</t>
  </si>
  <si>
    <t>1100001119848</t>
  </si>
  <si>
    <t>张雷</t>
  </si>
  <si>
    <t>2003-22-P-05453</t>
    <phoneticPr fontId="5" type="noConversion"/>
  </si>
  <si>
    <t>马洪喜</t>
    <phoneticPr fontId="5" type="noConversion"/>
  </si>
  <si>
    <t>110103541115151</t>
    <phoneticPr fontId="5" type="noConversion"/>
  </si>
  <si>
    <t>13910763173</t>
    <phoneticPr fontId="5" type="noConversion"/>
  </si>
  <si>
    <t>101号</t>
    <phoneticPr fontId="5" type="noConversion"/>
  </si>
  <si>
    <t>北京住房公积金管理中心东城第二管理部</t>
    <phoneticPr fontId="5" type="noConversion"/>
  </si>
  <si>
    <t>更改</t>
    <phoneticPr fontId="5" type="noConversion"/>
  </si>
  <si>
    <t>风险率</t>
    <phoneticPr fontId="5" type="noConversion"/>
  </si>
  <si>
    <t>311530</t>
    <phoneticPr fontId="5" type="noConversion"/>
  </si>
  <si>
    <t>周婷婷</t>
    <phoneticPr fontId="5" type="noConversion"/>
  </si>
  <si>
    <t>2003-22-P-05456</t>
  </si>
  <si>
    <t>周金玲</t>
  </si>
  <si>
    <t>110111197610288024</t>
  </si>
  <si>
    <t>13601259952</t>
  </si>
  <si>
    <t>913号</t>
  </si>
  <si>
    <t>550803</t>
  </si>
  <si>
    <t>2003-22-P-05463</t>
  </si>
  <si>
    <t>郭江莲</t>
  </si>
  <si>
    <t>110108197501054220</t>
  </si>
  <si>
    <t>65082288--502</t>
  </si>
  <si>
    <t>512009</t>
  </si>
  <si>
    <t>2003-22-P-05464</t>
  </si>
  <si>
    <t>杨先川</t>
  </si>
  <si>
    <t>460032751102001</t>
  </si>
  <si>
    <t>13681101177</t>
  </si>
  <si>
    <t>307873</t>
  </si>
  <si>
    <t>2003-22-P-05465</t>
  </si>
  <si>
    <t>王燕</t>
  </si>
  <si>
    <t>320926750904204</t>
  </si>
  <si>
    <t>13651321568</t>
  </si>
  <si>
    <t>564701</t>
  </si>
  <si>
    <t>2003-22-P-05487-M</t>
    <phoneticPr fontId="5" type="noConversion"/>
  </si>
  <si>
    <t>孙卓</t>
    <phoneticPr fontId="5" type="noConversion"/>
  </si>
  <si>
    <t>422725791024004</t>
    <phoneticPr fontId="5" type="noConversion"/>
  </si>
  <si>
    <t>13911793180、62613875</t>
    <phoneticPr fontId="5" type="noConversion"/>
  </si>
  <si>
    <t>1119号</t>
    <phoneticPr fontId="5" type="noConversion"/>
  </si>
  <si>
    <t>562983</t>
    <phoneticPr fontId="5" type="noConversion"/>
  </si>
  <si>
    <t>张益纯</t>
    <phoneticPr fontId="5" type="noConversion"/>
  </si>
  <si>
    <t>2003-22-P-05493</t>
    <phoneticPr fontId="5" type="noConversion"/>
  </si>
  <si>
    <t>武三星、熊瑛</t>
    <phoneticPr fontId="5" type="noConversion"/>
  </si>
  <si>
    <t>110108580426639、110108681113142</t>
    <phoneticPr fontId="5" type="noConversion"/>
  </si>
  <si>
    <t>527750</t>
    <phoneticPr fontId="5" type="noConversion"/>
  </si>
  <si>
    <t>1102261089510</t>
    <phoneticPr fontId="5" type="noConversion"/>
  </si>
  <si>
    <t>2003-22-P-05499</t>
  </si>
  <si>
    <t>陈群</t>
    <phoneticPr fontId="5" type="noConversion"/>
  </si>
  <si>
    <t>320928197712074932</t>
    <phoneticPr fontId="5" type="noConversion"/>
  </si>
  <si>
    <t>13911292799</t>
    <phoneticPr fontId="5" type="noConversion"/>
  </si>
  <si>
    <t>16层</t>
    <phoneticPr fontId="5" type="noConversion"/>
  </si>
  <si>
    <t>1609号</t>
    <phoneticPr fontId="5" type="noConversion"/>
  </si>
  <si>
    <t>307741</t>
    <phoneticPr fontId="5" type="noConversion"/>
  </si>
  <si>
    <t>2003-22-P-05500</t>
    <phoneticPr fontId="5" type="noConversion"/>
  </si>
  <si>
    <t>高保华</t>
    <phoneticPr fontId="5" type="noConversion"/>
  </si>
  <si>
    <t>110108620324602</t>
    <phoneticPr fontId="5" type="noConversion"/>
  </si>
  <si>
    <t>13701073554</t>
    <phoneticPr fontId="5" type="noConversion"/>
  </si>
  <si>
    <t>7层</t>
    <phoneticPr fontId="5" type="noConversion"/>
  </si>
  <si>
    <t>547556</t>
    <phoneticPr fontId="5" type="noConversion"/>
  </si>
  <si>
    <t>2003-22-P-05502</t>
  </si>
  <si>
    <t>关忠全</t>
    <phoneticPr fontId="5" type="noConversion"/>
  </si>
  <si>
    <t>612525197511225634</t>
    <phoneticPr fontId="5" type="noConversion"/>
  </si>
  <si>
    <t>2003-22-P-05503</t>
    <phoneticPr fontId="5" type="noConversion"/>
  </si>
  <si>
    <t>汪俊宇</t>
    <phoneticPr fontId="5" type="noConversion"/>
  </si>
  <si>
    <t>413027197601271115</t>
    <phoneticPr fontId="5" type="noConversion"/>
  </si>
  <si>
    <t>7幢</t>
    <phoneticPr fontId="5" type="noConversion"/>
  </si>
  <si>
    <t>1406号</t>
    <phoneticPr fontId="5" type="noConversion"/>
  </si>
  <si>
    <t>2003-22-P-05504</t>
    <phoneticPr fontId="5" type="noConversion"/>
  </si>
  <si>
    <t>李迅</t>
    <phoneticPr fontId="5" type="noConversion"/>
  </si>
  <si>
    <t>362185197810210028</t>
    <phoneticPr fontId="5" type="noConversion"/>
  </si>
  <si>
    <t>609号</t>
    <phoneticPr fontId="5" type="noConversion"/>
  </si>
  <si>
    <t>门头沟区石龙工业区龙园路10-25号</t>
    <phoneticPr fontId="5" type="noConversion"/>
  </si>
  <si>
    <t>刘剑澎</t>
    <phoneticPr fontId="5" type="noConversion"/>
  </si>
  <si>
    <t>110103660317063</t>
    <phoneticPr fontId="5" type="noConversion"/>
  </si>
  <si>
    <t>13511082415</t>
    <phoneticPr fontId="5" type="noConversion"/>
  </si>
  <si>
    <t>12I号</t>
    <phoneticPr fontId="5" type="noConversion"/>
  </si>
  <si>
    <t>北京隆鑫园房地产有限公司</t>
    <phoneticPr fontId="5" type="noConversion"/>
  </si>
  <si>
    <t>522852</t>
    <phoneticPr fontId="5" type="noConversion"/>
  </si>
  <si>
    <t>北京隆鑫园房地产有限公司</t>
    <phoneticPr fontId="5" type="noConversion"/>
  </si>
  <si>
    <t>北京市大兴区榆垡镇今荣街69号</t>
    <phoneticPr fontId="5" type="noConversion"/>
  </si>
  <si>
    <t>1100001324331（1-1）</t>
    <phoneticPr fontId="5" type="noConversion"/>
  </si>
  <si>
    <t>黄涛</t>
    <phoneticPr fontId="5" type="noConversion"/>
  </si>
  <si>
    <t>2003-22-P-05533</t>
    <phoneticPr fontId="5" type="noConversion"/>
  </si>
  <si>
    <t>冯保华</t>
    <phoneticPr fontId="5" type="noConversion"/>
  </si>
  <si>
    <t>110104561007163</t>
    <phoneticPr fontId="5" type="noConversion"/>
  </si>
  <si>
    <t>9幢</t>
    <phoneticPr fontId="5" type="noConversion"/>
  </si>
  <si>
    <t>701号</t>
    <phoneticPr fontId="5" type="noConversion"/>
  </si>
  <si>
    <t>1100001517882</t>
    <phoneticPr fontId="5" type="noConversion"/>
  </si>
  <si>
    <t>2003-22-P-05535</t>
    <phoneticPr fontId="5" type="noConversion"/>
  </si>
  <si>
    <t>高海荣</t>
    <phoneticPr fontId="5" type="noConversion"/>
  </si>
  <si>
    <t>110108640409542</t>
    <phoneticPr fontId="5" type="noConversion"/>
  </si>
  <si>
    <t>82327698</t>
    <phoneticPr fontId="5" type="noConversion"/>
  </si>
  <si>
    <t>2层</t>
    <phoneticPr fontId="5" type="noConversion"/>
  </si>
  <si>
    <t>222号</t>
    <phoneticPr fontId="5" type="noConversion"/>
  </si>
  <si>
    <t>527050</t>
    <phoneticPr fontId="5" type="noConversion"/>
  </si>
  <si>
    <t>2003-22-P-05537</t>
    <phoneticPr fontId="5" type="noConversion"/>
  </si>
  <si>
    <t>孙红岩</t>
    <phoneticPr fontId="5" type="noConversion"/>
  </si>
  <si>
    <t>230229780410482</t>
    <phoneticPr fontId="5" type="noConversion"/>
  </si>
  <si>
    <t>2003-3-D1-02959</t>
    <phoneticPr fontId="5" type="noConversion"/>
  </si>
  <si>
    <t>北京市密云县工业开发区水源路乙140</t>
    <phoneticPr fontId="5" type="noConversion"/>
  </si>
  <si>
    <t>2003-22-P-05544</t>
    <phoneticPr fontId="5" type="noConversion"/>
  </si>
  <si>
    <t>韩占峰</t>
    <phoneticPr fontId="5" type="noConversion"/>
  </si>
  <si>
    <t>130103740208001</t>
    <phoneticPr fontId="5" type="noConversion"/>
  </si>
  <si>
    <t>13611025543</t>
    <phoneticPr fontId="5" type="noConversion"/>
  </si>
  <si>
    <t>905号</t>
    <phoneticPr fontId="5" type="noConversion"/>
  </si>
  <si>
    <t>555870</t>
    <phoneticPr fontId="5" type="noConversion"/>
  </si>
  <si>
    <t>2003-22-P-05545</t>
    <phoneticPr fontId="5" type="noConversion"/>
  </si>
  <si>
    <t>何平</t>
    <phoneticPr fontId="5" type="noConversion"/>
  </si>
  <si>
    <t>110108780123632</t>
    <phoneticPr fontId="5" type="noConversion"/>
  </si>
  <si>
    <t>13641166101、62986688转5641</t>
    <phoneticPr fontId="5" type="noConversion"/>
  </si>
  <si>
    <t>16#幢</t>
    <phoneticPr fontId="5" type="noConversion"/>
  </si>
  <si>
    <t>1415号</t>
    <phoneticPr fontId="5" type="noConversion"/>
  </si>
  <si>
    <t>550629</t>
    <phoneticPr fontId="5" type="noConversion"/>
  </si>
  <si>
    <t>2003-22-P-05548</t>
    <phoneticPr fontId="5" type="noConversion"/>
  </si>
  <si>
    <t>汪本奎</t>
    <phoneticPr fontId="5" type="noConversion"/>
  </si>
  <si>
    <t>422801197804021619</t>
    <phoneticPr fontId="5" type="noConversion"/>
  </si>
  <si>
    <t>13311216450</t>
    <phoneticPr fontId="5" type="noConversion"/>
  </si>
  <si>
    <t>16号楼</t>
    <phoneticPr fontId="5" type="noConversion"/>
  </si>
  <si>
    <t>1915号</t>
    <phoneticPr fontId="5" type="noConversion"/>
  </si>
  <si>
    <t>550668</t>
    <phoneticPr fontId="5" type="noConversion"/>
  </si>
  <si>
    <t>2003-22-P-05554</t>
    <phoneticPr fontId="5" type="noConversion"/>
  </si>
  <si>
    <t>张平</t>
    <phoneticPr fontId="5" type="noConversion"/>
  </si>
  <si>
    <t>110108780520343</t>
    <phoneticPr fontId="5" type="noConversion"/>
  </si>
  <si>
    <t>88122645、13021951202</t>
    <phoneticPr fontId="5" type="noConversion"/>
  </si>
  <si>
    <t>5门</t>
    <phoneticPr fontId="5" type="noConversion"/>
  </si>
  <si>
    <t>北京市海淀区玉渊潭农工商总公司</t>
    <phoneticPr fontId="5" type="noConversion"/>
  </si>
  <si>
    <t>二室一厅二卫一厨</t>
    <phoneticPr fontId="5" type="noConversion"/>
  </si>
  <si>
    <t>2003-22-P-05563</t>
    <phoneticPr fontId="5" type="noConversion"/>
  </si>
  <si>
    <t>赵广立</t>
    <phoneticPr fontId="5" type="noConversion"/>
  </si>
  <si>
    <t>110108540504233</t>
    <phoneticPr fontId="5" type="noConversion"/>
  </si>
  <si>
    <t>19#幢</t>
    <phoneticPr fontId="5" type="noConversion"/>
  </si>
  <si>
    <t>709A号</t>
    <phoneticPr fontId="5" type="noConversion"/>
  </si>
  <si>
    <t>2003-3-D1-02967</t>
    <phoneticPr fontId="5" type="noConversion"/>
  </si>
  <si>
    <t>2003-22-P-05573</t>
    <phoneticPr fontId="5" type="noConversion"/>
  </si>
  <si>
    <t>王浩</t>
    <phoneticPr fontId="5" type="noConversion"/>
  </si>
  <si>
    <t>110221740107003</t>
    <phoneticPr fontId="5" type="noConversion"/>
  </si>
  <si>
    <t>13601223413</t>
    <phoneticPr fontId="5" type="noConversion"/>
  </si>
  <si>
    <t>738号</t>
    <phoneticPr fontId="5" type="noConversion"/>
  </si>
  <si>
    <t>536611</t>
    <phoneticPr fontId="5" type="noConversion"/>
  </si>
  <si>
    <t>2003-22-P-05591</t>
    <phoneticPr fontId="5" type="noConversion"/>
  </si>
  <si>
    <t>于学良</t>
    <phoneticPr fontId="5" type="noConversion"/>
  </si>
  <si>
    <t>210112197707214013</t>
    <phoneticPr fontId="5" type="noConversion"/>
  </si>
  <si>
    <t>13651332251</t>
    <phoneticPr fontId="5" type="noConversion"/>
  </si>
  <si>
    <t>A12b幢</t>
    <phoneticPr fontId="5" type="noConversion"/>
  </si>
  <si>
    <t>2003-3-D1-02973</t>
    <phoneticPr fontId="5" type="noConversion"/>
  </si>
  <si>
    <t>559993</t>
    <phoneticPr fontId="5" type="noConversion"/>
  </si>
  <si>
    <t>2003-22-P-05599</t>
    <phoneticPr fontId="5" type="noConversion"/>
  </si>
  <si>
    <t>任宝茹</t>
    <phoneticPr fontId="5" type="noConversion"/>
  </si>
  <si>
    <t>410102197310191022</t>
    <phoneticPr fontId="5" type="noConversion"/>
  </si>
  <si>
    <t>13901098696</t>
    <phoneticPr fontId="5" type="noConversion"/>
  </si>
  <si>
    <t>903号</t>
    <phoneticPr fontId="5" type="noConversion"/>
  </si>
  <si>
    <t>558742</t>
    <phoneticPr fontId="5" type="noConversion"/>
  </si>
  <si>
    <t>2003-22-P-05602</t>
    <phoneticPr fontId="5" type="noConversion"/>
  </si>
  <si>
    <t>许冷</t>
    <phoneticPr fontId="5" type="noConversion"/>
  </si>
  <si>
    <t>110224196606195821</t>
    <phoneticPr fontId="5" type="noConversion"/>
  </si>
  <si>
    <t>13021088887</t>
    <phoneticPr fontId="5" type="noConversion"/>
  </si>
  <si>
    <t>4幢</t>
    <phoneticPr fontId="5" type="noConversion"/>
  </si>
  <si>
    <t>321766</t>
    <phoneticPr fontId="5" type="noConversion"/>
  </si>
  <si>
    <t>2003-22-P-05607-M</t>
    <phoneticPr fontId="5" type="noConversion"/>
  </si>
  <si>
    <t>钱李洵</t>
    <phoneticPr fontId="5" type="noConversion"/>
  </si>
  <si>
    <t>210902770422401</t>
    <phoneticPr fontId="5" type="noConversion"/>
  </si>
  <si>
    <t>13001950047</t>
    <phoneticPr fontId="5" type="noConversion"/>
  </si>
  <si>
    <t>10层</t>
    <phoneticPr fontId="5" type="noConversion"/>
  </si>
  <si>
    <t>1021号</t>
    <phoneticPr fontId="5" type="noConversion"/>
  </si>
  <si>
    <t>562954</t>
    <phoneticPr fontId="5" type="noConversion"/>
  </si>
  <si>
    <t>2003-22-P-05609</t>
    <phoneticPr fontId="5" type="noConversion"/>
  </si>
  <si>
    <t>陈伏英</t>
    <phoneticPr fontId="5" type="noConversion"/>
  </si>
  <si>
    <t>120104660812684</t>
    <phoneticPr fontId="5" type="noConversion"/>
  </si>
  <si>
    <t>13683380775</t>
    <phoneticPr fontId="5" type="noConversion"/>
  </si>
  <si>
    <t>9#幢</t>
    <phoneticPr fontId="5" type="noConversion"/>
  </si>
  <si>
    <t>6F号</t>
    <phoneticPr fontId="5" type="noConversion"/>
  </si>
  <si>
    <t>555079</t>
    <phoneticPr fontId="5" type="noConversion"/>
  </si>
  <si>
    <t>2003-22-P-05617</t>
    <phoneticPr fontId="5" type="noConversion"/>
  </si>
  <si>
    <t>谢涛</t>
    <phoneticPr fontId="5" type="noConversion"/>
  </si>
  <si>
    <t>510525197705200034</t>
    <phoneticPr fontId="5" type="noConversion"/>
  </si>
  <si>
    <t>13661374660</t>
    <phoneticPr fontId="5" type="noConversion"/>
  </si>
  <si>
    <t>611号</t>
    <phoneticPr fontId="5" type="noConversion"/>
  </si>
  <si>
    <t>550656</t>
    <phoneticPr fontId="5" type="noConversion"/>
  </si>
  <si>
    <t>2003-22-P-05623</t>
    <phoneticPr fontId="5" type="noConversion"/>
  </si>
  <si>
    <t>董学成、陈媛</t>
    <phoneticPr fontId="5" type="noConversion"/>
  </si>
  <si>
    <t>130102570912151、110225570817034</t>
    <phoneticPr fontId="5" type="noConversion"/>
  </si>
  <si>
    <t>13651036918</t>
    <phoneticPr fontId="5" type="noConversion"/>
  </si>
  <si>
    <t>550627</t>
    <phoneticPr fontId="5" type="noConversion"/>
  </si>
  <si>
    <t>2003-22-P-05627</t>
    <phoneticPr fontId="5" type="noConversion"/>
  </si>
  <si>
    <t>孙秀芳</t>
    <phoneticPr fontId="5" type="noConversion"/>
  </si>
  <si>
    <t>150202197611302429</t>
    <phoneticPr fontId="5" type="noConversion"/>
  </si>
  <si>
    <t>13641381024、51685380</t>
    <phoneticPr fontId="5" type="noConversion"/>
  </si>
  <si>
    <t>北下关净土寺28号（立业人家）</t>
    <phoneticPr fontId="5" type="noConversion"/>
  </si>
  <si>
    <t>B2号</t>
    <phoneticPr fontId="5" type="noConversion"/>
  </si>
  <si>
    <t>北京立业房地产开发有限公司</t>
    <phoneticPr fontId="5" type="noConversion"/>
  </si>
  <si>
    <t>570765</t>
    <phoneticPr fontId="5" type="noConversion"/>
  </si>
  <si>
    <t>北京市平谷区滨河工业开发区2区58号</t>
    <phoneticPr fontId="5" type="noConversion"/>
  </si>
  <si>
    <t>1102262271655（1-1）</t>
    <phoneticPr fontId="5" type="noConversion"/>
  </si>
  <si>
    <t>潘军</t>
    <phoneticPr fontId="5" type="noConversion"/>
  </si>
  <si>
    <t>2003-22-P-05629</t>
    <phoneticPr fontId="5" type="noConversion"/>
  </si>
  <si>
    <t>董霖</t>
    <phoneticPr fontId="5" type="noConversion"/>
  </si>
  <si>
    <t>370902197308311823</t>
    <phoneticPr fontId="5" type="noConversion"/>
  </si>
  <si>
    <t>13911316013</t>
    <phoneticPr fontId="5" type="noConversion"/>
  </si>
  <si>
    <t>547895</t>
    <phoneticPr fontId="5" type="noConversion"/>
  </si>
  <si>
    <t>2003-22-P-05631-M</t>
    <phoneticPr fontId="5" type="noConversion"/>
  </si>
  <si>
    <t>李诺</t>
    <phoneticPr fontId="5" type="noConversion"/>
  </si>
  <si>
    <t>110102710707235</t>
    <phoneticPr fontId="5" type="noConversion"/>
  </si>
  <si>
    <t>13801390982、68013695</t>
    <phoneticPr fontId="5" type="noConversion"/>
  </si>
  <si>
    <t>北洼路车道沟南里北洼路住宅楼(财智公馆)</t>
    <phoneticPr fontId="5" type="noConversion"/>
  </si>
  <si>
    <t>829号</t>
    <phoneticPr fontId="5" type="noConversion"/>
  </si>
  <si>
    <t>一室一卫一厨</t>
    <phoneticPr fontId="5" type="noConversion"/>
  </si>
  <si>
    <t>501628</t>
    <phoneticPr fontId="5" type="noConversion"/>
  </si>
  <si>
    <t>2003-22-P-05634</t>
    <phoneticPr fontId="5" type="noConversion"/>
  </si>
  <si>
    <t>熊新</t>
    <phoneticPr fontId="5" type="noConversion"/>
  </si>
  <si>
    <t>612301197312302615</t>
    <phoneticPr fontId="5" type="noConversion"/>
  </si>
  <si>
    <t>13521460739、82029090-3146</t>
    <phoneticPr fontId="5" type="noConversion"/>
  </si>
  <si>
    <t>549320</t>
    <phoneticPr fontId="5" type="noConversion"/>
  </si>
  <si>
    <t>2003-22-P-05636</t>
    <phoneticPr fontId="5" type="noConversion"/>
  </si>
  <si>
    <t>陈昊</t>
    <phoneticPr fontId="5" type="noConversion"/>
  </si>
  <si>
    <t>110108197206172216</t>
    <phoneticPr fontId="5" type="noConversion"/>
  </si>
  <si>
    <t>13601227764</t>
    <phoneticPr fontId="5" type="noConversion"/>
  </si>
  <si>
    <t>548235</t>
    <phoneticPr fontId="5" type="noConversion"/>
  </si>
  <si>
    <t>2003-22-P-05647</t>
    <phoneticPr fontId="5" type="noConversion"/>
  </si>
  <si>
    <t>顿超</t>
    <phoneticPr fontId="5" type="noConversion"/>
  </si>
  <si>
    <t>13010419771020182X</t>
    <phoneticPr fontId="5" type="noConversion"/>
  </si>
  <si>
    <t>13671166877</t>
    <phoneticPr fontId="5" type="noConversion"/>
  </si>
  <si>
    <t>1层</t>
    <phoneticPr fontId="5" type="noConversion"/>
  </si>
  <si>
    <t>03号</t>
    <phoneticPr fontId="5" type="noConversion"/>
  </si>
  <si>
    <t>547463</t>
    <phoneticPr fontId="5" type="noConversion"/>
  </si>
  <si>
    <t>2003-22-P-05666</t>
    <phoneticPr fontId="5" type="noConversion"/>
  </si>
  <si>
    <t>王文平</t>
    <phoneticPr fontId="5" type="noConversion"/>
  </si>
  <si>
    <t>110108197407283721</t>
    <phoneticPr fontId="5" type="noConversion"/>
  </si>
  <si>
    <t>13910917020</t>
    <phoneticPr fontId="5" type="noConversion"/>
  </si>
  <si>
    <t>2003-3-D1-02974</t>
    <phoneticPr fontId="5" type="noConversion"/>
  </si>
  <si>
    <t>299446</t>
    <phoneticPr fontId="5" type="noConversion"/>
  </si>
  <si>
    <t>2003-22-P-05668</t>
    <phoneticPr fontId="5" type="noConversion"/>
  </si>
  <si>
    <t>黄立松</t>
    <phoneticPr fontId="5" type="noConversion"/>
  </si>
  <si>
    <t>220402750119501</t>
    <phoneticPr fontId="5" type="noConversion"/>
  </si>
  <si>
    <t>13301296507</t>
    <phoneticPr fontId="5" type="noConversion"/>
  </si>
  <si>
    <t>东升乡马坊村宝盛里</t>
    <phoneticPr fontId="5" type="noConversion"/>
  </si>
  <si>
    <t>变更</t>
    <phoneticPr fontId="5" type="noConversion"/>
  </si>
  <si>
    <t>居住地名</t>
    <phoneticPr fontId="5" type="noConversion"/>
  </si>
  <si>
    <t>556779</t>
    <phoneticPr fontId="5" type="noConversion"/>
  </si>
  <si>
    <t>2003-22-P-05691</t>
  </si>
  <si>
    <t>张则</t>
    <phoneticPr fontId="5" type="noConversion"/>
  </si>
  <si>
    <t>330106731103047</t>
    <phoneticPr fontId="5" type="noConversion"/>
  </si>
  <si>
    <t>13701092337</t>
    <phoneticPr fontId="5" type="noConversion"/>
  </si>
  <si>
    <t>307707</t>
    <phoneticPr fontId="5" type="noConversion"/>
  </si>
  <si>
    <t>2003-22-P-05692-U</t>
    <phoneticPr fontId="5" type="noConversion"/>
  </si>
  <si>
    <t>潘玉文</t>
    <phoneticPr fontId="5" type="noConversion"/>
  </si>
  <si>
    <t>110108611010605</t>
    <phoneticPr fontId="5" type="noConversion"/>
  </si>
  <si>
    <t>13641015511、88260337</t>
    <phoneticPr fontId="5" type="noConversion"/>
  </si>
  <si>
    <r>
      <t>玉海园一里</t>
    </r>
    <r>
      <rPr>
        <sz val="10"/>
        <rFont val="Times New Roman"/>
        <family val="1"/>
      </rPr>
      <t/>
    </r>
    <phoneticPr fontId="5" type="noConversion"/>
  </si>
  <si>
    <t>11号楼</t>
    <phoneticPr fontId="5" type="noConversion"/>
  </si>
  <si>
    <t>420000（含10平方米地下室）</t>
    <phoneticPr fontId="5" type="noConversion"/>
  </si>
  <si>
    <t>吴薇</t>
    <phoneticPr fontId="5" type="noConversion"/>
  </si>
  <si>
    <t>杨福林</t>
    <phoneticPr fontId="5" type="noConversion"/>
  </si>
  <si>
    <t>不含税费、总价42万含地下室（地下室买价1万元）</t>
    <phoneticPr fontId="5" type="noConversion"/>
  </si>
  <si>
    <t>2003-22-P-05698-M</t>
    <phoneticPr fontId="5" type="noConversion"/>
  </si>
  <si>
    <t>肖凯军、韩蕾</t>
    <phoneticPr fontId="5" type="noConversion"/>
  </si>
  <si>
    <t>110108730214733、110108710505924</t>
    <phoneticPr fontId="5" type="noConversion"/>
  </si>
  <si>
    <t>13611104367</t>
    <phoneticPr fontId="5" type="noConversion"/>
  </si>
  <si>
    <t>817号</t>
    <phoneticPr fontId="5" type="noConversion"/>
  </si>
  <si>
    <t>2003-3-D1-02976</t>
    <phoneticPr fontId="5" type="noConversion"/>
  </si>
  <si>
    <t>501655</t>
    <phoneticPr fontId="5" type="noConversion"/>
  </si>
  <si>
    <t>2003-22-P-05703</t>
    <phoneticPr fontId="5" type="noConversion"/>
  </si>
  <si>
    <t>杜海亮</t>
    <phoneticPr fontId="5" type="noConversion"/>
  </si>
  <si>
    <t>142427770107421</t>
    <phoneticPr fontId="5" type="noConversion"/>
  </si>
  <si>
    <t>13301152068</t>
    <phoneticPr fontId="5" type="noConversion"/>
  </si>
  <si>
    <t>1207号</t>
    <phoneticPr fontId="5" type="noConversion"/>
  </si>
  <si>
    <t>307709</t>
    <phoneticPr fontId="5" type="noConversion"/>
  </si>
  <si>
    <t>2003-22-P-05706</t>
  </si>
  <si>
    <t>刘学芬</t>
    <phoneticPr fontId="5" type="noConversion"/>
  </si>
  <si>
    <t>110102600830194</t>
    <phoneticPr fontId="5" type="noConversion"/>
  </si>
  <si>
    <t>13641015574</t>
    <phoneticPr fontId="5" type="noConversion"/>
  </si>
  <si>
    <t>B座</t>
    <phoneticPr fontId="5" type="noConversion"/>
  </si>
  <si>
    <t>1017号</t>
    <phoneticPr fontId="5" type="noConversion"/>
  </si>
  <si>
    <t>北京住房公积金管理中心宣武第二管理部</t>
    <phoneticPr fontId="5" type="noConversion"/>
  </si>
  <si>
    <t>536419</t>
    <phoneticPr fontId="5" type="noConversion"/>
  </si>
  <si>
    <t>2003-22-P-05725</t>
    <phoneticPr fontId="5" type="noConversion"/>
  </si>
  <si>
    <t>周诺</t>
    <phoneticPr fontId="5" type="noConversion"/>
  </si>
  <si>
    <t>110111741217801</t>
    <phoneticPr fontId="5" type="noConversion"/>
  </si>
  <si>
    <t>18#幢</t>
    <phoneticPr fontId="5" type="noConversion"/>
  </si>
  <si>
    <t>2206号</t>
    <phoneticPr fontId="5" type="noConversion"/>
  </si>
  <si>
    <t>2003-3-D1-02977</t>
    <phoneticPr fontId="5" type="noConversion"/>
  </si>
  <si>
    <t>2003-22-P-05743</t>
    <phoneticPr fontId="5" type="noConversion"/>
  </si>
  <si>
    <t>张良琛</t>
    <phoneticPr fontId="5" type="noConversion"/>
  </si>
  <si>
    <t>420111730520739</t>
    <phoneticPr fontId="5" type="noConversion"/>
  </si>
  <si>
    <t>13910423438、63960088--3021</t>
    <phoneticPr fontId="5" type="noConversion"/>
  </si>
  <si>
    <t>34幢</t>
    <phoneticPr fontId="5" type="noConversion"/>
  </si>
  <si>
    <t>北京住房公积金管理中心丰台第一管理部</t>
    <phoneticPr fontId="5" type="noConversion"/>
  </si>
  <si>
    <t>561526</t>
    <phoneticPr fontId="5" type="noConversion"/>
  </si>
  <si>
    <t>2003-22-P-05754-M</t>
    <phoneticPr fontId="5" type="noConversion"/>
  </si>
  <si>
    <t>吕雯</t>
    <phoneticPr fontId="5" type="noConversion"/>
  </si>
  <si>
    <t>110102710917112</t>
    <phoneticPr fontId="5" type="noConversion"/>
  </si>
  <si>
    <t>13911839018</t>
    <phoneticPr fontId="5" type="noConversion"/>
  </si>
  <si>
    <t>1116号</t>
    <phoneticPr fontId="5" type="noConversion"/>
  </si>
  <si>
    <t>554899</t>
    <phoneticPr fontId="5" type="noConversion"/>
  </si>
  <si>
    <t>2003-22-P-05755</t>
    <phoneticPr fontId="5" type="noConversion"/>
  </si>
  <si>
    <t>陈丽杰</t>
    <phoneticPr fontId="5" type="noConversion"/>
  </si>
  <si>
    <t>210726740904652</t>
    <phoneticPr fontId="5" type="noConversion"/>
  </si>
  <si>
    <t>13611253650</t>
    <phoneticPr fontId="5" type="noConversion"/>
  </si>
  <si>
    <t>1012号</t>
    <phoneticPr fontId="5" type="noConversion"/>
  </si>
  <si>
    <t>536614</t>
    <phoneticPr fontId="5" type="noConversion"/>
  </si>
  <si>
    <t>2003-22-P-05756</t>
    <phoneticPr fontId="5" type="noConversion"/>
  </si>
  <si>
    <t>居茜</t>
    <phoneticPr fontId="5" type="noConversion"/>
  </si>
  <si>
    <t>310109197306254028</t>
    <phoneticPr fontId="5" type="noConversion"/>
  </si>
  <si>
    <t>13651041311</t>
    <phoneticPr fontId="5" type="noConversion"/>
  </si>
  <si>
    <t>1602号</t>
    <phoneticPr fontId="5" type="noConversion"/>
  </si>
  <si>
    <t>565216</t>
    <phoneticPr fontId="5" type="noConversion"/>
  </si>
  <si>
    <t>2003-22-P-05801</t>
    <phoneticPr fontId="5" type="noConversion"/>
  </si>
  <si>
    <t>左忠义</t>
    <phoneticPr fontId="5" type="noConversion"/>
  </si>
  <si>
    <t>370823710804483</t>
    <phoneticPr fontId="5" type="noConversion"/>
  </si>
  <si>
    <t>13910623511</t>
    <phoneticPr fontId="5" type="noConversion"/>
  </si>
  <si>
    <t>705号</t>
    <phoneticPr fontId="5" type="noConversion"/>
  </si>
  <si>
    <t>2003-3-D1-02983</t>
    <phoneticPr fontId="5" type="noConversion"/>
  </si>
  <si>
    <t>585332</t>
    <phoneticPr fontId="5" type="noConversion"/>
  </si>
  <si>
    <t>2003-22-P-05802</t>
    <phoneticPr fontId="5" type="noConversion"/>
  </si>
  <si>
    <t>王英</t>
    <phoneticPr fontId="5" type="noConversion"/>
  </si>
  <si>
    <t>450202197809160025</t>
    <phoneticPr fontId="5" type="noConversion"/>
  </si>
  <si>
    <t>王清福</t>
    <phoneticPr fontId="5" type="noConversion"/>
  </si>
  <si>
    <t>2003-22-P-05803</t>
  </si>
  <si>
    <t>王允升</t>
    <phoneticPr fontId="5" type="noConversion"/>
  </si>
  <si>
    <t>211421197510305011</t>
    <phoneticPr fontId="5" type="noConversion"/>
  </si>
  <si>
    <t>62043020-653</t>
    <phoneticPr fontId="5" type="noConversion"/>
  </si>
  <si>
    <t>5#幢</t>
    <phoneticPr fontId="5" type="noConversion"/>
  </si>
  <si>
    <t>1403号</t>
    <phoneticPr fontId="5" type="noConversion"/>
  </si>
  <si>
    <t>北京住房公积金管理中海淀第一管理部</t>
    <phoneticPr fontId="5" type="noConversion"/>
  </si>
  <si>
    <t>307817</t>
    <phoneticPr fontId="5" type="noConversion"/>
  </si>
  <si>
    <t>2003-22-P-05812</t>
    <phoneticPr fontId="5" type="noConversion"/>
  </si>
  <si>
    <t>王立众</t>
    <phoneticPr fontId="5" type="noConversion"/>
  </si>
  <si>
    <t>110108197209285718</t>
    <phoneticPr fontId="5" type="noConversion"/>
  </si>
  <si>
    <t>1604号</t>
    <phoneticPr fontId="5" type="noConversion"/>
  </si>
  <si>
    <t>2003-22-P-05813</t>
  </si>
  <si>
    <t>赵鹏</t>
    <phoneticPr fontId="5" type="noConversion"/>
  </si>
  <si>
    <t>210403197811070056</t>
    <phoneticPr fontId="5" type="noConversion"/>
  </si>
  <si>
    <t>13641182012</t>
    <phoneticPr fontId="5" type="noConversion"/>
  </si>
  <si>
    <t>565876</t>
    <phoneticPr fontId="5" type="noConversion"/>
  </si>
  <si>
    <t>2003-22-P-05818-M</t>
    <phoneticPr fontId="5" type="noConversion"/>
  </si>
  <si>
    <t>高华悦</t>
    <phoneticPr fontId="5" type="noConversion"/>
  </si>
  <si>
    <t>110102197308231944</t>
    <phoneticPr fontId="5" type="noConversion"/>
  </si>
  <si>
    <t>13801166916</t>
    <phoneticPr fontId="5" type="noConversion"/>
  </si>
  <si>
    <t>1408号</t>
    <phoneticPr fontId="5" type="noConversion"/>
  </si>
  <si>
    <t>554895</t>
    <phoneticPr fontId="5" type="noConversion"/>
  </si>
  <si>
    <t>1100001157549(1-1)</t>
    <phoneticPr fontId="5" type="noConversion"/>
  </si>
  <si>
    <t>宁军</t>
    <phoneticPr fontId="5" type="noConversion"/>
  </si>
  <si>
    <t>110108196109294719</t>
    <phoneticPr fontId="5" type="noConversion"/>
  </si>
  <si>
    <t>13701379226</t>
    <phoneticPr fontId="5" type="noConversion"/>
  </si>
  <si>
    <t>14层</t>
    <phoneticPr fontId="5" type="noConversion"/>
  </si>
  <si>
    <t>554896</t>
  </si>
  <si>
    <t>2003-22-P-05825</t>
    <phoneticPr fontId="5" type="noConversion"/>
  </si>
  <si>
    <t>周军</t>
    <phoneticPr fontId="5" type="noConversion"/>
  </si>
  <si>
    <t>320103700813203</t>
    <phoneticPr fontId="5" type="noConversion"/>
  </si>
  <si>
    <t>蓝靛厂居住区I地块蓝靛厂居住区（世纪城三期）春荫园</t>
    <phoneticPr fontId="5" type="noConversion"/>
  </si>
  <si>
    <t>5D号</t>
    <phoneticPr fontId="5" type="noConversion"/>
  </si>
  <si>
    <t>2003-3-D1-02985</t>
    <phoneticPr fontId="5" type="noConversion"/>
  </si>
  <si>
    <t>黄如论</t>
    <phoneticPr fontId="5" type="noConversion"/>
  </si>
  <si>
    <t>2003-22-P-05826-M</t>
    <phoneticPr fontId="5" type="noConversion"/>
  </si>
  <si>
    <t>李果锋</t>
    <phoneticPr fontId="5" type="noConversion"/>
  </si>
  <si>
    <t>110108760710183</t>
    <phoneticPr fontId="5" type="noConversion"/>
  </si>
  <si>
    <t>13501090510</t>
    <phoneticPr fontId="5" type="noConversion"/>
  </si>
  <si>
    <t>2003-3-D1-02986</t>
    <phoneticPr fontId="5" type="noConversion"/>
  </si>
  <si>
    <t>554852</t>
    <phoneticPr fontId="5" type="noConversion"/>
  </si>
  <si>
    <t>2003-22-P-05838</t>
    <phoneticPr fontId="5" type="noConversion"/>
  </si>
  <si>
    <t>唐岩丽</t>
    <phoneticPr fontId="5" type="noConversion"/>
  </si>
  <si>
    <t>412932197601161521</t>
    <phoneticPr fontId="5" type="noConversion"/>
  </si>
  <si>
    <t>13520680026</t>
    <phoneticPr fontId="5" type="noConversion"/>
  </si>
  <si>
    <t>4层</t>
    <phoneticPr fontId="5" type="noConversion"/>
  </si>
  <si>
    <t>406号</t>
    <phoneticPr fontId="5" type="noConversion"/>
  </si>
  <si>
    <t>北京住房公积金管理中心西城第一管理部</t>
    <phoneticPr fontId="5" type="noConversion"/>
  </si>
  <si>
    <t>515898</t>
    <phoneticPr fontId="5" type="noConversion"/>
  </si>
  <si>
    <t>2003-22-P-05841</t>
    <phoneticPr fontId="5" type="noConversion"/>
  </si>
  <si>
    <t>付庆春</t>
    <phoneticPr fontId="5" type="noConversion"/>
  </si>
  <si>
    <t>110108660312041</t>
    <phoneticPr fontId="5" type="noConversion"/>
  </si>
  <si>
    <t>13681094356、62876115</t>
    <phoneticPr fontId="5" type="noConversion"/>
  </si>
  <si>
    <t>北京住房公积金管理中心丰台第一管理部</t>
    <phoneticPr fontId="5" type="noConversion"/>
  </si>
  <si>
    <t>559998</t>
    <phoneticPr fontId="5" type="noConversion"/>
  </si>
  <si>
    <t>2003-22-P-05842</t>
    <phoneticPr fontId="5" type="noConversion"/>
  </si>
  <si>
    <t>王永旺</t>
    <phoneticPr fontId="5" type="noConversion"/>
  </si>
  <si>
    <t>110106194810071810</t>
    <phoneticPr fontId="5" type="noConversion"/>
  </si>
  <si>
    <t>13031019629、83385543</t>
    <phoneticPr fontId="5" type="noConversion"/>
  </si>
  <si>
    <t>565201</t>
    <phoneticPr fontId="5" type="noConversion"/>
  </si>
  <si>
    <t>2003-22-P-05855</t>
    <phoneticPr fontId="5" type="noConversion"/>
  </si>
  <si>
    <t>贺克芬</t>
    <phoneticPr fontId="5" type="noConversion"/>
  </si>
  <si>
    <t>610103196908083797</t>
    <phoneticPr fontId="5" type="noConversion"/>
  </si>
  <si>
    <t>13301216523</t>
    <phoneticPr fontId="5" type="noConversion"/>
  </si>
  <si>
    <t>A6座</t>
    <phoneticPr fontId="5" type="noConversion"/>
  </si>
  <si>
    <t>581638</t>
    <phoneticPr fontId="5" type="noConversion"/>
  </si>
  <si>
    <t>2003-22-P-05872</t>
    <phoneticPr fontId="5" type="noConversion"/>
  </si>
  <si>
    <t>邓志伟</t>
    <phoneticPr fontId="5" type="noConversion"/>
  </si>
  <si>
    <t>230521197309260032</t>
    <phoneticPr fontId="5" type="noConversion"/>
  </si>
  <si>
    <t>13910334416</t>
    <phoneticPr fontId="5" type="noConversion"/>
  </si>
  <si>
    <t>16#楼</t>
    <phoneticPr fontId="5" type="noConversion"/>
  </si>
  <si>
    <t>550848</t>
    <phoneticPr fontId="5" type="noConversion"/>
  </si>
  <si>
    <t>2003-22-P-05881</t>
    <phoneticPr fontId="5" type="noConversion"/>
  </si>
  <si>
    <t>祝静</t>
    <phoneticPr fontId="5" type="noConversion"/>
  </si>
  <si>
    <t>110108570829224</t>
    <phoneticPr fontId="5" type="noConversion"/>
  </si>
  <si>
    <t>18幢</t>
    <phoneticPr fontId="5" type="noConversion"/>
  </si>
  <si>
    <t>309号</t>
    <phoneticPr fontId="5" type="noConversion"/>
  </si>
  <si>
    <t>2003-3-D1-02992</t>
    <phoneticPr fontId="5" type="noConversion"/>
  </si>
  <si>
    <t>2003-22-P-05882-M</t>
    <phoneticPr fontId="5" type="noConversion"/>
  </si>
  <si>
    <t>刘媛</t>
    <phoneticPr fontId="5" type="noConversion"/>
  </si>
  <si>
    <t>110108791030682</t>
    <phoneticPr fontId="5" type="noConversion"/>
  </si>
  <si>
    <t>13161169600</t>
    <phoneticPr fontId="5" type="noConversion"/>
  </si>
  <si>
    <t>808号</t>
    <phoneticPr fontId="5" type="noConversion"/>
  </si>
  <si>
    <t>2003-3-D1-02993</t>
    <phoneticPr fontId="5" type="noConversion"/>
  </si>
  <si>
    <t>501614</t>
    <phoneticPr fontId="5" type="noConversion"/>
  </si>
  <si>
    <t>2003-22-P-05891</t>
    <phoneticPr fontId="5" type="noConversion"/>
  </si>
  <si>
    <t>李细文</t>
    <phoneticPr fontId="5" type="noConversion"/>
  </si>
  <si>
    <t>441225197310040415</t>
    <phoneticPr fontId="5" type="noConversion"/>
  </si>
  <si>
    <t>13501374268</t>
    <phoneticPr fontId="5" type="noConversion"/>
  </si>
  <si>
    <t>A5座</t>
    <phoneticPr fontId="5" type="noConversion"/>
  </si>
  <si>
    <t>2003-3-D1-02995</t>
    <phoneticPr fontId="5" type="noConversion"/>
  </si>
  <si>
    <t>581464</t>
    <phoneticPr fontId="5" type="noConversion"/>
  </si>
  <si>
    <t>2003-22-P-05892</t>
    <phoneticPr fontId="5" type="noConversion"/>
  </si>
  <si>
    <t>曹巧珍</t>
    <phoneticPr fontId="5" type="noConversion"/>
  </si>
  <si>
    <t>110108770311634</t>
    <phoneticPr fontId="5" type="noConversion"/>
  </si>
  <si>
    <t>2003-3-D1-02996</t>
    <phoneticPr fontId="5" type="noConversion"/>
  </si>
  <si>
    <t>527761</t>
    <phoneticPr fontId="5" type="noConversion"/>
  </si>
  <si>
    <t>2003-22-P-05893</t>
    <phoneticPr fontId="5" type="noConversion"/>
  </si>
  <si>
    <t>仇志伟、仇丽</t>
    <phoneticPr fontId="5" type="noConversion"/>
  </si>
  <si>
    <t>110101480807405、110104197907160466</t>
    <phoneticPr fontId="5" type="noConversion"/>
  </si>
  <si>
    <t>8座</t>
  </si>
  <si>
    <t>十一</t>
    <phoneticPr fontId="5" type="noConversion"/>
  </si>
  <si>
    <t>2003-3-D1-02997</t>
    <phoneticPr fontId="5" type="noConversion"/>
  </si>
  <si>
    <t>2003-22-P-05895-M</t>
    <phoneticPr fontId="5" type="noConversion"/>
  </si>
  <si>
    <t>白东梅</t>
    <phoneticPr fontId="5" type="noConversion"/>
  </si>
  <si>
    <t>372501741211242</t>
    <phoneticPr fontId="5" type="noConversion"/>
  </si>
  <si>
    <t>13910299562</t>
    <phoneticPr fontId="5" type="noConversion"/>
  </si>
  <si>
    <t>十二</t>
    <phoneticPr fontId="5" type="noConversion"/>
  </si>
  <si>
    <t>501652</t>
    <phoneticPr fontId="5" type="noConversion"/>
  </si>
  <si>
    <t>张笠纯</t>
    <phoneticPr fontId="5" type="noConversion"/>
  </si>
  <si>
    <t>2003-22-P-05901</t>
    <phoneticPr fontId="5" type="noConversion"/>
  </si>
  <si>
    <t>苏洋</t>
    <phoneticPr fontId="5" type="noConversion"/>
  </si>
  <si>
    <t>230103197611130322</t>
    <phoneticPr fontId="5" type="noConversion"/>
  </si>
  <si>
    <t>1103号</t>
    <phoneticPr fontId="5" type="noConversion"/>
  </si>
  <si>
    <t>竣工待验收</t>
    <phoneticPr fontId="5" type="noConversion"/>
  </si>
  <si>
    <t>北京市西城区西海北沿20号</t>
    <phoneticPr fontId="5" type="noConversion"/>
  </si>
  <si>
    <t>2003-22-P-05902</t>
    <phoneticPr fontId="5" type="noConversion"/>
  </si>
  <si>
    <t>肖军</t>
    <phoneticPr fontId="5" type="noConversion"/>
  </si>
  <si>
    <t>412721197609061025</t>
    <phoneticPr fontId="5" type="noConversion"/>
  </si>
  <si>
    <t>竣工待验收</t>
    <phoneticPr fontId="5" type="noConversion"/>
  </si>
  <si>
    <t>2003-22-P-05906</t>
  </si>
  <si>
    <t>薛珍珠</t>
    <phoneticPr fontId="5" type="noConversion"/>
  </si>
  <si>
    <t>612102730212314</t>
    <phoneticPr fontId="5" type="noConversion"/>
  </si>
  <si>
    <t>13601357016</t>
    <phoneticPr fontId="5" type="noConversion"/>
  </si>
  <si>
    <t>2003号</t>
    <phoneticPr fontId="5" type="noConversion"/>
  </si>
  <si>
    <t>549315</t>
    <phoneticPr fontId="5" type="noConversion"/>
  </si>
  <si>
    <t>2003-22-P-05907</t>
    <phoneticPr fontId="5" type="noConversion"/>
  </si>
  <si>
    <t>张涛</t>
    <phoneticPr fontId="5" type="noConversion"/>
  </si>
  <si>
    <t>110108731219183</t>
    <phoneticPr fontId="5" type="noConversion"/>
  </si>
  <si>
    <t>810号</t>
    <phoneticPr fontId="5" type="noConversion"/>
  </si>
  <si>
    <t>2003-3-D1-02998</t>
    <phoneticPr fontId="5" type="noConversion"/>
  </si>
  <si>
    <t>2003-22-P-05908-M</t>
    <phoneticPr fontId="5" type="noConversion"/>
  </si>
  <si>
    <t>薛平</t>
    <phoneticPr fontId="5" type="noConversion"/>
  </si>
  <si>
    <t>110223770610351</t>
    <phoneticPr fontId="5" type="noConversion"/>
  </si>
  <si>
    <t>13501206924</t>
    <phoneticPr fontId="5" type="noConversion"/>
  </si>
  <si>
    <t>0801号</t>
    <phoneticPr fontId="5" type="noConversion"/>
  </si>
  <si>
    <t>321924</t>
    <phoneticPr fontId="5" type="noConversion"/>
  </si>
  <si>
    <t>2003-22-P-05910</t>
  </si>
  <si>
    <t>许冰</t>
    <phoneticPr fontId="5" type="noConversion"/>
  </si>
  <si>
    <t>110102721216274</t>
    <phoneticPr fontId="5" type="noConversion"/>
  </si>
  <si>
    <t>13901286025</t>
    <phoneticPr fontId="5" type="noConversion"/>
  </si>
  <si>
    <t>西直门北大街41号天兆家园</t>
    <phoneticPr fontId="5" type="noConversion"/>
  </si>
  <si>
    <t>C单元</t>
    <phoneticPr fontId="5" type="noConversion"/>
  </si>
  <si>
    <t>北京天缘兆业房地产开发有限公司</t>
    <phoneticPr fontId="5" type="noConversion"/>
  </si>
  <si>
    <t>北京住房公积金管理中心东城第一管理部</t>
    <phoneticPr fontId="5" type="noConversion"/>
  </si>
  <si>
    <t>评估费半价</t>
    <phoneticPr fontId="5" type="noConversion"/>
  </si>
  <si>
    <t>321766</t>
    <phoneticPr fontId="5" type="noConversion"/>
  </si>
  <si>
    <r>
      <t>北京市怀柔县凤翔科技开发区</t>
    </r>
    <r>
      <rPr>
        <sz val="10"/>
        <rFont val="Times New Roman"/>
        <family val="1"/>
      </rPr>
      <t/>
    </r>
    <phoneticPr fontId="5" type="noConversion"/>
  </si>
  <si>
    <t>2003-22-P-05916</t>
    <phoneticPr fontId="5" type="noConversion"/>
  </si>
  <si>
    <t>贾建洋</t>
    <phoneticPr fontId="5" type="noConversion"/>
  </si>
  <si>
    <t>130104197611261835</t>
    <phoneticPr fontId="5" type="noConversion"/>
  </si>
  <si>
    <t>13641382265</t>
    <phoneticPr fontId="5" type="noConversion"/>
  </si>
  <si>
    <t>2003-3-D1-03000</t>
    <phoneticPr fontId="5" type="noConversion"/>
  </si>
  <si>
    <t>565898</t>
    <phoneticPr fontId="5" type="noConversion"/>
  </si>
  <si>
    <t>2003-22-P-05917</t>
  </si>
  <si>
    <t>余敏</t>
    <phoneticPr fontId="5" type="noConversion"/>
  </si>
  <si>
    <t>360203781002101</t>
    <phoneticPr fontId="5" type="noConversion"/>
  </si>
  <si>
    <t>13910057810</t>
    <phoneticPr fontId="5" type="noConversion"/>
  </si>
  <si>
    <t>1705号</t>
    <phoneticPr fontId="5" type="noConversion"/>
  </si>
  <si>
    <t>2003-3-D1-03001</t>
  </si>
  <si>
    <t>565852</t>
    <phoneticPr fontId="5" type="noConversion"/>
  </si>
  <si>
    <t>2003-22-P-05919</t>
    <phoneticPr fontId="5" type="noConversion"/>
  </si>
  <si>
    <t>杨俊锋</t>
    <phoneticPr fontId="5" type="noConversion"/>
  </si>
  <si>
    <t>142429197610012113</t>
    <phoneticPr fontId="5" type="noConversion"/>
  </si>
  <si>
    <t>13910089718</t>
    <phoneticPr fontId="5" type="noConversion"/>
  </si>
  <si>
    <t>2003-3-D1-03003</t>
    <phoneticPr fontId="5" type="noConversion"/>
  </si>
  <si>
    <t>565895</t>
    <phoneticPr fontId="5" type="noConversion"/>
  </si>
  <si>
    <t>2003-22-P-05920</t>
    <phoneticPr fontId="5" type="noConversion"/>
  </si>
  <si>
    <t>丁菲</t>
    <phoneticPr fontId="5" type="noConversion"/>
  </si>
  <si>
    <t>530111197805304424</t>
    <phoneticPr fontId="5" type="noConversion"/>
  </si>
  <si>
    <t>13691294391</t>
    <phoneticPr fontId="5" type="noConversion"/>
  </si>
  <si>
    <t>7座</t>
    <phoneticPr fontId="5" type="noConversion"/>
  </si>
  <si>
    <t>1002号</t>
    <phoneticPr fontId="5" type="noConversion"/>
  </si>
  <si>
    <t>2003-3-D1-03004</t>
    <phoneticPr fontId="5" type="noConversion"/>
  </si>
  <si>
    <t>565881</t>
    <phoneticPr fontId="5" type="noConversion"/>
  </si>
  <si>
    <t>2003-22-P-05932</t>
    <phoneticPr fontId="5" type="noConversion"/>
  </si>
  <si>
    <t>陆伟峰</t>
    <phoneticPr fontId="5" type="noConversion"/>
  </si>
  <si>
    <t>320222197804176913</t>
    <phoneticPr fontId="5" type="noConversion"/>
  </si>
  <si>
    <t>A5座</t>
    <phoneticPr fontId="5" type="noConversion"/>
  </si>
  <si>
    <t>08号</t>
    <phoneticPr fontId="5" type="noConversion"/>
  </si>
  <si>
    <t>刘军</t>
    <phoneticPr fontId="5" type="noConversion"/>
  </si>
  <si>
    <t>2003-22-P-05933</t>
    <phoneticPr fontId="5" type="noConversion"/>
  </si>
  <si>
    <t>付飞</t>
    <phoneticPr fontId="5" type="noConversion"/>
  </si>
  <si>
    <t>120104771011681</t>
    <phoneticPr fontId="5" type="noConversion"/>
  </si>
  <si>
    <t>13301163897</t>
    <phoneticPr fontId="5" type="noConversion"/>
  </si>
  <si>
    <t>08号</t>
    <phoneticPr fontId="5" type="noConversion"/>
  </si>
  <si>
    <t>2003-3-D1-03006</t>
    <phoneticPr fontId="5" type="noConversion"/>
  </si>
  <si>
    <t>581543</t>
    <phoneticPr fontId="5" type="noConversion"/>
  </si>
  <si>
    <t>2003-22-P-05935</t>
    <phoneticPr fontId="5" type="noConversion"/>
  </si>
  <si>
    <t>周后权</t>
    <phoneticPr fontId="5" type="noConversion"/>
  </si>
  <si>
    <t>430302740418405</t>
    <phoneticPr fontId="5" type="noConversion"/>
  </si>
  <si>
    <t>13910612237</t>
    <phoneticPr fontId="5" type="noConversion"/>
  </si>
  <si>
    <t>12东E号</t>
    <phoneticPr fontId="5" type="noConversion"/>
  </si>
  <si>
    <t>505598</t>
    <phoneticPr fontId="5" type="noConversion"/>
  </si>
  <si>
    <t>2003-22-P-05943</t>
    <phoneticPr fontId="5" type="noConversion"/>
  </si>
  <si>
    <t>赵桂芹</t>
    <phoneticPr fontId="5" type="noConversion"/>
  </si>
  <si>
    <t>110108621125636</t>
    <phoneticPr fontId="5" type="noConversion"/>
  </si>
  <si>
    <t>13301351816、62282933</t>
    <phoneticPr fontId="5" type="noConversion"/>
  </si>
  <si>
    <t>文慧园1516号楼</t>
    <phoneticPr fontId="5" type="noConversion"/>
  </si>
  <si>
    <t>16号楼</t>
    <phoneticPr fontId="5" type="noConversion"/>
  </si>
  <si>
    <t>550833</t>
    <phoneticPr fontId="5" type="noConversion"/>
  </si>
  <si>
    <t>2003-22-P-05945</t>
    <phoneticPr fontId="5" type="noConversion"/>
  </si>
  <si>
    <t>夏旭东</t>
    <phoneticPr fontId="5" type="noConversion"/>
  </si>
  <si>
    <t>110105196509022537</t>
    <phoneticPr fontId="5" type="noConversion"/>
  </si>
  <si>
    <t>13683640758、62753567</t>
    <phoneticPr fontId="5" type="noConversion"/>
  </si>
  <si>
    <t>北京市海淀区太月园小区1号楼</t>
    <phoneticPr fontId="5" type="noConversion"/>
  </si>
  <si>
    <t>2003-22-P-05948</t>
    <phoneticPr fontId="5" type="noConversion"/>
  </si>
  <si>
    <t>宋翌</t>
    <phoneticPr fontId="5" type="noConversion"/>
  </si>
  <si>
    <t>211202741217177</t>
    <phoneticPr fontId="5" type="noConversion"/>
  </si>
  <si>
    <t>13911529074、82351818-239</t>
    <phoneticPr fontId="5" type="noConversion"/>
  </si>
  <si>
    <t>02号</t>
    <phoneticPr fontId="5" type="noConversion"/>
  </si>
  <si>
    <t>北京泰跃房地产开发有限责任公司</t>
    <phoneticPr fontId="5" type="noConversion"/>
  </si>
  <si>
    <t>2003-22-P-05951</t>
    <phoneticPr fontId="5" type="noConversion"/>
  </si>
  <si>
    <t>王鑫</t>
    <phoneticPr fontId="5" type="noConversion"/>
  </si>
  <si>
    <t>412328800630781</t>
    <phoneticPr fontId="5" type="noConversion"/>
  </si>
  <si>
    <t>13521609243</t>
    <phoneticPr fontId="5" type="noConversion"/>
  </si>
  <si>
    <t>1133号</t>
    <phoneticPr fontId="5" type="noConversion"/>
  </si>
  <si>
    <t>536557</t>
    <phoneticPr fontId="5" type="noConversion"/>
  </si>
  <si>
    <t>2003-22-P-05960</t>
    <phoneticPr fontId="5" type="noConversion"/>
  </si>
  <si>
    <t>李妍</t>
    <phoneticPr fontId="5" type="noConversion"/>
  </si>
  <si>
    <t>132801760910282</t>
    <phoneticPr fontId="5" type="noConversion"/>
  </si>
  <si>
    <t>1609号</t>
    <phoneticPr fontId="5" type="noConversion"/>
  </si>
  <si>
    <t>2003-22-P-05979</t>
    <phoneticPr fontId="5" type="noConversion"/>
  </si>
  <si>
    <t>王少君</t>
    <phoneticPr fontId="5" type="noConversion"/>
  </si>
  <si>
    <t>110106691201274</t>
    <phoneticPr fontId="5" type="noConversion"/>
  </si>
  <si>
    <t>1207号</t>
    <phoneticPr fontId="5" type="noConversion"/>
  </si>
  <si>
    <t>2003-22-P-05983</t>
    <phoneticPr fontId="5" type="noConversion"/>
  </si>
  <si>
    <t>詹玫</t>
    <phoneticPr fontId="5" type="noConversion"/>
  </si>
  <si>
    <t>510302197708111023</t>
    <phoneticPr fontId="5" type="noConversion"/>
  </si>
  <si>
    <t>13911303717</t>
    <phoneticPr fontId="5" type="noConversion"/>
  </si>
  <si>
    <t>1106号</t>
    <phoneticPr fontId="5" type="noConversion"/>
  </si>
  <si>
    <t>565349</t>
    <phoneticPr fontId="5" type="noConversion"/>
  </si>
  <si>
    <t>2003-22-P-05984</t>
    <phoneticPr fontId="5" type="noConversion"/>
  </si>
  <si>
    <t>秦君华</t>
    <phoneticPr fontId="5" type="noConversion"/>
  </si>
  <si>
    <t>110108197606238915</t>
    <phoneticPr fontId="5" type="noConversion"/>
  </si>
  <si>
    <t>13041259289</t>
    <phoneticPr fontId="5" type="noConversion"/>
  </si>
  <si>
    <t>A6座</t>
    <phoneticPr fontId="5" type="noConversion"/>
  </si>
  <si>
    <t>580331</t>
    <phoneticPr fontId="5" type="noConversion"/>
  </si>
  <si>
    <t>2003-22-P-06005</t>
    <phoneticPr fontId="5" type="noConversion"/>
  </si>
  <si>
    <t>高红</t>
    <phoneticPr fontId="5" type="noConversion"/>
  </si>
  <si>
    <t>110108680326224</t>
    <phoneticPr fontId="5" type="noConversion"/>
  </si>
  <si>
    <t>2003-3-D1-03013</t>
    <phoneticPr fontId="5" type="noConversion"/>
  </si>
  <si>
    <t>2003-22-P-06007</t>
    <phoneticPr fontId="5" type="noConversion"/>
  </si>
  <si>
    <t>周凡</t>
    <phoneticPr fontId="5" type="noConversion"/>
  </si>
  <si>
    <t>110108720801423</t>
    <phoneticPr fontId="5" type="noConversion"/>
  </si>
  <si>
    <t>13701063414</t>
    <phoneticPr fontId="5" type="noConversion"/>
  </si>
  <si>
    <t>4门</t>
    <phoneticPr fontId="5" type="noConversion"/>
  </si>
  <si>
    <t>429号</t>
    <phoneticPr fontId="5" type="noConversion"/>
  </si>
  <si>
    <t>1101081402212（1-1）</t>
    <phoneticPr fontId="5" type="noConversion"/>
  </si>
  <si>
    <t>现售</t>
    <phoneticPr fontId="5" type="noConversion"/>
  </si>
  <si>
    <t>2003-22-P-06018</t>
    <phoneticPr fontId="5" type="noConversion"/>
  </si>
  <si>
    <t>毕传荣</t>
    <phoneticPr fontId="5" type="noConversion"/>
  </si>
  <si>
    <t>342125197810036625</t>
    <phoneticPr fontId="5" type="noConversion"/>
  </si>
  <si>
    <t>13910323121、13911228035</t>
    <phoneticPr fontId="5" type="noConversion"/>
  </si>
  <si>
    <t>清河镇永泰园小区12号住宅楼</t>
    <phoneticPr fontId="5" type="noConversion"/>
  </si>
  <si>
    <t>12幢</t>
    <phoneticPr fontId="5" type="noConversion"/>
  </si>
  <si>
    <t>8单元</t>
    <phoneticPr fontId="5" type="noConversion"/>
  </si>
  <si>
    <t>北京嘉华联合房地产开发有限责任公司</t>
    <phoneticPr fontId="5" type="noConversion"/>
  </si>
  <si>
    <t>589407</t>
    <phoneticPr fontId="5" type="noConversion"/>
  </si>
  <si>
    <t>北京嘉华联合房地产开发有限责任公司</t>
    <phoneticPr fontId="5" type="noConversion"/>
  </si>
  <si>
    <t>北京市密云县工业开发区东祥路8号楼148号</t>
    <phoneticPr fontId="5" type="noConversion"/>
  </si>
  <si>
    <t>1102282368648（1-1）</t>
    <phoneticPr fontId="5" type="noConversion"/>
  </si>
  <si>
    <t>牛韬</t>
    <phoneticPr fontId="5" type="noConversion"/>
  </si>
  <si>
    <t>2003-22-P-06027</t>
    <phoneticPr fontId="5" type="noConversion"/>
  </si>
  <si>
    <t>张晶强</t>
    <phoneticPr fontId="5" type="noConversion"/>
  </si>
  <si>
    <t>320981198005010979</t>
    <phoneticPr fontId="5" type="noConversion"/>
  </si>
  <si>
    <t>13661386375</t>
    <phoneticPr fontId="5" type="noConversion"/>
  </si>
  <si>
    <t>550819</t>
    <phoneticPr fontId="5" type="noConversion"/>
  </si>
  <si>
    <t>2003-22-P-06043</t>
    <phoneticPr fontId="5" type="noConversion"/>
  </si>
  <si>
    <t>李淑平</t>
    <phoneticPr fontId="5" type="noConversion"/>
  </si>
  <si>
    <t>110102196708211526</t>
    <phoneticPr fontId="5" type="noConversion"/>
  </si>
  <si>
    <t>13901042707、62587628</t>
    <phoneticPr fontId="5" type="noConversion"/>
  </si>
  <si>
    <t>561582</t>
    <phoneticPr fontId="5" type="noConversion"/>
  </si>
  <si>
    <t>2003-22-P-06044</t>
  </si>
  <si>
    <t>张京威</t>
    <phoneticPr fontId="5" type="noConversion"/>
  </si>
  <si>
    <t>110108680423493</t>
    <phoneticPr fontId="5" type="noConversion"/>
  </si>
  <si>
    <t>13601243284、68514607</t>
    <phoneticPr fontId="5" type="noConversion"/>
  </si>
  <si>
    <t>1210号</t>
    <phoneticPr fontId="5" type="noConversion"/>
  </si>
  <si>
    <t>2003-22-P-06046</t>
    <phoneticPr fontId="5" type="noConversion"/>
  </si>
  <si>
    <t>黄继春</t>
    <phoneticPr fontId="5" type="noConversion"/>
  </si>
  <si>
    <t>110108710113006</t>
    <phoneticPr fontId="5" type="noConversion"/>
  </si>
  <si>
    <t>13681390020、62817992</t>
    <phoneticPr fontId="5" type="noConversion"/>
  </si>
  <si>
    <t>202159</t>
    <phoneticPr fontId="5" type="noConversion"/>
  </si>
  <si>
    <t>2003-22-P-06047</t>
    <phoneticPr fontId="5" type="noConversion"/>
  </si>
  <si>
    <t>何隽</t>
    <phoneticPr fontId="5" type="noConversion"/>
  </si>
  <si>
    <t>450202197904140321</t>
    <phoneticPr fontId="5" type="noConversion"/>
  </si>
  <si>
    <t>13301163396、62302299</t>
    <phoneticPr fontId="5" type="noConversion"/>
  </si>
  <si>
    <t>581468</t>
    <phoneticPr fontId="5" type="noConversion"/>
  </si>
  <si>
    <t>2003-22-P-06055</t>
    <phoneticPr fontId="5" type="noConversion"/>
  </si>
  <si>
    <t>王寿文、魏燕红</t>
    <phoneticPr fontId="5" type="noConversion"/>
  </si>
  <si>
    <t>110102631009247、110108690410542</t>
    <phoneticPr fontId="5" type="noConversion"/>
  </si>
  <si>
    <t>701号</t>
    <phoneticPr fontId="5" type="noConversion"/>
  </si>
  <si>
    <t>北京市西城区西海北沿20号</t>
    <phoneticPr fontId="5" type="noConversion"/>
  </si>
  <si>
    <t>2003-22-P-06067</t>
    <phoneticPr fontId="5" type="noConversion"/>
  </si>
  <si>
    <t>何德猛</t>
    <phoneticPr fontId="5" type="noConversion"/>
  </si>
  <si>
    <t>110108197111112237</t>
    <phoneticPr fontId="5" type="noConversion"/>
  </si>
  <si>
    <t>13911080200</t>
    <phoneticPr fontId="5" type="noConversion"/>
  </si>
  <si>
    <t>2003-3-D1-03012</t>
    <phoneticPr fontId="5" type="noConversion"/>
  </si>
  <si>
    <t>581268</t>
    <phoneticPr fontId="5" type="noConversion"/>
  </si>
  <si>
    <t>2003-22-P-06087</t>
    <phoneticPr fontId="5" type="noConversion"/>
  </si>
  <si>
    <t>柴杰</t>
    <phoneticPr fontId="5" type="noConversion"/>
  </si>
  <si>
    <t>211282780127102</t>
    <phoneticPr fontId="5" type="noConversion"/>
  </si>
  <si>
    <t>13210360949</t>
    <phoneticPr fontId="5" type="noConversion"/>
  </si>
  <si>
    <t>6幢</t>
    <phoneticPr fontId="5" type="noConversion"/>
  </si>
  <si>
    <t>11</t>
  </si>
  <si>
    <t>3</t>
  </si>
  <si>
    <t>326934</t>
    <phoneticPr fontId="5" type="noConversion"/>
  </si>
  <si>
    <t>2003-22-P-06088</t>
    <phoneticPr fontId="5" type="noConversion"/>
  </si>
  <si>
    <t>黄远芳</t>
    <phoneticPr fontId="5" type="noConversion"/>
  </si>
  <si>
    <t>452730197304080227</t>
    <phoneticPr fontId="5" type="noConversion"/>
  </si>
  <si>
    <t>13641006116</t>
    <phoneticPr fontId="5" type="noConversion"/>
  </si>
  <si>
    <t>B（2）座</t>
    <phoneticPr fontId="5" type="noConversion"/>
  </si>
  <si>
    <t>东A号</t>
    <phoneticPr fontId="5" type="noConversion"/>
  </si>
  <si>
    <t>564712</t>
    <phoneticPr fontId="5" type="noConversion"/>
  </si>
  <si>
    <t>2003-22-P-06089</t>
    <phoneticPr fontId="5" type="noConversion"/>
  </si>
  <si>
    <t>李忠山</t>
    <phoneticPr fontId="5" type="noConversion"/>
  </si>
  <si>
    <t>430104651121435</t>
    <phoneticPr fontId="5" type="noConversion"/>
  </si>
  <si>
    <t>玉渊潭乡靛厂村吴家场住宅小区</t>
    <phoneticPr fontId="5" type="noConversion"/>
  </si>
  <si>
    <t>2003-22-P-06108</t>
  </si>
  <si>
    <t>郭立佳</t>
    <phoneticPr fontId="5" type="noConversion"/>
  </si>
  <si>
    <t>140103610513153</t>
    <phoneticPr fontId="5" type="noConversion"/>
  </si>
  <si>
    <t>13910683267、62753567</t>
    <phoneticPr fontId="5" type="noConversion"/>
  </si>
  <si>
    <t>581262</t>
    <phoneticPr fontId="5" type="noConversion"/>
  </si>
  <si>
    <t>2003-22-P-06109</t>
  </si>
  <si>
    <t>朱大保</t>
    <phoneticPr fontId="5" type="noConversion"/>
  </si>
  <si>
    <t>110108440707221</t>
    <phoneticPr fontId="5" type="noConversion"/>
  </si>
  <si>
    <t>62632761、62326946、13671206401</t>
    <phoneticPr fontId="5" type="noConversion"/>
  </si>
  <si>
    <t>18#幢</t>
    <phoneticPr fontId="5" type="noConversion"/>
  </si>
  <si>
    <t>1502号</t>
    <phoneticPr fontId="5" type="noConversion"/>
  </si>
  <si>
    <t>2003-22-P-06113</t>
  </si>
  <si>
    <t>丁玉挺</t>
    <phoneticPr fontId="5" type="noConversion"/>
  </si>
  <si>
    <t>110108570708571</t>
    <phoneticPr fontId="5" type="noConversion"/>
  </si>
  <si>
    <t>13651300179、68466984</t>
    <phoneticPr fontId="5" type="noConversion"/>
  </si>
  <si>
    <t>完工待验收</t>
    <phoneticPr fontId="5" type="noConversion"/>
  </si>
  <si>
    <t>560186</t>
    <phoneticPr fontId="5" type="noConversion"/>
  </si>
  <si>
    <t>2003-22-P-06114</t>
    <phoneticPr fontId="5" type="noConversion"/>
  </si>
  <si>
    <t>林忠平</t>
    <phoneticPr fontId="5" type="noConversion"/>
  </si>
  <si>
    <t>352128690509051</t>
    <phoneticPr fontId="5" type="noConversion"/>
  </si>
  <si>
    <t>13001904522、63428727</t>
    <phoneticPr fontId="5" type="noConversion"/>
  </si>
  <si>
    <t>12幢</t>
    <phoneticPr fontId="5" type="noConversion"/>
  </si>
  <si>
    <t>589404</t>
    <phoneticPr fontId="5" type="noConversion"/>
  </si>
  <si>
    <t>2003-22-P-06117</t>
    <phoneticPr fontId="5" type="noConversion"/>
  </si>
  <si>
    <t>曹慧芹</t>
    <phoneticPr fontId="5" type="noConversion"/>
  </si>
  <si>
    <t>132335760122186</t>
    <phoneticPr fontId="5" type="noConversion"/>
  </si>
  <si>
    <t>13651290727</t>
    <phoneticPr fontId="5" type="noConversion"/>
  </si>
  <si>
    <t>2003-3-D1-03025</t>
    <phoneticPr fontId="5" type="noConversion"/>
  </si>
  <si>
    <t>581673</t>
    <phoneticPr fontId="5" type="noConversion"/>
  </si>
  <si>
    <t>2003-22-P-06118-M</t>
    <phoneticPr fontId="5" type="noConversion"/>
  </si>
  <si>
    <t>李茵</t>
    <phoneticPr fontId="5" type="noConversion"/>
  </si>
  <si>
    <t>610103197106202488</t>
    <phoneticPr fontId="5" type="noConversion"/>
  </si>
  <si>
    <t>13801135039</t>
    <phoneticPr fontId="5" type="noConversion"/>
  </si>
  <si>
    <t>22号</t>
    <phoneticPr fontId="5" type="noConversion"/>
  </si>
  <si>
    <t>501662</t>
    <phoneticPr fontId="5" type="noConversion"/>
  </si>
  <si>
    <t>2003-22-P-06134</t>
    <phoneticPr fontId="5" type="noConversion"/>
  </si>
  <si>
    <t>王晓琴</t>
    <phoneticPr fontId="5" type="noConversion"/>
  </si>
  <si>
    <t>150303197808262020</t>
    <phoneticPr fontId="5" type="noConversion"/>
  </si>
  <si>
    <t>13501226756</t>
    <phoneticPr fontId="5" type="noConversion"/>
  </si>
  <si>
    <t>2003-3-D1-03018</t>
    <phoneticPr fontId="5" type="noConversion"/>
  </si>
  <si>
    <t>299347</t>
    <phoneticPr fontId="5" type="noConversion"/>
  </si>
  <si>
    <t>2003-22-P-06135</t>
    <phoneticPr fontId="5" type="noConversion"/>
  </si>
  <si>
    <t>郭浩儒</t>
    <phoneticPr fontId="5" type="noConversion"/>
  </si>
  <si>
    <t>110105440522615</t>
    <phoneticPr fontId="5" type="noConversion"/>
  </si>
  <si>
    <t>窑洼村双泉堡住宅小区</t>
    <phoneticPr fontId="5" type="noConversion"/>
  </si>
  <si>
    <t>北京寅丰房地产开发有限责任公司</t>
    <phoneticPr fontId="5" type="noConversion"/>
  </si>
  <si>
    <t>2003-3-D1-03020</t>
    <phoneticPr fontId="5" type="noConversion"/>
  </si>
  <si>
    <t>527781</t>
    <phoneticPr fontId="5" type="noConversion"/>
  </si>
  <si>
    <t>2003-22-P-06140</t>
    <phoneticPr fontId="5" type="noConversion"/>
  </si>
  <si>
    <t>杜梅萍</t>
    <phoneticPr fontId="5" type="noConversion"/>
  </si>
  <si>
    <t>110108630119002</t>
    <phoneticPr fontId="5" type="noConversion"/>
  </si>
  <si>
    <t>13671043968、67238688</t>
    <phoneticPr fontId="5" type="noConversion"/>
  </si>
  <si>
    <t>304号</t>
    <phoneticPr fontId="5" type="noConversion"/>
  </si>
  <si>
    <t>北京市海淀区阜成路73号</t>
    <phoneticPr fontId="5" type="noConversion"/>
  </si>
  <si>
    <t>2003-22-P-06141</t>
    <phoneticPr fontId="5" type="noConversion"/>
  </si>
  <si>
    <t>512201197410280326</t>
    <phoneticPr fontId="5" type="noConversion"/>
  </si>
  <si>
    <t>13801292646</t>
    <phoneticPr fontId="5" type="noConversion"/>
  </si>
  <si>
    <t>A6座</t>
    <phoneticPr fontId="5" type="noConversion"/>
  </si>
  <si>
    <t>581539</t>
    <phoneticPr fontId="5" type="noConversion"/>
  </si>
  <si>
    <t>2003-22-P-06148</t>
    <phoneticPr fontId="5" type="noConversion"/>
  </si>
  <si>
    <t>马铁石</t>
    <phoneticPr fontId="5" type="noConversion"/>
  </si>
  <si>
    <t>110108710911603</t>
    <phoneticPr fontId="5" type="noConversion"/>
  </si>
  <si>
    <t>13683367452、51682177</t>
    <phoneticPr fontId="5" type="noConversion"/>
  </si>
  <si>
    <t>580337</t>
    <phoneticPr fontId="5" type="noConversion"/>
  </si>
  <si>
    <t>2003-22-P-06155</t>
    <phoneticPr fontId="5" type="noConversion"/>
  </si>
  <si>
    <t>张伟</t>
    <phoneticPr fontId="5" type="noConversion"/>
  </si>
  <si>
    <t>152201800316251</t>
    <phoneticPr fontId="5" type="noConversion"/>
  </si>
  <si>
    <t>13693532450、62998594</t>
    <phoneticPr fontId="5" type="noConversion"/>
  </si>
  <si>
    <t>A21幢</t>
    <phoneticPr fontId="5" type="noConversion"/>
  </si>
  <si>
    <t>2003-22-P-06157-M</t>
    <phoneticPr fontId="5" type="noConversion"/>
  </si>
  <si>
    <t>金霞</t>
    <phoneticPr fontId="5" type="noConversion"/>
  </si>
  <si>
    <t>110101771121152</t>
    <phoneticPr fontId="5" type="noConversion"/>
  </si>
  <si>
    <t>13601117165</t>
    <phoneticPr fontId="5" type="noConversion"/>
  </si>
  <si>
    <t>1424号</t>
    <phoneticPr fontId="5" type="noConversion"/>
  </si>
  <si>
    <t>501641</t>
    <phoneticPr fontId="5" type="noConversion"/>
  </si>
  <si>
    <t>2003-22-P-06160</t>
    <phoneticPr fontId="5" type="noConversion"/>
  </si>
  <si>
    <t>王中秋</t>
    <phoneticPr fontId="5" type="noConversion"/>
  </si>
  <si>
    <t>110108791003271</t>
    <phoneticPr fontId="5" type="noConversion"/>
  </si>
  <si>
    <t>一室一卫自行分割</t>
    <phoneticPr fontId="5" type="noConversion"/>
  </si>
  <si>
    <t>2003-22-P-06162</t>
    <phoneticPr fontId="5" type="noConversion"/>
  </si>
  <si>
    <t>冉爱国</t>
    <phoneticPr fontId="5" type="noConversion"/>
  </si>
  <si>
    <t>110221730603831</t>
    <phoneticPr fontId="5" type="noConversion"/>
  </si>
  <si>
    <t>62905880</t>
    <phoneticPr fontId="5" type="noConversion"/>
  </si>
  <si>
    <t>307720</t>
    <phoneticPr fontId="5" type="noConversion"/>
  </si>
  <si>
    <t>2003-22-P-06183</t>
    <phoneticPr fontId="5" type="noConversion"/>
  </si>
  <si>
    <t>叶华</t>
    <phoneticPr fontId="5" type="noConversion"/>
  </si>
  <si>
    <t>11010219730106301X</t>
    <phoneticPr fontId="5" type="noConversion"/>
  </si>
  <si>
    <t>62011490</t>
    <phoneticPr fontId="5" type="noConversion"/>
  </si>
  <si>
    <t>1010号</t>
    <phoneticPr fontId="5" type="noConversion"/>
  </si>
  <si>
    <t>550806</t>
    <phoneticPr fontId="5" type="noConversion"/>
  </si>
  <si>
    <t>2003-22-P-06191</t>
  </si>
  <si>
    <t>王伶</t>
    <phoneticPr fontId="5" type="noConversion"/>
  </si>
  <si>
    <t>110106771225002</t>
    <phoneticPr fontId="5" type="noConversion"/>
  </si>
  <si>
    <t>13910652803、63850718</t>
    <phoneticPr fontId="5" type="noConversion"/>
  </si>
  <si>
    <t>A7座</t>
    <phoneticPr fontId="5" type="noConversion"/>
  </si>
  <si>
    <t>581261</t>
    <phoneticPr fontId="5" type="noConversion"/>
  </si>
  <si>
    <t>2003-22-P-06192</t>
  </si>
  <si>
    <t>杨绍军</t>
    <phoneticPr fontId="5" type="noConversion"/>
  </si>
  <si>
    <t>422427720914219</t>
    <phoneticPr fontId="5" type="noConversion"/>
  </si>
  <si>
    <t>13681589761、62978337、62968448-8441</t>
    <phoneticPr fontId="5" type="noConversion"/>
  </si>
  <si>
    <t>581462</t>
    <phoneticPr fontId="5" type="noConversion"/>
  </si>
  <si>
    <t>2003-22-P-06204</t>
    <phoneticPr fontId="5" type="noConversion"/>
  </si>
  <si>
    <t>黄蔚</t>
    <phoneticPr fontId="5" type="noConversion"/>
  </si>
  <si>
    <t>362425197701230023</t>
    <phoneticPr fontId="5" type="noConversion"/>
  </si>
  <si>
    <t>13661302902</t>
    <phoneticPr fontId="5" type="noConversion"/>
  </si>
  <si>
    <t>2003-22-P-06205</t>
  </si>
  <si>
    <t>李虎</t>
    <phoneticPr fontId="5" type="noConversion"/>
  </si>
  <si>
    <t>510128731012001</t>
    <phoneticPr fontId="5" type="noConversion"/>
  </si>
  <si>
    <t>13910812029</t>
    <phoneticPr fontId="5" type="noConversion"/>
  </si>
  <si>
    <t>B座</t>
    <phoneticPr fontId="5" type="noConversion"/>
  </si>
  <si>
    <t>1107号</t>
    <phoneticPr fontId="5" type="noConversion"/>
  </si>
  <si>
    <t>北京住房公积金管理中心东城第二管理部</t>
    <phoneticPr fontId="5" type="noConversion"/>
  </si>
  <si>
    <t>536848</t>
    <phoneticPr fontId="5" type="noConversion"/>
  </si>
  <si>
    <t>2003-22-P-06215</t>
    <phoneticPr fontId="5" type="noConversion"/>
  </si>
  <si>
    <t>丁程、王斌</t>
    <phoneticPr fontId="5" type="noConversion"/>
  </si>
  <si>
    <t>110108196911290010、650102741008682</t>
    <phoneticPr fontId="5" type="noConversion"/>
  </si>
  <si>
    <t>2003-22-P-06216</t>
    <phoneticPr fontId="5" type="noConversion"/>
  </si>
  <si>
    <t>王斌</t>
    <phoneticPr fontId="5" type="noConversion"/>
  </si>
  <si>
    <t>130502197711180337</t>
    <phoneticPr fontId="5" type="noConversion"/>
  </si>
  <si>
    <t>13161275030</t>
    <phoneticPr fontId="5" type="noConversion"/>
  </si>
  <si>
    <r>
      <t>12单元</t>
    </r>
    <r>
      <rPr>
        <sz val="10"/>
        <rFont val="Times New Roman"/>
        <family val="1"/>
      </rPr>
      <t/>
    </r>
    <phoneticPr fontId="5" type="noConversion"/>
  </si>
  <si>
    <t>601Q号</t>
    <phoneticPr fontId="5" type="noConversion"/>
  </si>
  <si>
    <t>6--7</t>
    <phoneticPr fontId="5" type="noConversion"/>
  </si>
  <si>
    <t>2003-3-D1-03025</t>
    <phoneticPr fontId="5" type="noConversion"/>
  </si>
  <si>
    <t>305406</t>
    <phoneticPr fontId="5" type="noConversion"/>
  </si>
  <si>
    <t>2003-22-P-06234</t>
    <phoneticPr fontId="5" type="noConversion"/>
  </si>
  <si>
    <t>翟伟辉</t>
    <phoneticPr fontId="5" type="noConversion"/>
  </si>
  <si>
    <t>220203751102031</t>
    <phoneticPr fontId="5" type="noConversion"/>
  </si>
  <si>
    <t>13701355032</t>
    <phoneticPr fontId="5" type="noConversion"/>
  </si>
  <si>
    <t>16号（幢）</t>
    <phoneticPr fontId="5" type="noConversion"/>
  </si>
  <si>
    <t>1711号</t>
    <phoneticPr fontId="5" type="noConversion"/>
  </si>
  <si>
    <t>558717</t>
    <phoneticPr fontId="5" type="noConversion"/>
  </si>
  <si>
    <t>2003-22-P-06237</t>
    <phoneticPr fontId="5" type="noConversion"/>
  </si>
  <si>
    <t>朱峰</t>
    <phoneticPr fontId="5" type="noConversion"/>
  </si>
  <si>
    <t>110102196903093051</t>
    <phoneticPr fontId="5" type="noConversion"/>
  </si>
  <si>
    <t>62013794</t>
    <phoneticPr fontId="5" type="noConversion"/>
  </si>
  <si>
    <t>6东E号</t>
    <phoneticPr fontId="5" type="noConversion"/>
  </si>
  <si>
    <t>564710</t>
    <phoneticPr fontId="5" type="noConversion"/>
  </si>
  <si>
    <t>2003-22-P-06246</t>
    <phoneticPr fontId="5" type="noConversion"/>
  </si>
  <si>
    <t>葛伟</t>
    <phoneticPr fontId="5" type="noConversion"/>
  </si>
  <si>
    <t>340104780413201</t>
    <phoneticPr fontId="5" type="noConversion"/>
  </si>
  <si>
    <t>13611306510</t>
    <phoneticPr fontId="5" type="noConversion"/>
  </si>
  <si>
    <t>536857</t>
    <phoneticPr fontId="5" type="noConversion"/>
  </si>
  <si>
    <t>2003-22-P-06255</t>
    <phoneticPr fontId="5" type="noConversion"/>
  </si>
  <si>
    <t>徐玉林</t>
    <phoneticPr fontId="5" type="noConversion"/>
  </si>
  <si>
    <t>330723198003243012</t>
    <phoneticPr fontId="5" type="noConversion"/>
  </si>
  <si>
    <t>13681127001</t>
    <phoneticPr fontId="5" type="noConversion"/>
  </si>
  <si>
    <t>E座</t>
    <phoneticPr fontId="5" type="noConversion"/>
  </si>
  <si>
    <t>20层</t>
    <phoneticPr fontId="5" type="noConversion"/>
  </si>
  <si>
    <t>2001号</t>
    <phoneticPr fontId="5" type="noConversion"/>
  </si>
  <si>
    <t>548857</t>
    <phoneticPr fontId="5" type="noConversion"/>
  </si>
  <si>
    <t>2003-22-P-06260</t>
    <phoneticPr fontId="5" type="noConversion"/>
  </si>
  <si>
    <t>赵海</t>
    <phoneticPr fontId="5" type="noConversion"/>
  </si>
  <si>
    <t>342622771008001</t>
    <phoneticPr fontId="5" type="noConversion"/>
  </si>
  <si>
    <t>13910173008</t>
    <phoneticPr fontId="5" type="noConversion"/>
  </si>
  <si>
    <t>16幢</t>
    <phoneticPr fontId="5" type="noConversion"/>
  </si>
  <si>
    <t>1713号</t>
    <phoneticPr fontId="5" type="noConversion"/>
  </si>
  <si>
    <t>558744</t>
    <phoneticPr fontId="5" type="noConversion"/>
  </si>
  <si>
    <t>2003-22-P-06270-U</t>
    <phoneticPr fontId="5" type="noConversion"/>
  </si>
  <si>
    <t>刘鹏</t>
    <phoneticPr fontId="5" type="noConversion"/>
  </si>
  <si>
    <t>110108197609056017</t>
    <phoneticPr fontId="5" type="noConversion"/>
  </si>
  <si>
    <t>13501311727</t>
    <phoneticPr fontId="5" type="noConversion"/>
  </si>
  <si>
    <t xml:space="preserve">四道口路净土寺 </t>
    <phoneticPr fontId="5" type="noConversion"/>
  </si>
  <si>
    <t>朋友</t>
    <phoneticPr fontId="5" type="noConversion"/>
  </si>
  <si>
    <t>不含出让金</t>
    <phoneticPr fontId="5" type="noConversion"/>
  </si>
  <si>
    <t>2003-22-P-06271</t>
    <phoneticPr fontId="5" type="noConversion"/>
  </si>
  <si>
    <t>付金雯</t>
    <phoneticPr fontId="5" type="noConversion"/>
  </si>
  <si>
    <t>110111751017672</t>
    <phoneticPr fontId="5" type="noConversion"/>
  </si>
  <si>
    <t>2003-3-D1-03028</t>
    <phoneticPr fontId="5" type="noConversion"/>
  </si>
  <si>
    <t>2003-22-P-06273</t>
    <phoneticPr fontId="5" type="noConversion"/>
  </si>
  <si>
    <t>王旭</t>
    <phoneticPr fontId="5" type="noConversion"/>
  </si>
  <si>
    <t>210211197302160116</t>
    <phoneticPr fontId="5" type="noConversion"/>
  </si>
  <si>
    <t>13910744215</t>
    <phoneticPr fontId="5" type="noConversion"/>
  </si>
  <si>
    <t>327007</t>
    <phoneticPr fontId="5" type="noConversion"/>
  </si>
  <si>
    <t>2003-22-P-06274</t>
    <phoneticPr fontId="5" type="noConversion"/>
  </si>
  <si>
    <t>杨秀芸</t>
    <phoneticPr fontId="5" type="noConversion"/>
  </si>
  <si>
    <t>110108680224578</t>
    <phoneticPr fontId="5" type="noConversion"/>
  </si>
  <si>
    <t>13693350528</t>
    <phoneticPr fontId="5" type="noConversion"/>
  </si>
  <si>
    <t>15#楼（幢）</t>
    <phoneticPr fontId="5" type="noConversion"/>
  </si>
  <si>
    <t>410号</t>
    <phoneticPr fontId="5" type="noConversion"/>
  </si>
  <si>
    <t>558785</t>
    <phoneticPr fontId="5" type="noConversion"/>
  </si>
  <si>
    <t>2003-22-P-06275</t>
    <phoneticPr fontId="5" type="noConversion"/>
  </si>
  <si>
    <t>周鑫</t>
    <phoneticPr fontId="5" type="noConversion"/>
  </si>
  <si>
    <t>150102701226253</t>
    <phoneticPr fontId="5" type="noConversion"/>
  </si>
  <si>
    <t>7座</t>
    <phoneticPr fontId="5" type="noConversion"/>
  </si>
  <si>
    <t>2003-3-D1-03029</t>
    <phoneticPr fontId="5" type="noConversion"/>
  </si>
  <si>
    <t>2003-22-P-06277</t>
    <phoneticPr fontId="5" type="noConversion"/>
  </si>
  <si>
    <t>李道雅</t>
    <phoneticPr fontId="5" type="noConversion"/>
  </si>
  <si>
    <t>110102710625234</t>
    <phoneticPr fontId="5" type="noConversion"/>
  </si>
  <si>
    <t>13911335156</t>
    <phoneticPr fontId="5" type="noConversion"/>
  </si>
  <si>
    <t>A5座</t>
    <phoneticPr fontId="5" type="noConversion"/>
  </si>
  <si>
    <t>2003-3-D1-03030</t>
    <phoneticPr fontId="5" type="noConversion"/>
  </si>
  <si>
    <t>581057</t>
    <phoneticPr fontId="5" type="noConversion"/>
  </si>
  <si>
    <t>2003-22-P-06278</t>
    <phoneticPr fontId="5" type="noConversion"/>
  </si>
  <si>
    <t>张龙海</t>
    <phoneticPr fontId="5" type="noConversion"/>
  </si>
  <si>
    <t>422828751224151</t>
    <phoneticPr fontId="5" type="noConversion"/>
  </si>
  <si>
    <t>13671189270</t>
    <phoneticPr fontId="5" type="noConversion"/>
  </si>
  <si>
    <t>A6座</t>
  </si>
  <si>
    <t>2003-3-D1-03031</t>
    <phoneticPr fontId="5" type="noConversion"/>
  </si>
  <si>
    <t>580343</t>
    <phoneticPr fontId="5" type="noConversion"/>
  </si>
  <si>
    <t>2003-22-P-06286</t>
    <phoneticPr fontId="5" type="noConversion"/>
  </si>
  <si>
    <t>侯路霞</t>
    <phoneticPr fontId="5" type="noConversion"/>
  </si>
  <si>
    <t>110108197812071423</t>
    <phoneticPr fontId="5" type="noConversion"/>
  </si>
  <si>
    <t>62843433、13520508127</t>
    <phoneticPr fontId="5" type="noConversion"/>
  </si>
  <si>
    <t>北京住房公积金管理中心海淀第二管理部</t>
    <phoneticPr fontId="5" type="noConversion"/>
  </si>
  <si>
    <t>327010</t>
    <phoneticPr fontId="5" type="noConversion"/>
  </si>
  <si>
    <t>2003-22-P-06288</t>
    <phoneticPr fontId="5" type="noConversion"/>
  </si>
  <si>
    <t>金利娟</t>
    <phoneticPr fontId="5" type="noConversion"/>
  </si>
  <si>
    <t>422125730602002</t>
    <phoneticPr fontId="5" type="noConversion"/>
  </si>
  <si>
    <t>13521333898、82281936、88925119</t>
    <phoneticPr fontId="5" type="noConversion"/>
  </si>
  <si>
    <t>1512号</t>
    <phoneticPr fontId="5" type="noConversion"/>
  </si>
  <si>
    <t>558716</t>
    <phoneticPr fontId="5" type="noConversion"/>
  </si>
  <si>
    <t>2003-22-P-06291</t>
    <phoneticPr fontId="5" type="noConversion"/>
  </si>
  <si>
    <t>张波</t>
    <phoneticPr fontId="5" type="noConversion"/>
  </si>
  <si>
    <t>420111761212701</t>
    <phoneticPr fontId="5" type="noConversion"/>
  </si>
  <si>
    <t>13693252543、62788850</t>
    <phoneticPr fontId="5" type="noConversion"/>
  </si>
  <si>
    <t>581522</t>
    <phoneticPr fontId="5" type="noConversion"/>
  </si>
  <si>
    <t>2003-22-P-06292</t>
    <phoneticPr fontId="5" type="noConversion"/>
  </si>
  <si>
    <t>杨晓明</t>
    <phoneticPr fontId="5" type="noConversion"/>
  </si>
  <si>
    <t>140211197212153352</t>
    <phoneticPr fontId="5" type="noConversion"/>
  </si>
  <si>
    <t>13801002801、62281938、62210012</t>
    <phoneticPr fontId="5" type="noConversion"/>
  </si>
  <si>
    <t>580312</t>
    <phoneticPr fontId="5" type="noConversion"/>
  </si>
  <si>
    <t>2003-22-P-06293</t>
    <phoneticPr fontId="5" type="noConversion"/>
  </si>
  <si>
    <t>董璁</t>
    <phoneticPr fontId="5" type="noConversion"/>
  </si>
  <si>
    <t>210112680510027</t>
    <phoneticPr fontId="5" type="noConversion"/>
  </si>
  <si>
    <t>13910984590、82309563</t>
    <phoneticPr fontId="5" type="noConversion"/>
  </si>
  <si>
    <t>581512</t>
    <phoneticPr fontId="5" type="noConversion"/>
  </si>
  <si>
    <t>2003-22-P-06296</t>
    <phoneticPr fontId="5" type="noConversion"/>
  </si>
  <si>
    <t>陈建宁</t>
    <phoneticPr fontId="5" type="noConversion"/>
  </si>
  <si>
    <t>370682197803097129</t>
    <phoneticPr fontId="5" type="noConversion"/>
  </si>
  <si>
    <t>13051636366</t>
    <phoneticPr fontId="5" type="noConversion"/>
  </si>
  <si>
    <t>515664</t>
    <phoneticPr fontId="5" type="noConversion"/>
  </si>
  <si>
    <t>2003-22-P-06297-M</t>
    <phoneticPr fontId="5" type="noConversion"/>
  </si>
  <si>
    <t>张冰钰</t>
    <phoneticPr fontId="5" type="noConversion"/>
  </si>
  <si>
    <t>230102197811084328</t>
    <phoneticPr fontId="5" type="noConversion"/>
  </si>
  <si>
    <t>13020076190</t>
    <phoneticPr fontId="5" type="noConversion"/>
  </si>
  <si>
    <t>1117号</t>
    <phoneticPr fontId="5" type="noConversion"/>
  </si>
  <si>
    <t>501697</t>
    <phoneticPr fontId="5" type="noConversion"/>
  </si>
  <si>
    <t>2003-22-P-06300</t>
    <phoneticPr fontId="5" type="noConversion"/>
  </si>
  <si>
    <t>李晓牧</t>
    <phoneticPr fontId="5" type="noConversion"/>
  </si>
  <si>
    <t>210502750424276</t>
    <phoneticPr fontId="5" type="noConversion"/>
  </si>
  <si>
    <t>13641236778、62931080</t>
    <phoneticPr fontId="5" type="noConversion"/>
  </si>
  <si>
    <t>8单元</t>
    <phoneticPr fontId="5" type="noConversion"/>
  </si>
  <si>
    <t>327009</t>
    <phoneticPr fontId="5" type="noConversion"/>
  </si>
  <si>
    <t>2003-22-P-06314</t>
    <phoneticPr fontId="5" type="noConversion"/>
  </si>
  <si>
    <t>李登云</t>
    <phoneticPr fontId="5" type="noConversion"/>
  </si>
  <si>
    <t>11010819620705003x</t>
    <phoneticPr fontId="5" type="noConversion"/>
  </si>
  <si>
    <t>13901126047</t>
    <phoneticPr fontId="5" type="noConversion"/>
  </si>
  <si>
    <t>19层</t>
    <phoneticPr fontId="5" type="noConversion"/>
  </si>
  <si>
    <t xml:space="preserve">结构施工 </t>
    <phoneticPr fontId="5" type="noConversion"/>
  </si>
  <si>
    <t>2003-22-P-06319</t>
  </si>
  <si>
    <t>刘旭</t>
    <phoneticPr fontId="5" type="noConversion"/>
  </si>
  <si>
    <t>110108690908225</t>
    <phoneticPr fontId="5" type="noConversion"/>
  </si>
  <si>
    <t>13701078663</t>
    <phoneticPr fontId="5" type="noConversion"/>
  </si>
  <si>
    <t>三室二厅一卫一厨</t>
    <phoneticPr fontId="5" type="noConversion"/>
  </si>
  <si>
    <t>307826</t>
    <phoneticPr fontId="5" type="noConversion"/>
  </si>
  <si>
    <t>2003-22-P-06324</t>
    <phoneticPr fontId="5" type="noConversion"/>
  </si>
  <si>
    <t>陈凌</t>
    <phoneticPr fontId="5" type="noConversion"/>
  </si>
  <si>
    <t>510102670725841</t>
    <phoneticPr fontId="5" type="noConversion"/>
  </si>
  <si>
    <t>1311号</t>
    <phoneticPr fontId="5" type="noConversion"/>
  </si>
  <si>
    <t>北京住房公积金管理中心房山管理部</t>
    <phoneticPr fontId="5" type="noConversion"/>
  </si>
  <si>
    <t>2003-22-P-06329-M</t>
    <phoneticPr fontId="5" type="noConversion"/>
  </si>
  <si>
    <t>刘力飞</t>
    <phoneticPr fontId="5" type="noConversion"/>
  </si>
  <si>
    <t>110108610814131</t>
    <phoneticPr fontId="5" type="noConversion"/>
  </si>
  <si>
    <t>68916648</t>
    <phoneticPr fontId="5" type="noConversion"/>
  </si>
  <si>
    <t>1425号</t>
    <phoneticPr fontId="5" type="noConversion"/>
  </si>
  <si>
    <t>554876</t>
    <phoneticPr fontId="5" type="noConversion"/>
  </si>
  <si>
    <t>2003-22-P-06330-M</t>
    <phoneticPr fontId="5" type="noConversion"/>
  </si>
  <si>
    <t>赵学荣</t>
    <phoneticPr fontId="5" type="noConversion"/>
  </si>
  <si>
    <t>11010619731127182X</t>
    <phoneticPr fontId="5" type="noConversion"/>
  </si>
  <si>
    <t>13901376335</t>
    <phoneticPr fontId="5" type="noConversion"/>
  </si>
  <si>
    <t>810号</t>
    <phoneticPr fontId="5" type="noConversion"/>
  </si>
  <si>
    <t>562988</t>
    <phoneticPr fontId="5" type="noConversion"/>
  </si>
  <si>
    <t>2003-22-P-06332</t>
    <phoneticPr fontId="5" type="noConversion"/>
  </si>
  <si>
    <t>李静</t>
    <phoneticPr fontId="5" type="noConversion"/>
  </si>
  <si>
    <t>610111197306202060</t>
    <phoneticPr fontId="5" type="noConversion"/>
  </si>
  <si>
    <t>13520544673、62571964</t>
    <phoneticPr fontId="5" type="noConversion"/>
  </si>
  <si>
    <t>2003-22-P-06336</t>
    <phoneticPr fontId="5" type="noConversion"/>
  </si>
  <si>
    <t>张丹云</t>
    <phoneticPr fontId="5" type="noConversion"/>
  </si>
  <si>
    <t>320102196907033223</t>
    <phoneticPr fontId="5" type="noConversion"/>
  </si>
  <si>
    <t>A6幢</t>
    <phoneticPr fontId="5" type="noConversion"/>
  </si>
  <si>
    <t>802号</t>
    <phoneticPr fontId="5" type="noConversion"/>
  </si>
  <si>
    <t>2003-22-P-06337</t>
    <phoneticPr fontId="5" type="noConversion"/>
  </si>
  <si>
    <t>苏迎春</t>
    <phoneticPr fontId="5" type="noConversion"/>
  </si>
  <si>
    <t>110108700131576</t>
    <phoneticPr fontId="5" type="noConversion"/>
  </si>
  <si>
    <t>13311062797、89741073</t>
    <phoneticPr fontId="5" type="noConversion"/>
  </si>
  <si>
    <t>A7座</t>
    <phoneticPr fontId="5" type="noConversion"/>
  </si>
  <si>
    <t>6层</t>
    <phoneticPr fontId="5" type="noConversion"/>
  </si>
  <si>
    <t>01号</t>
    <phoneticPr fontId="5" type="noConversion"/>
  </si>
  <si>
    <t>二室一厅一卫一厨</t>
    <phoneticPr fontId="5" type="noConversion"/>
  </si>
  <si>
    <t>北京住房公积金管理中心朝阳第三管理部</t>
    <phoneticPr fontId="5" type="noConversion"/>
  </si>
  <si>
    <t>内外装修</t>
    <phoneticPr fontId="5" type="noConversion"/>
  </si>
  <si>
    <t>十一</t>
    <phoneticPr fontId="5" type="noConversion"/>
  </si>
  <si>
    <t>一</t>
    <phoneticPr fontId="5" type="noConversion"/>
  </si>
  <si>
    <t xml:space="preserve"> </t>
    <phoneticPr fontId="5" type="noConversion"/>
  </si>
  <si>
    <t>陈颖</t>
    <phoneticPr fontId="5" type="noConversion"/>
  </si>
  <si>
    <t>581593</t>
    <phoneticPr fontId="5" type="noConversion"/>
  </si>
  <si>
    <t>2003-22-P-06341</t>
    <phoneticPr fontId="5" type="noConversion"/>
  </si>
  <si>
    <t>齐庆生</t>
    <phoneticPr fontId="5" type="noConversion"/>
  </si>
  <si>
    <t>110104591023123</t>
    <phoneticPr fontId="5" type="noConversion"/>
  </si>
  <si>
    <t>13661103303、62117088</t>
    <phoneticPr fontId="5" type="noConversion"/>
  </si>
  <si>
    <t>825号</t>
    <phoneticPr fontId="5" type="noConversion"/>
  </si>
  <si>
    <t>536813</t>
    <phoneticPr fontId="5" type="noConversion"/>
  </si>
  <si>
    <t>2003-22-P-06352</t>
    <phoneticPr fontId="5" type="noConversion"/>
  </si>
  <si>
    <t>张先</t>
    <phoneticPr fontId="5" type="noConversion"/>
  </si>
  <si>
    <t>150102670322202</t>
    <phoneticPr fontId="5" type="noConversion"/>
  </si>
  <si>
    <t>2003-3-D1-03036</t>
    <phoneticPr fontId="5" type="noConversion"/>
  </si>
  <si>
    <t>2003-22-P-06353</t>
    <phoneticPr fontId="5" type="noConversion"/>
  </si>
  <si>
    <t>陈晓东</t>
    <phoneticPr fontId="5" type="noConversion"/>
  </si>
  <si>
    <t>370623700321001</t>
    <phoneticPr fontId="5" type="noConversion"/>
  </si>
  <si>
    <t>13693392612</t>
    <phoneticPr fontId="5" type="noConversion"/>
  </si>
  <si>
    <t>2003-3-D1-03037</t>
    <phoneticPr fontId="5" type="noConversion"/>
  </si>
  <si>
    <t>299346</t>
    <phoneticPr fontId="5" type="noConversion"/>
  </si>
  <si>
    <t>2003-22-P-06360</t>
    <phoneticPr fontId="5" type="noConversion"/>
  </si>
  <si>
    <t>李新玲、陈超志</t>
    <phoneticPr fontId="5" type="noConversion"/>
  </si>
  <si>
    <t>110108630313894、110102620927241</t>
    <phoneticPr fontId="5" type="noConversion"/>
  </si>
  <si>
    <t>13621259423</t>
    <phoneticPr fontId="5" type="noConversion"/>
  </si>
  <si>
    <t>575755</t>
    <phoneticPr fontId="5" type="noConversion"/>
  </si>
  <si>
    <t>北京市密云县新中街42号</t>
    <phoneticPr fontId="5" type="noConversion"/>
  </si>
  <si>
    <t>叶丽宁</t>
    <phoneticPr fontId="5" type="noConversion"/>
  </si>
  <si>
    <t>2003-22-P-06363</t>
    <phoneticPr fontId="5" type="noConversion"/>
  </si>
  <si>
    <t>脱震</t>
    <phoneticPr fontId="5" type="noConversion"/>
  </si>
  <si>
    <t>110108197609132219</t>
    <phoneticPr fontId="5" type="noConversion"/>
  </si>
  <si>
    <t>13910050128</t>
    <phoneticPr fontId="5" type="noConversion"/>
  </si>
  <si>
    <t>1313号</t>
    <phoneticPr fontId="5" type="noConversion"/>
  </si>
  <si>
    <t>2003-22-P-06364</t>
    <phoneticPr fontId="5" type="noConversion"/>
  </si>
  <si>
    <t>张政伟</t>
    <phoneticPr fontId="5" type="noConversion"/>
  </si>
  <si>
    <t>410203197302070054</t>
    <phoneticPr fontId="5" type="noConversion"/>
  </si>
  <si>
    <t>82622141、82708058</t>
    <phoneticPr fontId="5" type="noConversion"/>
  </si>
  <si>
    <t>307714</t>
    <phoneticPr fontId="5" type="noConversion"/>
  </si>
  <si>
    <t>2003-22-P-06365</t>
    <phoneticPr fontId="5" type="noConversion"/>
  </si>
  <si>
    <t>石七林</t>
    <phoneticPr fontId="5" type="noConversion"/>
  </si>
  <si>
    <t>452329700504001</t>
    <phoneticPr fontId="5" type="noConversion"/>
  </si>
  <si>
    <t>406号</t>
    <phoneticPr fontId="5" type="noConversion"/>
  </si>
  <si>
    <t>企合京总副字第011492号</t>
    <phoneticPr fontId="5" type="noConversion"/>
  </si>
  <si>
    <t>张世光</t>
    <phoneticPr fontId="5" type="noConversion"/>
  </si>
  <si>
    <t>2003-22-P-06367</t>
    <phoneticPr fontId="5" type="noConversion"/>
  </si>
  <si>
    <t>李德</t>
    <phoneticPr fontId="5" type="noConversion"/>
  </si>
  <si>
    <t>510824751204701</t>
    <phoneticPr fontId="5" type="noConversion"/>
  </si>
  <si>
    <t>136511899769、82029090-6738/6821</t>
    <phoneticPr fontId="5" type="noConversion"/>
  </si>
  <si>
    <t>547469</t>
    <phoneticPr fontId="5" type="noConversion"/>
  </si>
  <si>
    <t>2003-22-P-06388</t>
    <phoneticPr fontId="5" type="noConversion"/>
  </si>
  <si>
    <t>杨明石</t>
    <phoneticPr fontId="5" type="noConversion"/>
  </si>
  <si>
    <t>110108196305198513</t>
    <phoneticPr fontId="5" type="noConversion"/>
  </si>
  <si>
    <t>13910689896</t>
    <phoneticPr fontId="5" type="noConversion"/>
  </si>
  <si>
    <t>561309</t>
    <phoneticPr fontId="5" type="noConversion"/>
  </si>
  <si>
    <t>2003-22-P-06395</t>
    <phoneticPr fontId="5" type="noConversion"/>
  </si>
  <si>
    <t>朱凤云</t>
    <phoneticPr fontId="5" type="noConversion"/>
  </si>
  <si>
    <t>110102195605312346</t>
    <phoneticPr fontId="5" type="noConversion"/>
  </si>
  <si>
    <t>62622834</t>
    <phoneticPr fontId="5" type="noConversion"/>
  </si>
  <si>
    <t>1201号</t>
    <phoneticPr fontId="5" type="noConversion"/>
  </si>
  <si>
    <t>537098</t>
    <phoneticPr fontId="5" type="noConversion"/>
  </si>
  <si>
    <t>2003-22-P-06400-U</t>
    <phoneticPr fontId="5" type="noConversion"/>
  </si>
  <si>
    <t>朱军</t>
    <phoneticPr fontId="5" type="noConversion"/>
  </si>
  <si>
    <t>110102197609241919</t>
    <phoneticPr fontId="5" type="noConversion"/>
  </si>
  <si>
    <t>13501136836</t>
    <phoneticPr fontId="5" type="noConversion"/>
  </si>
  <si>
    <t>索家坟</t>
    <phoneticPr fontId="5" type="noConversion"/>
  </si>
  <si>
    <t>银2号楼</t>
    <phoneticPr fontId="5" type="noConversion"/>
  </si>
  <si>
    <r>
      <t>2门</t>
    </r>
    <r>
      <rPr>
        <sz val="10"/>
        <color indexed="8"/>
        <rFont val="Times New Roman"/>
        <family val="1"/>
      </rPr>
      <t/>
    </r>
    <phoneticPr fontId="5" type="noConversion"/>
  </si>
  <si>
    <t>张振松</t>
    <phoneticPr fontId="5" type="noConversion"/>
  </si>
  <si>
    <t>亲戚</t>
    <phoneticPr fontId="5" type="noConversion"/>
  </si>
  <si>
    <t>2003-22-P-06402</t>
    <phoneticPr fontId="5" type="noConversion"/>
  </si>
  <si>
    <t>董欣</t>
    <phoneticPr fontId="5" type="noConversion"/>
  </si>
  <si>
    <t>110107761220002</t>
    <phoneticPr fontId="5" type="noConversion"/>
  </si>
  <si>
    <t>13621005885、68842789</t>
    <phoneticPr fontId="5" type="noConversion"/>
  </si>
  <si>
    <t>1601号</t>
    <phoneticPr fontId="5" type="noConversion"/>
  </si>
  <si>
    <t>2003-22-P-06409</t>
    <phoneticPr fontId="5" type="noConversion"/>
  </si>
  <si>
    <t>孙迪</t>
    <phoneticPr fontId="5" type="noConversion"/>
  </si>
  <si>
    <t>110102580815082</t>
    <phoneticPr fontId="5" type="noConversion"/>
  </si>
  <si>
    <t>13311165165</t>
    <phoneticPr fontId="5" type="noConversion"/>
  </si>
  <si>
    <t>西G号</t>
    <phoneticPr fontId="5" type="noConversion"/>
  </si>
  <si>
    <t>评估半价收费</t>
    <phoneticPr fontId="5" type="noConversion"/>
  </si>
  <si>
    <t>564721</t>
    <phoneticPr fontId="5" type="noConversion"/>
  </si>
  <si>
    <t>2003-22-P-06410-M</t>
    <phoneticPr fontId="5" type="noConversion"/>
  </si>
  <si>
    <t>胡艳艳</t>
    <phoneticPr fontId="5" type="noConversion"/>
  </si>
  <si>
    <t>110101196204281583</t>
    <phoneticPr fontId="5" type="noConversion"/>
  </si>
  <si>
    <t>13301399963</t>
    <phoneticPr fontId="5" type="noConversion"/>
  </si>
  <si>
    <t>1318号</t>
    <phoneticPr fontId="5" type="noConversion"/>
  </si>
  <si>
    <t>562998</t>
    <phoneticPr fontId="5" type="noConversion"/>
  </si>
  <si>
    <t>2003-22-P-06414</t>
    <phoneticPr fontId="5" type="noConversion"/>
  </si>
  <si>
    <t>赵一飞</t>
    <phoneticPr fontId="5" type="noConversion"/>
  </si>
  <si>
    <t>532502197811190336</t>
    <phoneticPr fontId="5" type="noConversion"/>
  </si>
  <si>
    <t>上地信息产业基地上地佳园住宅及配套</t>
  </si>
  <si>
    <t>1402号</t>
    <phoneticPr fontId="5" type="noConversion"/>
  </si>
  <si>
    <t>北京实创上地佳园房地产开发有限公司</t>
  </si>
  <si>
    <t>十一</t>
  </si>
  <si>
    <t>160728</t>
    <phoneticPr fontId="5" type="noConversion"/>
  </si>
  <si>
    <t>北京市海淀区上地东里一区4号科贸大厦301、305、312房</t>
  </si>
  <si>
    <t>1101081312617（1-1）</t>
  </si>
  <si>
    <t>廖国华</t>
  </si>
  <si>
    <t>2003-22-P-06415</t>
    <phoneticPr fontId="5" type="noConversion"/>
  </si>
  <si>
    <t>林捷伟</t>
    <phoneticPr fontId="5" type="noConversion"/>
  </si>
  <si>
    <t>110108631212639</t>
    <phoneticPr fontId="5" type="noConversion"/>
  </si>
  <si>
    <t>2108号</t>
    <phoneticPr fontId="5" type="noConversion"/>
  </si>
  <si>
    <t>2003-22-P-06416</t>
    <phoneticPr fontId="5" type="noConversion"/>
  </si>
  <si>
    <t>胡建英</t>
    <phoneticPr fontId="5" type="noConversion"/>
  </si>
  <si>
    <t>130703781211092</t>
    <phoneticPr fontId="5" type="noConversion"/>
  </si>
  <si>
    <t>13051018181</t>
    <phoneticPr fontId="5" type="noConversion"/>
  </si>
  <si>
    <t>558498</t>
    <phoneticPr fontId="5" type="noConversion"/>
  </si>
  <si>
    <t>2003-22-P-06439-M</t>
    <phoneticPr fontId="5" type="noConversion"/>
  </si>
  <si>
    <t>李建军</t>
    <phoneticPr fontId="5" type="noConversion"/>
  </si>
  <si>
    <t>110103640915157</t>
    <phoneticPr fontId="5" type="noConversion"/>
  </si>
  <si>
    <t>13501337965、87962305、13366107068</t>
    <phoneticPr fontId="5" type="noConversion"/>
  </si>
  <si>
    <t>20号</t>
    <phoneticPr fontId="5" type="noConversion"/>
  </si>
  <si>
    <t>北京住房公积金管理中心崇文第一管理部</t>
    <phoneticPr fontId="5" type="noConversion"/>
  </si>
  <si>
    <t>578085</t>
    <phoneticPr fontId="5" type="noConversion"/>
  </si>
  <si>
    <t>2003-22-P-06441</t>
    <phoneticPr fontId="5" type="noConversion"/>
  </si>
  <si>
    <t>温薇</t>
    <phoneticPr fontId="5" type="noConversion"/>
  </si>
  <si>
    <t>110105791029812</t>
    <phoneticPr fontId="5" type="noConversion"/>
  </si>
  <si>
    <t>1105号</t>
    <phoneticPr fontId="5" type="noConversion"/>
  </si>
  <si>
    <t>2003-3-D1-03047</t>
    <phoneticPr fontId="5" type="noConversion"/>
  </si>
  <si>
    <t>2003-22-P-06443</t>
    <phoneticPr fontId="5" type="noConversion"/>
  </si>
  <si>
    <t>肖兰</t>
    <phoneticPr fontId="5" type="noConversion"/>
  </si>
  <si>
    <t>420104761010042</t>
    <phoneticPr fontId="5" type="noConversion"/>
  </si>
  <si>
    <t>13910107831、82801418</t>
    <phoneticPr fontId="5" type="noConversion"/>
  </si>
  <si>
    <t>2层</t>
    <phoneticPr fontId="5" type="noConversion"/>
  </si>
  <si>
    <t>581553</t>
    <phoneticPr fontId="5" type="noConversion"/>
  </si>
  <si>
    <t>2003-22-P-06444</t>
    <phoneticPr fontId="5" type="noConversion"/>
  </si>
  <si>
    <t>周毅</t>
    <phoneticPr fontId="5" type="noConversion"/>
  </si>
  <si>
    <t>430522197506137811</t>
    <phoneticPr fontId="5" type="noConversion"/>
  </si>
  <si>
    <t>13601126679、82038858--211</t>
    <phoneticPr fontId="5" type="noConversion"/>
  </si>
  <si>
    <t>565814</t>
    <phoneticPr fontId="5" type="noConversion"/>
  </si>
  <si>
    <t>2003-22-P-06459</t>
    <phoneticPr fontId="5" type="noConversion"/>
  </si>
  <si>
    <t>吕学威</t>
    <phoneticPr fontId="5" type="noConversion"/>
  </si>
  <si>
    <t>210882197812174014</t>
    <phoneticPr fontId="5" type="noConversion"/>
  </si>
  <si>
    <t>13810136550</t>
    <phoneticPr fontId="5" type="noConversion"/>
  </si>
  <si>
    <t>704号</t>
    <phoneticPr fontId="5" type="noConversion"/>
  </si>
  <si>
    <t>307713</t>
    <phoneticPr fontId="5" type="noConversion"/>
  </si>
  <si>
    <t>2003-22-P-06460</t>
    <phoneticPr fontId="5" type="noConversion"/>
  </si>
  <si>
    <t>戴巍</t>
    <phoneticPr fontId="5" type="noConversion"/>
  </si>
  <si>
    <t>211222197405030824</t>
    <phoneticPr fontId="5" type="noConversion"/>
  </si>
  <si>
    <t>13521329874</t>
    <phoneticPr fontId="5" type="noConversion"/>
  </si>
  <si>
    <t>326930</t>
    <phoneticPr fontId="5" type="noConversion"/>
  </si>
  <si>
    <t>2003-22-P-06469-M</t>
    <phoneticPr fontId="5" type="noConversion"/>
  </si>
  <si>
    <t>陈江波</t>
    <phoneticPr fontId="5" type="noConversion"/>
  </si>
  <si>
    <t>632123197808040015</t>
    <phoneticPr fontId="5" type="noConversion"/>
  </si>
  <si>
    <t>13693262001</t>
    <phoneticPr fontId="5" type="noConversion"/>
  </si>
  <si>
    <t>831号</t>
    <phoneticPr fontId="5" type="noConversion"/>
  </si>
  <si>
    <t>562985</t>
    <phoneticPr fontId="5" type="noConversion"/>
  </si>
  <si>
    <t>2003-22-P-06480</t>
    <phoneticPr fontId="5" type="noConversion"/>
  </si>
  <si>
    <t>朱强</t>
    <phoneticPr fontId="5" type="noConversion"/>
  </si>
  <si>
    <t>110108197606138914</t>
    <phoneticPr fontId="5" type="noConversion"/>
  </si>
  <si>
    <t>13910709877</t>
    <phoneticPr fontId="5" type="noConversion"/>
  </si>
  <si>
    <t>A9座</t>
    <phoneticPr fontId="5" type="noConversion"/>
  </si>
  <si>
    <t>581243</t>
    <phoneticPr fontId="5" type="noConversion"/>
  </si>
  <si>
    <t>2003-22-P-06486-U</t>
    <phoneticPr fontId="5" type="noConversion"/>
  </si>
  <si>
    <t>牛玉英</t>
    <phoneticPr fontId="5" type="noConversion"/>
  </si>
  <si>
    <t>15010419721020004X</t>
    <phoneticPr fontId="5" type="noConversion"/>
  </si>
  <si>
    <t>13366112273</t>
    <phoneticPr fontId="5" type="noConversion"/>
  </si>
  <si>
    <t>皂君东里</t>
    <phoneticPr fontId="5" type="noConversion"/>
  </si>
  <si>
    <t>甲34号楼</t>
    <phoneticPr fontId="5" type="noConversion"/>
  </si>
  <si>
    <t>141号</t>
    <phoneticPr fontId="5" type="noConversion"/>
  </si>
  <si>
    <t>杨青</t>
    <phoneticPr fontId="5" type="noConversion"/>
  </si>
  <si>
    <t>2003-22-P-06492</t>
    <phoneticPr fontId="5" type="noConversion"/>
  </si>
  <si>
    <t>彭艳崇</t>
    <phoneticPr fontId="5" type="noConversion"/>
  </si>
  <si>
    <t>420202751129041</t>
    <phoneticPr fontId="5" type="noConversion"/>
  </si>
  <si>
    <t>13601325413、82303035</t>
    <phoneticPr fontId="5" type="noConversion"/>
  </si>
  <si>
    <t>581588</t>
    <phoneticPr fontId="5" type="noConversion"/>
  </si>
  <si>
    <t>2003-22-P-06500</t>
    <phoneticPr fontId="5" type="noConversion"/>
  </si>
  <si>
    <t>佟永鹏</t>
    <phoneticPr fontId="5" type="noConversion"/>
  </si>
  <si>
    <t>211221197601232435</t>
    <phoneticPr fontId="5" type="noConversion"/>
  </si>
  <si>
    <t>13011132023</t>
    <phoneticPr fontId="5" type="noConversion"/>
  </si>
  <si>
    <t>632号</t>
    <phoneticPr fontId="5" type="noConversion"/>
  </si>
  <si>
    <t>2003-3-D1-03052</t>
    <phoneticPr fontId="5" type="noConversion"/>
  </si>
  <si>
    <t>536627</t>
    <phoneticPr fontId="5" type="noConversion"/>
  </si>
  <si>
    <t>2003-22-P-06501</t>
    <phoneticPr fontId="5" type="noConversion"/>
  </si>
  <si>
    <t>苏青、孙建军</t>
    <phoneticPr fontId="5" type="noConversion"/>
  </si>
  <si>
    <t>110104550621256、110103550927093</t>
    <phoneticPr fontId="5" type="noConversion"/>
  </si>
  <si>
    <t>乙6号楼</t>
    <phoneticPr fontId="5" type="noConversion"/>
  </si>
  <si>
    <t xml:space="preserve">首层及跃层3米，其余为2.85米 </t>
    <phoneticPr fontId="5" type="noConversion"/>
  </si>
  <si>
    <t>2003-22-P-06504</t>
    <phoneticPr fontId="5" type="noConversion"/>
  </si>
  <si>
    <t>隋明明</t>
    <phoneticPr fontId="5" type="noConversion"/>
  </si>
  <si>
    <t>371083780305852</t>
    <phoneticPr fontId="5" type="noConversion"/>
  </si>
  <si>
    <t>13691031036、13366082686</t>
    <phoneticPr fontId="5" type="noConversion"/>
  </si>
  <si>
    <t>B座</t>
    <phoneticPr fontId="5" type="noConversion"/>
  </si>
  <si>
    <t>512号</t>
    <phoneticPr fontId="5" type="noConversion"/>
  </si>
  <si>
    <t>536878</t>
    <phoneticPr fontId="5" type="noConversion"/>
  </si>
  <si>
    <t>2003-22-P-06508</t>
    <phoneticPr fontId="5" type="noConversion"/>
  </si>
  <si>
    <t>董如洁</t>
    <phoneticPr fontId="5" type="noConversion"/>
  </si>
  <si>
    <t>110108750814682</t>
    <phoneticPr fontId="5" type="noConversion"/>
  </si>
  <si>
    <t>13051279502</t>
    <phoneticPr fontId="5" type="noConversion"/>
  </si>
  <si>
    <t>2003-3-D1-03054</t>
    <phoneticPr fontId="5" type="noConversion"/>
  </si>
  <si>
    <t>581667</t>
    <phoneticPr fontId="5" type="noConversion"/>
  </si>
  <si>
    <t>2003-22-P-06526</t>
    <phoneticPr fontId="5" type="noConversion"/>
  </si>
  <si>
    <t>杨炯</t>
    <phoneticPr fontId="5" type="noConversion"/>
  </si>
  <si>
    <t>110105197201245421</t>
    <phoneticPr fontId="5" type="noConversion"/>
  </si>
  <si>
    <t>13501137487、62967171</t>
    <phoneticPr fontId="5" type="noConversion"/>
  </si>
  <si>
    <t>547596</t>
    <phoneticPr fontId="5" type="noConversion"/>
  </si>
  <si>
    <t>2003-22-P-06532</t>
    <phoneticPr fontId="5" type="noConversion"/>
  </si>
  <si>
    <t>梅云章</t>
    <phoneticPr fontId="5" type="noConversion"/>
  </si>
  <si>
    <t>110102590711117</t>
    <phoneticPr fontId="5" type="noConversion"/>
  </si>
  <si>
    <t>62980049</t>
    <phoneticPr fontId="5" type="noConversion"/>
  </si>
  <si>
    <t>D座</t>
    <phoneticPr fontId="5" type="noConversion"/>
  </si>
  <si>
    <t>531784</t>
    <phoneticPr fontId="5" type="noConversion"/>
  </si>
  <si>
    <t>2003-22-P-06533</t>
    <phoneticPr fontId="5" type="noConversion"/>
  </si>
  <si>
    <t>王文勇</t>
    <phoneticPr fontId="5" type="noConversion"/>
  </si>
  <si>
    <t>110108196712252257</t>
    <phoneticPr fontId="5" type="noConversion"/>
  </si>
  <si>
    <t>13801044743</t>
    <phoneticPr fontId="5" type="noConversion"/>
  </si>
  <si>
    <t>F座</t>
    <phoneticPr fontId="5" type="noConversion"/>
  </si>
  <si>
    <t>531733</t>
    <phoneticPr fontId="5" type="noConversion"/>
  </si>
  <si>
    <t>2003-22-P-06535</t>
    <phoneticPr fontId="5" type="noConversion"/>
  </si>
  <si>
    <t>呙亚南、周云</t>
    <phoneticPr fontId="5" type="noConversion"/>
  </si>
  <si>
    <t>510212197409156114、410303750323002</t>
    <phoneticPr fontId="5" type="noConversion"/>
  </si>
  <si>
    <t>13521392987</t>
    <phoneticPr fontId="5" type="noConversion"/>
  </si>
  <si>
    <t>1808号</t>
    <phoneticPr fontId="5" type="noConversion"/>
  </si>
  <si>
    <t>558773</t>
    <phoneticPr fontId="5" type="noConversion"/>
  </si>
  <si>
    <t>2003-22-P-06537</t>
    <phoneticPr fontId="5" type="noConversion"/>
  </si>
  <si>
    <t>屈艳丽</t>
    <phoneticPr fontId="5" type="noConversion"/>
  </si>
  <si>
    <t>420527197708020021</t>
    <phoneticPr fontId="5" type="noConversion"/>
  </si>
  <si>
    <t>13910114917</t>
    <phoneticPr fontId="5" type="noConversion"/>
  </si>
  <si>
    <t>326949</t>
    <phoneticPr fontId="5" type="noConversion"/>
  </si>
  <si>
    <t>2003-22-P-06545-M</t>
    <phoneticPr fontId="5" type="noConversion"/>
  </si>
  <si>
    <t>杨梅</t>
    <phoneticPr fontId="5" type="noConversion"/>
  </si>
  <si>
    <t>650104197906271629</t>
    <phoneticPr fontId="5" type="noConversion"/>
  </si>
  <si>
    <t>68935722</t>
    <phoneticPr fontId="5" type="noConversion"/>
  </si>
  <si>
    <t>1414号</t>
    <phoneticPr fontId="5" type="noConversion"/>
  </si>
  <si>
    <t>554885</t>
    <phoneticPr fontId="5" type="noConversion"/>
  </si>
  <si>
    <t>2003-22-P-06548</t>
    <phoneticPr fontId="5" type="noConversion"/>
  </si>
  <si>
    <t>聂志敏</t>
    <phoneticPr fontId="5" type="noConversion"/>
  </si>
  <si>
    <t>110108701212132</t>
    <phoneticPr fontId="5" type="noConversion"/>
  </si>
  <si>
    <t>13301115277</t>
    <phoneticPr fontId="5" type="noConversion"/>
  </si>
  <si>
    <t>5东A号</t>
    <phoneticPr fontId="5" type="noConversion"/>
  </si>
  <si>
    <t>564719</t>
    <phoneticPr fontId="5" type="noConversion"/>
  </si>
  <si>
    <t>2003-22-P-06550</t>
    <phoneticPr fontId="5" type="noConversion"/>
  </si>
  <si>
    <t>李冬</t>
    <phoneticPr fontId="5" type="noConversion"/>
  </si>
  <si>
    <t>110102621222240</t>
    <phoneticPr fontId="5" type="noConversion"/>
  </si>
  <si>
    <t>13521315321</t>
    <phoneticPr fontId="5" type="noConversion"/>
  </si>
  <si>
    <t>1611号</t>
    <phoneticPr fontId="5" type="noConversion"/>
  </si>
  <si>
    <t>558755</t>
    <phoneticPr fontId="5" type="noConversion"/>
  </si>
  <si>
    <t>2003-22-P-06558</t>
    <phoneticPr fontId="5" type="noConversion"/>
  </si>
  <si>
    <t>王志强</t>
    <phoneticPr fontId="5" type="noConversion"/>
  </si>
  <si>
    <t>120224770704115</t>
    <phoneticPr fontId="5" type="noConversion"/>
  </si>
  <si>
    <t>13681128947</t>
    <phoneticPr fontId="5" type="noConversion"/>
  </si>
  <si>
    <t>A7座</t>
  </si>
  <si>
    <t>580341</t>
    <phoneticPr fontId="5" type="noConversion"/>
  </si>
  <si>
    <t>2003-22-P-06559</t>
    <phoneticPr fontId="5" type="noConversion"/>
  </si>
  <si>
    <t>时惠利</t>
    <phoneticPr fontId="5" type="noConversion"/>
  </si>
  <si>
    <t>110108730610220</t>
    <phoneticPr fontId="5" type="noConversion"/>
  </si>
  <si>
    <t>13691279922</t>
    <phoneticPr fontId="5" type="noConversion"/>
  </si>
  <si>
    <t>2003-3-D1-03061</t>
    <phoneticPr fontId="5" type="noConversion"/>
  </si>
  <si>
    <t>580365</t>
    <phoneticPr fontId="5" type="noConversion"/>
  </si>
  <si>
    <t>2003-22-P-06564</t>
    <phoneticPr fontId="5" type="noConversion"/>
  </si>
  <si>
    <t>210104197601124028</t>
    <phoneticPr fontId="5" type="noConversion"/>
  </si>
  <si>
    <t>13671038569</t>
    <phoneticPr fontId="5" type="noConversion"/>
  </si>
  <si>
    <t>589401</t>
    <phoneticPr fontId="5" type="noConversion"/>
  </si>
  <si>
    <t>1102282368648（1-1）</t>
    <phoneticPr fontId="5" type="noConversion"/>
  </si>
  <si>
    <t>2003-22-P-06567-M</t>
    <phoneticPr fontId="5" type="noConversion"/>
  </si>
  <si>
    <t>陈洋</t>
    <phoneticPr fontId="5" type="noConversion"/>
  </si>
  <si>
    <t>510226197510120835</t>
    <phoneticPr fontId="5" type="noConversion"/>
  </si>
  <si>
    <t>13910572711</t>
    <phoneticPr fontId="5" type="noConversion"/>
  </si>
  <si>
    <t>1118号</t>
    <phoneticPr fontId="5" type="noConversion"/>
  </si>
  <si>
    <t>562997</t>
    <phoneticPr fontId="5" type="noConversion"/>
  </si>
  <si>
    <t>2003-22-P-06568</t>
    <phoneticPr fontId="5" type="noConversion"/>
  </si>
  <si>
    <t>邢亮</t>
    <phoneticPr fontId="5" type="noConversion"/>
  </si>
  <si>
    <t>110105197409041516</t>
    <phoneticPr fontId="5" type="noConversion"/>
  </si>
  <si>
    <t>2003-22-P-06571</t>
    <phoneticPr fontId="5" type="noConversion"/>
  </si>
  <si>
    <t>张佳</t>
    <phoneticPr fontId="5" type="noConversion"/>
  </si>
  <si>
    <t>110108780516602</t>
    <phoneticPr fontId="5" type="noConversion"/>
  </si>
  <si>
    <t>13661210756</t>
    <phoneticPr fontId="5" type="noConversion"/>
  </si>
  <si>
    <t>407号</t>
    <phoneticPr fontId="5" type="noConversion"/>
  </si>
  <si>
    <t>326933</t>
    <phoneticPr fontId="5" type="noConversion"/>
  </si>
  <si>
    <t>2003-22-P-06576</t>
    <phoneticPr fontId="5" type="noConversion"/>
  </si>
  <si>
    <t>110106197502035125</t>
    <phoneticPr fontId="5" type="noConversion"/>
  </si>
  <si>
    <t>13601191292</t>
    <phoneticPr fontId="5" type="noConversion"/>
  </si>
  <si>
    <t>327495</t>
    <phoneticPr fontId="5" type="noConversion"/>
  </si>
  <si>
    <t>2003-22-P-06579</t>
    <phoneticPr fontId="5" type="noConversion"/>
  </si>
  <si>
    <t>郝爱晶</t>
    <phoneticPr fontId="5" type="noConversion"/>
  </si>
  <si>
    <t>110103680830008</t>
    <phoneticPr fontId="5" type="noConversion"/>
  </si>
  <si>
    <t>1007号</t>
    <phoneticPr fontId="5" type="noConversion"/>
  </si>
  <si>
    <t>2003-22-P-06580</t>
    <phoneticPr fontId="5" type="noConversion"/>
  </si>
  <si>
    <t>李宁</t>
    <phoneticPr fontId="5" type="noConversion"/>
  </si>
  <si>
    <t>130226780926806</t>
    <phoneticPr fontId="5" type="noConversion"/>
  </si>
  <si>
    <t>2003-3-D1-03067</t>
    <phoneticPr fontId="5" type="noConversion"/>
  </si>
  <si>
    <t>2003-22-P-06581</t>
    <phoneticPr fontId="5" type="noConversion"/>
  </si>
  <si>
    <t>杨海英</t>
    <phoneticPr fontId="5" type="noConversion"/>
  </si>
  <si>
    <t>211302751210322</t>
    <phoneticPr fontId="5" type="noConversion"/>
  </si>
  <si>
    <t>2003-3-D1-03068</t>
    <phoneticPr fontId="5" type="noConversion"/>
  </si>
  <si>
    <t>2003-22-P-06588</t>
    <phoneticPr fontId="5" type="noConversion"/>
  </si>
  <si>
    <t>王岩</t>
    <phoneticPr fontId="5" type="noConversion"/>
  </si>
  <si>
    <t>110105196602146120</t>
    <phoneticPr fontId="5" type="noConversion"/>
  </si>
  <si>
    <t>62160051、82070668</t>
    <phoneticPr fontId="5" type="noConversion"/>
  </si>
  <si>
    <t>326948</t>
    <phoneticPr fontId="5" type="noConversion"/>
  </si>
  <si>
    <t>2003-22-P-06590</t>
    <phoneticPr fontId="5" type="noConversion"/>
  </si>
  <si>
    <t>马作涛</t>
    <phoneticPr fontId="5" type="noConversion"/>
  </si>
  <si>
    <t>422428197310101510</t>
    <phoneticPr fontId="5" type="noConversion"/>
  </si>
  <si>
    <t>13671126775、51737500-275、13910625452</t>
    <phoneticPr fontId="5" type="noConversion"/>
  </si>
  <si>
    <t>1107号</t>
    <phoneticPr fontId="5" type="noConversion"/>
  </si>
  <si>
    <t>536720</t>
    <phoneticPr fontId="5" type="noConversion"/>
  </si>
  <si>
    <t>2003-22-P-06596-U</t>
    <phoneticPr fontId="5" type="noConversion"/>
  </si>
  <si>
    <t>王秀玲</t>
    <phoneticPr fontId="5" type="noConversion"/>
  </si>
  <si>
    <t>110224721207284</t>
    <phoneticPr fontId="5" type="noConversion"/>
  </si>
  <si>
    <t>13681555402</t>
    <phoneticPr fontId="5" type="noConversion"/>
  </si>
  <si>
    <r>
      <t>小南庄</t>
    </r>
    <r>
      <rPr>
        <sz val="10"/>
        <rFont val="Times New Roman"/>
        <family val="1"/>
      </rPr>
      <t/>
    </r>
    <phoneticPr fontId="5" type="noConversion"/>
  </si>
  <si>
    <t>张立秋</t>
    <phoneticPr fontId="5" type="noConversion"/>
  </si>
  <si>
    <t>2003-22-P-06605</t>
  </si>
  <si>
    <t>刘震华</t>
    <phoneticPr fontId="5" type="noConversion"/>
  </si>
  <si>
    <t>130204197108172144</t>
    <phoneticPr fontId="5" type="noConversion"/>
  </si>
  <si>
    <t>13651090895</t>
    <phoneticPr fontId="5" type="noConversion"/>
  </si>
  <si>
    <t>北京住房公积金管理中心门头沟管理部</t>
    <phoneticPr fontId="5" type="noConversion"/>
  </si>
  <si>
    <t>581498</t>
    <phoneticPr fontId="5" type="noConversion"/>
  </si>
  <si>
    <t>2003-22-P-06612</t>
    <phoneticPr fontId="5" type="noConversion"/>
  </si>
  <si>
    <t>张文革</t>
    <phoneticPr fontId="5" type="noConversion"/>
  </si>
  <si>
    <t>110108680213271</t>
    <phoneticPr fontId="5" type="noConversion"/>
  </si>
  <si>
    <t>13641305871</t>
    <phoneticPr fontId="5" type="noConversion"/>
  </si>
  <si>
    <t>3A02号</t>
    <phoneticPr fontId="5" type="noConversion"/>
  </si>
  <si>
    <t>580837</t>
    <phoneticPr fontId="5" type="noConversion"/>
  </si>
  <si>
    <t>2003-22-P-06614</t>
    <phoneticPr fontId="5" type="noConversion"/>
  </si>
  <si>
    <t>曹雷</t>
    <phoneticPr fontId="5" type="noConversion"/>
  </si>
  <si>
    <t>110108197511109731</t>
    <phoneticPr fontId="5" type="noConversion"/>
  </si>
  <si>
    <t>13621140748</t>
    <phoneticPr fontId="5" type="noConversion"/>
  </si>
  <si>
    <t>312号</t>
    <phoneticPr fontId="5" type="noConversion"/>
  </si>
  <si>
    <t>583621</t>
    <phoneticPr fontId="5" type="noConversion"/>
  </si>
  <si>
    <t>2003-22-P-06626</t>
    <phoneticPr fontId="5" type="noConversion"/>
  </si>
  <si>
    <t>侯智勇、钟仁红</t>
    <phoneticPr fontId="5" type="noConversion"/>
  </si>
  <si>
    <t>130221197801170012、362121780219004</t>
    <phoneticPr fontId="5" type="noConversion"/>
  </si>
  <si>
    <t>13691449870</t>
    <phoneticPr fontId="5" type="noConversion"/>
  </si>
  <si>
    <t>2111号</t>
    <phoneticPr fontId="5" type="noConversion"/>
  </si>
  <si>
    <t>550675</t>
    <phoneticPr fontId="5" type="noConversion"/>
  </si>
  <si>
    <t>2003-22-P-06631</t>
  </si>
  <si>
    <t>刘波</t>
    <phoneticPr fontId="5" type="noConversion"/>
  </si>
  <si>
    <t>110108680512421</t>
    <phoneticPr fontId="5" type="noConversion"/>
  </si>
  <si>
    <t>2003-22-P-06642</t>
    <phoneticPr fontId="5" type="noConversion"/>
  </si>
  <si>
    <t>程晓冰</t>
    <phoneticPr fontId="5" type="noConversion"/>
  </si>
  <si>
    <t>110102780420333</t>
    <phoneticPr fontId="5" type="noConversion"/>
  </si>
  <si>
    <t>2003-3-D1-03076</t>
    <phoneticPr fontId="5" type="noConversion"/>
  </si>
  <si>
    <t>2003-22-P-06658</t>
    <phoneticPr fontId="5" type="noConversion"/>
  </si>
  <si>
    <t>曾安麟</t>
    <phoneticPr fontId="5" type="noConversion"/>
  </si>
  <si>
    <t>110102551206113</t>
    <phoneticPr fontId="5" type="noConversion"/>
  </si>
  <si>
    <t>13801089026</t>
    <phoneticPr fontId="5" type="noConversion"/>
  </si>
  <si>
    <t>1504号</t>
    <phoneticPr fontId="5" type="noConversion"/>
  </si>
  <si>
    <t>307893</t>
    <phoneticPr fontId="5" type="noConversion"/>
  </si>
  <si>
    <t>2003-22-P-06689</t>
    <phoneticPr fontId="5" type="noConversion"/>
  </si>
  <si>
    <t>邓宇章</t>
    <phoneticPr fontId="5" type="noConversion"/>
  </si>
  <si>
    <t>110109740218003</t>
    <phoneticPr fontId="5" type="noConversion"/>
  </si>
  <si>
    <t>13911007063</t>
    <phoneticPr fontId="5" type="noConversion"/>
  </si>
  <si>
    <t>307842</t>
    <phoneticPr fontId="5" type="noConversion"/>
  </si>
  <si>
    <t>2003-22-P-06694</t>
    <phoneticPr fontId="5" type="noConversion"/>
  </si>
  <si>
    <t>李先银</t>
    <phoneticPr fontId="5" type="noConversion"/>
  </si>
  <si>
    <t>413025197509176315</t>
    <phoneticPr fontId="5" type="noConversion"/>
  </si>
  <si>
    <t>13681562779、62324957</t>
    <phoneticPr fontId="5" type="noConversion"/>
  </si>
  <si>
    <t>581578</t>
    <phoneticPr fontId="5" type="noConversion"/>
  </si>
  <si>
    <t>2003-22-P-06695</t>
    <phoneticPr fontId="5" type="noConversion"/>
  </si>
  <si>
    <t>孔燕霞</t>
    <phoneticPr fontId="5" type="noConversion"/>
  </si>
  <si>
    <t>410803197609141526</t>
    <phoneticPr fontId="5" type="noConversion"/>
  </si>
  <si>
    <t>13693353457、62968448-8221</t>
    <phoneticPr fontId="5" type="noConversion"/>
  </si>
  <si>
    <t>581076</t>
    <phoneticPr fontId="5" type="noConversion"/>
  </si>
  <si>
    <t>2003-22-P-06702</t>
    <phoneticPr fontId="5" type="noConversion"/>
  </si>
  <si>
    <t>裴新颜</t>
    <phoneticPr fontId="5" type="noConversion"/>
  </si>
  <si>
    <t>110108196803293740</t>
    <phoneticPr fontId="5" type="noConversion"/>
  </si>
  <si>
    <t>68764094、68764410</t>
    <phoneticPr fontId="5" type="noConversion"/>
  </si>
  <si>
    <t>四季青乡田村小区畅茜园小区碧森园</t>
    <phoneticPr fontId="5" type="noConversion"/>
  </si>
  <si>
    <t>北京市龙鼎华源房地产开发有限责任公司</t>
    <phoneticPr fontId="5" type="noConversion"/>
  </si>
  <si>
    <t>586546</t>
    <phoneticPr fontId="5" type="noConversion"/>
  </si>
  <si>
    <t>北京市海淀区半壁店64号</t>
    <phoneticPr fontId="5" type="noConversion"/>
  </si>
  <si>
    <t>1101081170203</t>
    <phoneticPr fontId="5" type="noConversion"/>
  </si>
  <si>
    <t>刘长福</t>
    <phoneticPr fontId="5" type="noConversion"/>
  </si>
  <si>
    <t>2003-22-P-06710-M</t>
    <phoneticPr fontId="5" type="noConversion"/>
  </si>
  <si>
    <t>田东文</t>
    <phoneticPr fontId="5" type="noConversion"/>
  </si>
  <si>
    <t>110108671127006</t>
    <phoneticPr fontId="5" type="noConversion"/>
  </si>
  <si>
    <t>13671061586</t>
    <phoneticPr fontId="5" type="noConversion"/>
  </si>
  <si>
    <t>B6座</t>
    <phoneticPr fontId="5" type="noConversion"/>
  </si>
  <si>
    <t>2003-3-D1-03082</t>
    <phoneticPr fontId="5" type="noConversion"/>
  </si>
  <si>
    <t>234359</t>
    <phoneticPr fontId="5" type="noConversion"/>
  </si>
  <si>
    <t>2003-22-P-06730</t>
    <phoneticPr fontId="5" type="noConversion"/>
  </si>
  <si>
    <t>黄佩娟</t>
    <phoneticPr fontId="5" type="noConversion"/>
  </si>
  <si>
    <t>32031119761101122X</t>
    <phoneticPr fontId="5" type="noConversion"/>
  </si>
  <si>
    <t>13641368713、82841799、13621378071</t>
    <phoneticPr fontId="5" type="noConversion"/>
  </si>
  <si>
    <t>2003-22-P-06732</t>
    <phoneticPr fontId="5" type="noConversion"/>
  </si>
  <si>
    <t>詹小雪、曹志尚</t>
    <phoneticPr fontId="5" type="noConversion"/>
  </si>
  <si>
    <t>110229781123002、110229197607310015</t>
    <phoneticPr fontId="5" type="noConversion"/>
  </si>
  <si>
    <t>1501号</t>
    <phoneticPr fontId="5" type="noConversion"/>
  </si>
  <si>
    <t>2003-22-P-06738</t>
    <phoneticPr fontId="5" type="noConversion"/>
  </si>
  <si>
    <t>黄蕊</t>
    <phoneticPr fontId="5" type="noConversion"/>
  </si>
  <si>
    <t>110108197305151445</t>
    <phoneticPr fontId="5" type="noConversion"/>
  </si>
  <si>
    <t>13601358350</t>
    <phoneticPr fontId="5" type="noConversion"/>
  </si>
  <si>
    <t>按成交价0.5%收费</t>
    <phoneticPr fontId="5" type="noConversion"/>
  </si>
  <si>
    <t>2003-3-D1-03084</t>
    <phoneticPr fontId="5" type="noConversion"/>
  </si>
  <si>
    <t>581450</t>
    <phoneticPr fontId="5" type="noConversion"/>
  </si>
  <si>
    <t>2003-22-P-06740</t>
  </si>
  <si>
    <t>周磊</t>
    <phoneticPr fontId="5" type="noConversion"/>
  </si>
  <si>
    <t>110108197409192719</t>
    <phoneticPr fontId="5" type="noConversion"/>
  </si>
  <si>
    <t>13611285024</t>
    <phoneticPr fontId="5" type="noConversion"/>
  </si>
  <si>
    <t>327041</t>
    <phoneticPr fontId="5" type="noConversion"/>
  </si>
  <si>
    <t>2003-22-P-06744</t>
    <phoneticPr fontId="5" type="noConversion"/>
  </si>
  <si>
    <t>刘元锋</t>
    <phoneticPr fontId="5" type="noConversion"/>
  </si>
  <si>
    <t>110221771111701</t>
    <phoneticPr fontId="5" type="noConversion"/>
  </si>
  <si>
    <t>13810188282</t>
    <phoneticPr fontId="5" type="noConversion"/>
  </si>
  <si>
    <t>536838</t>
    <phoneticPr fontId="5" type="noConversion"/>
  </si>
  <si>
    <t>2003-22-P-06745</t>
    <phoneticPr fontId="5" type="noConversion"/>
  </si>
  <si>
    <t>康朝湘</t>
    <phoneticPr fontId="5" type="noConversion"/>
  </si>
  <si>
    <t>110108721107421</t>
    <phoneticPr fontId="5" type="noConversion"/>
  </si>
  <si>
    <t>1409号</t>
    <phoneticPr fontId="5" type="noConversion"/>
  </si>
  <si>
    <t>2003-22-P-06757</t>
    <phoneticPr fontId="5" type="noConversion"/>
  </si>
  <si>
    <t>李强</t>
    <phoneticPr fontId="5" type="noConversion"/>
  </si>
  <si>
    <t>652301197204180814</t>
    <phoneticPr fontId="5" type="noConversion"/>
  </si>
  <si>
    <t>13683228574</t>
    <phoneticPr fontId="5" type="noConversion"/>
  </si>
  <si>
    <t>2002号</t>
    <phoneticPr fontId="5" type="noConversion"/>
  </si>
  <si>
    <t>558797</t>
    <phoneticPr fontId="5" type="noConversion"/>
  </si>
  <si>
    <t>2003-22-P-06766</t>
    <phoneticPr fontId="5" type="noConversion"/>
  </si>
  <si>
    <t>任杰</t>
    <phoneticPr fontId="5" type="noConversion"/>
  </si>
  <si>
    <t>110108640811634</t>
    <phoneticPr fontId="5" type="noConversion"/>
  </si>
  <si>
    <t>13521038228、62315141、82303687</t>
    <phoneticPr fontId="5" type="noConversion"/>
  </si>
  <si>
    <t>A7座</t>
    <phoneticPr fontId="5" type="noConversion"/>
  </si>
  <si>
    <t>580366</t>
    <phoneticPr fontId="5" type="noConversion"/>
  </si>
  <si>
    <t>2003-22-P-06767</t>
    <phoneticPr fontId="5" type="noConversion"/>
  </si>
  <si>
    <t>贾春玲</t>
    <phoneticPr fontId="5" type="noConversion"/>
  </si>
  <si>
    <t>132823197803150020</t>
    <phoneticPr fontId="5" type="noConversion"/>
  </si>
  <si>
    <t>13810391106、62242814转8044、62075205</t>
    <phoneticPr fontId="5" type="noConversion"/>
  </si>
  <si>
    <t>1127号</t>
    <phoneticPr fontId="5" type="noConversion"/>
  </si>
  <si>
    <t>536670</t>
    <phoneticPr fontId="5" type="noConversion"/>
  </si>
  <si>
    <t>2003-22-P-06775</t>
    <phoneticPr fontId="5" type="noConversion"/>
  </si>
  <si>
    <t>李建华</t>
    <phoneticPr fontId="5" type="noConversion"/>
  </si>
  <si>
    <t>110108700912274</t>
    <phoneticPr fontId="5" type="noConversion"/>
  </si>
  <si>
    <t>209#号</t>
    <phoneticPr fontId="5" type="noConversion"/>
  </si>
  <si>
    <t>2003-3-D1-03091</t>
    <phoneticPr fontId="5" type="noConversion"/>
  </si>
  <si>
    <t>2003-22-P-06780</t>
    <phoneticPr fontId="5" type="noConversion"/>
  </si>
  <si>
    <t>金有刚</t>
    <phoneticPr fontId="5" type="noConversion"/>
  </si>
  <si>
    <t>110108197212099756</t>
    <phoneticPr fontId="5" type="noConversion"/>
  </si>
  <si>
    <t>522741</t>
    <phoneticPr fontId="5" type="noConversion"/>
  </si>
  <si>
    <t>2003-22-P-06791</t>
    <phoneticPr fontId="5" type="noConversion"/>
  </si>
  <si>
    <t>王旭</t>
    <phoneticPr fontId="5" type="noConversion"/>
  </si>
  <si>
    <t>110108720123932</t>
    <phoneticPr fontId="5" type="noConversion"/>
  </si>
  <si>
    <t>13661299932、82905733、13910299867</t>
    <phoneticPr fontId="5" type="noConversion"/>
  </si>
  <si>
    <t>2003-22-P-06799</t>
    <phoneticPr fontId="5" type="noConversion"/>
  </si>
  <si>
    <t>张彦</t>
    <phoneticPr fontId="5" type="noConversion"/>
  </si>
  <si>
    <t>410105197708232719</t>
    <phoneticPr fontId="5" type="noConversion"/>
  </si>
  <si>
    <t>13910164503、68318887-6315</t>
    <phoneticPr fontId="5" type="noConversion"/>
  </si>
  <si>
    <t>1112号</t>
    <phoneticPr fontId="5" type="noConversion"/>
  </si>
  <si>
    <t>558715</t>
    <phoneticPr fontId="5" type="noConversion"/>
  </si>
  <si>
    <t>2003-22-P-06801</t>
    <phoneticPr fontId="5" type="noConversion"/>
  </si>
  <si>
    <t>崔健</t>
    <phoneticPr fontId="5" type="noConversion"/>
  </si>
  <si>
    <t>110108700901631</t>
    <phoneticPr fontId="5" type="noConversion"/>
  </si>
  <si>
    <t>13801230884</t>
    <phoneticPr fontId="5" type="noConversion"/>
  </si>
  <si>
    <t>420号</t>
    <phoneticPr fontId="5" type="noConversion"/>
  </si>
  <si>
    <t>2003-22-P-06802</t>
    <phoneticPr fontId="5" type="noConversion"/>
  </si>
  <si>
    <t>郝国庆</t>
    <phoneticPr fontId="5" type="noConversion"/>
  </si>
  <si>
    <t>110102761222155</t>
    <phoneticPr fontId="5" type="noConversion"/>
  </si>
  <si>
    <t>13601373416</t>
    <phoneticPr fontId="5" type="noConversion"/>
  </si>
  <si>
    <t>523号</t>
    <phoneticPr fontId="5" type="noConversion"/>
  </si>
  <si>
    <t>536820</t>
    <phoneticPr fontId="5" type="noConversion"/>
  </si>
  <si>
    <t>2003-22-P-06806</t>
    <phoneticPr fontId="5" type="noConversion"/>
  </si>
  <si>
    <t>李莉、岳林</t>
    <phoneticPr fontId="5" type="noConversion"/>
  </si>
  <si>
    <t>130402750620152、410927750721101</t>
    <phoneticPr fontId="5" type="noConversion"/>
  </si>
  <si>
    <t>13520762087</t>
    <phoneticPr fontId="5" type="noConversion"/>
  </si>
  <si>
    <t>16＃幢</t>
    <phoneticPr fontId="5" type="noConversion"/>
  </si>
  <si>
    <t>1408号</t>
    <phoneticPr fontId="5" type="noConversion"/>
  </si>
  <si>
    <t>558723</t>
    <phoneticPr fontId="5" type="noConversion"/>
  </si>
  <si>
    <t>2003-22-P-06808</t>
    <phoneticPr fontId="5" type="noConversion"/>
  </si>
  <si>
    <t>李奎阳</t>
    <phoneticPr fontId="5" type="noConversion"/>
  </si>
  <si>
    <t>42240619790109481X</t>
    <phoneticPr fontId="5" type="noConversion"/>
  </si>
  <si>
    <t>13911056671</t>
    <phoneticPr fontId="5" type="noConversion"/>
  </si>
  <si>
    <t>2003-22-P-06810</t>
    <phoneticPr fontId="5" type="noConversion"/>
  </si>
  <si>
    <t>刘东、荣淑霞</t>
    <phoneticPr fontId="5" type="noConversion"/>
  </si>
  <si>
    <t>230421760929181、230228197412291425</t>
    <phoneticPr fontId="5" type="noConversion"/>
  </si>
  <si>
    <t>403号</t>
    <phoneticPr fontId="5" type="noConversion"/>
  </si>
  <si>
    <t>2003-3-D1-03096</t>
    <phoneticPr fontId="5" type="noConversion"/>
  </si>
  <si>
    <t>2003-22-P-06811</t>
    <phoneticPr fontId="5" type="noConversion"/>
  </si>
  <si>
    <t>秦江涛</t>
    <phoneticPr fontId="5" type="noConversion"/>
  </si>
  <si>
    <t>320311197711037013</t>
    <phoneticPr fontId="5" type="noConversion"/>
  </si>
  <si>
    <t>2003-3-D1-03097</t>
    <phoneticPr fontId="5" type="noConversion"/>
  </si>
  <si>
    <t>2003-22-P-06835</t>
    <phoneticPr fontId="5" type="noConversion"/>
  </si>
  <si>
    <t>李少英</t>
    <phoneticPr fontId="5" type="noConversion"/>
  </si>
  <si>
    <t>110101571224302</t>
    <phoneticPr fontId="5" type="noConversion"/>
  </si>
  <si>
    <t>62232869</t>
    <phoneticPr fontId="5" type="noConversion"/>
  </si>
  <si>
    <t>208号</t>
    <phoneticPr fontId="5" type="noConversion"/>
  </si>
  <si>
    <t>327406</t>
    <phoneticPr fontId="5" type="noConversion"/>
  </si>
  <si>
    <t>2003-22-P-06836</t>
  </si>
  <si>
    <t>孟昭武</t>
    <phoneticPr fontId="5" type="noConversion"/>
  </si>
  <si>
    <t>230603197509103712</t>
    <phoneticPr fontId="5" type="noConversion"/>
  </si>
  <si>
    <t>13681410143</t>
    <phoneticPr fontId="5" type="noConversion"/>
  </si>
  <si>
    <t>北京住房公积金管理中心石景山第一管理部</t>
    <phoneticPr fontId="5" type="noConversion"/>
  </si>
  <si>
    <t>327025</t>
    <phoneticPr fontId="5" type="noConversion"/>
  </si>
  <si>
    <t>2003-22-P-06844</t>
    <phoneticPr fontId="5" type="noConversion"/>
  </si>
  <si>
    <t>潘奕虹</t>
    <phoneticPr fontId="5" type="noConversion"/>
  </si>
  <si>
    <t>110101690601004</t>
    <phoneticPr fontId="5" type="noConversion"/>
  </si>
  <si>
    <t>13801166204、68913508</t>
    <phoneticPr fontId="5" type="noConversion"/>
  </si>
  <si>
    <t>593878</t>
    <phoneticPr fontId="5" type="noConversion"/>
  </si>
  <si>
    <t>2003-22-P-06850</t>
    <phoneticPr fontId="5" type="noConversion"/>
  </si>
  <si>
    <t>王洪</t>
    <phoneticPr fontId="5" type="noConversion"/>
  </si>
  <si>
    <t>130602711212091</t>
    <phoneticPr fontId="5" type="noConversion"/>
  </si>
  <si>
    <t>13911044045、62035522-683</t>
    <phoneticPr fontId="5" type="noConversion"/>
  </si>
  <si>
    <t>536572</t>
    <phoneticPr fontId="5" type="noConversion"/>
  </si>
  <si>
    <t>2003-22-P-06860</t>
    <phoneticPr fontId="5" type="noConversion"/>
  </si>
  <si>
    <t>陈军</t>
    <phoneticPr fontId="5" type="noConversion"/>
  </si>
  <si>
    <t>610303197901121610</t>
    <phoneticPr fontId="5" type="noConversion"/>
  </si>
  <si>
    <t>13311067661</t>
    <phoneticPr fontId="5" type="noConversion"/>
  </si>
  <si>
    <t>C座</t>
    <phoneticPr fontId="5" type="noConversion"/>
  </si>
  <si>
    <t>1136号</t>
    <phoneticPr fontId="5" type="noConversion"/>
  </si>
  <si>
    <t>531445</t>
    <phoneticPr fontId="5" type="noConversion"/>
  </si>
  <si>
    <t>2003-22-P-06866</t>
    <phoneticPr fontId="5" type="noConversion"/>
  </si>
  <si>
    <t>夏燕郡</t>
    <phoneticPr fontId="5" type="noConversion"/>
  </si>
  <si>
    <t>110108630507342</t>
    <phoneticPr fontId="5" type="noConversion"/>
  </si>
  <si>
    <t>13901205977</t>
    <phoneticPr fontId="5" type="noConversion"/>
  </si>
  <si>
    <t>八里庄街道玉渊潭乡北洼路世纪新景园</t>
    <phoneticPr fontId="5" type="noConversion"/>
  </si>
  <si>
    <t>19D号</t>
    <phoneticPr fontId="5" type="noConversion"/>
  </si>
  <si>
    <t>522837</t>
    <phoneticPr fontId="5" type="noConversion"/>
  </si>
  <si>
    <t>北京市大兴区榆垡镇今荣街69号</t>
    <phoneticPr fontId="5" type="noConversion"/>
  </si>
  <si>
    <t>1100001324331（1-1）</t>
    <phoneticPr fontId="5" type="noConversion"/>
  </si>
  <si>
    <t>黄涛</t>
    <phoneticPr fontId="5" type="noConversion"/>
  </si>
  <si>
    <t>2003-22-P-06885</t>
  </si>
  <si>
    <t>张洪琦</t>
    <phoneticPr fontId="5" type="noConversion"/>
  </si>
  <si>
    <t>310107640628541</t>
    <phoneticPr fontId="5" type="noConversion"/>
  </si>
  <si>
    <t>13901120746</t>
    <phoneticPr fontId="5" type="noConversion"/>
  </si>
  <si>
    <t>404号</t>
    <phoneticPr fontId="5" type="noConversion"/>
  </si>
  <si>
    <t>327422</t>
    <phoneticPr fontId="5" type="noConversion"/>
  </si>
  <si>
    <t>2003-22-P-06891</t>
  </si>
  <si>
    <t>钱江洪</t>
    <phoneticPr fontId="5" type="noConversion"/>
  </si>
  <si>
    <t>34262219720918019X</t>
    <phoneticPr fontId="5" type="noConversion"/>
  </si>
  <si>
    <t>13301329891</t>
    <phoneticPr fontId="5" type="noConversion"/>
  </si>
  <si>
    <t>537631</t>
    <phoneticPr fontId="5" type="noConversion"/>
  </si>
  <si>
    <t>2003-22-P-06899</t>
    <phoneticPr fontId="5" type="noConversion"/>
  </si>
  <si>
    <t>赖小明</t>
    <phoneticPr fontId="5" type="noConversion"/>
  </si>
  <si>
    <t>230103196906093237</t>
    <phoneticPr fontId="5" type="noConversion"/>
  </si>
  <si>
    <t>13661318346、62563723</t>
    <phoneticPr fontId="5" type="noConversion"/>
  </si>
  <si>
    <t>581440</t>
    <phoneticPr fontId="5" type="noConversion"/>
  </si>
  <si>
    <t>2003-22-P-06908</t>
    <phoneticPr fontId="5" type="noConversion"/>
  </si>
  <si>
    <t>陈坚</t>
    <phoneticPr fontId="5" type="noConversion"/>
  </si>
  <si>
    <t>530102590819121</t>
    <phoneticPr fontId="5" type="noConversion"/>
  </si>
  <si>
    <t>13911007882、62501166转3818</t>
    <phoneticPr fontId="5" type="noConversion"/>
  </si>
  <si>
    <t>2003-22-P-06915-U</t>
    <phoneticPr fontId="5" type="noConversion"/>
  </si>
  <si>
    <t>曹玲</t>
    <phoneticPr fontId="5" type="noConversion"/>
  </si>
  <si>
    <t>110108690326496</t>
    <phoneticPr fontId="5" type="noConversion"/>
  </si>
  <si>
    <t>13501350678</t>
    <phoneticPr fontId="5" type="noConversion"/>
  </si>
  <si>
    <t>中关村市话楼</t>
    <phoneticPr fontId="5" type="noConversion"/>
  </si>
  <si>
    <t>纪课申</t>
    <phoneticPr fontId="5" type="noConversion"/>
  </si>
  <si>
    <t>2003-22-P-06916</t>
    <phoneticPr fontId="5" type="noConversion"/>
  </si>
  <si>
    <t>钟军</t>
    <phoneticPr fontId="5" type="noConversion"/>
  </si>
  <si>
    <t>110102720801043</t>
    <phoneticPr fontId="5" type="noConversion"/>
  </si>
  <si>
    <t>13311063315、68435513</t>
    <phoneticPr fontId="5" type="noConversion"/>
  </si>
  <si>
    <t>肖家河东村一号大发畜产住宅4#-21#楼麒麟家园</t>
    <phoneticPr fontId="5" type="noConversion"/>
  </si>
  <si>
    <t xml:space="preserve">602号 </t>
    <phoneticPr fontId="5" type="noConversion"/>
  </si>
  <si>
    <t>北京市平谷县兴谷经济开发区</t>
    <phoneticPr fontId="5" type="noConversion"/>
  </si>
  <si>
    <t>2003-22-P-06918</t>
    <phoneticPr fontId="5" type="noConversion"/>
  </si>
  <si>
    <t>贾益民</t>
    <phoneticPr fontId="5" type="noConversion"/>
  </si>
  <si>
    <t>150402197205110318</t>
    <phoneticPr fontId="5" type="noConversion"/>
  </si>
  <si>
    <t>13911888115</t>
    <phoneticPr fontId="5" type="noConversion"/>
  </si>
  <si>
    <t>2003-3-D1-03106</t>
    <phoneticPr fontId="5" type="noConversion"/>
  </si>
  <si>
    <t>593896</t>
    <phoneticPr fontId="5" type="noConversion"/>
  </si>
  <si>
    <t>2003-22-P-06919</t>
    <phoneticPr fontId="5" type="noConversion"/>
  </si>
  <si>
    <t>李增涛</t>
    <phoneticPr fontId="5" type="noConversion"/>
  </si>
  <si>
    <t>610122197304101716</t>
    <phoneticPr fontId="5" type="noConversion"/>
  </si>
  <si>
    <t>13301338093</t>
    <phoneticPr fontId="5" type="noConversion"/>
  </si>
  <si>
    <t>2003-3-D1-03107</t>
    <phoneticPr fontId="5" type="noConversion"/>
  </si>
  <si>
    <t>581510</t>
    <phoneticPr fontId="5" type="noConversion"/>
  </si>
  <si>
    <t>2003-22-P-06943</t>
  </si>
  <si>
    <t>许立军</t>
    <phoneticPr fontId="5" type="noConversion"/>
  </si>
  <si>
    <t>150430197309170011</t>
    <phoneticPr fontId="5" type="noConversion"/>
  </si>
  <si>
    <t>13501161680</t>
    <phoneticPr fontId="5" type="noConversion"/>
  </si>
  <si>
    <t>327029</t>
    <phoneticPr fontId="5" type="noConversion"/>
  </si>
  <si>
    <t>2003-22-P-06944</t>
  </si>
  <si>
    <t>赵淑贤</t>
    <phoneticPr fontId="5" type="noConversion"/>
  </si>
  <si>
    <t>110229196410240629</t>
    <phoneticPr fontId="5" type="noConversion"/>
  </si>
  <si>
    <t>13683106585</t>
    <phoneticPr fontId="5" type="noConversion"/>
  </si>
  <si>
    <t>304号</t>
    <phoneticPr fontId="5" type="noConversion"/>
  </si>
  <si>
    <t>北京住房公积金管理中心延庆管理部</t>
    <phoneticPr fontId="5" type="noConversion"/>
  </si>
  <si>
    <t>307847</t>
    <phoneticPr fontId="5" type="noConversion"/>
  </si>
  <si>
    <t>2003-22-P-06965</t>
    <phoneticPr fontId="5" type="noConversion"/>
  </si>
  <si>
    <t>李晓晖</t>
    <phoneticPr fontId="5" type="noConversion"/>
  </si>
  <si>
    <t>220104710817332</t>
    <phoneticPr fontId="5" type="noConversion"/>
  </si>
  <si>
    <t>13910025382</t>
    <phoneticPr fontId="5" type="noConversion"/>
  </si>
  <si>
    <t>2003-3-D1-03109</t>
    <phoneticPr fontId="5" type="noConversion"/>
  </si>
  <si>
    <t>547543</t>
    <phoneticPr fontId="5" type="noConversion"/>
  </si>
  <si>
    <t>2003-22-P-06966</t>
    <phoneticPr fontId="5" type="noConversion"/>
  </si>
  <si>
    <t>刘丙宇</t>
    <phoneticPr fontId="5" type="noConversion"/>
  </si>
  <si>
    <t>210121700301771</t>
    <phoneticPr fontId="5" type="noConversion"/>
  </si>
  <si>
    <t>13701038143</t>
    <phoneticPr fontId="5" type="noConversion"/>
  </si>
  <si>
    <t>A8座</t>
    <phoneticPr fontId="5" type="noConversion"/>
  </si>
  <si>
    <t>2003-3-D1-03112</t>
    <phoneticPr fontId="5" type="noConversion"/>
  </si>
  <si>
    <t>505864</t>
    <phoneticPr fontId="5" type="noConversion"/>
  </si>
  <si>
    <t>2003-22-P-06968</t>
  </si>
  <si>
    <t>安涛</t>
    <phoneticPr fontId="5" type="noConversion"/>
  </si>
  <si>
    <t>110108790630541</t>
    <phoneticPr fontId="5" type="noConversion"/>
  </si>
  <si>
    <t>809号</t>
    <phoneticPr fontId="5" type="noConversion"/>
  </si>
  <si>
    <t>2003-22-P-06974</t>
    <phoneticPr fontId="5" type="noConversion"/>
  </si>
  <si>
    <t>王剑波</t>
    <phoneticPr fontId="5" type="noConversion"/>
  </si>
  <si>
    <t>142431197502050018</t>
    <phoneticPr fontId="5" type="noConversion"/>
  </si>
  <si>
    <t>2003-22-P-06978</t>
    <phoneticPr fontId="5" type="noConversion"/>
  </si>
  <si>
    <t>李淑娟</t>
    <phoneticPr fontId="5" type="noConversion"/>
  </si>
  <si>
    <t>410125197611066529</t>
    <phoneticPr fontId="5" type="noConversion"/>
  </si>
  <si>
    <t>13911123031</t>
    <phoneticPr fontId="5" type="noConversion"/>
  </si>
  <si>
    <t>529号</t>
    <phoneticPr fontId="5" type="noConversion"/>
  </si>
  <si>
    <t>536883</t>
    <phoneticPr fontId="5" type="noConversion"/>
  </si>
  <si>
    <t>2003-22-P-06982</t>
    <phoneticPr fontId="5" type="noConversion"/>
  </si>
  <si>
    <t>赵瑛</t>
    <phoneticPr fontId="5" type="noConversion"/>
  </si>
  <si>
    <t>11022319711204110X</t>
    <phoneticPr fontId="5" type="noConversion"/>
  </si>
  <si>
    <t>13051279666、68516103</t>
    <phoneticPr fontId="5" type="noConversion"/>
  </si>
  <si>
    <t>581018</t>
    <phoneticPr fontId="5" type="noConversion"/>
  </si>
  <si>
    <t>2003-22-P-06983-M</t>
    <phoneticPr fontId="5" type="noConversion"/>
  </si>
  <si>
    <t>杨兆元</t>
    <phoneticPr fontId="5" type="noConversion"/>
  </si>
  <si>
    <t>110108560804007</t>
    <phoneticPr fontId="5" type="noConversion"/>
  </si>
  <si>
    <t>13681080278、62320979</t>
    <phoneticPr fontId="5" type="noConversion"/>
  </si>
  <si>
    <t>234321</t>
    <phoneticPr fontId="5" type="noConversion"/>
  </si>
  <si>
    <t>2003-22-P-06995</t>
    <phoneticPr fontId="5" type="noConversion"/>
  </si>
  <si>
    <t>黄钟</t>
    <phoneticPr fontId="5" type="noConversion"/>
  </si>
  <si>
    <t>110107197108051211</t>
    <phoneticPr fontId="5" type="noConversion"/>
  </si>
  <si>
    <t>13611290582、62267799-6407</t>
    <phoneticPr fontId="5" type="noConversion"/>
  </si>
  <si>
    <t>593833</t>
    <phoneticPr fontId="5" type="noConversion"/>
  </si>
  <si>
    <t>2003-22-P-06999</t>
    <phoneticPr fontId="5" type="noConversion"/>
  </si>
  <si>
    <t>朱建波</t>
    <phoneticPr fontId="5" type="noConversion"/>
  </si>
  <si>
    <t>511026197803231416</t>
    <phoneticPr fontId="5" type="noConversion"/>
  </si>
  <si>
    <t>13911266336</t>
    <phoneticPr fontId="5" type="noConversion"/>
  </si>
  <si>
    <t>A12a幢</t>
    <phoneticPr fontId="5" type="noConversion"/>
  </si>
  <si>
    <t>2003-22-P-07006</t>
    <phoneticPr fontId="5" type="noConversion"/>
  </si>
  <si>
    <t>范军</t>
    <phoneticPr fontId="5" type="noConversion"/>
  </si>
  <si>
    <t>422423197205180315</t>
    <phoneticPr fontId="5" type="noConversion"/>
  </si>
  <si>
    <t>806号</t>
    <phoneticPr fontId="5" type="noConversion"/>
  </si>
  <si>
    <t>2003-22-P-07013-M</t>
    <phoneticPr fontId="5" type="noConversion"/>
  </si>
  <si>
    <t>王寅雨</t>
    <phoneticPr fontId="5" type="noConversion"/>
  </si>
  <si>
    <t>110111198008280024</t>
    <phoneticPr fontId="5" type="noConversion"/>
  </si>
  <si>
    <t>13611080855</t>
    <phoneticPr fontId="5" type="noConversion"/>
  </si>
  <si>
    <t>1120号</t>
    <phoneticPr fontId="5" type="noConversion"/>
  </si>
  <si>
    <t>583851</t>
    <phoneticPr fontId="5" type="noConversion"/>
  </si>
  <si>
    <t>2003-22-P-07036</t>
    <phoneticPr fontId="5" type="noConversion"/>
  </si>
  <si>
    <t>唐晖</t>
    <phoneticPr fontId="5" type="noConversion"/>
  </si>
  <si>
    <t>11010519770225115X</t>
    <phoneticPr fontId="5" type="noConversion"/>
  </si>
  <si>
    <t>13011137236</t>
    <phoneticPr fontId="5" type="noConversion"/>
  </si>
  <si>
    <t>595799</t>
    <phoneticPr fontId="5" type="noConversion"/>
  </si>
  <si>
    <t>2003-22-P-07038</t>
    <phoneticPr fontId="5" type="noConversion"/>
  </si>
  <si>
    <t>孙丹丹</t>
    <phoneticPr fontId="5" type="noConversion"/>
  </si>
  <si>
    <t>230103197804227024</t>
    <phoneticPr fontId="5" type="noConversion"/>
  </si>
  <si>
    <t>13521535610、62227068</t>
    <phoneticPr fontId="5" type="noConversion"/>
  </si>
  <si>
    <t>2011号</t>
    <phoneticPr fontId="5" type="noConversion"/>
  </si>
  <si>
    <t>562908</t>
    <phoneticPr fontId="5" type="noConversion"/>
  </si>
  <si>
    <t>2003-22-P-07046</t>
    <phoneticPr fontId="5" type="noConversion"/>
  </si>
  <si>
    <t>韩彪</t>
    <phoneticPr fontId="5" type="noConversion"/>
  </si>
  <si>
    <t>222303197106125812</t>
    <phoneticPr fontId="5" type="noConversion"/>
  </si>
  <si>
    <t>13701150298</t>
    <phoneticPr fontId="5" type="noConversion"/>
  </si>
  <si>
    <t xml:space="preserve">501号 </t>
    <phoneticPr fontId="5" type="noConversion"/>
  </si>
  <si>
    <t>2003-22-P-07058</t>
    <phoneticPr fontId="5" type="noConversion"/>
  </si>
  <si>
    <t>吴泽霖、杨硕冬</t>
    <phoneticPr fontId="5" type="noConversion"/>
  </si>
  <si>
    <t>110102481028111、110102501118120</t>
    <phoneticPr fontId="5" type="noConversion"/>
  </si>
  <si>
    <t>62209665</t>
    <phoneticPr fontId="5" type="noConversion"/>
  </si>
  <si>
    <t>558705</t>
    <phoneticPr fontId="5" type="noConversion"/>
  </si>
  <si>
    <t>2003-22-P-07059</t>
    <phoneticPr fontId="5" type="noConversion"/>
  </si>
  <si>
    <t>陈文智</t>
    <phoneticPr fontId="5" type="noConversion"/>
  </si>
  <si>
    <t>110108196302024972</t>
    <phoneticPr fontId="5" type="noConversion"/>
  </si>
  <si>
    <t>1312号</t>
    <phoneticPr fontId="5" type="noConversion"/>
  </si>
  <si>
    <t>2003-22-P-07060</t>
    <phoneticPr fontId="5" type="noConversion"/>
  </si>
  <si>
    <t>孙占国</t>
    <phoneticPr fontId="5" type="noConversion"/>
  </si>
  <si>
    <t>110104660125123</t>
    <phoneticPr fontId="5" type="noConversion"/>
  </si>
  <si>
    <t>2009号</t>
    <phoneticPr fontId="5" type="noConversion"/>
  </si>
  <si>
    <t>2003-22-P-07068-M</t>
    <phoneticPr fontId="5" type="noConversion"/>
  </si>
  <si>
    <t>王元元</t>
    <phoneticPr fontId="5" type="noConversion"/>
  </si>
  <si>
    <t>110108197703059740</t>
    <phoneticPr fontId="5" type="noConversion"/>
  </si>
  <si>
    <t>13641322818</t>
    <phoneticPr fontId="5" type="noConversion"/>
  </si>
  <si>
    <t>329733</t>
    <phoneticPr fontId="5" type="noConversion"/>
  </si>
  <si>
    <t>2003-22-P-07070</t>
    <phoneticPr fontId="5" type="noConversion"/>
  </si>
  <si>
    <t>张欢</t>
    <phoneticPr fontId="5" type="noConversion"/>
  </si>
  <si>
    <t>110101197803283526</t>
    <phoneticPr fontId="5" type="noConversion"/>
  </si>
  <si>
    <t>13911198912、68467239</t>
    <phoneticPr fontId="5" type="noConversion"/>
  </si>
  <si>
    <t>2003-22-P-07078</t>
    <phoneticPr fontId="5" type="noConversion"/>
  </si>
  <si>
    <t>张卫</t>
    <phoneticPr fontId="5" type="noConversion"/>
  </si>
  <si>
    <t>110221710506701</t>
    <phoneticPr fontId="5" type="noConversion"/>
  </si>
  <si>
    <t>66796886</t>
    <phoneticPr fontId="5" type="noConversion"/>
  </si>
  <si>
    <t>东B号</t>
    <phoneticPr fontId="5" type="noConversion"/>
  </si>
  <si>
    <t>564752</t>
    <phoneticPr fontId="5" type="noConversion"/>
  </si>
  <si>
    <t>2003-22-P-07079-M</t>
    <phoneticPr fontId="5" type="noConversion"/>
  </si>
  <si>
    <t>赵联东</t>
    <phoneticPr fontId="5" type="noConversion"/>
  </si>
  <si>
    <t>410323760817103</t>
    <phoneticPr fontId="5" type="noConversion"/>
  </si>
  <si>
    <t>13671143241</t>
    <phoneticPr fontId="5" type="noConversion"/>
  </si>
  <si>
    <t>583856</t>
    <phoneticPr fontId="5" type="noConversion"/>
  </si>
  <si>
    <t>2003-22-P-07096</t>
    <phoneticPr fontId="5" type="noConversion"/>
  </si>
  <si>
    <t>张兰荣</t>
    <phoneticPr fontId="5" type="noConversion"/>
  </si>
  <si>
    <t>110102196912293047</t>
    <phoneticPr fontId="5" type="noConversion"/>
  </si>
  <si>
    <t>13911309808</t>
    <phoneticPr fontId="5" type="noConversion"/>
  </si>
  <si>
    <t>595739</t>
    <phoneticPr fontId="5" type="noConversion"/>
  </si>
  <si>
    <t>2003-22-P-07118</t>
    <phoneticPr fontId="5" type="noConversion"/>
  </si>
  <si>
    <t>王洪涛</t>
    <phoneticPr fontId="5" type="noConversion"/>
  </si>
  <si>
    <t>360621730625901</t>
    <phoneticPr fontId="5" type="noConversion"/>
  </si>
  <si>
    <t>13911117004</t>
    <phoneticPr fontId="5" type="noConversion"/>
  </si>
  <si>
    <t>327409</t>
    <phoneticPr fontId="5" type="noConversion"/>
  </si>
  <si>
    <t>2003-22-P-07119</t>
    <phoneticPr fontId="5" type="noConversion"/>
  </si>
  <si>
    <t>王洪昱</t>
    <phoneticPr fontId="5" type="noConversion"/>
  </si>
  <si>
    <t>360621750510901</t>
    <phoneticPr fontId="5" type="noConversion"/>
  </si>
  <si>
    <t>13701140187</t>
    <phoneticPr fontId="5" type="noConversion"/>
  </si>
  <si>
    <t>327408</t>
    <phoneticPr fontId="5" type="noConversion"/>
  </si>
  <si>
    <t>2003-22-P-07128-M</t>
    <phoneticPr fontId="5" type="noConversion"/>
  </si>
  <si>
    <t>杨华</t>
    <phoneticPr fontId="5" type="noConversion"/>
  </si>
  <si>
    <t>110105650626212</t>
    <phoneticPr fontId="5" type="noConversion"/>
  </si>
  <si>
    <t>13701275408、63454679</t>
    <phoneticPr fontId="5" type="noConversion"/>
  </si>
  <si>
    <t>927号</t>
    <phoneticPr fontId="5" type="noConversion"/>
  </si>
  <si>
    <t>583852</t>
    <phoneticPr fontId="5" type="noConversion"/>
  </si>
  <si>
    <t>2003-22-P-07132</t>
    <phoneticPr fontId="5" type="noConversion"/>
  </si>
  <si>
    <t>王晓星</t>
    <phoneticPr fontId="5" type="noConversion"/>
  </si>
  <si>
    <t>110102800731152</t>
    <phoneticPr fontId="5" type="noConversion"/>
  </si>
  <si>
    <t>13301378687、62211610</t>
    <phoneticPr fontId="5" type="noConversion"/>
  </si>
  <si>
    <t>583649</t>
    <phoneticPr fontId="5" type="noConversion"/>
  </si>
  <si>
    <t>2003-22-P-07133</t>
    <phoneticPr fontId="5" type="noConversion"/>
  </si>
  <si>
    <t>张振山</t>
    <phoneticPr fontId="5" type="noConversion"/>
  </si>
  <si>
    <t>150102197409022110</t>
    <phoneticPr fontId="5" type="noConversion"/>
  </si>
  <si>
    <t>13910199102</t>
    <phoneticPr fontId="5" type="noConversion"/>
  </si>
  <si>
    <t>联系电话录错</t>
    <phoneticPr fontId="5" type="noConversion"/>
  </si>
  <si>
    <t>595800</t>
    <phoneticPr fontId="5" type="noConversion"/>
  </si>
  <si>
    <t>2003-22-P-07155</t>
    <phoneticPr fontId="5" type="noConversion"/>
  </si>
  <si>
    <t>刘彤</t>
    <phoneticPr fontId="5" type="noConversion"/>
  </si>
  <si>
    <t>110102680202271</t>
    <phoneticPr fontId="5" type="noConversion"/>
  </si>
  <si>
    <t>13801386505</t>
    <phoneticPr fontId="5" type="noConversion"/>
  </si>
  <si>
    <t>595705</t>
    <phoneticPr fontId="5" type="noConversion"/>
  </si>
  <si>
    <t>2003-22-P-07156</t>
    <phoneticPr fontId="5" type="noConversion"/>
  </si>
  <si>
    <t>刘研</t>
    <phoneticPr fontId="5" type="noConversion"/>
  </si>
  <si>
    <t>110108780510712</t>
    <phoneticPr fontId="5" type="noConversion"/>
  </si>
  <si>
    <t>2003-3-D1-03129</t>
    <phoneticPr fontId="5" type="noConversion"/>
  </si>
  <si>
    <t>2003-22-P-07157</t>
    <phoneticPr fontId="5" type="noConversion"/>
  </si>
  <si>
    <t>于慧龙</t>
    <phoneticPr fontId="5" type="noConversion"/>
  </si>
  <si>
    <t>370683197707230037</t>
    <phoneticPr fontId="5" type="noConversion"/>
  </si>
  <si>
    <t>十二</t>
  </si>
  <si>
    <t>孙谌渊</t>
    <phoneticPr fontId="5" type="noConversion"/>
  </si>
  <si>
    <t>2003-22-P-07174</t>
    <phoneticPr fontId="5" type="noConversion"/>
  </si>
  <si>
    <t>姚松梅</t>
    <phoneticPr fontId="5" type="noConversion"/>
  </si>
  <si>
    <t>110108197208183728</t>
    <phoneticPr fontId="5" type="noConversion"/>
  </si>
  <si>
    <t>13520949409、13683037560</t>
    <phoneticPr fontId="5" type="noConversion"/>
  </si>
  <si>
    <t>583655</t>
    <phoneticPr fontId="5" type="noConversion"/>
  </si>
  <si>
    <t>2003-22-P-07175</t>
    <phoneticPr fontId="5" type="noConversion"/>
  </si>
  <si>
    <t>李文辉</t>
    <phoneticPr fontId="5" type="noConversion"/>
  </si>
  <si>
    <t>510108197807131537</t>
    <phoneticPr fontId="5" type="noConversion"/>
  </si>
  <si>
    <t>13671315120、13671307905</t>
    <phoneticPr fontId="5" type="noConversion"/>
  </si>
  <si>
    <t>583685</t>
    <phoneticPr fontId="5" type="noConversion"/>
  </si>
  <si>
    <t>2003-22-P-07183</t>
    <phoneticPr fontId="5" type="noConversion"/>
  </si>
  <si>
    <t>张坤</t>
    <phoneticPr fontId="5" type="noConversion"/>
  </si>
  <si>
    <t>130203197902280322</t>
    <phoneticPr fontId="5" type="noConversion"/>
  </si>
  <si>
    <t>13520586152</t>
    <phoneticPr fontId="5" type="noConversion"/>
  </si>
  <si>
    <t>586757</t>
    <phoneticPr fontId="5" type="noConversion"/>
  </si>
  <si>
    <t>2003-22-P-07184</t>
    <phoneticPr fontId="5" type="noConversion"/>
  </si>
  <si>
    <t>王建芳</t>
    <phoneticPr fontId="5" type="noConversion"/>
  </si>
  <si>
    <t>110109691216002</t>
    <phoneticPr fontId="5" type="noConversion"/>
  </si>
  <si>
    <t>13611083011、69844426</t>
    <phoneticPr fontId="5" type="noConversion"/>
  </si>
  <si>
    <t>504号</t>
    <phoneticPr fontId="5" type="noConversion"/>
  </si>
  <si>
    <t>七折收费</t>
    <phoneticPr fontId="5" type="noConversion"/>
  </si>
  <si>
    <t>587396</t>
    <phoneticPr fontId="5" type="noConversion"/>
  </si>
  <si>
    <t>2003-22-P-07196</t>
    <phoneticPr fontId="5" type="noConversion"/>
  </si>
  <si>
    <t>孙群田</t>
    <phoneticPr fontId="5" type="noConversion"/>
  </si>
  <si>
    <t>411024197407291613</t>
    <phoneticPr fontId="5" type="noConversion"/>
  </si>
  <si>
    <t>13501240937</t>
    <phoneticPr fontId="5" type="noConversion"/>
  </si>
  <si>
    <t>玉渊潭铁家坟村玉兴园</t>
    <phoneticPr fontId="5" type="noConversion"/>
  </si>
  <si>
    <t>9幢</t>
    <phoneticPr fontId="5" type="noConversion"/>
  </si>
  <si>
    <t>北京市新兴房地产开发总公司</t>
    <phoneticPr fontId="5" type="noConversion"/>
  </si>
  <si>
    <t>2003-3-D1-03132</t>
    <phoneticPr fontId="5" type="noConversion"/>
  </si>
  <si>
    <t>186254</t>
    <phoneticPr fontId="5" type="noConversion"/>
  </si>
  <si>
    <t>北京市东城区安德里北街21号</t>
    <phoneticPr fontId="5" type="noConversion"/>
  </si>
  <si>
    <t>11500559（2-1）</t>
    <phoneticPr fontId="5" type="noConversion"/>
  </si>
  <si>
    <t>郑清</t>
    <phoneticPr fontId="5" type="noConversion"/>
  </si>
  <si>
    <t>2003-22-P-07203</t>
    <phoneticPr fontId="5" type="noConversion"/>
  </si>
  <si>
    <t>110103681217182</t>
    <phoneticPr fontId="5" type="noConversion"/>
  </si>
  <si>
    <t>13671214989</t>
    <phoneticPr fontId="5" type="noConversion"/>
  </si>
  <si>
    <t>16号楼（幢）</t>
    <phoneticPr fontId="5" type="noConversion"/>
  </si>
  <si>
    <t>2005号</t>
    <phoneticPr fontId="5" type="noConversion"/>
  </si>
  <si>
    <t>562912</t>
    <phoneticPr fontId="5" type="noConversion"/>
  </si>
  <si>
    <t>2003-22-P-07219</t>
    <phoneticPr fontId="5" type="noConversion"/>
  </si>
  <si>
    <t>胡旭</t>
    <phoneticPr fontId="5" type="noConversion"/>
  </si>
  <si>
    <t>110101771125401</t>
    <phoneticPr fontId="5" type="noConversion"/>
  </si>
  <si>
    <t>13910799859、62319101-286、65268163</t>
    <phoneticPr fontId="5" type="noConversion"/>
  </si>
  <si>
    <t>327026</t>
    <phoneticPr fontId="5" type="noConversion"/>
  </si>
  <si>
    <t>2003-22-P-07220</t>
    <phoneticPr fontId="5" type="noConversion"/>
  </si>
  <si>
    <t>戴志勇</t>
    <phoneticPr fontId="5" type="noConversion"/>
  </si>
  <si>
    <t>210703197112052015</t>
    <phoneticPr fontId="5" type="noConversion"/>
  </si>
  <si>
    <t>13910023447、62647680</t>
    <phoneticPr fontId="5" type="noConversion"/>
  </si>
  <si>
    <t>595892</t>
    <phoneticPr fontId="5" type="noConversion"/>
  </si>
  <si>
    <t>2003-22-P-07233</t>
    <phoneticPr fontId="5" type="noConversion"/>
  </si>
  <si>
    <t>田思源</t>
    <phoneticPr fontId="5" type="noConversion"/>
  </si>
  <si>
    <t>130603700207031</t>
    <phoneticPr fontId="5" type="noConversion"/>
  </si>
  <si>
    <t>13911263424</t>
    <phoneticPr fontId="5" type="noConversion"/>
  </si>
  <si>
    <t>07号楼（幢）</t>
    <phoneticPr fontId="5" type="noConversion"/>
  </si>
  <si>
    <t>521078</t>
    <phoneticPr fontId="5" type="noConversion"/>
  </si>
  <si>
    <t>2003-22-P-07234</t>
    <phoneticPr fontId="5" type="noConversion"/>
  </si>
  <si>
    <t>师曾志</t>
    <phoneticPr fontId="5" type="noConversion"/>
  </si>
  <si>
    <t>110108196405091844</t>
    <phoneticPr fontId="5" type="noConversion"/>
  </si>
  <si>
    <t>62763289、62311513</t>
    <phoneticPr fontId="5" type="noConversion"/>
  </si>
  <si>
    <t>595765</t>
    <phoneticPr fontId="5" type="noConversion"/>
  </si>
  <si>
    <t>2003-22-P-07236</t>
    <phoneticPr fontId="5" type="noConversion"/>
  </si>
  <si>
    <t>王清淼</t>
    <phoneticPr fontId="5" type="noConversion"/>
  </si>
  <si>
    <t>110105641103253</t>
    <phoneticPr fontId="5" type="noConversion"/>
  </si>
  <si>
    <t>13801283997</t>
    <phoneticPr fontId="5" type="noConversion"/>
  </si>
  <si>
    <t>2003-22-P-07254</t>
    <phoneticPr fontId="5" type="noConversion"/>
  </si>
  <si>
    <t>郑连俊</t>
    <phoneticPr fontId="5" type="noConversion"/>
  </si>
  <si>
    <t>11010519730103252X</t>
    <phoneticPr fontId="5" type="noConversion"/>
  </si>
  <si>
    <t>2003-22-P-07267</t>
    <phoneticPr fontId="5" type="noConversion"/>
  </si>
  <si>
    <t>曾朝华</t>
    <phoneticPr fontId="5" type="noConversion"/>
  </si>
  <si>
    <t>620402197304121357</t>
    <phoneticPr fontId="5" type="noConversion"/>
  </si>
  <si>
    <t>1304号</t>
    <phoneticPr fontId="5" type="noConversion"/>
  </si>
  <si>
    <t>2003-3-D1-03144</t>
    <phoneticPr fontId="5" type="noConversion"/>
  </si>
  <si>
    <t>2003-22-P-07268</t>
    <phoneticPr fontId="5" type="noConversion"/>
  </si>
  <si>
    <t>齐付哲</t>
    <phoneticPr fontId="5" type="noConversion"/>
  </si>
  <si>
    <t>372524197906255970</t>
    <phoneticPr fontId="5" type="noConversion"/>
  </si>
  <si>
    <t>2003-3-D1-03145</t>
    <phoneticPr fontId="5" type="noConversion"/>
  </si>
  <si>
    <t>2003-22-P-07269</t>
    <phoneticPr fontId="5" type="noConversion"/>
  </si>
  <si>
    <t>丁少枫</t>
    <phoneticPr fontId="5" type="noConversion"/>
  </si>
  <si>
    <t>422427730628095</t>
    <phoneticPr fontId="5" type="noConversion"/>
  </si>
  <si>
    <t>2003-3-D1-03146</t>
    <phoneticPr fontId="5" type="noConversion"/>
  </si>
  <si>
    <t>2003-22-P-07270</t>
    <phoneticPr fontId="5" type="noConversion"/>
  </si>
  <si>
    <t>张志军</t>
    <phoneticPr fontId="5" type="noConversion"/>
  </si>
  <si>
    <t>110111197810024015</t>
    <phoneticPr fontId="5" type="noConversion"/>
  </si>
  <si>
    <t>2003-3-D1-03147</t>
    <phoneticPr fontId="5" type="noConversion"/>
  </si>
  <si>
    <t>2003-22-P-07276</t>
    <phoneticPr fontId="5" type="noConversion"/>
  </si>
  <si>
    <t>姜立</t>
    <phoneticPr fontId="5" type="noConversion"/>
  </si>
  <si>
    <t>110108197510235760</t>
    <phoneticPr fontId="5" type="noConversion"/>
  </si>
  <si>
    <t>C6幢</t>
    <phoneticPr fontId="5" type="noConversion"/>
  </si>
  <si>
    <t>北京市平谷区府前西街22号</t>
  </si>
  <si>
    <t>2003-22-P-07285-M</t>
    <phoneticPr fontId="5" type="noConversion"/>
  </si>
  <si>
    <t>李芳明</t>
    <phoneticPr fontId="5" type="noConversion"/>
  </si>
  <si>
    <t>410105196706241043</t>
    <phoneticPr fontId="5" type="noConversion"/>
  </si>
  <si>
    <t>13671256219</t>
    <phoneticPr fontId="5" type="noConversion"/>
  </si>
  <si>
    <t>2003-3-D1-03149</t>
    <phoneticPr fontId="5" type="noConversion"/>
  </si>
  <si>
    <t>232551</t>
    <phoneticPr fontId="5" type="noConversion"/>
  </si>
  <si>
    <t>2003-22-P-07291</t>
    <phoneticPr fontId="5" type="noConversion"/>
  </si>
  <si>
    <t>李莹</t>
    <phoneticPr fontId="5" type="noConversion"/>
  </si>
  <si>
    <t>110108760124633</t>
    <phoneticPr fontId="5" type="noConversion"/>
  </si>
  <si>
    <t>1606号</t>
    <phoneticPr fontId="5" type="noConversion"/>
  </si>
  <si>
    <t>2003-22-P-07305</t>
    <phoneticPr fontId="5" type="noConversion"/>
  </si>
  <si>
    <t>安峻嵬</t>
    <phoneticPr fontId="5" type="noConversion"/>
  </si>
  <si>
    <t>110229740212001</t>
    <phoneticPr fontId="5" type="noConversion"/>
  </si>
  <si>
    <t>13051290866</t>
    <phoneticPr fontId="5" type="noConversion"/>
  </si>
  <si>
    <t>595714</t>
    <phoneticPr fontId="5" type="noConversion"/>
  </si>
  <si>
    <t>2003-22-P-07320</t>
    <phoneticPr fontId="5" type="noConversion"/>
  </si>
  <si>
    <t>李燕杰</t>
    <phoneticPr fontId="5" type="noConversion"/>
  </si>
  <si>
    <t>110105660615417</t>
    <phoneticPr fontId="5" type="noConversion"/>
  </si>
  <si>
    <t>13901363677</t>
    <phoneticPr fontId="5" type="noConversion"/>
  </si>
  <si>
    <t>评估五折收费</t>
    <phoneticPr fontId="5" type="noConversion"/>
  </si>
  <si>
    <t>595731</t>
    <phoneticPr fontId="5" type="noConversion"/>
  </si>
  <si>
    <t>2003-22-P-07328-U</t>
    <phoneticPr fontId="5" type="noConversion"/>
  </si>
  <si>
    <t>雷鸣</t>
    <phoneticPr fontId="5" type="noConversion"/>
  </si>
  <si>
    <t>230103197906175552</t>
    <phoneticPr fontId="5" type="noConversion"/>
  </si>
  <si>
    <t>13311293667</t>
    <phoneticPr fontId="5" type="noConversion"/>
  </si>
  <si>
    <t>五棵松路26号院</t>
    <phoneticPr fontId="5" type="noConversion"/>
  </si>
  <si>
    <t>408</t>
    <phoneticPr fontId="5" type="noConversion"/>
  </si>
  <si>
    <t>林强</t>
    <phoneticPr fontId="5" type="noConversion"/>
  </si>
  <si>
    <t>不含税费及出让金</t>
    <phoneticPr fontId="5" type="noConversion"/>
  </si>
  <si>
    <t>2003-22-P-07329-U</t>
    <phoneticPr fontId="5" type="noConversion"/>
  </si>
  <si>
    <t>贾文超</t>
    <phoneticPr fontId="5" type="noConversion"/>
  </si>
  <si>
    <t>110108770529002</t>
    <phoneticPr fontId="5" type="noConversion"/>
  </si>
  <si>
    <t>13041009866</t>
    <phoneticPr fontId="5" type="noConversion"/>
  </si>
  <si>
    <t>黄亭子罗庄南里</t>
    <phoneticPr fontId="5" type="noConversion"/>
  </si>
  <si>
    <t>11号</t>
    <phoneticPr fontId="5" type="noConversion"/>
  </si>
  <si>
    <t>北京住房公积金管理中心海淀管理部</t>
    <phoneticPr fontId="5" type="noConversion"/>
  </si>
  <si>
    <t>王文彦</t>
    <phoneticPr fontId="5" type="noConversion"/>
  </si>
  <si>
    <t>无税费</t>
    <phoneticPr fontId="5" type="noConversion"/>
  </si>
  <si>
    <t>2003-22-P-07336</t>
    <phoneticPr fontId="5" type="noConversion"/>
  </si>
  <si>
    <t>唐华</t>
    <phoneticPr fontId="5" type="noConversion"/>
  </si>
  <si>
    <t>110101197408164033</t>
    <phoneticPr fontId="5" type="noConversion"/>
  </si>
  <si>
    <t>13801119399</t>
    <phoneticPr fontId="5" type="noConversion"/>
  </si>
  <si>
    <t>16号</t>
    <phoneticPr fontId="5" type="noConversion"/>
  </si>
  <si>
    <t>抵押物房号录错</t>
    <phoneticPr fontId="5" type="noConversion"/>
  </si>
  <si>
    <t>588086</t>
    <phoneticPr fontId="5" type="noConversion"/>
  </si>
  <si>
    <t>2003-22-P-07337</t>
  </si>
  <si>
    <t>杨胜之</t>
    <phoneticPr fontId="5" type="noConversion"/>
  </si>
  <si>
    <t>110108580502640</t>
    <phoneticPr fontId="5" type="noConversion"/>
  </si>
  <si>
    <t>13301351897</t>
    <phoneticPr fontId="5" type="noConversion"/>
  </si>
  <si>
    <t>910号</t>
    <phoneticPr fontId="5" type="noConversion"/>
  </si>
  <si>
    <t>562937</t>
    <phoneticPr fontId="5" type="noConversion"/>
  </si>
  <si>
    <t>2003-22-P-07338</t>
    <phoneticPr fontId="5" type="noConversion"/>
  </si>
  <si>
    <t>孙景润</t>
    <phoneticPr fontId="5" type="noConversion"/>
  </si>
  <si>
    <t>370723741105071</t>
    <phoneticPr fontId="5" type="noConversion"/>
  </si>
  <si>
    <t>13501148745</t>
    <phoneticPr fontId="5" type="noConversion"/>
  </si>
  <si>
    <t>A12b幢</t>
    <phoneticPr fontId="5" type="noConversion"/>
  </si>
  <si>
    <t>2003-3-D1-03156</t>
    <phoneticPr fontId="5" type="noConversion"/>
  </si>
  <si>
    <t>2003-22-P-07342</t>
    <phoneticPr fontId="5" type="noConversion"/>
  </si>
  <si>
    <t>靳宝田</t>
    <phoneticPr fontId="5" type="noConversion"/>
  </si>
  <si>
    <t>110108195805272252</t>
    <phoneticPr fontId="5" type="noConversion"/>
  </si>
  <si>
    <t>86588860、85824256、96589呼963110</t>
    <phoneticPr fontId="5" type="noConversion"/>
  </si>
  <si>
    <t>北京城建房地产开发有限公司</t>
    <phoneticPr fontId="5" type="noConversion"/>
  </si>
  <si>
    <t>北京市西城区马甸南村4号</t>
    <phoneticPr fontId="5" type="noConversion"/>
  </si>
  <si>
    <t>1100001401706（2-2）</t>
    <phoneticPr fontId="5" type="noConversion"/>
  </si>
  <si>
    <t>李文</t>
    <phoneticPr fontId="5" type="noConversion"/>
  </si>
  <si>
    <t>2003-22-P-07370</t>
    <phoneticPr fontId="5" type="noConversion"/>
  </si>
  <si>
    <t>屈萍</t>
    <phoneticPr fontId="5" type="noConversion"/>
  </si>
  <si>
    <t>110102610420234</t>
    <phoneticPr fontId="5" type="noConversion"/>
  </si>
  <si>
    <t>13601294969、62278018</t>
    <phoneticPr fontId="5" type="noConversion"/>
  </si>
  <si>
    <t>1910号</t>
    <phoneticPr fontId="5" type="noConversion"/>
  </si>
  <si>
    <t>550653</t>
    <phoneticPr fontId="5" type="noConversion"/>
  </si>
  <si>
    <t>2003-22-P-07382</t>
    <phoneticPr fontId="5" type="noConversion"/>
  </si>
  <si>
    <t>刘芸</t>
    <phoneticPr fontId="5" type="noConversion"/>
  </si>
  <si>
    <t>210603197612100524</t>
    <phoneticPr fontId="5" type="noConversion"/>
  </si>
  <si>
    <t>13521200909、62282067</t>
    <phoneticPr fontId="5" type="noConversion"/>
  </si>
  <si>
    <t>16幢</t>
    <phoneticPr fontId="5" type="noConversion"/>
  </si>
  <si>
    <t>588187</t>
    <phoneticPr fontId="5" type="noConversion"/>
  </si>
  <si>
    <t>2003-22-P-07386</t>
    <phoneticPr fontId="5" type="noConversion"/>
  </si>
  <si>
    <t>付艳斌</t>
    <phoneticPr fontId="5" type="noConversion"/>
  </si>
  <si>
    <t>110109197406250043</t>
    <phoneticPr fontId="5" type="noConversion"/>
  </si>
  <si>
    <t>13051859178、69801707</t>
    <phoneticPr fontId="5" type="noConversion"/>
  </si>
  <si>
    <t>633号</t>
    <phoneticPr fontId="5" type="noConversion"/>
  </si>
  <si>
    <t>583722</t>
    <phoneticPr fontId="5" type="noConversion"/>
  </si>
  <si>
    <t>2003-22-P-07392</t>
    <phoneticPr fontId="5" type="noConversion"/>
  </si>
  <si>
    <t>陈雪梅</t>
    <phoneticPr fontId="5" type="noConversion"/>
  </si>
  <si>
    <t>530123197507172625</t>
    <phoneticPr fontId="5" type="noConversion"/>
  </si>
  <si>
    <t>13521824950、62320088-2315、13501174399</t>
    <phoneticPr fontId="5" type="noConversion"/>
  </si>
  <si>
    <t>A1座</t>
    <phoneticPr fontId="5" type="noConversion"/>
  </si>
  <si>
    <t>595837</t>
    <phoneticPr fontId="5" type="noConversion"/>
  </si>
  <si>
    <t>2003-22-P-07394</t>
    <phoneticPr fontId="5" type="noConversion"/>
  </si>
  <si>
    <t>赵廷冲</t>
    <phoneticPr fontId="5" type="noConversion"/>
  </si>
  <si>
    <t>110102197403183071</t>
    <phoneticPr fontId="5" type="noConversion"/>
  </si>
  <si>
    <t>2003-22-P-07400</t>
    <phoneticPr fontId="5" type="noConversion"/>
  </si>
  <si>
    <t>何志毅</t>
    <phoneticPr fontId="5" type="noConversion"/>
  </si>
  <si>
    <t>220104651005385</t>
    <phoneticPr fontId="5" type="noConversion"/>
  </si>
  <si>
    <t>13910972728</t>
    <phoneticPr fontId="5" type="noConversion"/>
  </si>
  <si>
    <t>581681</t>
    <phoneticPr fontId="5" type="noConversion"/>
  </si>
  <si>
    <t>2003-22-P-07404-M</t>
    <phoneticPr fontId="5" type="noConversion"/>
  </si>
  <si>
    <t>解玲</t>
    <phoneticPr fontId="5" type="noConversion"/>
  </si>
  <si>
    <t>340122198206176027</t>
    <phoneticPr fontId="5" type="noConversion"/>
  </si>
  <si>
    <t>13911732471</t>
    <phoneticPr fontId="5" type="noConversion"/>
  </si>
  <si>
    <t>1334号</t>
    <phoneticPr fontId="5" type="noConversion"/>
  </si>
  <si>
    <t>583844</t>
    <phoneticPr fontId="5" type="noConversion"/>
  </si>
  <si>
    <t>2003-22-P-07407</t>
    <phoneticPr fontId="5" type="noConversion"/>
  </si>
  <si>
    <t>齐月</t>
    <phoneticPr fontId="5" type="noConversion"/>
  </si>
  <si>
    <t>110108197406011329</t>
    <phoneticPr fontId="5" type="noConversion"/>
  </si>
  <si>
    <t>E区</t>
    <phoneticPr fontId="5" type="noConversion"/>
  </si>
  <si>
    <t>E13b（209）号</t>
    <phoneticPr fontId="5" type="noConversion"/>
  </si>
  <si>
    <t>1--2</t>
    <phoneticPr fontId="5" type="noConversion"/>
  </si>
  <si>
    <t>三室二厅三卫一厨</t>
    <phoneticPr fontId="5" type="noConversion"/>
  </si>
  <si>
    <t>联排别墅</t>
    <phoneticPr fontId="5" type="noConversion"/>
  </si>
  <si>
    <t>2003-3-D1-03158</t>
    <phoneticPr fontId="5" type="noConversion"/>
  </si>
  <si>
    <t>2003-22-P-07412</t>
    <phoneticPr fontId="5" type="noConversion"/>
  </si>
  <si>
    <t>姜妍</t>
    <phoneticPr fontId="5" type="noConversion"/>
  </si>
  <si>
    <t>370202760226302</t>
    <phoneticPr fontId="5" type="noConversion"/>
  </si>
  <si>
    <t>13601106954</t>
    <phoneticPr fontId="5" type="noConversion"/>
  </si>
  <si>
    <t>326992</t>
    <phoneticPr fontId="5" type="noConversion"/>
  </si>
  <si>
    <t>2003-22-P-07427</t>
    <phoneticPr fontId="5" type="noConversion"/>
  </si>
  <si>
    <t>宫宝辉</t>
    <phoneticPr fontId="5" type="noConversion"/>
  </si>
  <si>
    <t>110102590716339</t>
    <phoneticPr fontId="5" type="noConversion"/>
  </si>
  <si>
    <t>13901005940、87500822-351</t>
    <phoneticPr fontId="5" type="noConversion"/>
  </si>
  <si>
    <t>2003-22-P-07429</t>
    <phoneticPr fontId="5" type="noConversion"/>
  </si>
  <si>
    <t>范元宁</t>
    <phoneticPr fontId="5" type="noConversion"/>
  </si>
  <si>
    <t>510212196711300354</t>
    <phoneticPr fontId="5" type="noConversion"/>
  </si>
  <si>
    <r>
      <t>北四环中路209号健翔园</t>
    </r>
    <r>
      <rPr>
        <sz val="10"/>
        <rFont val="Times New Roman"/>
        <family val="1"/>
      </rPr>
      <t/>
    </r>
    <phoneticPr fontId="5" type="noConversion"/>
  </si>
  <si>
    <t>1902号</t>
    <phoneticPr fontId="5" type="noConversion"/>
  </si>
  <si>
    <t>内部职工购买，优惠；评估值内不含装修价格</t>
    <phoneticPr fontId="5" type="noConversion"/>
  </si>
  <si>
    <t>北京经济发展投资公司</t>
  </si>
  <si>
    <t>11501544(9-2)</t>
  </si>
  <si>
    <t>王琪</t>
    <phoneticPr fontId="5" type="noConversion"/>
  </si>
  <si>
    <t>2003-22-P-07439</t>
    <phoneticPr fontId="5" type="noConversion"/>
  </si>
  <si>
    <t>马媛媛</t>
    <phoneticPr fontId="5" type="noConversion"/>
  </si>
  <si>
    <t>110108781212042</t>
    <phoneticPr fontId="5" type="noConversion"/>
  </si>
  <si>
    <t>13161597735</t>
    <phoneticPr fontId="5" type="noConversion"/>
  </si>
  <si>
    <t>1016号</t>
    <phoneticPr fontId="5" type="noConversion"/>
  </si>
  <si>
    <t>562915</t>
    <phoneticPr fontId="5" type="noConversion"/>
  </si>
  <si>
    <t>2003-22-P-07444</t>
    <phoneticPr fontId="5" type="noConversion"/>
  </si>
  <si>
    <t>单嫦红</t>
    <phoneticPr fontId="5" type="noConversion"/>
  </si>
  <si>
    <t>110101197708200526</t>
    <phoneticPr fontId="5" type="noConversion"/>
  </si>
  <si>
    <t>1906号</t>
    <phoneticPr fontId="5" type="noConversion"/>
  </si>
  <si>
    <t>2003-22-P-07450</t>
    <phoneticPr fontId="5" type="noConversion"/>
  </si>
  <si>
    <t>王金伟</t>
    <phoneticPr fontId="5" type="noConversion"/>
  </si>
  <si>
    <t>110105196611065496</t>
    <phoneticPr fontId="5" type="noConversion"/>
  </si>
  <si>
    <t>13683226732、82386689</t>
    <phoneticPr fontId="5" type="noConversion"/>
  </si>
  <si>
    <t>600667</t>
    <phoneticPr fontId="5" type="noConversion"/>
  </si>
  <si>
    <t>2003-22-P-07454</t>
    <phoneticPr fontId="5" type="noConversion"/>
  </si>
  <si>
    <t>檀长银</t>
    <phoneticPr fontId="5" type="noConversion"/>
  </si>
  <si>
    <t>342921196908254018</t>
    <phoneticPr fontId="5" type="noConversion"/>
  </si>
  <si>
    <t>4#幢</t>
    <phoneticPr fontId="5" type="noConversion"/>
  </si>
  <si>
    <t>2003-22-P-07455</t>
  </si>
  <si>
    <t>陈岩</t>
    <phoneticPr fontId="5" type="noConversion"/>
  </si>
  <si>
    <t>110102197106301916</t>
    <phoneticPr fontId="5" type="noConversion"/>
  </si>
  <si>
    <t>1803号</t>
    <phoneticPr fontId="5" type="noConversion"/>
  </si>
  <si>
    <t>2003-22-P-07456</t>
  </si>
  <si>
    <t>韦文生</t>
    <phoneticPr fontId="5" type="noConversion"/>
  </si>
  <si>
    <t>342425197710062013</t>
    <phoneticPr fontId="5" type="noConversion"/>
  </si>
  <si>
    <t>608号</t>
    <phoneticPr fontId="5" type="noConversion"/>
  </si>
  <si>
    <t>2003-22-P-07463</t>
    <phoneticPr fontId="5" type="noConversion"/>
  </si>
  <si>
    <t>商建秀</t>
    <phoneticPr fontId="5" type="noConversion"/>
  </si>
  <si>
    <t>110108541031374</t>
    <phoneticPr fontId="5" type="noConversion"/>
  </si>
  <si>
    <t>九幢</t>
    <phoneticPr fontId="5" type="noConversion"/>
  </si>
  <si>
    <t>2003-3-D1-03163</t>
    <phoneticPr fontId="5" type="noConversion"/>
  </si>
  <si>
    <t>279644</t>
    <phoneticPr fontId="5" type="noConversion"/>
  </si>
  <si>
    <t>2003-22-P-07464</t>
    <phoneticPr fontId="5" type="noConversion"/>
  </si>
  <si>
    <t>费志静</t>
    <phoneticPr fontId="5" type="noConversion"/>
  </si>
  <si>
    <t>110108611120492</t>
    <phoneticPr fontId="5" type="noConversion"/>
  </si>
  <si>
    <t>2003-3-D1-03164</t>
    <phoneticPr fontId="5" type="noConversion"/>
  </si>
  <si>
    <t>279643</t>
    <phoneticPr fontId="5" type="noConversion"/>
  </si>
  <si>
    <t>2003-22-P-07468</t>
    <phoneticPr fontId="5" type="noConversion"/>
  </si>
  <si>
    <t>徐党育</t>
    <phoneticPr fontId="5" type="noConversion"/>
  </si>
  <si>
    <t>110221640517001</t>
    <phoneticPr fontId="5" type="noConversion"/>
  </si>
  <si>
    <t>2003-22-P-07491</t>
    <phoneticPr fontId="5" type="noConversion"/>
  </si>
  <si>
    <t>张艳</t>
    <phoneticPr fontId="5" type="noConversion"/>
  </si>
  <si>
    <t>612132197905290828</t>
    <phoneticPr fontId="5" type="noConversion"/>
  </si>
  <si>
    <t>2003-22-P-07523</t>
    <phoneticPr fontId="5" type="noConversion"/>
  </si>
  <si>
    <t>陈颂阳</t>
    <phoneticPr fontId="5" type="noConversion"/>
  </si>
  <si>
    <t>110102710430331</t>
    <phoneticPr fontId="5" type="noConversion"/>
  </si>
  <si>
    <t>13910811077</t>
    <phoneticPr fontId="5" type="noConversion"/>
  </si>
  <si>
    <t>房号录错</t>
    <phoneticPr fontId="5" type="noConversion"/>
  </si>
  <si>
    <t>240814</t>
    <phoneticPr fontId="5" type="noConversion"/>
  </si>
  <si>
    <t>2003-22-P-07529</t>
    <phoneticPr fontId="5" type="noConversion"/>
  </si>
  <si>
    <t>342221810112702</t>
    <phoneticPr fontId="5" type="noConversion"/>
  </si>
  <si>
    <t>6座</t>
    <phoneticPr fontId="5" type="noConversion"/>
  </si>
  <si>
    <t>2003-3-D1-03170</t>
    <phoneticPr fontId="5" type="noConversion"/>
  </si>
  <si>
    <t>2003-22-P-07568-M</t>
    <phoneticPr fontId="5" type="noConversion"/>
  </si>
  <si>
    <t>叶一火</t>
    <phoneticPr fontId="5" type="noConversion"/>
  </si>
  <si>
    <t>340104197201192012</t>
    <phoneticPr fontId="5" type="noConversion"/>
  </si>
  <si>
    <t>13301182222</t>
    <phoneticPr fontId="5" type="noConversion"/>
  </si>
  <si>
    <t>815号</t>
    <phoneticPr fontId="5" type="noConversion"/>
  </si>
  <si>
    <t>583828</t>
    <phoneticPr fontId="5" type="noConversion"/>
  </si>
  <si>
    <t>2003-22-P-07571</t>
    <phoneticPr fontId="5" type="noConversion"/>
  </si>
  <si>
    <t>杨卉菊</t>
    <phoneticPr fontId="5" type="noConversion"/>
  </si>
  <si>
    <t>110102196909242388</t>
    <phoneticPr fontId="5" type="noConversion"/>
  </si>
  <si>
    <t>62237830</t>
    <phoneticPr fontId="5" type="noConversion"/>
  </si>
  <si>
    <t>1505号</t>
    <phoneticPr fontId="5" type="noConversion"/>
  </si>
  <si>
    <t>552620</t>
    <phoneticPr fontId="5" type="noConversion"/>
  </si>
  <si>
    <t>2003-22-P-07587</t>
  </si>
  <si>
    <t>杨东辉</t>
    <phoneticPr fontId="5" type="noConversion"/>
  </si>
  <si>
    <t>520103751119123</t>
    <phoneticPr fontId="5" type="noConversion"/>
  </si>
  <si>
    <t>13910078507</t>
    <phoneticPr fontId="5" type="noConversion"/>
  </si>
  <si>
    <t>327455</t>
    <phoneticPr fontId="5" type="noConversion"/>
  </si>
  <si>
    <t>2003-22-P-07591</t>
    <phoneticPr fontId="5" type="noConversion"/>
  </si>
  <si>
    <t>372501750415451</t>
    <phoneticPr fontId="5" type="noConversion"/>
  </si>
  <si>
    <t>408号</t>
    <phoneticPr fontId="5" type="noConversion"/>
  </si>
  <si>
    <t>2003-22-P-07595-M</t>
    <phoneticPr fontId="5" type="noConversion"/>
  </si>
  <si>
    <t>吴晨晨</t>
    <phoneticPr fontId="5" type="noConversion"/>
  </si>
  <si>
    <t>110102830809302</t>
    <phoneticPr fontId="5" type="noConversion"/>
  </si>
  <si>
    <t>13810484225</t>
    <phoneticPr fontId="5" type="noConversion"/>
  </si>
  <si>
    <t>819号</t>
    <phoneticPr fontId="5" type="noConversion"/>
  </si>
  <si>
    <t>583877</t>
    <phoneticPr fontId="5" type="noConversion"/>
  </si>
  <si>
    <t>2003-22-P-07597-M</t>
    <phoneticPr fontId="5" type="noConversion"/>
  </si>
  <si>
    <t>王玉梅</t>
    <phoneticPr fontId="5" type="noConversion"/>
  </si>
  <si>
    <t>232303197510031520</t>
    <phoneticPr fontId="5" type="noConversion"/>
  </si>
  <si>
    <t>13911329841</t>
    <phoneticPr fontId="5" type="noConversion"/>
  </si>
  <si>
    <t>583875</t>
    <phoneticPr fontId="5" type="noConversion"/>
  </si>
  <si>
    <t>2003-22-P-07621</t>
    <phoneticPr fontId="5" type="noConversion"/>
  </si>
  <si>
    <t>孙睿睿</t>
    <phoneticPr fontId="5" type="noConversion"/>
  </si>
  <si>
    <t>110102810105112</t>
    <phoneticPr fontId="5" type="noConversion"/>
  </si>
  <si>
    <t>13810355595</t>
    <phoneticPr fontId="5" type="noConversion"/>
  </si>
  <si>
    <t>562907</t>
    <phoneticPr fontId="5" type="noConversion"/>
  </si>
  <si>
    <t>2003-22-P-07632-M</t>
    <phoneticPr fontId="5" type="noConversion"/>
  </si>
  <si>
    <t>王晔</t>
    <phoneticPr fontId="5" type="noConversion"/>
  </si>
  <si>
    <t>132801197001154611</t>
    <phoneticPr fontId="5" type="noConversion"/>
  </si>
  <si>
    <t>13911032990</t>
    <phoneticPr fontId="5" type="noConversion"/>
  </si>
  <si>
    <t>1018号</t>
    <phoneticPr fontId="5" type="noConversion"/>
  </si>
  <si>
    <t>583864</t>
    <phoneticPr fontId="5" type="noConversion"/>
  </si>
  <si>
    <t>2003-22-P-07637</t>
    <phoneticPr fontId="5" type="noConversion"/>
  </si>
  <si>
    <t>陶红</t>
    <phoneticPr fontId="5" type="noConversion"/>
  </si>
  <si>
    <t>110108660401342</t>
    <phoneticPr fontId="5" type="noConversion"/>
  </si>
  <si>
    <t>66918552、13651148266</t>
    <phoneticPr fontId="5" type="noConversion"/>
  </si>
  <si>
    <t>2003-22-P-07662</t>
    <phoneticPr fontId="5" type="noConversion"/>
  </si>
  <si>
    <t>王春梅</t>
    <phoneticPr fontId="5" type="noConversion"/>
  </si>
  <si>
    <t>230103197901206823</t>
    <phoneticPr fontId="5" type="noConversion"/>
  </si>
  <si>
    <t>13693611379、62986688-3393、13681520632</t>
    <phoneticPr fontId="5" type="noConversion"/>
  </si>
  <si>
    <t>341号</t>
    <phoneticPr fontId="5" type="noConversion"/>
  </si>
  <si>
    <t>北京群薇房地产开发有限公司</t>
    <phoneticPr fontId="5" type="noConversion"/>
  </si>
  <si>
    <t>607369</t>
    <phoneticPr fontId="5" type="noConversion"/>
  </si>
  <si>
    <t>北京市平谷区平谷镇府前西街2号</t>
    <phoneticPr fontId="5" type="noConversion"/>
  </si>
  <si>
    <t>1102262271840（1-1）</t>
    <phoneticPr fontId="5" type="noConversion"/>
  </si>
  <si>
    <t>王宁</t>
    <phoneticPr fontId="5" type="noConversion"/>
  </si>
  <si>
    <t>2003-22-P-07663</t>
  </si>
  <si>
    <t>艾巧玲</t>
    <phoneticPr fontId="5" type="noConversion"/>
  </si>
  <si>
    <t>210304197512230225</t>
    <phoneticPr fontId="5" type="noConversion"/>
  </si>
  <si>
    <t>13601145078、82612409、82332647</t>
    <phoneticPr fontId="5" type="noConversion"/>
  </si>
  <si>
    <t>326994</t>
    <phoneticPr fontId="5" type="noConversion"/>
  </si>
  <si>
    <t>2003-22-P-07666</t>
    <phoneticPr fontId="5" type="noConversion"/>
  </si>
  <si>
    <t>赵广红</t>
    <phoneticPr fontId="5" type="noConversion"/>
  </si>
  <si>
    <t>230104196811013720</t>
    <phoneticPr fontId="5" type="noConversion"/>
  </si>
  <si>
    <t>13911393652</t>
    <phoneticPr fontId="5" type="noConversion"/>
  </si>
  <si>
    <t>595782</t>
    <phoneticPr fontId="5" type="noConversion"/>
  </si>
  <si>
    <t>2003-22-P-07667</t>
    <phoneticPr fontId="5" type="noConversion"/>
  </si>
  <si>
    <t>陈广忠、邓晓宁</t>
    <phoneticPr fontId="5" type="noConversion"/>
  </si>
  <si>
    <t>110103701221183、11010819771116222X</t>
    <phoneticPr fontId="5" type="noConversion"/>
  </si>
  <si>
    <t>13651041591</t>
    <phoneticPr fontId="5" type="noConversion"/>
  </si>
  <si>
    <t>581号</t>
    <phoneticPr fontId="5" type="noConversion"/>
  </si>
  <si>
    <t>607364</t>
    <phoneticPr fontId="5" type="noConversion"/>
  </si>
  <si>
    <t>2003-22-P-07670</t>
    <phoneticPr fontId="5" type="noConversion"/>
  </si>
  <si>
    <t>许海涛</t>
    <phoneticPr fontId="5" type="noConversion"/>
  </si>
  <si>
    <t>142431197207113012</t>
    <phoneticPr fontId="5" type="noConversion"/>
  </si>
  <si>
    <t>13501179104</t>
    <phoneticPr fontId="5" type="noConversion"/>
  </si>
  <si>
    <t>311号</t>
    <phoneticPr fontId="5" type="noConversion"/>
  </si>
  <si>
    <t>552625</t>
    <phoneticPr fontId="5" type="noConversion"/>
  </si>
  <si>
    <t>2003-22-P-07675-M</t>
    <phoneticPr fontId="5" type="noConversion"/>
  </si>
  <si>
    <t>龚志陆</t>
    <phoneticPr fontId="5" type="noConversion"/>
  </si>
  <si>
    <t>340221197312315259</t>
    <phoneticPr fontId="5" type="noConversion"/>
  </si>
  <si>
    <t>13911139806</t>
    <phoneticPr fontId="5" type="noConversion"/>
  </si>
  <si>
    <t>583883</t>
    <phoneticPr fontId="5" type="noConversion"/>
  </si>
  <si>
    <t>2003-22-P-07680</t>
    <phoneticPr fontId="5" type="noConversion"/>
  </si>
  <si>
    <t>任炜</t>
    <phoneticPr fontId="5" type="noConversion"/>
  </si>
  <si>
    <t>110102197311131143</t>
    <phoneticPr fontId="5" type="noConversion"/>
  </si>
  <si>
    <t>13691191635、13301006676、66810532</t>
    <phoneticPr fontId="5" type="noConversion"/>
  </si>
  <si>
    <t>536843</t>
    <phoneticPr fontId="5" type="noConversion"/>
  </si>
  <si>
    <t>2003-22-P-07690</t>
    <phoneticPr fontId="5" type="noConversion"/>
  </si>
  <si>
    <t>林勇</t>
    <phoneticPr fontId="5" type="noConversion"/>
  </si>
  <si>
    <t>330325791023541</t>
    <phoneticPr fontId="5" type="noConversion"/>
  </si>
  <si>
    <t>13693208881</t>
    <phoneticPr fontId="5" type="noConversion"/>
  </si>
  <si>
    <t>431号</t>
    <phoneticPr fontId="5" type="noConversion"/>
  </si>
  <si>
    <t>607356</t>
    <phoneticPr fontId="5" type="noConversion"/>
  </si>
  <si>
    <t>2003-22-P-07697</t>
    <phoneticPr fontId="5" type="noConversion"/>
  </si>
  <si>
    <t>江琪</t>
    <phoneticPr fontId="5" type="noConversion"/>
  </si>
  <si>
    <t>110105620611216</t>
    <phoneticPr fontId="5" type="noConversion"/>
  </si>
  <si>
    <t>2003-22-P-07698</t>
    <phoneticPr fontId="5" type="noConversion"/>
  </si>
  <si>
    <t>徐浩</t>
    <phoneticPr fontId="5" type="noConversion"/>
  </si>
  <si>
    <t>412929197609165545</t>
    <phoneticPr fontId="5" type="noConversion"/>
  </si>
  <si>
    <t>2003-22-P-07710</t>
    <phoneticPr fontId="5" type="noConversion"/>
  </si>
  <si>
    <t>孙实建</t>
    <phoneticPr fontId="5" type="noConversion"/>
  </si>
  <si>
    <t>34082219760815115X</t>
    <phoneticPr fontId="5" type="noConversion"/>
  </si>
  <si>
    <t>13911717889</t>
    <phoneticPr fontId="5" type="noConversion"/>
  </si>
  <si>
    <t>321号</t>
    <phoneticPr fontId="5" type="noConversion"/>
  </si>
  <si>
    <t>607357</t>
    <phoneticPr fontId="5" type="noConversion"/>
  </si>
  <si>
    <t>2003-22-P-07772</t>
    <phoneticPr fontId="5" type="noConversion"/>
  </si>
  <si>
    <t>杨存霞</t>
    <phoneticPr fontId="5" type="noConversion"/>
  </si>
  <si>
    <t>152634780419002</t>
    <phoneticPr fontId="5" type="noConversion"/>
  </si>
  <si>
    <t>2003-3-D1-03197</t>
    <phoneticPr fontId="5" type="noConversion"/>
  </si>
  <si>
    <t>2003-22-P-07787</t>
    <phoneticPr fontId="5" type="noConversion"/>
  </si>
  <si>
    <t>张弘</t>
    <phoneticPr fontId="5" type="noConversion"/>
  </si>
  <si>
    <t>150102197508300534</t>
    <phoneticPr fontId="5" type="noConversion"/>
  </si>
  <si>
    <t>13911098458</t>
    <phoneticPr fontId="5" type="noConversion"/>
  </si>
  <si>
    <t>326991</t>
    <phoneticPr fontId="5" type="noConversion"/>
  </si>
  <si>
    <t>2003-22-P-07789</t>
    <phoneticPr fontId="5" type="noConversion"/>
  </si>
  <si>
    <t>胡兵</t>
    <phoneticPr fontId="5" type="noConversion"/>
  </si>
  <si>
    <t>110108740118181</t>
    <phoneticPr fontId="5" type="noConversion"/>
  </si>
  <si>
    <t>13601248174</t>
    <phoneticPr fontId="5" type="noConversion"/>
  </si>
  <si>
    <t>清河镇永泰园小区</t>
    <phoneticPr fontId="5" type="noConversion"/>
  </si>
  <si>
    <t>641号</t>
    <phoneticPr fontId="5" type="noConversion"/>
  </si>
  <si>
    <t>253625</t>
    <phoneticPr fontId="5" type="noConversion"/>
  </si>
  <si>
    <t>2003-22-P-07790</t>
    <phoneticPr fontId="5" type="noConversion"/>
  </si>
  <si>
    <t>130226197607080015</t>
    <phoneticPr fontId="5" type="noConversion"/>
  </si>
  <si>
    <t>13910323642</t>
    <phoneticPr fontId="5" type="noConversion"/>
  </si>
  <si>
    <t>589420</t>
    <phoneticPr fontId="5" type="noConversion"/>
  </si>
  <si>
    <t>2003-22-P-07796-M</t>
    <phoneticPr fontId="5" type="noConversion"/>
  </si>
  <si>
    <t>徐绍林</t>
    <phoneticPr fontId="5" type="noConversion"/>
  </si>
  <si>
    <t>342426197806272214</t>
    <phoneticPr fontId="5" type="noConversion"/>
  </si>
  <si>
    <t>13910272967</t>
    <phoneticPr fontId="5" type="noConversion"/>
  </si>
  <si>
    <t>634号</t>
    <phoneticPr fontId="5" type="noConversion"/>
  </si>
  <si>
    <t>501688</t>
    <phoneticPr fontId="5" type="noConversion"/>
  </si>
  <si>
    <t>2003-22-P-07811</t>
    <phoneticPr fontId="5" type="noConversion"/>
  </si>
  <si>
    <t>仉长雷</t>
    <phoneticPr fontId="5" type="noConversion"/>
  </si>
  <si>
    <t>232102680720039</t>
    <phoneticPr fontId="5" type="noConversion"/>
  </si>
  <si>
    <t>13911090013、62929339、62920838</t>
    <phoneticPr fontId="5" type="noConversion"/>
  </si>
  <si>
    <t>595727</t>
    <phoneticPr fontId="5" type="noConversion"/>
  </si>
  <si>
    <t>2003-22-P-07816</t>
    <phoneticPr fontId="5" type="noConversion"/>
  </si>
  <si>
    <t>何东</t>
    <phoneticPr fontId="5" type="noConversion"/>
  </si>
  <si>
    <t>110108196911270415</t>
    <phoneticPr fontId="5" type="noConversion"/>
  </si>
  <si>
    <t>13801304381</t>
    <phoneticPr fontId="5" type="noConversion"/>
  </si>
  <si>
    <t>按照成交价的5‰收费</t>
    <phoneticPr fontId="5" type="noConversion"/>
  </si>
  <si>
    <t>234247</t>
    <phoneticPr fontId="5" type="noConversion"/>
  </si>
  <si>
    <t>2003-22-P-07827</t>
    <phoneticPr fontId="5" type="noConversion"/>
  </si>
  <si>
    <t>刘东东</t>
    <phoneticPr fontId="5" type="noConversion"/>
  </si>
  <si>
    <t>130602710613035</t>
    <phoneticPr fontId="5" type="noConversion"/>
  </si>
  <si>
    <t>13910316451</t>
    <phoneticPr fontId="5" type="noConversion"/>
  </si>
  <si>
    <t>327490</t>
    <phoneticPr fontId="5" type="noConversion"/>
  </si>
  <si>
    <t>2003-22-P-07828</t>
  </si>
  <si>
    <t>葛建林、岳彩玲</t>
    <phoneticPr fontId="5" type="noConversion"/>
  </si>
  <si>
    <t>360122197411120654、372526790711276</t>
    <phoneticPr fontId="5" type="noConversion"/>
  </si>
  <si>
    <t>13501390019</t>
    <phoneticPr fontId="5" type="noConversion"/>
  </si>
  <si>
    <t>326993</t>
    <phoneticPr fontId="5" type="noConversion"/>
  </si>
  <si>
    <t>2003-22-P-07836</t>
    <phoneticPr fontId="5" type="noConversion"/>
  </si>
  <si>
    <t>李士光</t>
    <phoneticPr fontId="5" type="noConversion"/>
  </si>
  <si>
    <t>420105197405151630</t>
    <phoneticPr fontId="5" type="noConversion"/>
  </si>
  <si>
    <t>13910271974</t>
    <phoneticPr fontId="5" type="noConversion"/>
  </si>
  <si>
    <t>23层</t>
    <phoneticPr fontId="5" type="noConversion"/>
  </si>
  <si>
    <t>564770</t>
    <phoneticPr fontId="5" type="noConversion"/>
  </si>
  <si>
    <t>2003-22-P-07856</t>
    <phoneticPr fontId="5" type="noConversion"/>
  </si>
  <si>
    <t>罗颖民</t>
    <phoneticPr fontId="5" type="noConversion"/>
  </si>
  <si>
    <t>362232801214001</t>
    <phoneticPr fontId="5" type="noConversion"/>
  </si>
  <si>
    <t>2003-22-P-07857</t>
    <phoneticPr fontId="5" type="noConversion"/>
  </si>
  <si>
    <t>崔静楠</t>
    <phoneticPr fontId="5" type="noConversion"/>
  </si>
  <si>
    <t>110108197708056020</t>
    <phoneticPr fontId="5" type="noConversion"/>
  </si>
  <si>
    <t>2003-22-P-07867-M</t>
    <phoneticPr fontId="5" type="noConversion"/>
  </si>
  <si>
    <t>陈钢</t>
    <phoneticPr fontId="5" type="noConversion"/>
  </si>
  <si>
    <t>110102196711173030</t>
    <phoneticPr fontId="5" type="noConversion"/>
  </si>
  <si>
    <t>13301355199</t>
    <phoneticPr fontId="5" type="noConversion"/>
  </si>
  <si>
    <t>27号</t>
    <phoneticPr fontId="5" type="noConversion"/>
  </si>
  <si>
    <t>578087</t>
    <phoneticPr fontId="5" type="noConversion"/>
  </si>
  <si>
    <t>2003-22-P-07875</t>
    <phoneticPr fontId="5" type="noConversion"/>
  </si>
  <si>
    <t>苟勇</t>
    <phoneticPr fontId="5" type="noConversion"/>
  </si>
  <si>
    <t>211103197306012511</t>
    <phoneticPr fontId="5" type="noConversion"/>
  </si>
  <si>
    <t>2003-22-P-07884</t>
    <phoneticPr fontId="5" type="noConversion"/>
  </si>
  <si>
    <t>刘光海</t>
    <phoneticPr fontId="5" type="noConversion"/>
  </si>
  <si>
    <t>610113197208282119</t>
    <phoneticPr fontId="5" type="noConversion"/>
  </si>
  <si>
    <t>13911661177</t>
    <phoneticPr fontId="5" type="noConversion"/>
  </si>
  <si>
    <t>564746</t>
    <phoneticPr fontId="5" type="noConversion"/>
  </si>
  <si>
    <t>2003-22-P-07910</t>
  </si>
  <si>
    <t>陈剑雄</t>
    <phoneticPr fontId="5" type="noConversion"/>
  </si>
  <si>
    <t>422422197909014255</t>
    <phoneticPr fontId="5" type="noConversion"/>
  </si>
  <si>
    <t>13167531764、63960088-2523</t>
    <phoneticPr fontId="5" type="noConversion"/>
  </si>
  <si>
    <t>583769</t>
    <phoneticPr fontId="5" type="noConversion"/>
  </si>
  <si>
    <t>2003-22-P-07911</t>
  </si>
  <si>
    <t>白湻</t>
    <phoneticPr fontId="5" type="noConversion"/>
  </si>
  <si>
    <t>110108730429571</t>
    <phoneticPr fontId="5" type="noConversion"/>
  </si>
  <si>
    <t>68944427、13051674476</t>
    <phoneticPr fontId="5" type="noConversion"/>
  </si>
  <si>
    <t>730号</t>
    <phoneticPr fontId="5" type="noConversion"/>
  </si>
  <si>
    <t>583794</t>
    <phoneticPr fontId="5" type="noConversion"/>
  </si>
  <si>
    <t>2003-22-P-07913</t>
    <phoneticPr fontId="5" type="noConversion"/>
  </si>
  <si>
    <t>万红辉</t>
    <phoneticPr fontId="5" type="noConversion"/>
  </si>
  <si>
    <t>110108680526635</t>
    <phoneticPr fontId="5" type="noConversion"/>
  </si>
  <si>
    <t>62139291、13701232872</t>
    <phoneticPr fontId="5" type="noConversion"/>
  </si>
  <si>
    <t>588180</t>
    <phoneticPr fontId="5" type="noConversion"/>
  </si>
  <si>
    <t>2003-22-P-07926</t>
  </si>
  <si>
    <t>李晓明</t>
    <phoneticPr fontId="5" type="noConversion"/>
  </si>
  <si>
    <t>370723760718331</t>
    <phoneticPr fontId="5" type="noConversion"/>
  </si>
  <si>
    <t>13901123926</t>
    <phoneticPr fontId="5" type="noConversion"/>
  </si>
  <si>
    <t>327000</t>
    <phoneticPr fontId="5" type="noConversion"/>
  </si>
  <si>
    <t>2003-22-P-07927</t>
  </si>
  <si>
    <t>周新龙</t>
    <phoneticPr fontId="5" type="noConversion"/>
  </si>
  <si>
    <t>362502197702082617</t>
    <phoneticPr fontId="5" type="noConversion"/>
  </si>
  <si>
    <t>13911332321</t>
    <phoneticPr fontId="5" type="noConversion"/>
  </si>
  <si>
    <t>326962</t>
    <phoneticPr fontId="5" type="noConversion"/>
  </si>
  <si>
    <t>2003-22-P-07934</t>
    <phoneticPr fontId="5" type="noConversion"/>
  </si>
  <si>
    <t>王秀兰</t>
    <phoneticPr fontId="5" type="noConversion"/>
  </si>
  <si>
    <t>110106620120366</t>
    <phoneticPr fontId="5" type="noConversion"/>
  </si>
  <si>
    <t>13651343205、68762469</t>
    <phoneticPr fontId="5" type="noConversion"/>
  </si>
  <si>
    <t>279630</t>
    <phoneticPr fontId="5" type="noConversion"/>
  </si>
  <si>
    <t>2003-22-P-07957</t>
  </si>
  <si>
    <t>黄坚</t>
    <phoneticPr fontId="5" type="noConversion"/>
  </si>
  <si>
    <t>310224196909030028</t>
    <phoneticPr fontId="5" type="noConversion"/>
  </si>
  <si>
    <t>13521458921、66730820、66014447-3074、66738020</t>
    <phoneticPr fontId="5" type="noConversion"/>
  </si>
  <si>
    <t>1011号</t>
    <phoneticPr fontId="5" type="noConversion"/>
  </si>
  <si>
    <t>536900</t>
    <phoneticPr fontId="5" type="noConversion"/>
  </si>
  <si>
    <t>2003-22-P-07959</t>
  </si>
  <si>
    <t>孙琳琳</t>
    <phoneticPr fontId="5" type="noConversion"/>
  </si>
  <si>
    <t>110108740206376</t>
    <phoneticPr fontId="5" type="noConversion"/>
  </si>
  <si>
    <t>68386787、13501032103</t>
    <phoneticPr fontId="5" type="noConversion"/>
  </si>
  <si>
    <t>279635</t>
    <phoneticPr fontId="5" type="noConversion"/>
  </si>
  <si>
    <t>2003-22-P-07963</t>
  </si>
  <si>
    <t>程华兵</t>
    <phoneticPr fontId="5" type="noConversion"/>
  </si>
  <si>
    <t>340821197807101212</t>
    <phoneticPr fontId="5" type="noConversion"/>
  </si>
  <si>
    <t>13683676710、62904966</t>
    <phoneticPr fontId="5" type="noConversion"/>
  </si>
  <si>
    <t>2003-22-P-07990</t>
  </si>
  <si>
    <t>魏金钟</t>
    <phoneticPr fontId="5" type="noConversion"/>
  </si>
  <si>
    <t>110108650203221</t>
    <phoneticPr fontId="5" type="noConversion"/>
  </si>
  <si>
    <t>13801030495</t>
    <phoneticPr fontId="5" type="noConversion"/>
  </si>
  <si>
    <t>05号楼（幢）</t>
    <phoneticPr fontId="5" type="noConversion"/>
  </si>
  <si>
    <t>521060</t>
    <phoneticPr fontId="5" type="noConversion"/>
  </si>
  <si>
    <t>2003-22-P-07991</t>
  </si>
  <si>
    <t>杜文捷、孙芳</t>
    <phoneticPr fontId="5" type="noConversion"/>
  </si>
  <si>
    <t>610113196803282135、110106690815246</t>
    <phoneticPr fontId="5" type="noConversion"/>
  </si>
  <si>
    <t>13501099297</t>
    <phoneticPr fontId="5" type="noConversion"/>
  </si>
  <si>
    <t>326846</t>
    <phoneticPr fontId="5" type="noConversion"/>
  </si>
  <si>
    <t>2003-22-P-07992</t>
    <phoneticPr fontId="5" type="noConversion"/>
  </si>
  <si>
    <t>南卫国</t>
    <phoneticPr fontId="5" type="noConversion"/>
  </si>
  <si>
    <t>510102197211067476</t>
    <phoneticPr fontId="5" type="noConversion"/>
  </si>
  <si>
    <t>13520348679</t>
    <phoneticPr fontId="5" type="noConversion"/>
  </si>
  <si>
    <t>2003-22-P-08001</t>
    <phoneticPr fontId="5" type="noConversion"/>
  </si>
  <si>
    <t>王文俊</t>
    <phoneticPr fontId="5" type="noConversion"/>
  </si>
  <si>
    <t>152822197605054115</t>
    <phoneticPr fontId="5" type="noConversion"/>
  </si>
  <si>
    <t>13311550589</t>
    <phoneticPr fontId="5" type="noConversion"/>
  </si>
  <si>
    <t>327456</t>
    <phoneticPr fontId="5" type="noConversion"/>
  </si>
  <si>
    <t>2003-22-P-08012</t>
    <phoneticPr fontId="5" type="noConversion"/>
  </si>
  <si>
    <t>安静</t>
    <phoneticPr fontId="5" type="noConversion"/>
  </si>
  <si>
    <t>110108731226276</t>
    <phoneticPr fontId="5" type="noConversion"/>
  </si>
  <si>
    <t>13611109950、62881144-221、64328514</t>
    <phoneticPr fontId="5" type="noConversion"/>
  </si>
  <si>
    <t>2003-22-P-08013</t>
    <phoneticPr fontId="5" type="noConversion"/>
  </si>
  <si>
    <t>张立君</t>
    <phoneticPr fontId="5" type="noConversion"/>
  </si>
  <si>
    <t>142123197605010012</t>
    <phoneticPr fontId="5" type="noConversion"/>
  </si>
  <si>
    <t>13671346750、63523508、62947894</t>
    <phoneticPr fontId="5" type="noConversion"/>
  </si>
  <si>
    <t>知春路罗庄碧兴源</t>
    <phoneticPr fontId="136" type="noConversion"/>
  </si>
  <si>
    <t>万泉庄万柳地区新纪元花园</t>
    <phoneticPr fontId="5" type="noConversion"/>
  </si>
  <si>
    <t>小关华直危改1#、2#楼都景苑</t>
    <phoneticPr fontId="136" type="noConversion"/>
  </si>
  <si>
    <r>
      <t>文慧园</t>
    </r>
    <r>
      <rPr>
        <sz val="10"/>
        <color indexed="8"/>
        <rFont val="Times New Roman"/>
        <family val="1"/>
      </rPr>
      <t/>
    </r>
    <phoneticPr fontId="5" type="noConversion"/>
  </si>
  <si>
    <t>索家坟志强园习习景园</t>
    <phoneticPr fontId="136" type="noConversion"/>
  </si>
  <si>
    <t>阜石路35号兰德华庭</t>
    <phoneticPr fontId="136" type="noConversion"/>
  </si>
  <si>
    <t>翠微路2号院静源居</t>
    <phoneticPr fontId="136" type="noConversion"/>
  </si>
  <si>
    <t>海淀区北洼西里33号富丽小区</t>
    <phoneticPr fontId="136" type="noConversion"/>
  </si>
  <si>
    <t>北洼路车道沟南里北洼路住宅楼(财智公馆)</t>
    <phoneticPr fontId="5" type="noConversion"/>
  </si>
  <si>
    <t>东南</t>
    <phoneticPr fontId="26" type="noConversion"/>
  </si>
  <si>
    <t>西南</t>
    <phoneticPr fontId="26" type="noConversion"/>
  </si>
  <si>
    <t>南</t>
    <phoneticPr fontId="26" type="noConversion"/>
  </si>
  <si>
    <t>东西</t>
    <phoneticPr fontId="26" type="noConversion"/>
  </si>
  <si>
    <t>东北</t>
    <phoneticPr fontId="26" type="noConversion"/>
  </si>
  <si>
    <t>西北</t>
    <phoneticPr fontId="26" type="noConversion"/>
  </si>
  <si>
    <t>西</t>
    <phoneticPr fontId="26" type="noConversion"/>
  </si>
  <si>
    <t>2003-22-P-03443</t>
    <phoneticPr fontId="136" type="noConversion"/>
  </si>
  <si>
    <t>2003-22-P-05507</t>
    <phoneticPr fontId="5" type="noConversion"/>
  </si>
  <si>
    <t>2003-22-P-05819-M</t>
    <phoneticPr fontId="136" type="noConversion"/>
  </si>
  <si>
    <t>高层板楼</t>
  </si>
  <si>
    <t>塔楼</t>
  </si>
  <si>
    <t>塔楼</t>
    <phoneticPr fontId="26" type="noConversion"/>
  </si>
  <si>
    <t>高层板楼</t>
    <phoneticPr fontId="26" type="noConversion"/>
  </si>
  <si>
    <t>连板</t>
  </si>
  <si>
    <t>连板</t>
    <phoneticPr fontId="26" type="noConversion"/>
  </si>
  <si>
    <t>楼层</t>
    <phoneticPr fontId="26" type="noConversion"/>
  </si>
  <si>
    <t>钢混</t>
  </si>
  <si>
    <t>钢混</t>
    <phoneticPr fontId="26" type="noConversion"/>
  </si>
  <si>
    <t>较好</t>
  </si>
  <si>
    <t>一般</t>
  </si>
  <si>
    <t>2/6</t>
    <phoneticPr fontId="26" type="noConversion"/>
  </si>
  <si>
    <t>11/21</t>
    <phoneticPr fontId="26" type="noConversion"/>
  </si>
  <si>
    <t>14/14</t>
    <phoneticPr fontId="26" type="noConversion"/>
  </si>
  <si>
    <t>西南</t>
  </si>
  <si>
    <t>西</t>
  </si>
  <si>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</si>
  <si>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</si>
  <si>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</si>
  <si>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</si>
  <si>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</si>
  <si>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</si>
  <si>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</si>
  <si>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</si>
  <si>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</si>
  <si>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</si>
  <si>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</si>
  <si>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</si>
  <si>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</si>
  <si>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</si>
  <si>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</si>
  <si>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</si>
  <si>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</si>
  <si>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</si>
  <si>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</si>
  <si>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</si>
  <si>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</si>
  <si>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</si>
  <si>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</si>
  <si>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</si>
  <si>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</si>
  <si>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</si>
  <si>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</si>
  <si>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</si>
  <si>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</si>
  <si>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</si>
  <si>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</si>
  <si>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</si>
  <si>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</si>
  <si>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</si>
  <si>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</si>
  <si>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</si>
  <si>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</si>
  <si>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</si>
  <si>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</si>
  <si>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</si>
  <si>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</si>
  <si>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</si>
  <si>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</si>
  <si>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</si>
  <si>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</si>
  <si>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</si>
  <si>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</si>
  <si>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</si>
  <si>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5" type="noConversion"/>
  </si>
  <si>
    <t>06-0118</t>
  </si>
  <si>
    <t>静源居</t>
  </si>
  <si>
    <t>A号楼1-2层，3-8层B及B反户型、9-23层</t>
  </si>
  <si>
    <t>现浇剪力墙</t>
  </si>
  <si>
    <t>23（顶层退台）</t>
  </si>
  <si>
    <t>正在办理过程中</t>
  </si>
  <si>
    <t>2001规地字0301号</t>
  </si>
  <si>
    <t>2002规建字0413号</t>
  </si>
  <si>
    <t>06（建）2002·1015</t>
  </si>
  <si>
    <t>京房售证字（   ）1079号</t>
  </si>
  <si>
    <t>A号楼1-2层，3-8层B及B反户型、9-23层；C号楼</t>
  </si>
  <si>
    <t>2002.9-2003.10</t>
  </si>
  <si>
    <t>海03-01-31</t>
    <phoneticPr fontId="5" type="noConversion"/>
  </si>
  <si>
    <t>竣工备案</t>
  </si>
  <si>
    <t>已封顶</t>
    <phoneticPr fontId="5" type="noConversion"/>
  </si>
  <si>
    <t>C号楼</t>
  </si>
  <si>
    <t>06-0153</t>
  </si>
  <si>
    <t>世纪新景园</t>
  </si>
  <si>
    <t>1#（楼层编号不含4、13、14、24）</t>
  </si>
  <si>
    <t>北京隆鑫园房地产有限公司</t>
  </si>
  <si>
    <t>京海国用（2003出）字第2293号</t>
  </si>
  <si>
    <t>海淀区玉渊潭乡北洼路隆鑫园住宅小区</t>
  </si>
  <si>
    <t>2002规地字0364号、2003规地字0023号</t>
  </si>
  <si>
    <t>2002规建字1705号</t>
  </si>
  <si>
    <t>06（建）20030231</t>
  </si>
  <si>
    <t>京房售证字（2003）104号</t>
  </si>
  <si>
    <t>1-6#</t>
  </si>
  <si>
    <t>2003.5-2004.6</t>
  </si>
  <si>
    <t>土地证</t>
  </si>
  <si>
    <t>楼层编号</t>
  </si>
  <si>
    <t>待定资质</t>
  </si>
  <si>
    <t>房地产开发；销售商品房</t>
  </si>
  <si>
    <t>2003.7.1</t>
  </si>
  <si>
    <t>2#</t>
  </si>
  <si>
    <t>3#</t>
  </si>
  <si>
    <t>4-6#</t>
  </si>
  <si>
    <t>06-0144</t>
  </si>
  <si>
    <t>北洼路住宅楼（财智公馆）(定名：长运财智会馆)部分抵押：地上一层住宅，地上一层会客区</t>
    <phoneticPr fontId="5" type="noConversion"/>
  </si>
  <si>
    <t>1#（赠家具）</t>
    <phoneticPr fontId="5" type="noConversion"/>
  </si>
  <si>
    <t>钢混</t>
    <phoneticPr fontId="5" type="noConversion"/>
  </si>
  <si>
    <t>京房权证海股字第0014253号</t>
    <phoneticPr fontId="5" type="noConversion"/>
  </si>
  <si>
    <t>京海国用（2003出）字第2162号</t>
  </si>
  <si>
    <t>海淀区北洼路车道沟南里</t>
  </si>
  <si>
    <t>2001规地字0408号</t>
  </si>
  <si>
    <t>2002规建字0798号</t>
  </si>
  <si>
    <t>06（建）2002.2337</t>
  </si>
  <si>
    <t>京房售证字（2003）15号</t>
  </si>
  <si>
    <t>整栋</t>
    <phoneticPr fontId="5" type="noConversion"/>
  </si>
  <si>
    <t>2003.2-2004.4</t>
  </si>
  <si>
    <t>[房修]2004-032</t>
    <phoneticPr fontId="5" type="noConversion"/>
  </si>
  <si>
    <t>刘朝阳</t>
  </si>
  <si>
    <t>竣工备案</t>
    <phoneticPr fontId="5" type="noConversion"/>
  </si>
  <si>
    <t>大产权证</t>
    <phoneticPr fontId="5" type="noConversion"/>
  </si>
  <si>
    <t>房地产资质肆级</t>
  </si>
  <si>
    <t>房地产开发；销售商品房；房地产开发信息咨询、服务</t>
  </si>
  <si>
    <t>北京市海淀区西三环北路74号院C座2层4号</t>
    <phoneticPr fontId="8" type="noConversion"/>
  </si>
  <si>
    <t>南</t>
  </si>
  <si>
    <t>2/14</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</si>
</sst>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000000"/>
    <numFmt numFmtId="195" formatCode="[DBNum1][$-804]General"/>
    <numFmt numFmtId="196" formatCode="[DBNum2]General"/>
    <numFmt numFmtId="197" formatCode="[DBNum1]General"/>
    <numFmt numFmtId="198" formatCode="0000000000000"/>
    <numFmt numFmtId="199" formatCode="0_);\(0\)"/>
  </numFmts>
  <fonts count="27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indexed="8"/>
      <name val="Times New Roman"/>
      <family val="1"/>
    </font>
    <font>
      <sz val="12"/>
      <name val="Times New Roman"/>
      <family val="1"/>
    </font>
    <font>
      <b/>
      <sz val="10"/>
      <name val="Times New Roman"/>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5" fontId="0" fillId="0" borderId="0">
      <alignment vertical="center"/>
    </xf>
    <xf numFmtId="195" fontId="97" fillId="0" borderId="0">
      <alignment vertical="center"/>
    </xf>
    <xf numFmtId="195" fontId="97" fillId="0" borderId="0"/>
    <xf numFmtId="195" fontId="97" fillId="0" borderId="0">
      <alignment vertical="center"/>
    </xf>
    <xf numFmtId="195" fontId="38" fillId="0" borderId="0"/>
    <xf numFmtId="195" fontId="97" fillId="0" borderId="0">
      <alignment vertical="center"/>
    </xf>
    <xf numFmtId="195" fontId="97" fillId="0" borderId="0"/>
    <xf numFmtId="195" fontId="97" fillId="0" borderId="0">
      <alignment vertical="center"/>
    </xf>
    <xf numFmtId="195" fontId="97" fillId="0" borderId="0">
      <alignment vertical="center"/>
    </xf>
    <xf numFmtId="195" fontId="4" fillId="0" borderId="0">
      <alignment vertical="center"/>
    </xf>
    <xf numFmtId="195" fontId="97" fillId="0" borderId="0">
      <alignment vertical="center"/>
    </xf>
    <xf numFmtId="195" fontId="3" fillId="0" borderId="0">
      <alignment vertical="center"/>
    </xf>
    <xf numFmtId="195" fontId="161" fillId="0" borderId="0"/>
    <xf numFmtId="195" fontId="3" fillId="0" borderId="0">
      <alignment vertical="center"/>
    </xf>
    <xf numFmtId="9" fontId="38" fillId="0" borderId="0" applyFont="0" applyFill="0" applyBorder="0" applyAlignment="0" applyProtection="0">
      <alignment vertical="center"/>
    </xf>
    <xf numFmtId="195" fontId="97" fillId="0" borderId="0">
      <alignment vertical="center"/>
    </xf>
    <xf numFmtId="195" fontId="3" fillId="0" borderId="0">
      <alignment vertical="center"/>
    </xf>
    <xf numFmtId="9" fontId="247" fillId="0" borderId="0" applyFont="0" applyFill="0" applyBorder="0" applyAlignment="0" applyProtection="0">
      <alignment vertical="center"/>
    </xf>
    <xf numFmtId="195" fontId="97" fillId="0" borderId="0">
      <alignment vertical="center"/>
    </xf>
    <xf numFmtId="195" fontId="2" fillId="0" borderId="0">
      <alignment vertical="center"/>
    </xf>
    <xf numFmtId="44" fontId="2" fillId="0" borderId="0" applyFont="0" applyFill="0" applyBorder="0" applyAlignment="0" applyProtection="0">
      <alignment vertical="center"/>
    </xf>
    <xf numFmtId="0" fontId="1" fillId="0" borderId="0">
      <alignment vertical="center"/>
    </xf>
  </cellStyleXfs>
  <cellXfs count="4308">
    <xf numFmtId="195" fontId="0" fillId="0" borderId="0" xfId="0">
      <alignment vertical="center"/>
    </xf>
    <xf numFmtId="195" fontId="14" fillId="5" borderId="24" xfId="1" applyFont="1" applyFill="1" applyBorder="1" applyAlignment="1" applyProtection="1">
      <alignment horizontal="left" vertical="center"/>
      <protection locked="0"/>
    </xf>
    <xf numFmtId="195" fontId="23" fillId="6" borderId="0" xfId="1" applyFont="1" applyFill="1" applyBorder="1" applyAlignment="1" applyProtection="1">
      <alignment vertical="center"/>
    </xf>
    <xf numFmtId="195" fontId="100" fillId="6" borderId="0" xfId="0" applyFont="1" applyFill="1" applyAlignment="1" applyProtection="1">
      <alignment horizontal="center" vertical="center"/>
    </xf>
    <xf numFmtId="195" fontId="100" fillId="6" borderId="0" xfId="0" applyFont="1" applyFill="1" applyProtection="1">
      <alignment vertical="center"/>
    </xf>
    <xf numFmtId="195" fontId="48" fillId="6" borderId="5" xfId="0" applyFont="1" applyFill="1" applyBorder="1" applyAlignment="1" applyProtection="1">
      <alignment vertical="center"/>
    </xf>
    <xf numFmtId="195" fontId="46" fillId="0" borderId="1" xfId="0" applyFont="1" applyBorder="1" applyAlignment="1" applyProtection="1">
      <alignment horizontal="center" vertical="center" wrapText="1"/>
      <protection locked="0"/>
    </xf>
    <xf numFmtId="195" fontId="46" fillId="0" borderId="1" xfId="0" applyFont="1" applyBorder="1" applyAlignment="1" applyProtection="1">
      <alignment vertical="center" wrapText="1"/>
      <protection locked="0"/>
    </xf>
    <xf numFmtId="195" fontId="49" fillId="6" borderId="1" xfId="0" applyFont="1" applyFill="1" applyBorder="1" applyAlignment="1" applyProtection="1">
      <alignment horizontal="center" vertical="center" wrapText="1"/>
    </xf>
    <xf numFmtId="195"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195"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5"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5" fontId="49" fillId="6" borderId="13" xfId="0" applyFont="1" applyFill="1" applyBorder="1" applyAlignment="1" applyProtection="1">
      <alignment horizontal="center" vertical="center" wrapText="1"/>
    </xf>
    <xf numFmtId="195" fontId="49" fillId="6" borderId="1" xfId="0" applyFont="1" applyFill="1" applyBorder="1" applyAlignment="1" applyProtection="1">
      <alignment horizontal="center" vertical="center"/>
    </xf>
    <xf numFmtId="195" fontId="49" fillId="6" borderId="13" xfId="0" applyFont="1" applyFill="1" applyBorder="1" applyAlignment="1" applyProtection="1">
      <alignment horizontal="center" vertical="center"/>
    </xf>
    <xf numFmtId="195" fontId="49" fillId="6" borderId="48" xfId="0" applyFont="1" applyFill="1" applyBorder="1" applyAlignment="1" applyProtection="1">
      <alignment horizontal="center" vertical="center"/>
    </xf>
    <xf numFmtId="195" fontId="49" fillId="0" borderId="0" xfId="0" applyFont="1" applyAlignment="1" applyProtection="1">
      <alignment horizontal="center" vertical="center"/>
      <protection locked="0"/>
    </xf>
    <xf numFmtId="195" fontId="49" fillId="6" borderId="35" xfId="0" applyFont="1" applyFill="1" applyBorder="1" applyAlignment="1" applyProtection="1">
      <alignment horizontal="center" vertical="center"/>
    </xf>
    <xf numFmtId="195" fontId="49" fillId="6" borderId="2" xfId="0" applyFont="1" applyFill="1" applyBorder="1" applyAlignment="1" applyProtection="1">
      <alignment horizontal="center" vertical="center"/>
    </xf>
    <xf numFmtId="195" fontId="49" fillId="6" borderId="2" xfId="0" applyFont="1" applyFill="1" applyBorder="1" applyAlignment="1" applyProtection="1">
      <alignment horizontal="center" vertical="center" wrapText="1"/>
    </xf>
    <xf numFmtId="195"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5"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5"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protection locked="0"/>
    </xf>
    <xf numFmtId="195" fontId="48" fillId="6" borderId="13" xfId="0" applyFont="1" applyFill="1" applyBorder="1" applyAlignment="1" applyProtection="1">
      <alignment vertical="center"/>
    </xf>
    <xf numFmtId="195" fontId="46" fillId="6" borderId="11" xfId="0" applyFont="1" applyFill="1" applyBorder="1" applyAlignment="1" applyProtection="1">
      <alignment vertical="center"/>
    </xf>
    <xf numFmtId="195"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5" fontId="46" fillId="6" borderId="13" xfId="0" applyFont="1" applyFill="1" applyBorder="1" applyAlignment="1" applyProtection="1">
      <alignment vertical="center"/>
    </xf>
    <xf numFmtId="195" fontId="46" fillId="6" borderId="24" xfId="0" applyFont="1" applyFill="1" applyBorder="1" applyAlignment="1" applyProtection="1">
      <alignment vertical="center"/>
    </xf>
    <xf numFmtId="195" fontId="46" fillId="0" borderId="24" xfId="0" applyFont="1" applyFill="1" applyBorder="1" applyAlignment="1" applyProtection="1">
      <alignment vertical="center"/>
      <protection locked="0"/>
    </xf>
    <xf numFmtId="195"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5"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195" fontId="46" fillId="6" borderId="3" xfId="0" applyFont="1" applyFill="1" applyBorder="1" applyProtection="1">
      <alignment vertical="center"/>
    </xf>
    <xf numFmtId="195" fontId="46" fillId="6" borderId="48" xfId="0" applyFont="1" applyFill="1" applyBorder="1" applyProtection="1">
      <alignment vertical="center"/>
    </xf>
    <xf numFmtId="195" fontId="46" fillId="6" borderId="22" xfId="0" applyFont="1" applyFill="1" applyBorder="1" applyProtection="1">
      <alignment vertical="center"/>
    </xf>
    <xf numFmtId="195" fontId="46" fillId="6" borderId="61" xfId="0" applyFont="1" applyFill="1" applyBorder="1" applyProtection="1">
      <alignment vertical="center"/>
    </xf>
    <xf numFmtId="195" fontId="48" fillId="6" borderId="27" xfId="0" applyFont="1" applyFill="1" applyBorder="1" applyAlignment="1" applyProtection="1">
      <alignment vertical="center" wrapText="1"/>
    </xf>
    <xf numFmtId="195" fontId="46" fillId="6" borderId="29" xfId="0" applyFont="1" applyFill="1" applyBorder="1" applyAlignment="1" applyProtection="1">
      <alignment horizontal="center" vertical="center" wrapText="1"/>
    </xf>
    <xf numFmtId="195" fontId="46" fillId="6" borderId="10" xfId="0" applyFont="1" applyFill="1" applyBorder="1" applyAlignment="1" applyProtection="1">
      <alignment horizontal="center" vertical="center" wrapText="1"/>
    </xf>
    <xf numFmtId="195"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5" fontId="46" fillId="6" borderId="1" xfId="1" applyNumberFormat="1" applyFont="1" applyFill="1" applyBorder="1" applyAlignment="1" applyProtection="1">
      <alignment horizontal="center" vertical="center"/>
    </xf>
    <xf numFmtId="195"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5"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5" fontId="46" fillId="0" borderId="23" xfId="0" applyFont="1" applyBorder="1" applyAlignment="1" applyProtection="1">
      <alignment horizontal="center" vertical="center"/>
      <protection locked="0"/>
    </xf>
    <xf numFmtId="195" fontId="46" fillId="0" borderId="24" xfId="0" applyFont="1" applyBorder="1" applyAlignment="1" applyProtection="1">
      <alignment horizontal="center" vertical="center"/>
      <protection locked="0"/>
    </xf>
    <xf numFmtId="195" fontId="46" fillId="5" borderId="3" xfId="0" applyFont="1" applyFill="1" applyBorder="1" applyAlignment="1" applyProtection="1">
      <alignment horizontal="center" vertical="center"/>
      <protection locked="0"/>
    </xf>
    <xf numFmtId="195"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5"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5" fontId="48" fillId="6" borderId="32" xfId="1" applyFont="1" applyFill="1" applyBorder="1" applyAlignment="1" applyProtection="1">
      <alignment vertical="center"/>
    </xf>
    <xf numFmtId="195"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5"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5"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5" fontId="46" fillId="6" borderId="68" xfId="1" applyNumberFormat="1" applyFont="1" applyFill="1" applyBorder="1" applyAlignment="1" applyProtection="1">
      <alignment horizontal="center" vertical="center"/>
    </xf>
    <xf numFmtId="195" fontId="46" fillId="6" borderId="25" xfId="0" applyFont="1" applyFill="1" applyBorder="1" applyAlignment="1" applyProtection="1">
      <alignment vertical="center"/>
    </xf>
    <xf numFmtId="195" fontId="46" fillId="6" borderId="32" xfId="0" applyFont="1" applyFill="1" applyBorder="1" applyAlignment="1" applyProtection="1">
      <alignment vertical="center"/>
    </xf>
    <xf numFmtId="195" fontId="46" fillId="6" borderId="49" xfId="0" applyFont="1" applyFill="1" applyBorder="1" applyAlignment="1" applyProtection="1">
      <alignment vertical="center"/>
    </xf>
    <xf numFmtId="195" fontId="46" fillId="6" borderId="66" xfId="0" applyFont="1" applyFill="1" applyBorder="1" applyAlignment="1" applyProtection="1">
      <alignment vertical="center"/>
    </xf>
    <xf numFmtId="195"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5" fontId="55" fillId="0" borderId="10" xfId="1" applyNumberFormat="1" applyFont="1" applyFill="1" applyBorder="1" applyAlignment="1" applyProtection="1">
      <alignment horizontal="center" vertical="center"/>
      <protection locked="0"/>
    </xf>
    <xf numFmtId="195" fontId="46" fillId="0" borderId="0" xfId="0" applyFont="1" applyFill="1" applyAlignment="1" applyProtection="1">
      <alignment horizontal="center" vertical="center"/>
      <protection locked="0"/>
    </xf>
    <xf numFmtId="195" fontId="49" fillId="0" borderId="0" xfId="0" applyFont="1" applyFill="1" applyAlignment="1" applyProtection="1">
      <alignment horizontal="center" vertical="center"/>
      <protection locked="0"/>
    </xf>
    <xf numFmtId="195" fontId="55" fillId="0" borderId="24" xfId="1" applyNumberFormat="1" applyFont="1" applyFill="1" applyBorder="1" applyAlignment="1" applyProtection="1">
      <alignment horizontal="center" vertical="center"/>
      <protection locked="0"/>
    </xf>
    <xf numFmtId="195" fontId="53" fillId="6" borderId="24" xfId="1" applyNumberFormat="1" applyFont="1" applyFill="1" applyBorder="1" applyAlignment="1" applyProtection="1">
      <alignment horizontal="center" vertical="center"/>
    </xf>
    <xf numFmtId="195"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5" fontId="46" fillId="0" borderId="49" xfId="0" applyFont="1" applyBorder="1" applyAlignment="1" applyProtection="1">
      <alignment vertical="center"/>
      <protection locked="0"/>
    </xf>
    <xf numFmtId="195" fontId="46" fillId="6" borderId="10" xfId="0" applyNumberFormat="1" applyFont="1" applyFill="1" applyBorder="1" applyAlignment="1" applyProtection="1">
      <alignment horizontal="center" vertical="center" wrapText="1"/>
    </xf>
    <xf numFmtId="195" fontId="46" fillId="6" borderId="24" xfId="0" applyNumberFormat="1" applyFont="1" applyFill="1" applyBorder="1" applyAlignment="1" applyProtection="1">
      <alignment horizontal="center" vertical="center" wrapText="1"/>
    </xf>
    <xf numFmtId="195" fontId="46" fillId="6" borderId="49" xfId="0" applyNumberFormat="1" applyFont="1" applyFill="1" applyBorder="1" applyAlignment="1" applyProtection="1">
      <alignment horizontal="center" vertical="center" wrapText="1"/>
    </xf>
    <xf numFmtId="195" fontId="49" fillId="6" borderId="0" xfId="0" applyFont="1" applyFill="1" applyProtection="1">
      <alignment vertical="center"/>
      <protection locked="0"/>
    </xf>
    <xf numFmtId="195" fontId="49" fillId="0" borderId="0" xfId="0" applyFont="1" applyProtection="1">
      <alignment vertical="center"/>
      <protection locked="0"/>
    </xf>
    <xf numFmtId="195" fontId="49" fillId="6" borderId="5" xfId="0" applyFont="1" applyFill="1" applyBorder="1" applyAlignment="1" applyProtection="1">
      <alignment vertical="center"/>
    </xf>
    <xf numFmtId="195" fontId="100" fillId="6" borderId="10" xfId="0" applyFont="1" applyFill="1" applyBorder="1" applyAlignment="1" applyProtection="1">
      <alignment horizontal="center" vertical="center"/>
    </xf>
    <xf numFmtId="195" fontId="46" fillId="6" borderId="28" xfId="0" applyFont="1" applyFill="1" applyBorder="1" applyAlignment="1" applyProtection="1">
      <alignment horizontal="right" vertical="center"/>
    </xf>
    <xf numFmtId="195" fontId="100" fillId="6" borderId="1" xfId="0" applyFont="1" applyFill="1" applyBorder="1" applyAlignment="1" applyProtection="1">
      <alignment horizontal="center" vertical="center"/>
    </xf>
    <xf numFmtId="195" fontId="100" fillId="6" borderId="24" xfId="0" applyFont="1" applyFill="1" applyBorder="1" applyAlignment="1" applyProtection="1">
      <alignment horizontal="center" vertical="center"/>
    </xf>
    <xf numFmtId="195" fontId="46" fillId="6" borderId="4" xfId="0" applyFont="1" applyFill="1" applyBorder="1" applyAlignment="1" applyProtection="1">
      <alignment horizontal="right" vertical="center"/>
    </xf>
    <xf numFmtId="195" fontId="102" fillId="0" borderId="1" xfId="0" applyFont="1" applyFill="1" applyBorder="1" applyAlignment="1" applyProtection="1">
      <alignment horizontal="center" vertical="center"/>
      <protection locked="0"/>
    </xf>
    <xf numFmtId="195" fontId="102" fillId="0" borderId="24" xfId="0" applyFont="1" applyFill="1" applyBorder="1" applyAlignment="1" applyProtection="1">
      <alignment horizontal="center" vertical="center"/>
      <protection locked="0"/>
    </xf>
    <xf numFmtId="195" fontId="46" fillId="6" borderId="29" xfId="0" applyFont="1" applyFill="1" applyBorder="1" applyAlignment="1" applyProtection="1">
      <alignment horizontal="center" vertical="center"/>
    </xf>
    <xf numFmtId="195" fontId="48" fillId="0" borderId="10" xfId="0" applyFont="1" applyFill="1" applyBorder="1" applyAlignment="1" applyProtection="1">
      <alignment horizontal="center" vertical="center"/>
      <protection locked="0"/>
    </xf>
    <xf numFmtId="195" fontId="49" fillId="6" borderId="1" xfId="0" applyFont="1" applyFill="1" applyBorder="1" applyProtection="1">
      <alignment vertical="center"/>
    </xf>
    <xf numFmtId="195" fontId="48" fillId="0" borderId="24" xfId="0" applyFont="1" applyFill="1" applyBorder="1" applyAlignment="1" applyProtection="1">
      <alignment horizontal="center" vertical="center"/>
      <protection locked="0"/>
    </xf>
    <xf numFmtId="195" fontId="48" fillId="6" borderId="4" xfId="0" applyFont="1" applyFill="1" applyBorder="1" applyAlignment="1" applyProtection="1">
      <alignment horizontal="center" vertical="center"/>
    </xf>
    <xf numFmtId="195" fontId="49" fillId="0" borderId="23" xfId="0" applyFont="1" applyBorder="1" applyProtection="1">
      <alignment vertical="center"/>
      <protection locked="0"/>
    </xf>
    <xf numFmtId="195" fontId="49" fillId="0" borderId="1" xfId="0" applyFont="1" applyBorder="1" applyProtection="1">
      <alignment vertical="center"/>
      <protection locked="0"/>
    </xf>
    <xf numFmtId="195" fontId="49" fillId="0" borderId="24" xfId="0" applyFont="1" applyFill="1" applyBorder="1" applyAlignment="1" applyProtection="1">
      <alignment horizontal="center" vertical="center"/>
      <protection locked="0"/>
    </xf>
    <xf numFmtId="195" fontId="49" fillId="0" borderId="25" xfId="0" applyFont="1" applyBorder="1" applyProtection="1">
      <alignment vertical="center"/>
      <protection locked="0"/>
    </xf>
    <xf numFmtId="195" fontId="49" fillId="0" borderId="32" xfId="0" applyFont="1" applyBorder="1" applyProtection="1">
      <alignment vertical="center"/>
      <protection locked="0"/>
    </xf>
    <xf numFmtId="195" fontId="49" fillId="0" borderId="49" xfId="0" applyFont="1" applyBorder="1" applyProtection="1">
      <alignment vertical="center"/>
      <protection locked="0"/>
    </xf>
    <xf numFmtId="195" fontId="49" fillId="6" borderId="13" xfId="0" applyFont="1" applyFill="1" applyBorder="1" applyAlignment="1" applyProtection="1">
      <alignment vertical="center"/>
    </xf>
    <xf numFmtId="195"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195" fontId="49" fillId="6" borderId="22" xfId="0" applyFont="1" applyFill="1" applyBorder="1" applyProtection="1">
      <alignment vertical="center"/>
    </xf>
    <xf numFmtId="195" fontId="49" fillId="6" borderId="0" xfId="0" applyFont="1" applyFill="1" applyAlignment="1" applyProtection="1">
      <alignment horizontal="center" vertical="center"/>
      <protection locked="0"/>
    </xf>
    <xf numFmtId="195" fontId="54" fillId="6" borderId="18" xfId="0" applyFont="1" applyFill="1" applyBorder="1" applyAlignment="1" applyProtection="1">
      <alignment horizontal="left" vertical="center" wrapText="1"/>
    </xf>
    <xf numFmtId="195" fontId="54" fillId="6" borderId="60" xfId="0" applyFont="1" applyFill="1" applyBorder="1" applyAlignment="1" applyProtection="1">
      <alignment horizontal="left" vertical="center" wrapText="1"/>
    </xf>
    <xf numFmtId="195" fontId="54" fillId="6" borderId="7" xfId="0" applyFont="1" applyFill="1" applyBorder="1" applyAlignment="1" applyProtection="1">
      <alignment horizontal="left" vertical="center" wrapText="1"/>
    </xf>
    <xf numFmtId="195" fontId="54" fillId="6" borderId="1" xfId="0" applyFont="1" applyFill="1" applyBorder="1" applyAlignment="1" applyProtection="1">
      <alignment horizontal="left" vertical="center" wrapText="1"/>
    </xf>
    <xf numFmtId="195"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195" fontId="49" fillId="6" borderId="10" xfId="0" applyFont="1" applyFill="1" applyBorder="1" applyAlignment="1" applyProtection="1">
      <alignment horizontal="left" vertical="center" wrapText="1"/>
    </xf>
    <xf numFmtId="195" fontId="56" fillId="6" borderId="2" xfId="0" applyFont="1" applyFill="1" applyBorder="1" applyAlignment="1" applyProtection="1">
      <alignment horizontal="left" vertical="center" wrapText="1"/>
    </xf>
    <xf numFmtId="195"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195" fontId="55" fillId="6" borderId="1" xfId="0" applyFont="1" applyFill="1" applyBorder="1" applyAlignment="1" applyProtection="1">
      <alignment horizontal="left" vertical="center" wrapText="1"/>
    </xf>
    <xf numFmtId="195" fontId="55" fillId="6" borderId="1" xfId="0" applyFont="1" applyFill="1" applyBorder="1" applyAlignment="1" applyProtection="1">
      <alignment horizontal="center" vertical="center" wrapText="1"/>
    </xf>
    <xf numFmtId="195"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195" fontId="56" fillId="6" borderId="1" xfId="0" applyFont="1" applyFill="1" applyBorder="1" applyAlignment="1" applyProtection="1">
      <alignment horizontal="left" vertical="center" wrapText="1"/>
    </xf>
    <xf numFmtId="195"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195" fontId="56" fillId="6" borderId="32" xfId="0" applyFont="1" applyFill="1" applyBorder="1" applyAlignment="1" applyProtection="1">
      <alignment horizontal="left" vertical="center" wrapText="1"/>
    </xf>
    <xf numFmtId="195" fontId="49" fillId="6" borderId="49" xfId="0" applyFont="1" applyFill="1" applyBorder="1" applyAlignment="1" applyProtection="1">
      <alignment horizontal="left" vertical="center"/>
    </xf>
    <xf numFmtId="195" fontId="49" fillId="6" borderId="28" xfId="0" applyFont="1" applyFill="1" applyBorder="1" applyAlignment="1" applyProtection="1">
      <alignment horizontal="left" vertical="center" wrapText="1"/>
    </xf>
    <xf numFmtId="195" fontId="49" fillId="6" borderId="20" xfId="0" applyFont="1" applyFill="1" applyBorder="1" applyAlignment="1" applyProtection="1">
      <alignment horizontal="left" vertical="center" wrapText="1"/>
    </xf>
    <xf numFmtId="195" fontId="46" fillId="6" borderId="21" xfId="2" applyFont="1" applyFill="1" applyBorder="1" applyAlignment="1" applyProtection="1">
      <alignment horizontal="left" vertical="center" wrapText="1"/>
    </xf>
    <xf numFmtId="195" fontId="46" fillId="6" borderId="48" xfId="2" applyFont="1" applyFill="1" applyBorder="1" applyAlignment="1" applyProtection="1">
      <alignment horizontal="left" vertical="center" wrapText="1"/>
    </xf>
    <xf numFmtId="195" fontId="55" fillId="0" borderId="1" xfId="0" applyFont="1" applyFill="1" applyBorder="1" applyAlignment="1" applyProtection="1">
      <alignment horizontal="center" vertical="center" wrapText="1"/>
      <protection locked="0"/>
    </xf>
    <xf numFmtId="195" fontId="46" fillId="6" borderId="1" xfId="2" applyFont="1" applyFill="1" applyBorder="1" applyAlignment="1" applyProtection="1">
      <alignment horizontal="left" vertical="center" wrapText="1"/>
    </xf>
    <xf numFmtId="195" fontId="55" fillId="6" borderId="2"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xf>
    <xf numFmtId="195" fontId="55" fillId="6" borderId="32" xfId="0" applyFont="1" applyFill="1" applyBorder="1" applyAlignment="1" applyProtection="1">
      <alignment horizontal="center" vertical="center" wrapText="1"/>
    </xf>
    <xf numFmtId="195" fontId="49" fillId="6" borderId="33" xfId="0" applyFont="1" applyFill="1" applyBorder="1" applyAlignment="1" applyProtection="1">
      <alignment horizontal="left" vertical="center"/>
    </xf>
    <xf numFmtId="195" fontId="49" fillId="6" borderId="52" xfId="0" applyFont="1" applyFill="1" applyBorder="1" applyAlignment="1" applyProtection="1">
      <alignment horizontal="left" vertical="center" wrapText="1"/>
    </xf>
    <xf numFmtId="195" fontId="46" fillId="6" borderId="68" xfId="2" applyFont="1" applyFill="1" applyBorder="1" applyAlignment="1" applyProtection="1">
      <alignment horizontal="left" vertical="center" wrapText="1"/>
    </xf>
    <xf numFmtId="195" fontId="49" fillId="6" borderId="21" xfId="2" applyFont="1" applyFill="1" applyBorder="1" applyAlignment="1" applyProtection="1">
      <alignment horizontal="left" vertical="center" wrapText="1"/>
    </xf>
    <xf numFmtId="195"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195" fontId="57" fillId="6" borderId="0" xfId="0" applyFont="1" applyFill="1" applyBorder="1" applyAlignment="1" applyProtection="1">
      <alignment horizontal="left" vertical="center"/>
    </xf>
    <xf numFmtId="195" fontId="49" fillId="6" borderId="68" xfId="2" applyFont="1" applyFill="1" applyBorder="1" applyAlignment="1" applyProtection="1">
      <alignment horizontal="left" vertical="center" wrapText="1"/>
    </xf>
    <xf numFmtId="195" fontId="103" fillId="6" borderId="51" xfId="1" applyFont="1" applyFill="1" applyBorder="1" applyAlignment="1" applyProtection="1">
      <alignment vertical="center"/>
    </xf>
    <xf numFmtId="195" fontId="59" fillId="6" borderId="20" xfId="1" applyFont="1" applyFill="1" applyBorder="1" applyAlignment="1" applyProtection="1">
      <alignment vertical="center"/>
    </xf>
    <xf numFmtId="195" fontId="59" fillId="6" borderId="19" xfId="1" applyFont="1" applyFill="1" applyBorder="1" applyAlignment="1" applyProtection="1">
      <alignment vertical="center"/>
    </xf>
    <xf numFmtId="195" fontId="59" fillId="6" borderId="0" xfId="1" applyFont="1" applyFill="1" applyBorder="1" applyAlignment="1" applyProtection="1">
      <alignment vertical="center"/>
    </xf>
    <xf numFmtId="195" fontId="60" fillId="3" borderId="0" xfId="0" applyFont="1" applyFill="1" applyAlignment="1" applyProtection="1">
      <alignment vertical="center"/>
      <protection locked="0"/>
    </xf>
    <xf numFmtId="195"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5" fontId="59" fillId="6" borderId="13" xfId="1" applyFont="1" applyFill="1" applyBorder="1" applyAlignment="1" applyProtection="1">
      <alignment vertical="center"/>
    </xf>
    <xf numFmtId="195"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5" fontId="59" fillId="3" borderId="0" xfId="0" applyFont="1" applyFill="1" applyAlignment="1" applyProtection="1">
      <alignment vertical="center"/>
      <protection locked="0"/>
    </xf>
    <xf numFmtId="195" fontId="56" fillId="6" borderId="23" xfId="1" applyFont="1" applyFill="1" applyBorder="1" applyAlignment="1" applyProtection="1">
      <alignment horizontal="left"/>
    </xf>
    <xf numFmtId="195"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5" fontId="56" fillId="6" borderId="1" xfId="1" applyFont="1" applyFill="1" applyBorder="1" applyAlignment="1" applyProtection="1">
      <alignment horizontal="center"/>
    </xf>
    <xf numFmtId="195" fontId="56" fillId="6" borderId="24" xfId="1" applyFont="1" applyFill="1" applyBorder="1" applyAlignment="1" applyProtection="1">
      <alignment horizontal="left"/>
    </xf>
    <xf numFmtId="195" fontId="56" fillId="3" borderId="0" xfId="0" applyFont="1" applyFill="1" applyAlignment="1" applyProtection="1">
      <alignment vertical="center"/>
      <protection locked="0"/>
    </xf>
    <xf numFmtId="195"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5" fontId="55" fillId="6" borderId="1" xfId="1" applyFont="1" applyFill="1" applyBorder="1" applyAlignment="1" applyProtection="1">
      <alignment horizontal="center"/>
    </xf>
    <xf numFmtId="195"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5" fontId="56" fillId="0" borderId="0" xfId="0" applyFont="1" applyFill="1" applyAlignment="1" applyProtection="1">
      <alignment vertical="center"/>
      <protection locked="0"/>
    </xf>
    <xf numFmtId="195"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5" fontId="55" fillId="6" borderId="24" xfId="1" applyFont="1" applyFill="1" applyBorder="1" applyAlignment="1" applyProtection="1">
      <alignment vertical="center" wrapText="1"/>
    </xf>
    <xf numFmtId="195" fontId="55" fillId="6" borderId="23" xfId="1" applyFont="1" applyFill="1" applyBorder="1" applyAlignment="1" applyProtection="1">
      <alignment horizontal="left"/>
    </xf>
    <xf numFmtId="195" fontId="55" fillId="6" borderId="0" xfId="1" applyFont="1" applyFill="1" applyBorder="1" applyAlignment="1" applyProtection="1">
      <alignment horizontal="center"/>
    </xf>
    <xf numFmtId="195"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5"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5" fontId="56" fillId="6" borderId="24" xfId="0" applyFont="1" applyFill="1" applyBorder="1" applyAlignment="1" applyProtection="1">
      <alignment vertical="center"/>
    </xf>
    <xf numFmtId="195" fontId="56" fillId="6" borderId="1" xfId="0" applyFont="1" applyFill="1" applyBorder="1" applyAlignment="1" applyProtection="1">
      <alignment horizontal="right" vertical="center"/>
    </xf>
    <xf numFmtId="195"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5"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5" fontId="55" fillId="6" borderId="24" xfId="0" applyFont="1" applyFill="1" applyBorder="1" applyAlignment="1" applyProtection="1">
      <alignment vertical="center"/>
    </xf>
    <xf numFmtId="195" fontId="56" fillId="6" borderId="1" xfId="0" applyFont="1" applyFill="1" applyBorder="1" applyAlignment="1" applyProtection="1">
      <alignment vertical="center"/>
    </xf>
    <xf numFmtId="195" fontId="55" fillId="6" borderId="61" xfId="0" applyFont="1" applyFill="1" applyBorder="1" applyAlignment="1" applyProtection="1">
      <alignment vertical="center" wrapText="1"/>
    </xf>
    <xf numFmtId="195" fontId="55" fillId="6" borderId="8" xfId="0" applyFont="1" applyFill="1" applyBorder="1" applyAlignment="1" applyProtection="1">
      <alignment vertical="center"/>
    </xf>
    <xf numFmtId="195"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5" fontId="56" fillId="6" borderId="24" xfId="0" applyFont="1" applyFill="1" applyBorder="1" applyAlignment="1" applyProtection="1">
      <alignment vertical="center" wrapText="1"/>
    </xf>
    <xf numFmtId="195"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5"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5"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5" fontId="55" fillId="6" borderId="24" xfId="0" applyFont="1" applyFill="1" applyBorder="1" applyAlignment="1" applyProtection="1">
      <alignment vertical="center" wrapText="1"/>
    </xf>
    <xf numFmtId="195"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5" fontId="55" fillId="3" borderId="0" xfId="0" applyFont="1" applyFill="1" applyAlignment="1" applyProtection="1">
      <alignment horizontal="left" vertical="center"/>
      <protection locked="0"/>
    </xf>
    <xf numFmtId="195" fontId="62" fillId="6" borderId="1" xfId="0" applyFont="1" applyFill="1" applyBorder="1" applyAlignment="1" applyProtection="1">
      <alignment horizontal="left"/>
    </xf>
    <xf numFmtId="195" fontId="60" fillId="6" borderId="1" xfId="0" applyFont="1" applyFill="1" applyBorder="1" applyAlignment="1" applyProtection="1">
      <alignment horizontal="center" vertical="center"/>
    </xf>
    <xf numFmtId="195" fontId="55" fillId="3" borderId="0" xfId="0" applyFont="1" applyFill="1" applyAlignment="1" applyProtection="1">
      <alignment horizontal="center" vertical="center"/>
      <protection locked="0"/>
    </xf>
    <xf numFmtId="195"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5"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5"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5"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5" fontId="65" fillId="0" borderId="0" xfId="0" applyFont="1" applyFill="1" applyAlignment="1" applyProtection="1">
      <alignment vertical="center"/>
      <protection locked="0"/>
    </xf>
    <xf numFmtId="195"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5" fontId="49" fillId="6" borderId="9" xfId="0" applyFont="1" applyFill="1" applyBorder="1" applyAlignment="1" applyProtection="1">
      <alignment horizontal="center" vertical="center"/>
    </xf>
    <xf numFmtId="195" fontId="49" fillId="6" borderId="28" xfId="0" applyFont="1" applyFill="1" applyBorder="1" applyAlignment="1" applyProtection="1">
      <alignment horizontal="right" vertical="center"/>
    </xf>
    <xf numFmtId="195"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5" fontId="54" fillId="6" borderId="13" xfId="0" applyFont="1" applyFill="1" applyBorder="1" applyAlignment="1" applyProtection="1">
      <alignment vertical="center" wrapText="1"/>
    </xf>
    <xf numFmtId="195" fontId="54" fillId="6" borderId="13" xfId="0" applyFont="1" applyFill="1" applyBorder="1" applyAlignment="1" applyProtection="1">
      <alignment horizontal="center" vertical="center"/>
    </xf>
    <xf numFmtId="195" fontId="49" fillId="6" borderId="1" xfId="0" applyFont="1" applyFill="1" applyBorder="1" applyAlignment="1" applyProtection="1">
      <alignment horizontal="left" vertical="center"/>
    </xf>
    <xf numFmtId="195"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5" fontId="54" fillId="6" borderId="15" xfId="0" applyFont="1" applyFill="1" applyBorder="1" applyAlignment="1" applyProtection="1">
      <alignment vertical="center" wrapText="1"/>
    </xf>
    <xf numFmtId="195" fontId="54" fillId="6" borderId="15" xfId="0" applyFont="1" applyFill="1" applyBorder="1" applyAlignment="1" applyProtection="1">
      <alignment horizontal="center" vertical="center"/>
    </xf>
    <xf numFmtId="195"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5" fontId="54" fillId="6" borderId="2" xfId="0" applyFont="1" applyFill="1" applyBorder="1" applyAlignment="1" applyProtection="1">
      <alignment vertical="center" wrapText="1"/>
    </xf>
    <xf numFmtId="195" fontId="54" fillId="6" borderId="2" xfId="0" applyFont="1" applyFill="1" applyBorder="1" applyAlignment="1" applyProtection="1">
      <alignment horizontal="center" vertical="center"/>
    </xf>
    <xf numFmtId="195"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5"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5"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5"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5"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wrapText="1"/>
    </xf>
    <xf numFmtId="195" fontId="49" fillId="6" borderId="13" xfId="0" applyFont="1" applyFill="1" applyBorder="1" applyAlignment="1" applyProtection="1">
      <alignment horizontal="left" vertical="center" wrapText="1"/>
    </xf>
    <xf numFmtId="195"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5"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5"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5" fontId="54" fillId="6" borderId="32" xfId="0" applyFont="1" applyFill="1" applyBorder="1" applyAlignment="1" applyProtection="1">
      <alignment horizontal="left" vertical="center"/>
    </xf>
    <xf numFmtId="195" fontId="54" fillId="6" borderId="32" xfId="0" applyFont="1" applyFill="1" applyBorder="1" applyAlignment="1" applyProtection="1">
      <alignment horizontal="center" vertical="center"/>
    </xf>
    <xf numFmtId="195" fontId="49" fillId="6" borderId="32" xfId="0" applyFont="1" applyFill="1" applyBorder="1" applyAlignment="1" applyProtection="1">
      <alignment vertical="center"/>
    </xf>
    <xf numFmtId="195"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5"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5"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5" fontId="104" fillId="6" borderId="1" xfId="0" applyFont="1" applyFill="1" applyBorder="1" applyAlignment="1" applyProtection="1">
      <alignment horizontal="left"/>
    </xf>
    <xf numFmtId="195" fontId="104" fillId="6" borderId="1" xfId="0" applyFont="1" applyFill="1" applyBorder="1" applyAlignment="1" applyProtection="1">
      <alignment horizontal="center"/>
    </xf>
    <xf numFmtId="195" fontId="62" fillId="6" borderId="1" xfId="0" applyFont="1" applyFill="1" applyBorder="1" applyAlignment="1" applyProtection="1">
      <alignment horizontal="center"/>
    </xf>
    <xf numFmtId="195" fontId="60" fillId="0" borderId="0" xfId="0" applyFont="1" applyFill="1" applyAlignment="1" applyProtection="1">
      <alignment horizontal="center" vertical="center"/>
      <protection locked="0"/>
    </xf>
    <xf numFmtId="195" fontId="103" fillId="6" borderId="46" xfId="0" applyFont="1" applyFill="1" applyBorder="1" applyAlignment="1" applyProtection="1">
      <alignment vertical="center"/>
    </xf>
    <xf numFmtId="195" fontId="64" fillId="6" borderId="36" xfId="0" applyFont="1" applyFill="1" applyBorder="1" applyAlignment="1" applyProtection="1">
      <alignment horizontal="right" vertical="center"/>
    </xf>
    <xf numFmtId="195" fontId="64" fillId="6" borderId="0" xfId="0" applyFont="1" applyFill="1" applyAlignment="1" applyProtection="1">
      <alignment horizontal="center" vertical="center"/>
    </xf>
    <xf numFmtId="195" fontId="65" fillId="0" borderId="0" xfId="0" applyFont="1" applyFill="1" applyBorder="1" applyAlignment="1" applyProtection="1">
      <alignment horizontal="center" vertical="center"/>
      <protection locked="0"/>
    </xf>
    <xf numFmtId="195" fontId="65" fillId="0" borderId="0" xfId="0" applyFont="1" applyFill="1" applyAlignment="1" applyProtection="1">
      <alignment horizontal="center" vertical="center"/>
      <protection locked="0"/>
    </xf>
    <xf numFmtId="195" fontId="59" fillId="6" borderId="13" xfId="0" applyFont="1" applyFill="1" applyBorder="1" applyAlignment="1" applyProtection="1">
      <alignment horizontal="right" vertical="center"/>
    </xf>
    <xf numFmtId="195" fontId="59" fillId="6" borderId="13" xfId="0" applyFont="1" applyFill="1" applyBorder="1" applyAlignment="1" applyProtection="1">
      <alignment horizontal="center" vertical="center"/>
    </xf>
    <xf numFmtId="195" fontId="52" fillId="6" borderId="16" xfId="0" applyFont="1" applyFill="1" applyBorder="1" applyAlignment="1" applyProtection="1">
      <alignment vertical="center" wrapText="1"/>
    </xf>
    <xf numFmtId="195" fontId="52" fillId="6" borderId="19" xfId="0" applyFont="1" applyFill="1" applyBorder="1" applyAlignment="1" applyProtection="1">
      <alignment vertical="center" wrapText="1"/>
    </xf>
    <xf numFmtId="195" fontId="53" fillId="0" borderId="0" xfId="0" applyFont="1" applyFill="1" applyAlignment="1" applyProtection="1">
      <alignment horizontal="center" vertical="center"/>
      <protection locked="0"/>
    </xf>
    <xf numFmtId="195" fontId="52" fillId="6" borderId="18" xfId="0" applyFont="1" applyFill="1" applyBorder="1" applyAlignment="1" applyProtection="1">
      <alignment vertical="center" wrapText="1"/>
    </xf>
    <xf numFmtId="195" fontId="52" fillId="6" borderId="0" xfId="0" applyFont="1" applyFill="1" applyBorder="1" applyAlignment="1" applyProtection="1">
      <alignment vertical="center" wrapText="1"/>
    </xf>
    <xf numFmtId="195" fontId="52" fillId="6" borderId="42" xfId="0" applyFont="1" applyFill="1" applyBorder="1" applyAlignment="1" applyProtection="1">
      <alignment vertical="center" wrapText="1"/>
    </xf>
    <xf numFmtId="195" fontId="52" fillId="6" borderId="47" xfId="0" applyFont="1" applyFill="1" applyBorder="1" applyAlignment="1" applyProtection="1">
      <alignment vertical="center" wrapText="1"/>
    </xf>
    <xf numFmtId="195" fontId="48" fillId="6" borderId="63" xfId="0" applyFont="1" applyFill="1" applyBorder="1" applyAlignment="1" applyProtection="1">
      <alignment vertical="center" wrapText="1"/>
    </xf>
    <xf numFmtId="195"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5"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5"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5" fontId="48" fillId="6" borderId="40" xfId="0" applyFont="1" applyFill="1" applyBorder="1" applyAlignment="1" applyProtection="1">
      <alignment vertical="center" wrapText="1"/>
    </xf>
    <xf numFmtId="195"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5"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5" fontId="68" fillId="6" borderId="14" xfId="0" applyFont="1" applyFill="1" applyBorder="1" applyAlignment="1" applyProtection="1">
      <alignment vertical="center" wrapText="1"/>
    </xf>
    <xf numFmtId="195" fontId="46" fillId="6" borderId="5" xfId="0" applyFont="1" applyFill="1" applyBorder="1" applyAlignment="1" applyProtection="1">
      <alignment horizontal="center" vertical="center" wrapText="1"/>
    </xf>
    <xf numFmtId="195" fontId="46" fillId="6" borderId="5" xfId="0" applyNumberFormat="1" applyFont="1" applyFill="1" applyBorder="1" applyAlignment="1" applyProtection="1">
      <alignment horizontal="center" vertical="center" wrapText="1"/>
    </xf>
    <xf numFmtId="195" fontId="60" fillId="0" borderId="48" xfId="0" applyNumberFormat="1" applyFont="1" applyFill="1" applyBorder="1" applyAlignment="1" applyProtection="1">
      <alignment horizontal="center" vertical="center" wrapText="1"/>
      <protection locked="0"/>
    </xf>
    <xf numFmtId="195" fontId="69"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wrapText="1"/>
    </xf>
    <xf numFmtId="195" fontId="46" fillId="0" borderId="23" xfId="0" applyNumberFormat="1" applyFont="1" applyFill="1" applyBorder="1" applyAlignment="1" applyProtection="1">
      <alignment horizontal="center" vertical="center" wrapText="1"/>
      <protection locked="0"/>
    </xf>
    <xf numFmtId="195" fontId="46" fillId="0" borderId="3" xfId="0" applyNumberFormat="1" applyFont="1" applyFill="1" applyBorder="1" applyAlignment="1" applyProtection="1">
      <alignment horizontal="center" vertical="center" wrapText="1"/>
      <protection locked="0"/>
    </xf>
    <xf numFmtId="195" fontId="48" fillId="6" borderId="14" xfId="0" applyFont="1" applyFill="1" applyBorder="1" applyAlignment="1" applyProtection="1">
      <alignment vertical="center" wrapText="1"/>
    </xf>
    <xf numFmtId="195" fontId="46" fillId="0" borderId="41" xfId="0" applyNumberFormat="1" applyFont="1" applyFill="1" applyBorder="1" applyAlignment="1" applyProtection="1">
      <alignment horizontal="center" vertical="center" wrapText="1"/>
      <protection locked="0"/>
    </xf>
    <xf numFmtId="195" fontId="46" fillId="6" borderId="71" xfId="0" applyNumberFormat="1" applyFont="1" applyFill="1" applyBorder="1" applyAlignment="1" applyProtection="1">
      <alignment horizontal="center" vertical="center" wrapText="1"/>
    </xf>
    <xf numFmtId="195" fontId="53" fillId="0" borderId="37" xfId="0" applyNumberFormat="1" applyFont="1" applyFill="1" applyBorder="1" applyAlignment="1" applyProtection="1">
      <alignment horizontal="center" vertical="center" wrapText="1"/>
      <protection locked="0"/>
    </xf>
    <xf numFmtId="195" fontId="53" fillId="6" borderId="24" xfId="0" applyNumberFormat="1" applyFont="1" applyFill="1" applyBorder="1" applyAlignment="1" applyProtection="1">
      <alignment horizontal="center" vertical="center" wrapText="1"/>
    </xf>
    <xf numFmtId="195" fontId="52" fillId="6" borderId="12" xfId="0" applyFont="1" applyFill="1" applyBorder="1" applyAlignment="1" applyProtection="1">
      <alignment vertical="center" wrapText="1"/>
    </xf>
    <xf numFmtId="195" fontId="53" fillId="0" borderId="38" xfId="0" applyNumberFormat="1" applyFont="1" applyFill="1" applyBorder="1" applyAlignment="1" applyProtection="1">
      <alignment horizontal="center" vertical="center" wrapText="1"/>
      <protection locked="0"/>
    </xf>
    <xf numFmtId="195" fontId="53" fillId="6" borderId="49" xfId="0" applyNumberFormat="1" applyFont="1" applyFill="1" applyBorder="1" applyAlignment="1" applyProtection="1">
      <alignment horizontal="center" vertical="center" wrapText="1"/>
    </xf>
    <xf numFmtId="195" fontId="53" fillId="6" borderId="33" xfId="0" applyNumberFormat="1" applyFont="1" applyFill="1" applyBorder="1" applyAlignment="1" applyProtection="1">
      <alignment horizontal="center" vertical="center" wrapText="1"/>
    </xf>
    <xf numFmtId="195" fontId="52" fillId="6" borderId="40" xfId="0" applyFont="1" applyFill="1" applyBorder="1" applyAlignment="1" applyProtection="1">
      <alignment vertical="center" wrapText="1"/>
    </xf>
    <xf numFmtId="195"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5"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5" fontId="60" fillId="0" borderId="72" xfId="0" applyNumberFormat="1" applyFont="1" applyFill="1" applyBorder="1" applyAlignment="1" applyProtection="1">
      <alignment horizontal="center" vertical="center" wrapText="1"/>
      <protection locked="0"/>
    </xf>
    <xf numFmtId="195" fontId="53" fillId="6" borderId="0" xfId="0" applyFont="1" applyFill="1" applyBorder="1" applyAlignment="1" applyProtection="1">
      <alignment horizontal="center" vertical="center"/>
    </xf>
    <xf numFmtId="195" fontId="53" fillId="2" borderId="41" xfId="0" applyNumberFormat="1" applyFont="1" applyFill="1" applyBorder="1" applyAlignment="1" applyProtection="1">
      <alignment horizontal="center" vertical="center" wrapText="1"/>
      <protection locked="0"/>
    </xf>
    <xf numFmtId="195" fontId="53" fillId="6" borderId="8" xfId="0" applyNumberFormat="1" applyFont="1" applyFill="1" applyBorder="1" applyAlignment="1" applyProtection="1">
      <alignment horizontal="center" vertical="center" wrapText="1"/>
    </xf>
    <xf numFmtId="195" fontId="53" fillId="6" borderId="4" xfId="0" applyNumberFormat="1" applyFont="1" applyFill="1" applyBorder="1" applyAlignment="1" applyProtection="1">
      <alignment horizontal="center" vertical="center" wrapText="1"/>
    </xf>
    <xf numFmtId="195" fontId="53" fillId="6" borderId="53" xfId="0" applyNumberFormat="1" applyFont="1" applyFill="1" applyBorder="1" applyAlignment="1" applyProtection="1">
      <alignment horizontal="center" vertical="center" wrapText="1"/>
    </xf>
    <xf numFmtId="195"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5"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5" fontId="53" fillId="6" borderId="61" xfId="0" applyNumberFormat="1" applyFont="1" applyFill="1" applyBorder="1" applyAlignment="1" applyProtection="1">
      <alignment horizontal="center" vertical="center" wrapText="1"/>
    </xf>
    <xf numFmtId="195"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5"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5" fontId="53" fillId="2" borderId="23" xfId="0" applyNumberFormat="1" applyFont="1" applyFill="1" applyBorder="1" applyAlignment="1" applyProtection="1">
      <alignment horizontal="center" vertical="center" wrapText="1"/>
      <protection locked="0"/>
    </xf>
    <xf numFmtId="195" fontId="53" fillId="6" borderId="5" xfId="0" applyNumberFormat="1" applyFont="1" applyFill="1" applyBorder="1" applyAlignment="1" applyProtection="1">
      <alignment horizontal="center" vertical="center" wrapText="1"/>
    </xf>
    <xf numFmtId="195"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5"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5" fontId="52" fillId="6" borderId="40" xfId="0" applyFont="1" applyFill="1" applyBorder="1" applyAlignment="1" applyProtection="1">
      <alignment vertical="center" textRotation="255" wrapText="1"/>
    </xf>
    <xf numFmtId="195" fontId="53" fillId="6" borderId="10" xfId="0" applyNumberFormat="1" applyFont="1" applyFill="1" applyBorder="1" applyAlignment="1" applyProtection="1">
      <alignment horizontal="center" vertical="center" wrapText="1"/>
    </xf>
    <xf numFmtId="195" fontId="71" fillId="6" borderId="14" xfId="0" applyFont="1" applyFill="1" applyBorder="1" applyAlignment="1" applyProtection="1">
      <alignment vertical="center" textRotation="255" wrapText="1"/>
    </xf>
    <xf numFmtId="195" fontId="46" fillId="0" borderId="37"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protection locked="0"/>
    </xf>
    <xf numFmtId="195" fontId="51"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textRotation="255" wrapText="1"/>
    </xf>
    <xf numFmtId="195"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5" fontId="53" fillId="0" borderId="3" xfId="0" applyNumberFormat="1" applyFont="1" applyFill="1" applyBorder="1" applyAlignment="1" applyProtection="1">
      <alignment horizontal="center" vertical="center" wrapText="1"/>
      <protection locked="0"/>
    </xf>
    <xf numFmtId="195"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5" fontId="52" fillId="6" borderId="21" xfId="0" applyFont="1" applyFill="1" applyBorder="1" applyAlignment="1" applyProtection="1">
      <alignment vertical="center" wrapText="1"/>
    </xf>
    <xf numFmtId="195" fontId="72" fillId="3" borderId="20" xfId="0" applyFont="1" applyFill="1" applyBorder="1" applyAlignment="1" applyProtection="1">
      <alignment vertical="center" wrapText="1"/>
      <protection locked="0"/>
    </xf>
    <xf numFmtId="195" fontId="72" fillId="6" borderId="20" xfId="0" applyFont="1" applyFill="1" applyBorder="1" applyAlignment="1" applyProtection="1">
      <alignment vertical="center" wrapText="1"/>
    </xf>
    <xf numFmtId="195" fontId="72" fillId="3" borderId="51" xfId="0" applyFont="1" applyFill="1" applyBorder="1" applyAlignment="1" applyProtection="1">
      <alignment vertical="center" wrapText="1"/>
      <protection locked="0"/>
    </xf>
    <xf numFmtId="195"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5" fontId="52" fillId="6" borderId="1" xfId="0" applyFont="1" applyFill="1" applyBorder="1" applyAlignment="1" applyProtection="1">
      <alignment horizontal="left" vertical="center"/>
    </xf>
    <xf numFmtId="195"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5" fontId="52" fillId="6" borderId="3" xfId="0" applyFont="1" applyFill="1" applyBorder="1" applyAlignment="1" applyProtection="1">
      <alignment horizontal="center" vertical="center" wrapText="1"/>
    </xf>
    <xf numFmtId="195" fontId="70" fillId="0" borderId="0" xfId="0" applyFont="1" applyFill="1" applyAlignment="1" applyProtection="1">
      <alignment horizontal="center" vertical="center"/>
      <protection locked="0"/>
    </xf>
    <xf numFmtId="195"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5" fontId="48" fillId="6" borderId="16" xfId="0" applyNumberFormat="1" applyFont="1" applyFill="1" applyBorder="1" applyAlignment="1" applyProtection="1">
      <alignment vertical="center" wrapText="1"/>
    </xf>
    <xf numFmtId="195"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5" fontId="48" fillId="6" borderId="18" xfId="0" applyNumberFormat="1" applyFont="1" applyFill="1" applyBorder="1" applyAlignment="1" applyProtection="1">
      <alignment vertical="center" wrapText="1"/>
    </xf>
    <xf numFmtId="195" fontId="48" fillId="6" borderId="35" xfId="0" applyNumberFormat="1" applyFont="1" applyFill="1" applyBorder="1" applyAlignment="1" applyProtection="1">
      <alignment vertical="center" wrapText="1"/>
    </xf>
    <xf numFmtId="195" fontId="46" fillId="0" borderId="22" xfId="0" applyNumberFormat="1" applyFont="1" applyFill="1" applyBorder="1" applyAlignment="1" applyProtection="1">
      <alignment horizontal="center" vertical="center" wrapText="1"/>
      <protection locked="0"/>
    </xf>
    <xf numFmtId="195" fontId="46" fillId="0" borderId="13" xfId="0" applyNumberFormat="1" applyFont="1" applyFill="1" applyBorder="1" applyAlignment="1" applyProtection="1">
      <alignment horizontal="center" vertical="center" wrapText="1"/>
      <protection locked="0"/>
    </xf>
    <xf numFmtId="195" fontId="46" fillId="0" borderId="46" xfId="0" applyNumberFormat="1" applyFont="1" applyFill="1" applyBorder="1" applyAlignment="1" applyProtection="1">
      <alignment horizontal="center" vertical="center" wrapText="1"/>
      <protection locked="0"/>
    </xf>
    <xf numFmtId="195" fontId="46" fillId="0" borderId="61" xfId="0" applyNumberFormat="1" applyFont="1" applyFill="1" applyBorder="1" applyAlignment="1" applyProtection="1">
      <alignment horizontal="center" vertical="center" wrapText="1"/>
      <protection locked="0"/>
    </xf>
    <xf numFmtId="195" fontId="48" fillId="6" borderId="42" xfId="0" applyNumberFormat="1" applyFont="1" applyFill="1" applyBorder="1" applyAlignment="1" applyProtection="1">
      <alignment vertical="center"/>
    </xf>
    <xf numFmtId="195" fontId="48" fillId="6" borderId="73" xfId="0" applyNumberFormat="1" applyFont="1" applyFill="1" applyBorder="1" applyAlignment="1" applyProtection="1">
      <alignment vertical="center" wrapText="1"/>
    </xf>
    <xf numFmtId="195" fontId="46" fillId="0" borderId="73" xfId="0" applyNumberFormat="1" applyFont="1" applyFill="1" applyBorder="1" applyAlignment="1" applyProtection="1">
      <alignment horizontal="center" vertical="center" wrapText="1"/>
      <protection locked="0"/>
    </xf>
    <xf numFmtId="195" fontId="46" fillId="0" borderId="74" xfId="0" applyNumberFormat="1" applyFont="1" applyFill="1" applyBorder="1" applyAlignment="1" applyProtection="1">
      <alignment horizontal="center" vertical="center" wrapText="1"/>
      <protection locked="0"/>
    </xf>
    <xf numFmtId="195" fontId="46" fillId="0" borderId="75" xfId="0" applyNumberFormat="1" applyFont="1" applyFill="1" applyBorder="1" applyAlignment="1" applyProtection="1">
      <alignment horizontal="center" vertical="center" wrapText="1"/>
      <protection locked="0"/>
    </xf>
    <xf numFmtId="195" fontId="46" fillId="0" borderId="76" xfId="0" applyNumberFormat="1" applyFont="1" applyFill="1" applyBorder="1" applyAlignment="1" applyProtection="1">
      <alignment horizontal="center" vertical="center" wrapText="1"/>
      <protection locked="0"/>
    </xf>
    <xf numFmtId="195" fontId="48" fillId="6" borderId="58" xfId="0" applyNumberFormat="1" applyFont="1" applyFill="1" applyBorder="1" applyAlignment="1" applyProtection="1">
      <alignment vertical="center" wrapText="1"/>
    </xf>
    <xf numFmtId="195" fontId="46" fillId="6" borderId="7" xfId="0" applyNumberFormat="1" applyFont="1" applyFill="1" applyBorder="1" applyAlignment="1" applyProtection="1">
      <alignment horizontal="center" vertical="center" wrapText="1"/>
    </xf>
    <xf numFmtId="195" fontId="46" fillId="0" borderId="2" xfId="0" applyNumberFormat="1" applyFont="1" applyFill="1" applyBorder="1" applyAlignment="1" applyProtection="1">
      <alignment horizontal="center" vertical="center" wrapText="1"/>
      <protection locked="0"/>
    </xf>
    <xf numFmtId="195" fontId="46" fillId="0" borderId="2" xfId="0" applyNumberFormat="1" applyFont="1" applyFill="1" applyBorder="1" applyAlignment="1" applyProtection="1">
      <alignment horizontal="left" vertical="center" wrapText="1"/>
      <protection locked="0"/>
    </xf>
    <xf numFmtId="195" fontId="46" fillId="0" borderId="8" xfId="0" applyNumberFormat="1" applyFont="1" applyFill="1" applyBorder="1" applyAlignment="1" applyProtection="1">
      <alignment horizontal="center" vertical="center" wrapText="1"/>
      <protection locked="0"/>
    </xf>
    <xf numFmtId="195" fontId="100" fillId="0" borderId="0" xfId="0" applyFont="1" applyFill="1" applyBorder="1" applyAlignment="1" applyProtection="1">
      <alignment vertical="center"/>
      <protection locked="0"/>
    </xf>
    <xf numFmtId="195" fontId="52" fillId="6" borderId="40" xfId="0" applyNumberFormat="1" applyFont="1" applyFill="1" applyBorder="1" applyAlignment="1" applyProtection="1">
      <alignment vertical="center" wrapText="1"/>
    </xf>
    <xf numFmtId="195" fontId="46" fillId="6" borderId="17" xfId="0" applyNumberFormat="1" applyFont="1" applyFill="1" applyBorder="1" applyAlignment="1" applyProtection="1">
      <alignment horizontal="center" vertical="center" wrapText="1"/>
    </xf>
    <xf numFmtId="195" fontId="53" fillId="6" borderId="9" xfId="0" applyNumberFormat="1" applyFont="1" applyFill="1" applyBorder="1" applyAlignment="1" applyProtection="1">
      <alignment horizontal="center" vertical="center" wrapText="1"/>
    </xf>
    <xf numFmtId="195" fontId="53"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left" vertical="center" wrapText="1"/>
      <protection locked="0"/>
    </xf>
    <xf numFmtId="195" fontId="70" fillId="0" borderId="10"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wrapText="1"/>
    </xf>
    <xf numFmtId="195" fontId="51" fillId="6" borderId="77" xfId="0" applyNumberFormat="1" applyFont="1" applyFill="1" applyBorder="1" applyAlignment="1" applyProtection="1">
      <alignment horizontal="center" vertical="center" wrapText="1"/>
    </xf>
    <xf numFmtId="195" fontId="53" fillId="0" borderId="78" xfId="0" applyNumberFormat="1" applyFont="1" applyFill="1" applyBorder="1" applyAlignment="1" applyProtection="1">
      <alignment horizontal="center" vertical="center" wrapText="1"/>
      <protection locked="0"/>
    </xf>
    <xf numFmtId="195" fontId="53" fillId="0" borderId="79" xfId="0" applyNumberFormat="1" applyFont="1" applyFill="1" applyBorder="1" applyAlignment="1" applyProtection="1">
      <alignment horizontal="center" vertical="center" wrapText="1"/>
      <protection locked="0"/>
    </xf>
    <xf numFmtId="195" fontId="46" fillId="6" borderId="57" xfId="0" applyNumberFormat="1" applyFont="1" applyFill="1" applyBorder="1" applyAlignment="1" applyProtection="1">
      <alignment horizontal="center" vertical="center" wrapText="1"/>
    </xf>
    <xf numFmtId="195" fontId="53"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left" vertical="center" wrapText="1"/>
    </xf>
    <xf numFmtId="195" fontId="70" fillId="6" borderId="45" xfId="0" applyNumberFormat="1" applyFont="1" applyFill="1" applyBorder="1" applyAlignment="1" applyProtection="1">
      <alignment horizontal="center" vertical="center" wrapText="1"/>
    </xf>
    <xf numFmtId="195" fontId="46" fillId="6" borderId="77" xfId="0" applyNumberFormat="1" applyFont="1" applyFill="1" applyBorder="1" applyAlignment="1" applyProtection="1">
      <alignment horizontal="center" vertical="center" wrapText="1"/>
    </xf>
    <xf numFmtId="195" fontId="53" fillId="6" borderId="78" xfId="0" applyNumberFormat="1" applyFont="1" applyFill="1" applyBorder="1" applyAlignment="1" applyProtection="1">
      <alignment horizontal="center" vertical="center" wrapText="1"/>
    </xf>
    <xf numFmtId="195" fontId="53" fillId="6" borderId="79" xfId="0" applyNumberFormat="1" applyFont="1" applyFill="1" applyBorder="1" applyAlignment="1" applyProtection="1">
      <alignment horizontal="center" vertical="center" wrapText="1"/>
    </xf>
    <xf numFmtId="195" fontId="46" fillId="6" borderId="15" xfId="0" applyNumberFormat="1" applyFont="1" applyFill="1" applyBorder="1" applyAlignment="1" applyProtection="1">
      <alignment horizontal="center" vertical="center" wrapText="1"/>
    </xf>
    <xf numFmtId="195" fontId="53" fillId="6" borderId="2" xfId="0" applyNumberFormat="1" applyFont="1" applyFill="1" applyBorder="1" applyAlignment="1" applyProtection="1">
      <alignment horizontal="center" vertical="center" wrapText="1"/>
    </xf>
    <xf numFmtId="195" fontId="51" fillId="6" borderId="15" xfId="0" applyNumberFormat="1" applyFont="1" applyFill="1" applyBorder="1" applyAlignment="1" applyProtection="1">
      <alignment horizontal="center" vertical="center" wrapText="1"/>
    </xf>
    <xf numFmtId="195" fontId="53"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left" vertical="center" wrapText="1"/>
      <protection locked="0"/>
    </xf>
    <xf numFmtId="195" fontId="70" fillId="0" borderId="24"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left" vertical="center" wrapText="1"/>
      <protection locked="0"/>
    </xf>
    <xf numFmtId="195" fontId="51" fillId="0" borderId="45"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5"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5" fontId="51" fillId="0" borderId="78" xfId="0" applyNumberFormat="1" applyFont="1" applyFill="1" applyBorder="1" applyAlignment="1" applyProtection="1">
      <alignment horizontal="center" vertical="center" wrapText="1"/>
      <protection locked="0"/>
    </xf>
    <xf numFmtId="195" fontId="51" fillId="0" borderId="79"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left" vertical="center" wrapText="1"/>
      <protection locked="0"/>
    </xf>
    <xf numFmtId="195" fontId="51" fillId="0" borderId="8"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vertical="center" wrapText="1"/>
      <protection locked="0"/>
    </xf>
    <xf numFmtId="195" fontId="71" fillId="6" borderId="12" xfId="0" applyNumberFormat="1" applyFont="1" applyFill="1" applyBorder="1" applyAlignment="1" applyProtection="1">
      <alignment vertical="center" wrapText="1"/>
    </xf>
    <xf numFmtId="195" fontId="46" fillId="6" borderId="74" xfId="0" applyNumberFormat="1" applyFont="1" applyFill="1" applyBorder="1" applyAlignment="1" applyProtection="1">
      <alignment horizontal="center" vertical="center" wrapText="1"/>
    </xf>
    <xf numFmtId="195" fontId="46" fillId="0" borderId="32" xfId="0" applyNumberFormat="1" applyFont="1" applyFill="1" applyBorder="1" applyAlignment="1" applyProtection="1">
      <alignment horizontal="center" vertical="center" wrapText="1"/>
      <protection locked="0"/>
    </xf>
    <xf numFmtId="195" fontId="51" fillId="0" borderId="32" xfId="0" applyNumberFormat="1" applyFont="1" applyFill="1" applyBorder="1" applyAlignment="1" applyProtection="1">
      <alignment horizontal="center" vertical="center" wrapText="1"/>
      <protection locked="0"/>
    </xf>
    <xf numFmtId="195" fontId="51" fillId="0" borderId="49" xfId="0" applyNumberFormat="1" applyFont="1" applyFill="1" applyBorder="1" applyAlignment="1" applyProtection="1">
      <alignment horizontal="center" vertical="center" wrapText="1"/>
      <protection locked="0"/>
    </xf>
    <xf numFmtId="195" fontId="46"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left" vertical="center" wrapText="1"/>
    </xf>
    <xf numFmtId="195" fontId="70" fillId="6" borderId="10" xfId="0" applyNumberFormat="1" applyFont="1" applyFill="1" applyBorder="1" applyAlignment="1" applyProtection="1">
      <alignment horizontal="center" vertical="center" wrapText="1"/>
    </xf>
    <xf numFmtId="195" fontId="46" fillId="0" borderId="0" xfId="0" applyFont="1" applyFill="1" applyBorder="1" applyAlignment="1" applyProtection="1">
      <alignment vertical="center" wrapText="1"/>
      <protection locked="0"/>
    </xf>
    <xf numFmtId="195" fontId="46" fillId="6" borderId="44" xfId="0" applyNumberFormat="1" applyFont="1" applyFill="1" applyBorder="1" applyAlignment="1" applyProtection="1">
      <alignment horizontal="center" vertical="center" wrapText="1"/>
    </xf>
    <xf numFmtId="195" fontId="48"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left" vertical="center" wrapText="1"/>
      <protection locked="0"/>
    </xf>
    <xf numFmtId="195" fontId="46" fillId="0" borderId="45" xfId="0" applyNumberFormat="1" applyFont="1" applyFill="1" applyBorder="1" applyAlignment="1" applyProtection="1">
      <alignment horizontal="center" vertical="center" wrapText="1"/>
      <protection locked="0"/>
    </xf>
    <xf numFmtId="195" fontId="46" fillId="6" borderId="78" xfId="0" applyNumberFormat="1" applyFont="1" applyFill="1" applyBorder="1" applyAlignment="1" applyProtection="1">
      <alignment horizontal="center" vertical="center" wrapText="1"/>
    </xf>
    <xf numFmtId="195" fontId="53"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left" vertical="center" wrapText="1"/>
      <protection locked="0"/>
    </xf>
    <xf numFmtId="195" fontId="70" fillId="0" borderId="45" xfId="0" applyNumberFormat="1" applyFont="1" applyFill="1" applyBorder="1" applyAlignment="1" applyProtection="1">
      <alignment horizontal="center" vertical="center" wrapText="1"/>
      <protection locked="0"/>
    </xf>
    <xf numFmtId="195" fontId="53"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left" vertical="center" wrapText="1"/>
      <protection locked="0"/>
    </xf>
    <xf numFmtId="195" fontId="70" fillId="0" borderId="8" xfId="0" applyNumberFormat="1" applyFont="1" applyFill="1" applyBorder="1" applyAlignment="1" applyProtection="1">
      <alignment horizontal="center" vertical="center" wrapText="1"/>
      <protection locked="0"/>
    </xf>
    <xf numFmtId="195" fontId="53" fillId="0" borderId="32" xfId="0" applyNumberFormat="1" applyFont="1" applyFill="1" applyBorder="1" applyAlignment="1" applyProtection="1">
      <alignment horizontal="center" vertical="center" wrapText="1"/>
      <protection locked="0"/>
    </xf>
    <xf numFmtId="195" fontId="53" fillId="0" borderId="49"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textRotation="255" wrapText="1"/>
    </xf>
    <xf numFmtId="195" fontId="46" fillId="6" borderId="58" xfId="0" applyNumberFormat="1" applyFont="1" applyFill="1" applyBorder="1" applyAlignment="1" applyProtection="1">
      <alignment horizontal="center" vertical="center"/>
    </xf>
    <xf numFmtId="195" fontId="46"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left" vertical="center" wrapText="1"/>
      <protection locked="0"/>
    </xf>
    <xf numFmtId="195" fontId="51" fillId="0" borderId="24"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textRotation="255" wrapText="1"/>
    </xf>
    <xf numFmtId="195" fontId="51" fillId="6" borderId="44" xfId="0" applyNumberFormat="1" applyFont="1" applyFill="1" applyBorder="1" applyAlignment="1" applyProtection="1">
      <alignment horizontal="center" vertical="center" wrapText="1"/>
    </xf>
    <xf numFmtId="195" fontId="51" fillId="6" borderId="44" xfId="0" applyNumberFormat="1" applyFont="1" applyFill="1" applyBorder="1" applyAlignment="1" applyProtection="1">
      <alignment horizontal="left" vertical="center" wrapText="1"/>
    </xf>
    <xf numFmtId="195" fontId="51" fillId="6" borderId="45" xfId="0" applyNumberFormat="1" applyFont="1" applyFill="1" applyBorder="1" applyAlignment="1" applyProtection="1">
      <alignment horizontal="center" vertical="center" wrapText="1"/>
    </xf>
    <xf numFmtId="195" fontId="46" fillId="6" borderId="1" xfId="0" applyNumberFormat="1" applyFont="1" applyFill="1" applyBorder="1" applyAlignment="1" applyProtection="1">
      <alignment horizontal="center" vertical="center" wrapText="1"/>
    </xf>
    <xf numFmtId="195" fontId="51" fillId="6" borderId="78" xfId="0" applyNumberFormat="1" applyFont="1" applyFill="1" applyBorder="1" applyAlignment="1" applyProtection="1">
      <alignment horizontal="center" vertical="center" wrapText="1"/>
    </xf>
    <xf numFmtId="195"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5" fontId="46" fillId="6" borderId="3" xfId="0" applyNumberFormat="1" applyFont="1" applyFill="1" applyBorder="1" applyAlignment="1" applyProtection="1">
      <alignment horizontal="center" vertical="center" wrapText="1"/>
    </xf>
    <xf numFmtId="195" fontId="60" fillId="0" borderId="3" xfId="0" applyNumberFormat="1" applyFont="1" applyFill="1" applyBorder="1" applyAlignment="1" applyProtection="1">
      <alignment horizontal="center" vertical="center" wrapText="1"/>
      <protection locked="0"/>
    </xf>
    <xf numFmtId="195" fontId="60" fillId="6" borderId="3" xfId="0" applyNumberFormat="1" applyFont="1" applyFill="1" applyBorder="1" applyAlignment="1" applyProtection="1">
      <alignment horizontal="center" vertical="center" wrapText="1"/>
    </xf>
    <xf numFmtId="195" fontId="60" fillId="0" borderId="11" xfId="0" applyNumberFormat="1" applyFont="1" applyFill="1" applyBorder="1" applyAlignment="1" applyProtection="1">
      <alignment horizontal="center" vertical="center" wrapText="1"/>
      <protection locked="0"/>
    </xf>
    <xf numFmtId="195" fontId="60" fillId="6" borderId="41" xfId="0" applyNumberFormat="1" applyFont="1" applyFill="1" applyBorder="1" applyAlignment="1" applyProtection="1">
      <alignment horizontal="center" vertical="center" wrapText="1"/>
    </xf>
    <xf numFmtId="195"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5"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5" fontId="46" fillId="6" borderId="45" xfId="0" applyNumberFormat="1" applyFont="1" applyFill="1" applyBorder="1" applyAlignment="1" applyProtection="1">
      <alignment horizontal="center" vertical="center" wrapText="1"/>
    </xf>
    <xf numFmtId="195" fontId="53"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left" vertical="center" wrapText="1"/>
      <protection locked="0"/>
    </xf>
    <xf numFmtId="195" fontId="70" fillId="0" borderId="53" xfId="0" applyNumberFormat="1" applyFont="1" applyFill="1" applyBorder="1" applyAlignment="1" applyProtection="1">
      <alignment horizontal="center" vertical="center" wrapText="1"/>
      <protection locked="0"/>
    </xf>
    <xf numFmtId="195" fontId="100" fillId="0" borderId="44" xfId="0" applyNumberFormat="1" applyFont="1" applyFill="1" applyBorder="1" applyAlignment="1" applyProtection="1">
      <alignment horizontal="center" vertical="center" wrapText="1"/>
      <protection locked="0"/>
    </xf>
    <xf numFmtId="195" fontId="46" fillId="0" borderId="12" xfId="0" applyNumberFormat="1" applyFont="1" applyFill="1" applyBorder="1" applyAlignment="1" applyProtection="1">
      <alignment horizontal="center" vertical="center" wrapText="1"/>
      <protection locked="0"/>
    </xf>
    <xf numFmtId="195" fontId="46" fillId="6" borderId="62"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xf>
    <xf numFmtId="195" fontId="46" fillId="6" borderId="61" xfId="0" applyFont="1" applyFill="1" applyBorder="1" applyAlignment="1" applyProtection="1">
      <alignment horizontal="center" vertical="center" wrapText="1"/>
    </xf>
    <xf numFmtId="195" fontId="46" fillId="6" borderId="8" xfId="0" applyFont="1" applyFill="1" applyBorder="1" applyAlignment="1" applyProtection="1">
      <alignment horizontal="center" vertical="center" wrapText="1"/>
    </xf>
    <xf numFmtId="195" fontId="46" fillId="6" borderId="53" xfId="0" applyFont="1" applyFill="1" applyBorder="1" applyAlignment="1" applyProtection="1">
      <alignment horizontal="center" vertical="center" wrapText="1"/>
    </xf>
    <xf numFmtId="195" fontId="53" fillId="2" borderId="54" xfId="0" applyNumberFormat="1" applyFont="1" applyFill="1" applyBorder="1" applyAlignment="1" applyProtection="1">
      <alignment horizontal="center" vertical="center" wrapText="1"/>
      <protection locked="0"/>
    </xf>
    <xf numFmtId="195" fontId="46" fillId="0" borderId="49" xfId="0" applyFont="1" applyFill="1" applyBorder="1" applyAlignment="1" applyProtection="1">
      <alignment horizontal="center" vertical="center" wrapText="1"/>
      <protection locked="0"/>
    </xf>
    <xf numFmtId="195" fontId="53" fillId="6" borderId="57" xfId="0" applyNumberFormat="1" applyFont="1" applyFill="1" applyBorder="1" applyAlignment="1" applyProtection="1">
      <alignment horizontal="center" vertical="center" wrapText="1"/>
    </xf>
    <xf numFmtId="195"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5" fontId="46" fillId="6" borderId="22" xfId="0" applyNumberFormat="1" applyFont="1" applyFill="1" applyBorder="1" applyAlignment="1" applyProtection="1">
      <alignment horizontal="center" vertical="center" wrapText="1"/>
    </xf>
    <xf numFmtId="195" fontId="46" fillId="6" borderId="20" xfId="0" applyFont="1" applyFill="1" applyBorder="1" applyAlignment="1" applyProtection="1">
      <alignment horizontal="center" vertical="center" wrapText="1"/>
    </xf>
    <xf numFmtId="195" fontId="68" fillId="6" borderId="80" xfId="0" applyFont="1" applyFill="1" applyBorder="1" applyAlignment="1" applyProtection="1">
      <alignment vertical="center" wrapText="1"/>
    </xf>
    <xf numFmtId="195" fontId="46" fillId="6" borderId="54" xfId="0" applyFont="1" applyFill="1" applyBorder="1" applyAlignment="1" applyProtection="1">
      <alignment horizontal="center" vertical="center" wrapText="1"/>
    </xf>
    <xf numFmtId="195" fontId="52" fillId="6" borderId="80" xfId="0" applyFont="1" applyFill="1" applyBorder="1" applyAlignment="1" applyProtection="1">
      <alignment vertical="center" wrapText="1"/>
    </xf>
    <xf numFmtId="195" fontId="46" fillId="0" borderId="36" xfId="0" applyFont="1" applyFill="1" applyBorder="1" applyAlignment="1" applyProtection="1">
      <alignment horizontal="center" vertical="center" wrapText="1"/>
      <protection locked="0"/>
    </xf>
    <xf numFmtId="195" fontId="48" fillId="6" borderId="80" xfId="0" applyFont="1" applyFill="1" applyBorder="1" applyAlignment="1" applyProtection="1">
      <alignment vertical="center" wrapText="1"/>
    </xf>
    <xf numFmtId="195" fontId="52" fillId="6" borderId="81" xfId="0" applyFont="1" applyFill="1" applyBorder="1" applyAlignment="1" applyProtection="1">
      <alignment vertical="center" wrapText="1"/>
    </xf>
    <xf numFmtId="195" fontId="53" fillId="6" borderId="53" xfId="0" applyFont="1" applyFill="1" applyBorder="1" applyAlignment="1" applyProtection="1">
      <alignment horizontal="center" vertical="center"/>
    </xf>
    <xf numFmtId="195" fontId="46" fillId="0" borderId="61" xfId="0"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wrapText="1"/>
    </xf>
    <xf numFmtId="195" fontId="46" fillId="6" borderId="76" xfId="0" applyNumberFormat="1" applyFont="1" applyFill="1" applyBorder="1" applyAlignment="1" applyProtection="1">
      <alignment horizontal="center" vertical="center" wrapText="1"/>
    </xf>
    <xf numFmtId="195" fontId="46" fillId="6" borderId="75" xfId="0" applyNumberFormat="1" applyFont="1" applyFill="1" applyBorder="1" applyAlignment="1" applyProtection="1">
      <alignment horizontal="center" vertical="center" wrapText="1"/>
    </xf>
    <xf numFmtId="195" fontId="52" fillId="6" borderId="16" xfId="0" applyFont="1" applyFill="1" applyBorder="1" applyAlignment="1" applyProtection="1">
      <alignment vertical="center" textRotation="255" wrapText="1"/>
    </xf>
    <xf numFmtId="195" fontId="71" fillId="6" borderId="18" xfId="0" applyFont="1" applyFill="1" applyBorder="1" applyAlignment="1" applyProtection="1">
      <alignment vertical="center" textRotation="255" wrapText="1"/>
    </xf>
    <xf numFmtId="195"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5" fontId="52" fillId="6" borderId="18" xfId="0" applyFont="1" applyFill="1" applyBorder="1" applyAlignment="1" applyProtection="1">
      <alignment vertical="center" textRotation="255" wrapText="1"/>
    </xf>
    <xf numFmtId="195" fontId="46" fillId="2" borderId="37" xfId="0" applyNumberFormat="1"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textRotation="255" wrapText="1"/>
    </xf>
    <xf numFmtId="195" fontId="52" fillId="6" borderId="42" xfId="0" applyFont="1" applyFill="1" applyBorder="1" applyAlignment="1" applyProtection="1">
      <alignment vertical="center" textRotation="255" wrapText="1"/>
    </xf>
    <xf numFmtId="195"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5" fontId="46" fillId="6" borderId="53" xfId="0" applyNumberFormat="1" applyFont="1" applyFill="1" applyBorder="1" applyAlignment="1" applyProtection="1">
      <alignment horizontal="center" vertical="center" wrapText="1"/>
    </xf>
    <xf numFmtId="195" fontId="46" fillId="6" borderId="58" xfId="0" applyNumberFormat="1" applyFont="1" applyFill="1" applyBorder="1" applyAlignment="1" applyProtection="1">
      <alignment horizontal="center" vertical="center" wrapText="1"/>
    </xf>
    <xf numFmtId="195" fontId="53" fillId="6" borderId="28"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left" vertical="center" wrapText="1"/>
    </xf>
    <xf numFmtId="195"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5" fontId="63" fillId="6" borderId="3" xfId="0" applyNumberFormat="1" applyFont="1" applyFill="1" applyBorder="1" applyAlignment="1" applyProtection="1">
      <alignment horizontal="center" vertical="center" wrapText="1"/>
    </xf>
    <xf numFmtId="195" fontId="63" fillId="0" borderId="3" xfId="0" applyNumberFormat="1" applyFont="1" applyFill="1" applyBorder="1" applyAlignment="1" applyProtection="1">
      <alignment horizontal="center" vertical="center" wrapText="1"/>
      <protection locked="0"/>
    </xf>
    <xf numFmtId="195" fontId="53" fillId="0" borderId="23" xfId="0" applyNumberFormat="1" applyFont="1" applyFill="1" applyBorder="1" applyAlignment="1" applyProtection="1">
      <alignment horizontal="center" vertical="center" wrapText="1"/>
      <protection locked="0"/>
    </xf>
    <xf numFmtId="195" fontId="53" fillId="6" borderId="18" xfId="0" applyFont="1" applyFill="1" applyBorder="1" applyAlignment="1" applyProtection="1">
      <alignment horizontal="center" vertical="center"/>
    </xf>
    <xf numFmtId="195" fontId="71" fillId="6" borderId="42" xfId="0" applyFont="1" applyFill="1" applyBorder="1" applyAlignment="1" applyProtection="1">
      <alignment vertical="center" textRotation="255" wrapText="1"/>
    </xf>
    <xf numFmtId="195" fontId="53" fillId="0" borderId="13" xfId="0" applyNumberFormat="1" applyFont="1" applyFill="1" applyBorder="1" applyAlignment="1" applyProtection="1">
      <alignment horizontal="center" vertical="center" wrapText="1"/>
      <protection locked="0"/>
    </xf>
    <xf numFmtId="195" fontId="53" fillId="0" borderId="25" xfId="0" applyNumberFormat="1" applyFont="1" applyFill="1" applyBorder="1" applyAlignment="1" applyProtection="1">
      <alignment horizontal="center" vertical="center" wrapText="1"/>
      <protection locked="0"/>
    </xf>
    <xf numFmtId="195" fontId="53" fillId="0" borderId="6" xfId="0" applyNumberFormat="1" applyFont="1" applyFill="1" applyBorder="1" applyAlignment="1" applyProtection="1">
      <alignment horizontal="center" vertical="center" wrapText="1"/>
      <protection locked="0"/>
    </xf>
    <xf numFmtId="195" fontId="51" fillId="6" borderId="49" xfId="0" applyNumberFormat="1" applyFont="1" applyFill="1" applyBorder="1" applyAlignment="1" applyProtection="1">
      <alignment horizontal="center" vertical="center" wrapText="1"/>
    </xf>
    <xf numFmtId="195" fontId="73" fillId="6" borderId="3" xfId="0" applyNumberFormat="1" applyFont="1" applyFill="1" applyBorder="1" applyAlignment="1" applyProtection="1">
      <alignment horizontal="center" vertical="center" wrapText="1"/>
    </xf>
    <xf numFmtId="195"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53" fillId="6" borderId="10" xfId="0" applyFont="1" applyFill="1" applyBorder="1" applyAlignment="1" applyProtection="1">
      <alignment horizontal="center" vertical="center"/>
    </xf>
    <xf numFmtId="195"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5"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5" fontId="74" fillId="0" borderId="0" xfId="0" applyFont="1" applyFill="1" applyAlignment="1" applyProtection="1">
      <alignment horizontal="center" vertical="center"/>
      <protection locked="0"/>
    </xf>
    <xf numFmtId="195"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5" fontId="56" fillId="6" borderId="25" xfId="1" applyFont="1" applyFill="1" applyBorder="1" applyAlignment="1" applyProtection="1"/>
    <xf numFmtId="195"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5" fontId="46" fillId="6" borderId="44" xfId="0" applyNumberFormat="1" applyFont="1" applyFill="1" applyBorder="1" applyAlignment="1" applyProtection="1">
      <alignment horizontal="left" vertical="center" wrapText="1"/>
    </xf>
    <xf numFmtId="195" fontId="53" fillId="0" borderId="61" xfId="0" applyNumberFormat="1" applyFont="1" applyFill="1" applyBorder="1" applyAlignment="1" applyProtection="1">
      <alignment horizontal="center" vertical="center" wrapText="1"/>
      <protection locked="0"/>
    </xf>
    <xf numFmtId="195" fontId="51" fillId="6" borderId="74" xfId="0" applyNumberFormat="1" applyFont="1" applyFill="1" applyBorder="1" applyAlignment="1" applyProtection="1">
      <alignment horizontal="center" vertical="center" wrapText="1"/>
    </xf>
    <xf numFmtId="195" fontId="53" fillId="0" borderId="66" xfId="0" applyNumberFormat="1" applyFont="1" applyFill="1" applyBorder="1" applyAlignment="1" applyProtection="1">
      <alignment horizontal="center" vertical="center" wrapText="1"/>
      <protection locked="0"/>
    </xf>
    <xf numFmtId="195" fontId="49" fillId="0" borderId="0" xfId="0" applyNumberFormat="1" applyFont="1" applyAlignment="1" applyProtection="1">
      <alignment horizontal="center" vertical="center"/>
      <protection locked="0"/>
    </xf>
    <xf numFmtId="195" fontId="49" fillId="6" borderId="16" xfId="0" applyNumberFormat="1" applyFont="1" applyFill="1" applyBorder="1" applyAlignment="1" applyProtection="1">
      <alignment horizontal="center" vertical="center" wrapText="1"/>
    </xf>
    <xf numFmtId="195" fontId="49" fillId="6" borderId="6" xfId="0" applyNumberFormat="1" applyFont="1" applyFill="1" applyBorder="1" applyAlignment="1" applyProtection="1">
      <alignment horizontal="center" vertical="center" wrapText="1"/>
    </xf>
    <xf numFmtId="195" fontId="49" fillId="6" borderId="9" xfId="0" applyNumberFormat="1" applyFont="1" applyFill="1" applyBorder="1" applyAlignment="1" applyProtection="1">
      <alignment horizontal="center" vertical="center" wrapText="1"/>
    </xf>
    <xf numFmtId="195" fontId="49" fillId="6" borderId="31" xfId="0" applyNumberFormat="1" applyFont="1" applyFill="1" applyBorder="1" applyAlignment="1" applyProtection="1">
      <alignment horizontal="center" vertical="center" wrapText="1"/>
    </xf>
    <xf numFmtId="195" fontId="55" fillId="0" borderId="0" xfId="0" applyFont="1" applyFill="1" applyAlignment="1" applyProtection="1">
      <alignment horizontal="center" vertical="center"/>
      <protection locked="0"/>
    </xf>
    <xf numFmtId="195" fontId="49" fillId="6" borderId="18" xfId="0" applyNumberFormat="1" applyFont="1" applyFill="1" applyBorder="1" applyAlignment="1" applyProtection="1">
      <alignment horizontal="center" vertical="center"/>
    </xf>
    <xf numFmtId="195" fontId="49" fillId="0" borderId="23"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center" vertical="center" wrapText="1"/>
      <protection locked="0"/>
    </xf>
    <xf numFmtId="195" fontId="50" fillId="6" borderId="59" xfId="0" applyNumberFormat="1" applyFont="1" applyFill="1" applyBorder="1" applyAlignment="1" applyProtection="1">
      <alignment horizontal="center" vertical="center" wrapText="1"/>
    </xf>
    <xf numFmtId="195" fontId="50" fillId="0" borderId="0" xfId="0" applyFont="1" applyFill="1" applyAlignment="1" applyProtection="1">
      <alignment horizontal="center" vertical="center"/>
      <protection locked="0"/>
    </xf>
    <xf numFmtId="195" fontId="49" fillId="0" borderId="56" xfId="0" applyNumberFormat="1" applyFont="1" applyFill="1" applyBorder="1" applyAlignment="1" applyProtection="1">
      <alignment horizontal="center" vertical="center" wrapText="1"/>
      <protection locked="0"/>
    </xf>
    <xf numFmtId="195" fontId="47" fillId="6" borderId="1" xfId="0" applyFont="1" applyFill="1" applyBorder="1" applyProtection="1">
      <alignment vertical="center"/>
    </xf>
    <xf numFmtId="195" fontId="49" fillId="6" borderId="1" xfId="0" applyNumberFormat="1" applyFont="1" applyFill="1" applyBorder="1" applyAlignment="1" applyProtection="1">
      <alignment horizontal="center" vertical="center"/>
    </xf>
    <xf numFmtId="195" fontId="49" fillId="6" borderId="1" xfId="0" applyNumberFormat="1" applyFont="1" applyFill="1" applyBorder="1" applyAlignment="1" applyProtection="1">
      <alignment horizontal="center" vertical="center" wrapText="1"/>
    </xf>
    <xf numFmtId="195" fontId="62" fillId="0" borderId="1" xfId="0" applyFont="1" applyFill="1" applyBorder="1" applyAlignment="1" applyProtection="1">
      <alignment horizontal="center" vertical="center"/>
      <protection locked="0"/>
    </xf>
    <xf numFmtId="195" fontId="62" fillId="6" borderId="1" xfId="0" applyFont="1" applyFill="1" applyBorder="1" applyAlignment="1" applyProtection="1">
      <alignment horizontal="center" vertical="center"/>
    </xf>
    <xf numFmtId="195" fontId="62" fillId="2" borderId="1" xfId="0" applyFont="1" applyFill="1" applyBorder="1" applyAlignment="1" applyProtection="1">
      <alignment horizontal="center" vertical="center"/>
      <protection locked="0"/>
    </xf>
    <xf numFmtId="195" fontId="62" fillId="0" borderId="1" xfId="0" applyNumberFormat="1" applyFont="1" applyBorder="1" applyAlignment="1" applyProtection="1">
      <alignment horizontal="center" vertical="center"/>
      <protection locked="0"/>
    </xf>
    <xf numFmtId="195" fontId="62" fillId="0" borderId="0" xfId="0" applyFont="1" applyProtection="1">
      <alignment vertical="center"/>
      <protection locked="0"/>
    </xf>
    <xf numFmtId="195" fontId="46" fillId="6" borderId="23" xfId="0" applyFont="1" applyFill="1" applyBorder="1" applyAlignment="1" applyProtection="1">
      <alignment vertical="center"/>
    </xf>
    <xf numFmtId="195" fontId="55" fillId="0" borderId="8" xfId="1" applyNumberFormat="1" applyFont="1" applyFill="1" applyBorder="1" applyAlignment="1" applyProtection="1">
      <alignment horizontal="center" vertical="center"/>
      <protection locked="0"/>
    </xf>
    <xf numFmtId="195"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5" fontId="48" fillId="0" borderId="32" xfId="0" applyFont="1" applyFill="1" applyBorder="1" applyAlignment="1" applyProtection="1">
      <alignment horizontal="center" vertical="center"/>
      <protection locked="0"/>
    </xf>
    <xf numFmtId="195"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5" fontId="49" fillId="6" borderId="0" xfId="0" applyFont="1" applyFill="1" applyAlignment="1" applyProtection="1">
      <alignment vertical="center"/>
    </xf>
    <xf numFmtId="195" fontId="100" fillId="6" borderId="0" xfId="0" applyFont="1" applyFill="1" applyAlignment="1" applyProtection="1">
      <alignment vertical="center"/>
    </xf>
    <xf numFmtId="195" fontId="100" fillId="6" borderId="0" xfId="0" applyFont="1" applyFill="1" applyAlignment="1" applyProtection="1">
      <alignment horizontal="left" vertical="center"/>
    </xf>
    <xf numFmtId="195"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195" fontId="49" fillId="6" borderId="0" xfId="0" applyFont="1" applyFill="1" applyBorder="1" applyAlignment="1" applyProtection="1">
      <alignment vertical="center"/>
    </xf>
    <xf numFmtId="195" fontId="67" fillId="6" borderId="36" xfId="0" applyFont="1" applyFill="1" applyBorder="1" applyAlignment="1" applyProtection="1">
      <alignment vertical="center"/>
    </xf>
    <xf numFmtId="195"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5" fontId="64" fillId="6" borderId="36" xfId="0" applyFont="1" applyFill="1" applyBorder="1" applyAlignment="1" applyProtection="1">
      <alignment horizontal="center" vertical="center"/>
    </xf>
    <xf numFmtId="195" fontId="53" fillId="6" borderId="0" xfId="0" applyFont="1" applyFill="1" applyAlignment="1" applyProtection="1">
      <alignment horizontal="center" vertical="center"/>
    </xf>
    <xf numFmtId="195"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5" fontId="58" fillId="6" borderId="0" xfId="0" applyFont="1" applyFill="1" applyBorder="1" applyAlignment="1" applyProtection="1"/>
    <xf numFmtId="195" fontId="53" fillId="6" borderId="0" xfId="0" applyFont="1" applyFill="1" applyBorder="1" applyAlignment="1" applyProtection="1"/>
    <xf numFmtId="195"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5" fontId="64" fillId="6" borderId="0" xfId="0" applyFont="1" applyFill="1" applyBorder="1" applyAlignment="1" applyProtection="1">
      <alignment horizontal="center" vertical="center"/>
    </xf>
    <xf numFmtId="195"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5" fontId="46" fillId="6" borderId="15" xfId="0" applyFont="1" applyFill="1" applyBorder="1" applyAlignment="1" applyProtection="1">
      <alignment horizontal="center" vertical="center"/>
    </xf>
    <xf numFmtId="195"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5"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5" fontId="51" fillId="6" borderId="15"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53" fillId="6" borderId="2" xfId="0" applyFont="1" applyFill="1" applyBorder="1" applyAlignment="1" applyProtection="1">
      <alignment vertical="center" textRotation="255" wrapText="1"/>
    </xf>
    <xf numFmtId="195"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5" fontId="64" fillId="6" borderId="60" xfId="0" applyFont="1" applyFill="1" applyBorder="1" applyAlignment="1" applyProtection="1">
      <alignment horizontal="center" vertical="center"/>
    </xf>
    <xf numFmtId="195" fontId="55" fillId="6" borderId="0" xfId="0" applyFont="1" applyFill="1" applyAlignment="1" applyProtection="1"/>
    <xf numFmtId="195" fontId="49" fillId="6" borderId="0" xfId="0" applyNumberFormat="1" applyFont="1" applyFill="1" applyAlignment="1" applyProtection="1">
      <alignment horizontal="center" vertical="center"/>
      <protection locked="0"/>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5" fontId="65" fillId="7" borderId="0" xfId="0" applyFont="1" applyFill="1" applyAlignment="1" applyProtection="1">
      <alignment vertical="center"/>
      <protection locked="0"/>
    </xf>
    <xf numFmtId="195" fontId="49" fillId="7" borderId="0" xfId="0" applyFont="1" applyFill="1" applyProtection="1">
      <alignment vertical="center"/>
      <protection locked="0"/>
    </xf>
    <xf numFmtId="195" fontId="55" fillId="7" borderId="0" xfId="0" applyFont="1" applyFill="1" applyAlignment="1" applyProtection="1">
      <alignment horizontal="center" vertical="center"/>
      <protection locked="0"/>
    </xf>
    <xf numFmtId="195" fontId="50"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wrapText="1"/>
      <protection locked="0"/>
    </xf>
    <xf numFmtId="195"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95"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5" fontId="63" fillId="6" borderId="3" xfId="0" applyNumberFormat="1" applyFont="1" applyFill="1" applyBorder="1" applyAlignment="1" applyProtection="1">
      <alignment horizontal="center" vertical="center" wrapText="1"/>
      <protection locked="0"/>
    </xf>
    <xf numFmtId="195" fontId="111" fillId="6" borderId="20" xfId="0" applyFont="1" applyFill="1" applyBorder="1" applyAlignment="1" applyProtection="1">
      <alignment vertical="center"/>
    </xf>
    <xf numFmtId="195" fontId="111" fillId="6" borderId="21" xfId="0" applyFont="1" applyFill="1" applyBorder="1" applyAlignment="1" applyProtection="1">
      <alignment horizontal="center" vertical="center"/>
    </xf>
    <xf numFmtId="195"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5" fontId="80" fillId="0" borderId="60" xfId="3" applyNumberFormat="1" applyFont="1" applyBorder="1" applyAlignment="1" applyProtection="1">
      <alignment vertical="center"/>
    </xf>
    <xf numFmtId="195" fontId="0" fillId="0" borderId="0" xfId="0" applyNumberFormat="1" applyProtection="1">
      <alignment vertical="center"/>
    </xf>
    <xf numFmtId="195"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195" fontId="52" fillId="6" borderId="36" xfId="0" applyFont="1" applyFill="1" applyBorder="1" applyAlignment="1" applyProtection="1">
      <alignment horizontal="center" vertical="center"/>
    </xf>
    <xf numFmtId="195" fontId="56" fillId="6" borderId="34" xfId="0" applyFont="1" applyFill="1" applyBorder="1" applyAlignment="1" applyProtection="1">
      <alignment horizontal="center" vertical="center"/>
    </xf>
    <xf numFmtId="195" fontId="56" fillId="6" borderId="28" xfId="0" applyNumberFormat="1" applyFont="1" applyFill="1" applyBorder="1" applyAlignment="1" applyProtection="1">
      <alignment horizontal="center" vertical="center" wrapText="1"/>
    </xf>
    <xf numFmtId="195" fontId="55" fillId="6" borderId="2" xfId="0" applyFont="1" applyFill="1" applyBorder="1" applyAlignment="1" applyProtection="1">
      <alignment horizontal="center" vertical="center" wrapText="1"/>
    </xf>
    <xf numFmtId="195"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5"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95"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5" fontId="56" fillId="6" borderId="20" xfId="0" applyFont="1" applyFill="1" applyBorder="1" applyAlignment="1" applyProtection="1">
      <alignment horizontal="center" vertical="center" wrapText="1"/>
    </xf>
    <xf numFmtId="195" fontId="56" fillId="6" borderId="15" xfId="0" applyFont="1" applyFill="1" applyBorder="1" applyAlignment="1" applyProtection="1">
      <alignment horizontal="center" vertical="center" wrapText="1"/>
    </xf>
    <xf numFmtId="195"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195" fontId="55" fillId="6" borderId="29" xfId="0" applyFont="1" applyFill="1" applyBorder="1" applyAlignment="1" applyProtection="1">
      <alignment horizontal="center" vertical="center" wrapText="1"/>
    </xf>
    <xf numFmtId="195" fontId="55" fillId="6" borderId="62" xfId="0" applyFont="1" applyFill="1" applyBorder="1" applyAlignment="1" applyProtection="1">
      <alignment horizontal="center" vertical="center" wrapText="1"/>
    </xf>
    <xf numFmtId="195" fontId="53" fillId="6" borderId="9" xfId="0" applyFont="1" applyFill="1" applyBorder="1" applyAlignment="1" applyProtection="1">
      <alignment horizontal="center" vertical="center" wrapText="1"/>
    </xf>
    <xf numFmtId="195" fontId="53" fillId="6" borderId="24"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xf>
    <xf numFmtId="195"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5"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5" fontId="61" fillId="6" borderId="23" xfId="1" applyFont="1" applyFill="1" applyBorder="1" applyAlignment="1" applyProtection="1">
      <alignment horizontal="right"/>
    </xf>
    <xf numFmtId="195" fontId="55" fillId="6" borderId="23" xfId="0" applyFont="1" applyFill="1" applyBorder="1" applyAlignment="1" applyProtection="1">
      <alignment horizontal="center" vertical="center"/>
    </xf>
    <xf numFmtId="195" fontId="49" fillId="3" borderId="0" xfId="0" applyFont="1" applyFill="1" applyAlignment="1" applyProtection="1">
      <alignment vertical="center"/>
      <protection locked="0"/>
    </xf>
    <xf numFmtId="195" fontId="47" fillId="6" borderId="51" xfId="0" applyFont="1" applyFill="1" applyBorder="1" applyAlignment="1" applyProtection="1">
      <alignment vertical="center"/>
    </xf>
    <xf numFmtId="195" fontId="47" fillId="6" borderId="20" xfId="0" applyFont="1" applyFill="1" applyBorder="1" applyAlignment="1" applyProtection="1">
      <alignment vertical="center"/>
    </xf>
    <xf numFmtId="195" fontId="47" fillId="6" borderId="21" xfId="0" applyFont="1" applyFill="1" applyBorder="1" applyAlignment="1" applyProtection="1">
      <alignment vertical="center"/>
    </xf>
    <xf numFmtId="195" fontId="63" fillId="7" borderId="0" xfId="0" applyFont="1" applyFill="1" applyAlignment="1" applyProtection="1">
      <alignment vertical="center"/>
      <protection locked="0"/>
    </xf>
    <xf numFmtId="195" fontId="48" fillId="6" borderId="23" xfId="0" applyFont="1" applyFill="1" applyBorder="1" applyAlignment="1" applyProtection="1">
      <alignment horizontal="center" vertical="center"/>
    </xf>
    <xf numFmtId="195" fontId="48" fillId="6" borderId="46" xfId="0" applyFont="1" applyFill="1" applyBorder="1" applyAlignment="1" applyProtection="1">
      <alignment vertical="center"/>
    </xf>
    <xf numFmtId="195" fontId="48" fillId="7" borderId="0" xfId="0" applyFont="1" applyFill="1" applyAlignment="1" applyProtection="1">
      <alignment vertical="center"/>
      <protection locked="0"/>
    </xf>
    <xf numFmtId="195"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5" fontId="49" fillId="7" borderId="0" xfId="0" applyFont="1" applyFill="1" applyAlignment="1" applyProtection="1">
      <alignment vertical="center"/>
      <protection locked="0"/>
    </xf>
    <xf numFmtId="195"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54" xfId="0" applyFont="1" applyFill="1" applyBorder="1" applyAlignment="1" applyProtection="1">
      <alignment vertical="center"/>
    </xf>
    <xf numFmtId="195" fontId="48" fillId="6" borderId="48" xfId="0" applyFont="1" applyFill="1" applyBorder="1" applyAlignment="1" applyProtection="1">
      <alignment vertical="center"/>
    </xf>
    <xf numFmtId="195" fontId="46" fillId="7" borderId="0" xfId="0" applyFont="1" applyFill="1" applyAlignment="1" applyProtection="1">
      <alignment vertical="center"/>
      <protection locked="0"/>
    </xf>
    <xf numFmtId="195" fontId="49" fillId="6" borderId="23" xfId="1" applyFont="1" applyFill="1" applyBorder="1" applyAlignment="1" applyProtection="1">
      <alignment horizontal="right" vertical="center"/>
    </xf>
    <xf numFmtId="195"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95"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5"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5" fontId="49" fillId="6" borderId="54" xfId="0" applyFont="1" applyFill="1" applyBorder="1" applyAlignment="1" applyProtection="1">
      <alignment vertical="center"/>
    </xf>
    <xf numFmtId="195" fontId="49" fillId="6" borderId="48" xfId="0" applyFont="1" applyFill="1" applyBorder="1" applyAlignment="1" applyProtection="1">
      <alignment vertical="center"/>
    </xf>
    <xf numFmtId="195" fontId="49" fillId="6" borderId="54" xfId="0" applyFont="1" applyFill="1" applyBorder="1" applyAlignment="1" applyProtection="1">
      <alignment horizontal="left" vertical="center"/>
    </xf>
    <xf numFmtId="195"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5"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5"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5" fontId="46" fillId="6" borderId="5" xfId="0" applyFont="1" applyFill="1" applyBorder="1" applyAlignment="1" applyProtection="1">
      <alignment vertical="center"/>
    </xf>
    <xf numFmtId="195" fontId="46" fillId="6" borderId="54" xfId="0" applyFont="1" applyFill="1" applyBorder="1" applyAlignment="1" applyProtection="1">
      <alignment vertical="center"/>
    </xf>
    <xf numFmtId="195" fontId="46" fillId="6" borderId="48" xfId="0" applyFont="1" applyFill="1" applyBorder="1" applyAlignment="1" applyProtection="1">
      <alignment vertical="center"/>
    </xf>
    <xf numFmtId="195" fontId="49" fillId="6" borderId="1" xfId="1" applyFont="1" applyFill="1" applyBorder="1" applyAlignment="1" applyProtection="1">
      <alignment horizontal="left" vertical="center"/>
    </xf>
    <xf numFmtId="195" fontId="50" fillId="3" borderId="0" xfId="0" applyFont="1" applyFill="1" applyAlignment="1" applyProtection="1">
      <alignment vertical="center"/>
      <protection locked="0"/>
    </xf>
    <xf numFmtId="195"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5" fontId="48" fillId="6" borderId="42" xfId="0" applyFont="1" applyFill="1" applyBorder="1" applyAlignment="1" applyProtection="1">
      <alignment vertical="center"/>
    </xf>
    <xf numFmtId="195"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5" fontId="47" fillId="6" borderId="75" xfId="0" applyFont="1" applyFill="1" applyBorder="1" applyAlignment="1" applyProtection="1">
      <alignment vertical="center"/>
    </xf>
    <xf numFmtId="195" fontId="48" fillId="6" borderId="43" xfId="0" applyFont="1" applyFill="1" applyBorder="1" applyAlignment="1" applyProtection="1">
      <alignment vertical="center"/>
    </xf>
    <xf numFmtId="195"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5"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5" fontId="52" fillId="6" borderId="15" xfId="0" applyFont="1" applyFill="1" applyBorder="1" applyAlignment="1" applyProtection="1">
      <alignment horizontal="center" vertical="center" wrapText="1"/>
    </xf>
    <xf numFmtId="195" fontId="117" fillId="0" borderId="0" xfId="5" applyFont="1">
      <alignment vertical="center"/>
    </xf>
    <xf numFmtId="195" fontId="97" fillId="0" borderId="0" xfId="5">
      <alignment vertical="center"/>
    </xf>
    <xf numFmtId="195" fontId="117" fillId="0" borderId="0" xfId="5" applyFont="1" applyAlignment="1">
      <alignment vertical="top" wrapText="1"/>
    </xf>
    <xf numFmtId="195" fontId="61" fillId="6" borderId="1" xfId="1" applyNumberFormat="1" applyFont="1" applyFill="1" applyBorder="1" applyAlignment="1" applyProtection="1"/>
    <xf numFmtId="195" fontId="49" fillId="6" borderId="1" xfId="1" applyNumberFormat="1" applyFont="1" applyFill="1" applyBorder="1" applyAlignment="1" applyProtection="1">
      <alignment horizontal="center" vertical="center"/>
    </xf>
    <xf numFmtId="195" fontId="55" fillId="6" borderId="1" xfId="1" applyNumberFormat="1" applyFont="1" applyFill="1" applyBorder="1" applyAlignment="1" applyProtection="1">
      <alignment horizontal="center"/>
    </xf>
    <xf numFmtId="195" fontId="55" fillId="6" borderId="1" xfId="0" applyNumberFormat="1" applyFont="1" applyFill="1" applyBorder="1" applyProtection="1">
      <alignment vertical="center"/>
    </xf>
    <xf numFmtId="195" fontId="56" fillId="6" borderId="1" xfId="1" applyNumberFormat="1" applyFont="1" applyFill="1" applyBorder="1" applyAlignment="1" applyProtection="1">
      <alignment horizontal="center"/>
    </xf>
    <xf numFmtId="195" fontId="47" fillId="0" borderId="2" xfId="7" applyFont="1" applyFill="1" applyBorder="1" applyAlignment="1" applyProtection="1">
      <alignment horizontal="center" vertical="center" wrapText="1"/>
    </xf>
    <xf numFmtId="195" fontId="47" fillId="0" borderId="1" xfId="7" applyFont="1" applyFill="1" applyBorder="1" applyAlignment="1" applyProtection="1">
      <alignment horizontal="center" vertical="center" wrapText="1"/>
    </xf>
    <xf numFmtId="195" fontId="63" fillId="0" borderId="1" xfId="7" applyFont="1" applyFill="1" applyBorder="1" applyAlignment="1" applyProtection="1">
      <alignment horizontal="center" vertical="center" wrapText="1"/>
    </xf>
    <xf numFmtId="195" fontId="47" fillId="0" borderId="3" xfId="7"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5" fontId="63" fillId="0" borderId="3" xfId="7" applyFont="1" applyFill="1" applyBorder="1" applyAlignment="1" applyProtection="1">
      <alignment horizontal="center" vertical="center" wrapText="1"/>
    </xf>
    <xf numFmtId="195"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195" fontId="100" fillId="6" borderId="28" xfId="0" applyNumberFormat="1" applyFont="1" applyFill="1" applyBorder="1" applyProtection="1">
      <alignment vertical="center"/>
    </xf>
    <xf numFmtId="195" fontId="100" fillId="6" borderId="5" xfId="0" applyNumberFormat="1" applyFont="1" applyFill="1" applyBorder="1" applyProtection="1">
      <alignment vertical="center"/>
    </xf>
    <xf numFmtId="195"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5" fontId="60" fillId="6" borderId="41" xfId="0" applyFont="1" applyFill="1" applyBorder="1" applyAlignment="1" applyProtection="1">
      <alignment horizontal="center" vertical="center"/>
    </xf>
    <xf numFmtId="195" fontId="60" fillId="0" borderId="2" xfId="0" applyFont="1" applyBorder="1" applyAlignment="1" applyProtection="1">
      <alignment horizontal="center" vertical="center"/>
      <protection locked="0"/>
    </xf>
    <xf numFmtId="195" fontId="60" fillId="0" borderId="4" xfId="0" applyFont="1" applyBorder="1" applyAlignment="1" applyProtection="1">
      <alignment horizontal="center" vertical="center"/>
      <protection locked="0"/>
    </xf>
    <xf numFmtId="195" fontId="60" fillId="0" borderId="93" xfId="0" applyFont="1" applyFill="1" applyBorder="1" applyAlignment="1" applyProtection="1">
      <alignment horizontal="center" vertical="center"/>
      <protection locked="0"/>
    </xf>
    <xf numFmtId="195"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5" fontId="60" fillId="6" borderId="23" xfId="0" applyFont="1" applyFill="1" applyBorder="1" applyAlignment="1" applyProtection="1">
      <alignment horizontal="center" vertical="center"/>
    </xf>
    <xf numFmtId="195" fontId="60" fillId="0" borderId="1" xfId="0" applyFont="1" applyBorder="1" applyAlignment="1" applyProtection="1">
      <alignment horizontal="center" vertical="center"/>
      <protection locked="0"/>
    </xf>
    <xf numFmtId="195" fontId="60" fillId="0" borderId="5" xfId="0" applyFont="1" applyBorder="1" applyAlignment="1" applyProtection="1">
      <alignment horizontal="center" vertical="center"/>
      <protection locked="0"/>
    </xf>
    <xf numFmtId="195" fontId="60" fillId="0" borderId="92" xfId="0" applyFont="1" applyFill="1" applyBorder="1" applyAlignment="1" applyProtection="1">
      <alignment horizontal="center" vertical="center"/>
      <protection locked="0"/>
    </xf>
    <xf numFmtId="195" fontId="60" fillId="0" borderId="24" xfId="0" applyFont="1" applyBorder="1" applyAlignment="1" applyProtection="1">
      <alignment horizontal="center" vertical="center"/>
      <protection locked="0"/>
    </xf>
    <xf numFmtId="195"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5" fontId="100" fillId="0" borderId="92" xfId="0" applyFont="1" applyFill="1" applyBorder="1" applyAlignment="1" applyProtection="1">
      <alignment horizontal="center" vertical="center"/>
      <protection locked="0"/>
    </xf>
    <xf numFmtId="195" fontId="60" fillId="6" borderId="32" xfId="0" applyFont="1" applyFill="1" applyBorder="1" applyAlignment="1" applyProtection="1">
      <alignment horizontal="center" vertical="center"/>
    </xf>
    <xf numFmtId="195" fontId="60" fillId="6" borderId="47" xfId="0" applyFont="1" applyFill="1" applyBorder="1" applyAlignment="1" applyProtection="1">
      <alignment horizontal="center" vertical="center"/>
    </xf>
    <xf numFmtId="195"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5"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5" fontId="53" fillId="6" borderId="28" xfId="0" applyFont="1" applyFill="1" applyBorder="1" applyAlignment="1" applyProtection="1">
      <alignment horizontal="center" vertical="center"/>
    </xf>
    <xf numFmtId="195" fontId="101" fillId="6" borderId="24" xfId="0" applyFont="1" applyFill="1" applyBorder="1" applyAlignment="1" applyProtection="1">
      <alignment horizontal="center" vertical="center"/>
    </xf>
    <xf numFmtId="195" fontId="74" fillId="5" borderId="23" xfId="0" applyFont="1" applyFill="1" applyBorder="1" applyAlignment="1" applyProtection="1">
      <alignment horizontal="center" vertical="center"/>
      <protection locked="0"/>
    </xf>
    <xf numFmtId="195" fontId="101" fillId="6" borderId="49" xfId="0" applyFont="1" applyFill="1" applyBorder="1" applyAlignment="1" applyProtection="1">
      <alignment horizontal="center" vertical="center"/>
    </xf>
    <xf numFmtId="195" fontId="101" fillId="6" borderId="86" xfId="0" applyFont="1" applyFill="1" applyBorder="1" applyAlignment="1" applyProtection="1">
      <alignment horizontal="center" vertical="center"/>
    </xf>
    <xf numFmtId="195" fontId="101" fillId="0" borderId="86" xfId="0" applyFont="1" applyFill="1" applyBorder="1" applyAlignment="1" applyProtection="1">
      <alignment horizontal="center" vertical="center"/>
      <protection locked="0"/>
    </xf>
    <xf numFmtId="195" fontId="101" fillId="0" borderId="96" xfId="0" applyFont="1" applyFill="1" applyBorder="1" applyAlignment="1" applyProtection="1">
      <alignment horizontal="center" vertical="center"/>
      <protection locked="0"/>
    </xf>
    <xf numFmtId="195" fontId="74" fillId="6" borderId="32" xfId="0" applyFont="1" applyFill="1" applyBorder="1" applyAlignment="1" applyProtection="1">
      <alignment horizontal="center" vertical="center"/>
    </xf>
    <xf numFmtId="195" fontId="49" fillId="0" borderId="2" xfId="0" applyNumberFormat="1" applyFont="1" applyFill="1" applyBorder="1" applyAlignment="1" applyProtection="1">
      <alignment horizontal="center" vertical="center" wrapText="1"/>
      <protection locked="0"/>
    </xf>
    <xf numFmtId="195" fontId="49" fillId="6" borderId="97" xfId="0" applyNumberFormat="1" applyFont="1" applyFill="1" applyBorder="1" applyAlignment="1" applyProtection="1">
      <alignment horizontal="center" vertical="center" wrapText="1"/>
    </xf>
    <xf numFmtId="195" fontId="55" fillId="0" borderId="98" xfId="0" applyNumberFormat="1" applyFont="1" applyFill="1" applyBorder="1" applyAlignment="1" applyProtection="1">
      <alignment horizontal="center" vertical="center" wrapText="1"/>
      <protection locked="0"/>
    </xf>
    <xf numFmtId="195" fontId="55" fillId="6" borderId="99" xfId="0" applyNumberFormat="1" applyFont="1" applyFill="1" applyBorder="1" applyAlignment="1" applyProtection="1">
      <alignment horizontal="center" vertical="center" wrapText="1"/>
    </xf>
    <xf numFmtId="195" fontId="55" fillId="6" borderId="98" xfId="0" applyNumberFormat="1" applyFont="1" applyFill="1" applyBorder="1" applyAlignment="1" applyProtection="1">
      <alignment horizontal="center" vertical="center" wrapText="1"/>
    </xf>
    <xf numFmtId="195" fontId="49" fillId="0" borderId="100" xfId="0" applyNumberFormat="1" applyFont="1" applyFill="1" applyBorder="1" applyAlignment="1" applyProtection="1">
      <alignment horizontal="center" vertical="center" wrapText="1"/>
      <protection locked="0"/>
    </xf>
    <xf numFmtId="195" fontId="49" fillId="0" borderId="41" xfId="0" applyNumberFormat="1" applyFont="1" applyFill="1" applyBorder="1" applyAlignment="1" applyProtection="1">
      <alignment horizontal="center" vertical="center" wrapText="1"/>
      <protection locked="0"/>
    </xf>
    <xf numFmtId="195" fontId="49" fillId="6" borderId="100" xfId="0" applyNumberFormat="1" applyFont="1" applyFill="1" applyBorder="1" applyAlignment="1" applyProtection="1">
      <alignment horizontal="center" vertical="center" wrapText="1"/>
    </xf>
    <xf numFmtId="195" fontId="53" fillId="0" borderId="58" xfId="0" applyFont="1" applyFill="1" applyBorder="1" applyAlignment="1" applyProtection="1">
      <alignment horizontal="center" vertical="center"/>
      <protection locked="0"/>
    </xf>
    <xf numFmtId="195" fontId="59" fillId="6" borderId="0" xfId="0" applyFont="1" applyFill="1" applyBorder="1" applyAlignment="1" applyProtection="1">
      <alignment vertical="center"/>
      <protection locked="0"/>
    </xf>
    <xf numFmtId="195" fontId="64" fillId="6" borderId="0" xfId="0" applyFont="1" applyFill="1" applyBorder="1" applyAlignment="1" applyProtection="1">
      <alignment vertical="center"/>
      <protection locked="0"/>
    </xf>
    <xf numFmtId="195"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5"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5"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5" fontId="46" fillId="6" borderId="0" xfId="0" applyFont="1" applyFill="1" applyBorder="1" applyAlignment="1" applyProtection="1">
      <alignment horizontal="center" vertical="center"/>
      <protection locked="0"/>
    </xf>
    <xf numFmtId="195"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5" fontId="69" fillId="6" borderId="0" xfId="0" applyFont="1" applyFill="1" applyBorder="1" applyAlignment="1" applyProtection="1">
      <alignment horizontal="center" vertical="center"/>
      <protection locked="0"/>
    </xf>
    <xf numFmtId="195"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5"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protection locked="0"/>
    </xf>
    <xf numFmtId="195"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5" fontId="53" fillId="6" borderId="0" xfId="0" applyFont="1" applyFill="1" applyAlignment="1" applyProtection="1">
      <alignment horizontal="center" vertical="center"/>
      <protection locked="0"/>
    </xf>
    <xf numFmtId="195"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5" fontId="46" fillId="6" borderId="0" xfId="0" applyNumberFormat="1" applyFont="1" applyFill="1" applyBorder="1" applyAlignment="1" applyProtection="1">
      <alignment horizontal="center" vertical="center" wrapText="1"/>
      <protection locked="0"/>
    </xf>
    <xf numFmtId="195" fontId="70" fillId="6" borderId="0" xfId="0" applyNumberFormat="1" applyFont="1" applyFill="1" applyBorder="1" applyAlignment="1" applyProtection="1">
      <alignment horizontal="center" vertical="center" wrapText="1"/>
      <protection locked="0"/>
    </xf>
    <xf numFmtId="195" fontId="53" fillId="6" borderId="0" xfId="0" applyNumberFormat="1" applyFont="1" applyFill="1" applyBorder="1" applyAlignment="1" applyProtection="1">
      <alignment horizontal="center" vertical="center" wrapText="1"/>
      <protection locked="0"/>
    </xf>
    <xf numFmtId="195" fontId="51" fillId="6" borderId="0" xfId="0" applyNumberFormat="1" applyFont="1" applyFill="1" applyBorder="1" applyAlignment="1" applyProtection="1">
      <alignment horizontal="center" vertical="center" wrapText="1"/>
      <protection locked="0"/>
    </xf>
    <xf numFmtId="195"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5" fontId="55" fillId="6" borderId="0" xfId="0" applyFont="1" applyFill="1" applyAlignment="1" applyProtection="1">
      <protection locked="0"/>
    </xf>
    <xf numFmtId="195"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5" fontId="46" fillId="0" borderId="43" xfId="0" applyNumberFormat="1" applyFont="1" applyFill="1" applyBorder="1" applyAlignment="1" applyProtection="1">
      <alignment horizontal="center" vertical="center" wrapText="1"/>
      <protection locked="0"/>
    </xf>
    <xf numFmtId="195"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5" fontId="54" fillId="6" borderId="13" xfId="0" applyFont="1" applyFill="1" applyBorder="1" applyAlignment="1" applyProtection="1">
      <alignment vertical="center" wrapText="1"/>
      <protection locked="0"/>
    </xf>
    <xf numFmtId="195" fontId="49" fillId="6" borderId="13" xfId="0" applyFont="1" applyFill="1" applyBorder="1" applyAlignment="1" applyProtection="1">
      <alignment vertical="center"/>
      <protection locked="0"/>
    </xf>
    <xf numFmtId="195"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5" fontId="54" fillId="6" borderId="15" xfId="0" applyFont="1" applyFill="1" applyBorder="1" applyAlignment="1" applyProtection="1">
      <alignment vertical="center" wrapText="1"/>
      <protection locked="0"/>
    </xf>
    <xf numFmtId="195"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5" fontId="54" fillId="6" borderId="2" xfId="0" applyFont="1" applyFill="1" applyBorder="1" applyAlignment="1" applyProtection="1">
      <alignment vertical="center" wrapText="1"/>
      <protection locked="0"/>
    </xf>
    <xf numFmtId="195"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5" fontId="54" fillId="6" borderId="1" xfId="0" applyFont="1" applyFill="1" applyBorder="1" applyAlignment="1" applyProtection="1">
      <alignment horizontal="left" vertical="center"/>
      <protection locked="0"/>
    </xf>
    <xf numFmtId="195" fontId="54" fillId="6" borderId="1"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protection locked="0"/>
    </xf>
    <xf numFmtId="195" fontId="49" fillId="6" borderId="54" xfId="0" applyFont="1" applyFill="1" applyBorder="1" applyAlignment="1" applyProtection="1">
      <alignment horizontal="center" vertical="center"/>
      <protection locked="0"/>
    </xf>
    <xf numFmtId="195" fontId="49" fillId="6" borderId="48"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wrapText="1"/>
      <protection locked="0"/>
    </xf>
    <xf numFmtId="195" fontId="49" fillId="6" borderId="1" xfId="0" applyFont="1" applyFill="1" applyBorder="1" applyAlignment="1" applyProtection="1">
      <alignment horizontal="left" vertical="center" wrapText="1"/>
      <protection locked="0"/>
    </xf>
    <xf numFmtId="195" fontId="49" fillId="6" borderId="13" xfId="0" applyFont="1" applyFill="1" applyBorder="1" applyAlignment="1" applyProtection="1">
      <alignment horizontal="left" vertical="center" wrapText="1"/>
      <protection locked="0"/>
    </xf>
    <xf numFmtId="195" fontId="49" fillId="6" borderId="2" xfId="0" applyFont="1" applyFill="1" applyBorder="1" applyAlignment="1" applyProtection="1">
      <alignment horizontal="left" vertical="center" wrapText="1"/>
      <protection locked="0"/>
    </xf>
    <xf numFmtId="195" fontId="54" fillId="6" borderId="1" xfId="0" applyFont="1" applyFill="1" applyBorder="1" applyAlignment="1" applyProtection="1">
      <alignment horizontal="left" vertical="center" wrapText="1"/>
      <protection locked="0"/>
    </xf>
    <xf numFmtId="195" fontId="49" fillId="6" borderId="54" xfId="0" applyFont="1" applyFill="1" applyBorder="1" applyAlignment="1" applyProtection="1">
      <alignment horizontal="center" vertical="center" wrapText="1"/>
      <protection locked="0"/>
    </xf>
    <xf numFmtId="195" fontId="49" fillId="6" borderId="48" xfId="0" applyFont="1" applyFill="1" applyBorder="1" applyAlignment="1" applyProtection="1">
      <alignment horizontal="center" vertical="center" wrapText="1"/>
      <protection locked="0"/>
    </xf>
    <xf numFmtId="195"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5" fontId="54" fillId="6" borderId="32" xfId="0" applyFont="1" applyFill="1" applyBorder="1" applyAlignment="1" applyProtection="1">
      <alignment horizontal="left" vertical="center"/>
      <protection locked="0"/>
    </xf>
    <xf numFmtId="195" fontId="49" fillId="6" borderId="32" xfId="0" applyFont="1" applyFill="1" applyBorder="1" applyAlignment="1" applyProtection="1">
      <alignment vertical="center"/>
      <protection locked="0"/>
    </xf>
    <xf numFmtId="195"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5" fontId="49" fillId="6" borderId="17" xfId="0" applyFont="1" applyFill="1" applyBorder="1" applyAlignment="1" applyProtection="1">
      <alignment horizontal="center" vertical="center"/>
      <protection locked="0"/>
    </xf>
    <xf numFmtId="195" fontId="54" fillId="6" borderId="58" xfId="0" applyFont="1" applyFill="1" applyBorder="1" applyAlignment="1" applyProtection="1">
      <alignment vertical="center" wrapText="1"/>
      <protection locked="0"/>
    </xf>
    <xf numFmtId="195" fontId="54" fillId="6" borderId="58" xfId="0" applyFont="1" applyFill="1" applyBorder="1" applyAlignment="1" applyProtection="1">
      <alignment horizontal="center" vertical="center"/>
      <protection locked="0"/>
    </xf>
    <xf numFmtId="195"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5" fontId="49" fillId="6" borderId="32" xfId="0" applyFont="1" applyFill="1" applyBorder="1" applyAlignment="1" applyProtection="1">
      <alignment horizontal="center" vertical="center"/>
    </xf>
    <xf numFmtId="195" fontId="56" fillId="6" borderId="46" xfId="0" applyNumberFormat="1" applyFont="1" applyFill="1" applyBorder="1" applyAlignment="1" applyProtection="1">
      <alignment vertical="center" wrapText="1"/>
      <protection locked="0"/>
    </xf>
    <xf numFmtId="195" fontId="49" fillId="6" borderId="21" xfId="0" applyNumberFormat="1" applyFont="1" applyFill="1" applyBorder="1" applyAlignment="1" applyProtection="1">
      <alignment horizontal="center" vertical="center" wrapText="1"/>
    </xf>
    <xf numFmtId="195" fontId="62" fillId="6" borderId="58" xfId="0" applyNumberFormat="1" applyFont="1" applyFill="1" applyBorder="1" applyAlignment="1" applyProtection="1">
      <alignment vertical="center" textRotation="255" wrapText="1"/>
      <protection locked="0"/>
    </xf>
    <xf numFmtId="195" fontId="62" fillId="6" borderId="58" xfId="0" applyNumberFormat="1" applyFont="1" applyFill="1" applyBorder="1" applyAlignment="1" applyProtection="1">
      <alignment vertical="center" wrapText="1"/>
      <protection locked="0"/>
    </xf>
    <xf numFmtId="195" fontId="49" fillId="6" borderId="18" xfId="0" applyNumberFormat="1" applyFont="1" applyFill="1" applyBorder="1" applyAlignment="1" applyProtection="1">
      <alignment horizontal="center" vertical="center" wrapText="1"/>
    </xf>
    <xf numFmtId="195" fontId="49" fillId="0" borderId="11" xfId="0" applyNumberFormat="1" applyFont="1" applyFill="1" applyBorder="1" applyAlignment="1" applyProtection="1">
      <alignment horizontal="center" vertical="center" wrapText="1"/>
      <protection locked="0"/>
    </xf>
    <xf numFmtId="195" fontId="55" fillId="0" borderId="13" xfId="0" applyNumberFormat="1" applyFont="1" applyFill="1" applyBorder="1" applyAlignment="1" applyProtection="1">
      <alignment horizontal="center" vertical="center" wrapText="1"/>
      <protection locked="0"/>
    </xf>
    <xf numFmtId="195" fontId="55" fillId="0" borderId="46" xfId="0" applyNumberFormat="1" applyFont="1" applyFill="1" applyBorder="1" applyAlignment="1" applyProtection="1">
      <alignment horizontal="center" vertical="center" wrapText="1"/>
      <protection locked="0"/>
    </xf>
    <xf numFmtId="195" fontId="55" fillId="0" borderId="59" xfId="0" applyNumberFormat="1" applyFont="1" applyFill="1" applyBorder="1" applyAlignment="1" applyProtection="1">
      <alignment horizontal="center" vertical="center" wrapText="1"/>
      <protection locked="0"/>
    </xf>
    <xf numFmtId="195" fontId="55" fillId="6" borderId="56" xfId="0" applyNumberFormat="1" applyFont="1" applyFill="1" applyBorder="1" applyAlignment="1" applyProtection="1">
      <alignment horizontal="center" vertical="center" wrapText="1"/>
    </xf>
    <xf numFmtId="195" fontId="54" fillId="6" borderId="58" xfId="0" applyNumberFormat="1" applyFont="1" applyFill="1" applyBorder="1" applyAlignment="1" applyProtection="1">
      <alignment vertical="center" wrapText="1"/>
      <protection locked="0"/>
    </xf>
    <xf numFmtId="195" fontId="49" fillId="0" borderId="109" xfId="0" applyNumberFormat="1" applyFont="1" applyFill="1" applyBorder="1" applyAlignment="1" applyProtection="1">
      <alignment horizontal="center" vertical="center" wrapText="1"/>
      <protection locked="0"/>
    </xf>
    <xf numFmtId="195" fontId="49" fillId="0" borderId="110" xfId="0" applyNumberFormat="1" applyFont="1" applyFill="1" applyBorder="1" applyAlignment="1" applyProtection="1">
      <alignment horizontal="center" vertical="center" wrapText="1"/>
      <protection locked="0"/>
    </xf>
    <xf numFmtId="195" fontId="49" fillId="0" borderId="111" xfId="0" applyNumberFormat="1" applyFont="1" applyFill="1" applyBorder="1" applyAlignment="1" applyProtection="1">
      <alignment horizontal="center" vertical="center" wrapText="1"/>
      <protection locked="0"/>
    </xf>
    <xf numFmtId="195" fontId="49" fillId="0" borderId="113" xfId="0" applyNumberFormat="1" applyFont="1" applyFill="1" applyBorder="1" applyAlignment="1" applyProtection="1">
      <alignment horizontal="center" vertical="center" wrapText="1"/>
      <protection locked="0"/>
    </xf>
    <xf numFmtId="195" fontId="49" fillId="6" borderId="11" xfId="0" applyNumberFormat="1" applyFont="1" applyFill="1" applyBorder="1" applyAlignment="1" applyProtection="1">
      <alignment horizontal="center" vertical="center" wrapText="1"/>
    </xf>
    <xf numFmtId="195" fontId="55" fillId="6" borderId="13" xfId="0" applyNumberFormat="1" applyFont="1" applyFill="1" applyBorder="1" applyAlignment="1" applyProtection="1">
      <alignment horizontal="center" vertical="center" wrapText="1"/>
    </xf>
    <xf numFmtId="195" fontId="49" fillId="0" borderId="116" xfId="0" applyFont="1" applyFill="1" applyBorder="1" applyAlignment="1" applyProtection="1">
      <alignment horizontal="center" vertical="center"/>
      <protection locked="0"/>
    </xf>
    <xf numFmtId="195"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protection locked="0"/>
    </xf>
    <xf numFmtId="195" fontId="49" fillId="0" borderId="113" xfId="0" applyFont="1" applyFill="1" applyBorder="1" applyAlignment="1" applyProtection="1">
      <alignment horizontal="center" vertical="center"/>
      <protection locked="0"/>
    </xf>
    <xf numFmtId="195" fontId="49" fillId="6" borderId="113" xfId="0" applyNumberFormat="1" applyFont="1" applyFill="1" applyBorder="1" applyAlignment="1" applyProtection="1">
      <alignment horizontal="center" vertical="center" wrapText="1"/>
    </xf>
    <xf numFmtId="195" fontId="55" fillId="0" borderId="114" xfId="0" applyNumberFormat="1" applyFont="1" applyFill="1" applyBorder="1" applyAlignment="1" applyProtection="1">
      <alignment horizontal="center" vertical="center" wrapText="1"/>
      <protection locked="0"/>
    </xf>
    <xf numFmtId="195" fontId="55" fillId="0" borderId="115" xfId="0" applyNumberFormat="1" applyFont="1" applyFill="1" applyBorder="1" applyAlignment="1" applyProtection="1">
      <alignment horizontal="center" vertical="center" wrapText="1"/>
      <protection locked="0"/>
    </xf>
    <xf numFmtId="195" fontId="49" fillId="10" borderId="6"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left" vertical="center" wrapText="1"/>
      <protection locked="0"/>
    </xf>
    <xf numFmtId="195" fontId="49" fillId="10" borderId="28" xfId="0" applyNumberFormat="1" applyFont="1" applyFill="1" applyBorder="1" applyAlignment="1" applyProtection="1">
      <alignment horizontal="center" vertical="center" wrapText="1"/>
      <protection locked="0"/>
    </xf>
    <xf numFmtId="195" fontId="49" fillId="10" borderId="29" xfId="0" applyFont="1" applyFill="1" applyBorder="1" applyAlignment="1" applyProtection="1">
      <alignment horizontal="center" vertical="center"/>
      <protection locked="0"/>
    </xf>
    <xf numFmtId="195"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protection locked="0"/>
    </xf>
    <xf numFmtId="195" fontId="49" fillId="10" borderId="31" xfId="0" applyFont="1" applyFill="1" applyBorder="1" applyAlignment="1" applyProtection="1">
      <alignment horizontal="center" vertical="center"/>
      <protection locked="0"/>
    </xf>
    <xf numFmtId="195" fontId="54" fillId="10" borderId="96" xfId="0" applyNumberFormat="1" applyFont="1" applyFill="1" applyBorder="1" applyAlignment="1" applyProtection="1">
      <alignment vertical="center" wrapText="1"/>
      <protection locked="0"/>
    </xf>
    <xf numFmtId="195" fontId="49" fillId="10" borderId="42" xfId="0" applyNumberFormat="1" applyFont="1" applyFill="1" applyBorder="1" applyAlignment="1" applyProtection="1">
      <alignment horizontal="center" vertical="center" wrapText="1"/>
    </xf>
    <xf numFmtId="195" fontId="49" fillId="10" borderId="25" xfId="0" applyNumberFormat="1" applyFont="1" applyFill="1" applyBorder="1" applyAlignment="1" applyProtection="1">
      <alignment horizontal="center" vertical="center" wrapText="1"/>
      <protection locked="0"/>
    </xf>
    <xf numFmtId="195" fontId="55" fillId="10" borderId="32" xfId="0" applyNumberFormat="1" applyFont="1" applyFill="1" applyBorder="1" applyAlignment="1" applyProtection="1">
      <alignment horizontal="center" vertical="center" wrapText="1"/>
      <protection locked="0"/>
    </xf>
    <xf numFmtId="195" fontId="55" fillId="10" borderId="33" xfId="0" applyNumberFormat="1" applyFont="1" applyFill="1" applyBorder="1" applyAlignment="1" applyProtection="1">
      <alignment horizontal="center" vertical="center" wrapText="1"/>
      <protection locked="0"/>
    </xf>
    <xf numFmtId="195" fontId="55" fillId="10" borderId="68" xfId="0" applyNumberFormat="1" applyFont="1" applyFill="1" applyBorder="1" applyAlignment="1" applyProtection="1">
      <alignment horizontal="center" vertical="center" wrapText="1"/>
      <protection locked="0"/>
    </xf>
    <xf numFmtId="195" fontId="46" fillId="6" borderId="1" xfId="0" applyFont="1" applyFill="1" applyBorder="1" applyProtection="1">
      <alignment vertical="center"/>
    </xf>
    <xf numFmtId="176" fontId="46" fillId="6" borderId="1" xfId="0" applyNumberFormat="1" applyFont="1" applyFill="1" applyBorder="1" applyProtection="1">
      <alignment vertical="center"/>
    </xf>
    <xf numFmtId="195"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5"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5"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5" fontId="46" fillId="6" borderId="6" xfId="0" applyFont="1" applyFill="1" applyBorder="1" applyAlignment="1" applyProtection="1">
      <alignment horizontal="center" vertical="center" wrapText="1"/>
    </xf>
    <xf numFmtId="195" fontId="46" fillId="6" borderId="9" xfId="0" applyFont="1" applyFill="1" applyBorder="1" applyAlignment="1" applyProtection="1">
      <alignment horizontal="center" vertical="center" wrapText="1"/>
    </xf>
    <xf numFmtId="195" fontId="49" fillId="6" borderId="46" xfId="0" applyFont="1" applyFill="1" applyBorder="1" applyAlignment="1" applyProtection="1">
      <alignment horizontal="center" vertical="center" wrapText="1"/>
    </xf>
    <xf numFmtId="195" fontId="101" fillId="6" borderId="1" xfId="0" applyFont="1" applyFill="1" applyBorder="1" applyAlignment="1" applyProtection="1">
      <alignment horizontal="left" vertical="center" wrapText="1"/>
      <protection locked="0"/>
    </xf>
    <xf numFmtId="195" fontId="49" fillId="3" borderId="5" xfId="0" applyFont="1" applyFill="1" applyBorder="1" applyAlignment="1" applyProtection="1">
      <alignment horizontal="center" vertical="center" wrapText="1"/>
      <protection locked="0"/>
    </xf>
    <xf numFmtId="195"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5" fontId="49" fillId="6" borderId="46" xfId="0" applyFont="1" applyFill="1" applyBorder="1" applyAlignment="1" applyProtection="1">
      <alignment vertical="center"/>
      <protection locked="0"/>
    </xf>
    <xf numFmtId="195" fontId="49" fillId="6" borderId="7" xfId="0" applyFont="1" applyFill="1" applyBorder="1" applyAlignment="1" applyProtection="1">
      <alignment horizontal="left" vertical="center"/>
      <protection locked="0"/>
    </xf>
    <xf numFmtId="195" fontId="54" fillId="6" borderId="8" xfId="0" applyFont="1" applyFill="1" applyBorder="1" applyAlignment="1" applyProtection="1">
      <alignment horizontal="center" vertical="center"/>
    </xf>
    <xf numFmtId="195" fontId="49" fillId="6" borderId="29" xfId="0" applyFont="1" applyFill="1" applyBorder="1" applyAlignment="1" applyProtection="1">
      <alignment horizontal="right" vertical="center"/>
      <protection locked="0"/>
    </xf>
    <xf numFmtId="195" fontId="49" fillId="6" borderId="31" xfId="0" applyFont="1" applyFill="1" applyBorder="1" applyAlignment="1" applyProtection="1">
      <alignment horizontal="center" vertical="center"/>
      <protection locked="0"/>
    </xf>
    <xf numFmtId="195" fontId="56" fillId="7" borderId="24" xfId="0" applyFont="1" applyFill="1" applyBorder="1" applyAlignment="1" applyProtection="1">
      <alignment horizontal="center" vertical="center"/>
      <protection locked="0"/>
    </xf>
    <xf numFmtId="195" fontId="60" fillId="6" borderId="0" xfId="0" applyFont="1" applyFill="1" applyAlignment="1" applyProtection="1">
      <alignment horizontal="center" vertical="center"/>
    </xf>
    <xf numFmtId="195"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195" fontId="14" fillId="6" borderId="24" xfId="0" applyFont="1" applyFill="1" applyBorder="1" applyAlignment="1" applyProtection="1">
      <alignment vertical="center"/>
    </xf>
    <xf numFmtId="195"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5" fontId="49" fillId="6" borderId="15" xfId="0" applyFont="1" applyFill="1" applyBorder="1" applyAlignment="1" applyProtection="1">
      <alignment horizontal="center" vertical="center"/>
    </xf>
    <xf numFmtId="195" fontId="49" fillId="6" borderId="4" xfId="0" applyFont="1" applyFill="1" applyBorder="1" applyAlignment="1" applyProtection="1">
      <alignment horizontal="right" vertical="center"/>
    </xf>
    <xf numFmtId="195"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5" fontId="54" fillId="6" borderId="22" xfId="0" applyFont="1" applyFill="1" applyBorder="1" applyAlignment="1" applyProtection="1">
      <alignment horizontal="center" vertical="center"/>
    </xf>
    <xf numFmtId="195" fontId="54" fillId="6" borderId="0" xfId="0" applyFont="1" applyFill="1" applyBorder="1" applyAlignment="1" applyProtection="1">
      <alignment horizontal="center" vertical="center"/>
    </xf>
    <xf numFmtId="195"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195" fontId="54" fillId="6" borderId="2" xfId="0" applyFont="1" applyFill="1" applyBorder="1" applyAlignment="1" applyProtection="1">
      <alignment horizontal="left" vertical="center"/>
    </xf>
    <xf numFmtId="195"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5" fontId="54" fillId="0" borderId="78" xfId="0" applyFont="1" applyFill="1" applyBorder="1" applyAlignment="1" applyProtection="1">
      <alignment horizontal="center" vertical="center"/>
      <protection locked="0"/>
    </xf>
    <xf numFmtId="195"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5" fontId="49" fillId="6" borderId="4" xfId="0" applyFont="1" applyFill="1" applyBorder="1" applyAlignment="1" applyProtection="1">
      <alignment horizontal="left" vertical="center"/>
    </xf>
    <xf numFmtId="195"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5" fontId="49" fillId="6" borderId="78" xfId="0" applyFont="1" applyFill="1" applyBorder="1" applyAlignment="1" applyProtection="1">
      <alignment horizontal="left" vertical="center"/>
    </xf>
    <xf numFmtId="195" fontId="49" fillId="6" borderId="78" xfId="0" applyFont="1" applyFill="1" applyBorder="1" applyAlignment="1" applyProtection="1">
      <alignment horizontal="center" vertical="center"/>
    </xf>
    <xf numFmtId="195"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5" fontId="54" fillId="6" borderId="2" xfId="0" applyFont="1" applyFill="1" applyBorder="1" applyAlignment="1" applyProtection="1">
      <alignment horizontal="left" vertical="center" wrapText="1"/>
    </xf>
    <xf numFmtId="195" fontId="49" fillId="6" borderId="4" xfId="0" applyFont="1" applyFill="1" applyBorder="1" applyAlignment="1" applyProtection="1">
      <alignment horizontal="left" vertical="center" wrapText="1"/>
    </xf>
    <xf numFmtId="195" fontId="49" fillId="6" borderId="60" xfId="0" applyFont="1" applyFill="1" applyBorder="1" applyAlignment="1" applyProtection="1">
      <alignment horizontal="center" vertical="center" wrapText="1"/>
    </xf>
    <xf numFmtId="195" fontId="49" fillId="6" borderId="71" xfId="0" applyFont="1" applyFill="1" applyBorder="1" applyAlignment="1" applyProtection="1">
      <alignment horizontal="center" vertical="center" wrapText="1"/>
    </xf>
    <xf numFmtId="195"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5" fontId="49" fillId="6" borderId="85" xfId="0" applyFont="1" applyFill="1" applyBorder="1" applyAlignment="1" applyProtection="1">
      <alignment horizontal="left" vertical="center"/>
    </xf>
    <xf numFmtId="195"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5"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5" fontId="49" fillId="6" borderId="5" xfId="0" applyFont="1" applyFill="1" applyBorder="1" applyAlignment="1" applyProtection="1">
      <alignment horizontal="center" vertical="center"/>
      <protection locked="0"/>
    </xf>
    <xf numFmtId="195" fontId="49" fillId="6" borderId="5" xfId="0" applyFont="1" applyFill="1" applyBorder="1" applyAlignment="1" applyProtection="1">
      <alignment horizontal="right" vertical="center"/>
      <protection locked="0"/>
    </xf>
    <xf numFmtId="195" fontId="54" fillId="6" borderId="46" xfId="0" applyFont="1" applyFill="1" applyBorder="1" applyAlignment="1" applyProtection="1">
      <alignment horizontal="center" vertical="center"/>
    </xf>
    <xf numFmtId="195"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5" fontId="49" fillId="6" borderId="17" xfId="0" applyFont="1" applyFill="1" applyBorder="1" applyAlignment="1" applyProtection="1">
      <alignment horizontal="center" vertical="center"/>
    </xf>
    <xf numFmtId="195" fontId="54" fillId="6" borderId="58" xfId="0" applyFont="1" applyFill="1" applyBorder="1" applyAlignment="1" applyProtection="1">
      <alignment horizontal="center" vertical="center"/>
    </xf>
    <xf numFmtId="195" fontId="55" fillId="7" borderId="0" xfId="0" applyFont="1" applyFill="1" applyAlignment="1" applyProtection="1">
      <alignment vertical="center" wrapText="1"/>
      <protection locked="0"/>
    </xf>
    <xf numFmtId="195" fontId="55" fillId="7" borderId="0" xfId="0" applyFont="1" applyFill="1" applyAlignment="1" applyProtection="1">
      <alignment horizontal="center" vertical="center" wrapText="1"/>
      <protection locked="0"/>
    </xf>
    <xf numFmtId="195" fontId="55" fillId="7" borderId="0" xfId="0" applyFont="1" applyFill="1" applyAlignment="1" applyProtection="1">
      <alignment horizontal="center" vertical="center" wrapText="1"/>
    </xf>
    <xf numFmtId="195"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5"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5" fontId="53" fillId="6" borderId="45" xfId="0" applyNumberFormat="1" applyFont="1" applyFill="1" applyBorder="1" applyAlignment="1" applyProtection="1">
      <alignment horizontal="center" vertical="center" wrapText="1"/>
    </xf>
    <xf numFmtId="195" fontId="60" fillId="6" borderId="14" xfId="0" applyNumberFormat="1" applyFont="1" applyFill="1" applyBorder="1" applyAlignment="1" applyProtection="1">
      <alignment horizontal="center" vertical="center" wrapText="1"/>
    </xf>
    <xf numFmtId="195" fontId="46" fillId="6" borderId="58" xfId="0" applyFont="1" applyFill="1" applyBorder="1" applyAlignment="1" applyProtection="1">
      <alignment horizontal="center" vertical="center" wrapText="1"/>
    </xf>
    <xf numFmtId="195" fontId="51" fillId="6" borderId="53" xfId="0" applyNumberFormat="1" applyFont="1" applyFill="1" applyBorder="1" applyAlignment="1" applyProtection="1">
      <alignment horizontal="center" vertical="center" wrapText="1"/>
    </xf>
    <xf numFmtId="195" fontId="46" fillId="0" borderId="5" xfId="0" applyFont="1" applyFill="1" applyBorder="1" applyAlignment="1" applyProtection="1">
      <alignment horizontal="center" vertical="center" wrapText="1"/>
      <protection locked="0"/>
    </xf>
    <xf numFmtId="195" fontId="53" fillId="0" borderId="5" xfId="0" applyFont="1" applyFill="1" applyBorder="1" applyAlignment="1" applyProtection="1">
      <alignment horizontal="center" vertical="center"/>
      <protection locked="0"/>
    </xf>
    <xf numFmtId="195" fontId="51" fillId="0" borderId="33" xfId="0" applyFont="1" applyFill="1" applyBorder="1" applyAlignment="1" applyProtection="1">
      <alignment horizontal="center" vertical="center"/>
      <protection locked="0"/>
    </xf>
    <xf numFmtId="195" fontId="53" fillId="6" borderId="37" xfId="0" applyNumberFormat="1" applyFont="1" applyFill="1" applyBorder="1" applyAlignment="1" applyProtection="1">
      <alignment horizontal="center" vertical="center" wrapText="1"/>
    </xf>
    <xf numFmtId="195" fontId="141" fillId="3" borderId="3" xfId="0" applyFont="1" applyFill="1" applyBorder="1" applyAlignment="1" applyProtection="1">
      <alignment vertical="center"/>
      <protection locked="0"/>
    </xf>
    <xf numFmtId="195" fontId="46" fillId="6" borderId="23" xfId="0" applyFont="1" applyFill="1" applyBorder="1" applyProtection="1">
      <alignment vertical="center"/>
    </xf>
    <xf numFmtId="195"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5" fontId="46" fillId="6" borderId="11" xfId="0" applyFont="1" applyFill="1" applyBorder="1" applyProtection="1">
      <alignment vertical="center"/>
    </xf>
    <xf numFmtId="195" fontId="46" fillId="6" borderId="13" xfId="0" applyFont="1" applyFill="1" applyBorder="1" applyProtection="1">
      <alignment vertical="center"/>
    </xf>
    <xf numFmtId="195" fontId="48" fillId="6" borderId="25" xfId="0" applyFont="1" applyFill="1" applyBorder="1" applyProtection="1">
      <alignment vertical="center"/>
    </xf>
    <xf numFmtId="195" fontId="48" fillId="6" borderId="32" xfId="0" applyFont="1" applyFill="1" applyBorder="1" applyProtection="1">
      <alignment vertical="center"/>
    </xf>
    <xf numFmtId="195" fontId="46" fillId="6" borderId="49" xfId="0" applyFont="1" applyFill="1" applyBorder="1" applyProtection="1">
      <alignment vertical="center"/>
    </xf>
    <xf numFmtId="195" fontId="46" fillId="6" borderId="24" xfId="0" applyFont="1" applyFill="1" applyBorder="1" applyProtection="1">
      <alignment vertical="center"/>
    </xf>
    <xf numFmtId="195"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5" fontId="52" fillId="6" borderId="51" xfId="0" applyNumberFormat="1" applyFont="1" applyFill="1" applyBorder="1" applyAlignment="1" applyProtection="1">
      <alignment horizontal="right" vertical="center" wrapText="1"/>
    </xf>
    <xf numFmtId="195" fontId="52" fillId="6" borderId="21" xfId="0" applyNumberFormat="1" applyFont="1" applyFill="1" applyBorder="1" applyAlignment="1" applyProtection="1">
      <alignment vertical="center" wrapText="1"/>
    </xf>
    <xf numFmtId="195" fontId="72" fillId="3" borderId="20" xfId="0" applyNumberFormat="1" applyFont="1" applyFill="1" applyBorder="1" applyAlignment="1" applyProtection="1">
      <alignment vertical="center" wrapText="1"/>
      <protection locked="0"/>
    </xf>
    <xf numFmtId="195" fontId="72" fillId="6" borderId="20" xfId="0" applyNumberFormat="1" applyFont="1" applyFill="1" applyBorder="1" applyAlignment="1" applyProtection="1">
      <alignment vertical="center" wrapText="1"/>
    </xf>
    <xf numFmtId="195" fontId="72" fillId="3" borderId="51" xfId="0" applyNumberFormat="1" applyFont="1" applyFill="1" applyBorder="1" applyAlignment="1" applyProtection="1">
      <alignment vertical="center" wrapText="1"/>
      <protection locked="0"/>
    </xf>
    <xf numFmtId="195" fontId="72" fillId="6" borderId="21" xfId="0" applyNumberFormat="1" applyFont="1" applyFill="1" applyBorder="1" applyAlignment="1" applyProtection="1">
      <alignment vertical="center" wrapText="1"/>
    </xf>
    <xf numFmtId="195" fontId="52" fillId="6" borderId="38" xfId="0" applyNumberFormat="1" applyFont="1" applyFill="1" applyBorder="1" applyAlignment="1" applyProtection="1">
      <alignment vertical="center" wrapText="1"/>
    </xf>
    <xf numFmtId="195" fontId="52" fillId="6" borderId="52" xfId="0" applyNumberFormat="1" applyFont="1" applyFill="1" applyBorder="1" applyAlignment="1" applyProtection="1">
      <alignment vertical="center" wrapText="1"/>
    </xf>
    <xf numFmtId="195" fontId="52" fillId="6" borderId="47" xfId="0" applyNumberFormat="1" applyFont="1" applyFill="1" applyBorder="1" applyAlignment="1" applyProtection="1">
      <alignment vertical="center" wrapText="1"/>
    </xf>
    <xf numFmtId="195" fontId="59" fillId="6" borderId="2" xfId="0" applyFont="1" applyFill="1" applyBorder="1" applyAlignment="1" applyProtection="1">
      <alignment horizontal="right" vertical="center"/>
    </xf>
    <xf numFmtId="195" fontId="64" fillId="6" borderId="58" xfId="0" applyFont="1" applyFill="1" applyBorder="1" applyAlignment="1" applyProtection="1">
      <alignment horizontal="center" vertical="center"/>
    </xf>
    <xf numFmtId="195" fontId="58" fillId="6" borderId="0" xfId="0" applyFont="1" applyFill="1" applyBorder="1" applyAlignment="1" applyProtection="1">
      <protection locked="0"/>
    </xf>
    <xf numFmtId="195" fontId="53" fillId="6" borderId="0" xfId="0" applyFont="1" applyFill="1" applyBorder="1" applyAlignment="1" applyProtection="1">
      <alignment horizontal="center"/>
      <protection locked="0"/>
    </xf>
    <xf numFmtId="195" fontId="46" fillId="6" borderId="0" xfId="0" applyFont="1" applyFill="1" applyAlignment="1" applyProtection="1">
      <alignment horizontal="center" vertical="center"/>
      <protection locked="0"/>
    </xf>
    <xf numFmtId="195" fontId="59" fillId="6" borderId="5" xfId="1" applyFont="1" applyFill="1" applyBorder="1" applyAlignment="1" applyProtection="1">
      <alignment horizontal="right" vertical="center"/>
    </xf>
    <xf numFmtId="195"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195"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5" fontId="46" fillId="6" borderId="22" xfId="0" applyNumberFormat="1" applyFont="1" applyFill="1" applyBorder="1" applyAlignment="1" applyProtection="1">
      <alignment horizontal="center" vertical="center" wrapText="1"/>
      <protection locked="0"/>
    </xf>
    <xf numFmtId="195" fontId="46" fillId="0" borderId="5" xfId="0" applyNumberFormat="1" applyFont="1" applyFill="1" applyBorder="1" applyAlignment="1" applyProtection="1">
      <alignment horizontal="center" vertical="center" wrapText="1"/>
      <protection locked="0"/>
    </xf>
    <xf numFmtId="195" fontId="46" fillId="0" borderId="48" xfId="0" applyNumberFormat="1" applyFont="1" applyFill="1" applyBorder="1" applyAlignment="1" applyProtection="1">
      <alignment horizontal="center" vertical="center" wrapText="1"/>
      <protection locked="0"/>
    </xf>
    <xf numFmtId="195"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5" fontId="46" fillId="6" borderId="30" xfId="0" applyNumberFormat="1" applyFont="1" applyFill="1" applyBorder="1" applyAlignment="1" applyProtection="1">
      <alignment horizontal="center" vertical="center" wrapText="1"/>
    </xf>
    <xf numFmtId="195"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5" fontId="49" fillId="0" borderId="54" xfId="0" applyFont="1" applyFill="1" applyBorder="1" applyAlignment="1" applyProtection="1">
      <alignment vertical="center"/>
      <protection locked="0"/>
    </xf>
    <xf numFmtId="195" fontId="49" fillId="6" borderId="36" xfId="0" applyFont="1" applyFill="1" applyBorder="1" applyAlignment="1" applyProtection="1">
      <alignment vertical="center"/>
    </xf>
    <xf numFmtId="195" fontId="49" fillId="6" borderId="60" xfId="0" applyFont="1" applyFill="1" applyBorder="1" applyAlignment="1" applyProtection="1">
      <alignment horizontal="left" vertical="center"/>
    </xf>
    <xf numFmtId="195" fontId="47" fillId="5" borderId="3" xfId="1" applyFont="1" applyFill="1" applyBorder="1" applyAlignment="1" applyProtection="1">
      <alignment vertical="center"/>
    </xf>
    <xf numFmtId="195" fontId="49" fillId="6" borderId="0" xfId="0" applyFont="1" applyFill="1" applyAlignment="1" applyProtection="1">
      <alignment vertical="center"/>
      <protection locked="0"/>
    </xf>
    <xf numFmtId="195" fontId="47" fillId="5" borderId="5" xfId="1" applyFont="1" applyFill="1" applyBorder="1" applyAlignment="1" applyProtection="1">
      <alignment horizontal="left" vertical="center"/>
      <protection locked="0"/>
    </xf>
    <xf numFmtId="195" fontId="64" fillId="0" borderId="32" xfId="0" applyFont="1" applyFill="1" applyBorder="1" applyAlignment="1" applyProtection="1">
      <alignment vertical="center"/>
      <protection locked="0"/>
    </xf>
    <xf numFmtId="195" fontId="149" fillId="0" borderId="0" xfId="11" applyFont="1" applyBorder="1" applyAlignment="1" applyProtection="1">
      <alignment vertical="center" wrapText="1"/>
    </xf>
    <xf numFmtId="195" fontId="126" fillId="0" borderId="78" xfId="0" applyFont="1" applyBorder="1" applyAlignment="1" applyProtection="1">
      <alignment horizontal="left" vertical="center"/>
    </xf>
    <xf numFmtId="195" fontId="149" fillId="0" borderId="78" xfId="11" applyFont="1" applyBorder="1" applyAlignment="1" applyProtection="1">
      <alignment horizontal="left" vertical="center" wrapText="1"/>
    </xf>
    <xf numFmtId="195" fontId="149" fillId="0" borderId="87" xfId="0" applyFont="1" applyBorder="1" applyProtection="1">
      <alignment vertical="center"/>
    </xf>
    <xf numFmtId="195" fontId="149" fillId="0" borderId="44" xfId="11" applyFont="1" applyBorder="1" applyAlignment="1" applyProtection="1">
      <alignment vertical="center" wrapText="1"/>
    </xf>
    <xf numFmtId="195" fontId="149" fillId="0" borderId="44" xfId="0" applyFont="1" applyBorder="1" applyAlignment="1" applyProtection="1">
      <alignment horizontal="left" vertical="center"/>
    </xf>
    <xf numFmtId="195" fontId="149" fillId="0" borderId="83" xfId="0" applyFont="1" applyBorder="1" applyProtection="1">
      <alignment vertical="center"/>
    </xf>
    <xf numFmtId="195" fontId="149" fillId="0" borderId="1" xfId="11" applyFont="1" applyBorder="1" applyAlignment="1" applyProtection="1">
      <alignment vertical="center" wrapText="1"/>
    </xf>
    <xf numFmtId="195" fontId="149" fillId="0" borderId="1" xfId="0" applyFont="1" applyBorder="1" applyAlignment="1" applyProtection="1">
      <alignment horizontal="left" vertical="center"/>
    </xf>
    <xf numFmtId="195" fontId="149" fillId="0" borderId="0" xfId="0" applyFont="1" applyBorder="1" applyProtection="1">
      <alignment vertical="center"/>
    </xf>
    <xf numFmtId="195" fontId="149" fillId="0" borderId="78" xfId="11" applyFont="1" applyBorder="1" applyAlignment="1" applyProtection="1">
      <alignment vertical="center" wrapText="1"/>
    </xf>
    <xf numFmtId="195" fontId="149" fillId="0" borderId="78" xfId="0" applyFont="1" applyBorder="1" applyAlignment="1" applyProtection="1">
      <alignment horizontal="left" vertical="center"/>
    </xf>
    <xf numFmtId="195" fontId="149" fillId="0" borderId="78" xfId="0" applyNumberFormat="1" applyFont="1" applyBorder="1" applyAlignment="1" applyProtection="1">
      <alignment horizontal="left" vertical="center"/>
    </xf>
    <xf numFmtId="195"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195" fontId="149" fillId="0" borderId="0" xfId="0" applyFont="1" applyProtection="1">
      <alignment vertical="center"/>
    </xf>
    <xf numFmtId="14" fontId="149" fillId="0" borderId="1" xfId="0" applyNumberFormat="1" applyFont="1" applyBorder="1" applyAlignment="1" applyProtection="1">
      <alignment horizontal="left" vertical="center"/>
    </xf>
    <xf numFmtId="195" fontId="149" fillId="0" borderId="0" xfId="0" applyFont="1" applyAlignment="1" applyProtection="1">
      <alignment horizontal="left" vertical="center"/>
    </xf>
    <xf numFmtId="195" fontId="60" fillId="6" borderId="1" xfId="8" applyFont="1" applyFill="1" applyBorder="1" applyAlignment="1" applyProtection="1">
      <alignment horizontal="center" vertical="center" wrapText="1"/>
    </xf>
    <xf numFmtId="195" fontId="60" fillId="0" borderId="1" xfId="8" applyFont="1" applyFill="1" applyBorder="1" applyAlignment="1" applyProtection="1">
      <alignment horizontal="center" vertical="center" wrapText="1"/>
      <protection locked="0"/>
    </xf>
    <xf numFmtId="195"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5" fontId="55" fillId="6" borderId="0" xfId="8" applyFont="1" applyFill="1" applyAlignment="1" applyProtection="1">
      <alignment vertical="center" wrapText="1"/>
      <protection locked="0"/>
    </xf>
    <xf numFmtId="195" fontId="55" fillId="6" borderId="0" xfId="8" applyFont="1" applyFill="1" applyAlignment="1" applyProtection="1">
      <alignment horizontal="center" vertical="center" wrapText="1"/>
      <protection locked="0"/>
    </xf>
    <xf numFmtId="195" fontId="55" fillId="7" borderId="0" xfId="8" applyFont="1" applyFill="1" applyAlignment="1" applyProtection="1">
      <alignment horizontal="center" vertical="center" wrapText="1"/>
    </xf>
    <xf numFmtId="195" fontId="55" fillId="0" borderId="0" xfId="8" applyFont="1" applyAlignment="1" applyProtection="1">
      <alignment horizontal="center" vertical="center" wrapText="1"/>
    </xf>
    <xf numFmtId="195" fontId="101" fillId="6" borderId="1" xfId="8" applyFont="1" applyFill="1" applyBorder="1" applyAlignment="1" applyProtection="1">
      <alignment horizontal="center" vertical="center"/>
    </xf>
    <xf numFmtId="195" fontId="59" fillId="6" borderId="2" xfId="1" applyFont="1" applyFill="1" applyBorder="1" applyAlignment="1" applyProtection="1">
      <alignment vertical="center"/>
    </xf>
    <xf numFmtId="195" fontId="103" fillId="6" borderId="85" xfId="0" applyFont="1" applyFill="1" applyBorder="1" applyAlignment="1" applyProtection="1">
      <alignment vertical="center"/>
    </xf>
    <xf numFmtId="195" fontId="64" fillId="2" borderId="88" xfId="0" applyFont="1" applyFill="1" applyBorder="1" applyAlignment="1" applyProtection="1">
      <alignment horizontal="right" vertical="center"/>
      <protection locked="0"/>
    </xf>
    <xf numFmtId="195" fontId="64" fillId="6" borderId="87" xfId="0" applyFont="1" applyFill="1" applyBorder="1" applyAlignment="1" applyProtection="1">
      <alignment horizontal="center" vertical="center"/>
    </xf>
    <xf numFmtId="195" fontId="64" fillId="2" borderId="88" xfId="0" applyFont="1" applyFill="1" applyBorder="1" applyAlignment="1" applyProtection="1">
      <alignment vertical="center"/>
      <protection locked="0"/>
    </xf>
    <xf numFmtId="195" fontId="64" fillId="6" borderId="88" xfId="0" applyFont="1" applyFill="1" applyBorder="1" applyAlignment="1" applyProtection="1">
      <alignment vertical="center"/>
      <protection locked="0"/>
    </xf>
    <xf numFmtId="195"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5" fontId="64" fillId="6" borderId="88" xfId="0" applyFont="1" applyFill="1" applyBorder="1" applyAlignment="1" applyProtection="1">
      <alignment horizontal="center" vertical="center"/>
      <protection locked="0"/>
    </xf>
    <xf numFmtId="195" fontId="64" fillId="6" borderId="103" xfId="0" applyFont="1" applyFill="1" applyBorder="1" applyAlignment="1" applyProtection="1">
      <alignment horizontal="center" vertical="center"/>
    </xf>
    <xf numFmtId="195" fontId="65" fillId="6" borderId="87" xfId="0" applyFont="1" applyFill="1" applyBorder="1" applyAlignment="1" applyProtection="1">
      <alignment horizontal="center" vertical="center"/>
    </xf>
    <xf numFmtId="195" fontId="65" fillId="0" borderId="87" xfId="0" applyFont="1" applyFill="1" applyBorder="1" applyAlignment="1" applyProtection="1">
      <alignment horizontal="center" vertical="center"/>
      <protection locked="0"/>
    </xf>
    <xf numFmtId="195" fontId="64" fillId="6" borderId="88" xfId="0" applyFont="1" applyFill="1" applyBorder="1" applyAlignment="1" applyProtection="1">
      <alignment vertical="center"/>
    </xf>
    <xf numFmtId="195"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5" fontId="64" fillId="6" borderId="88" xfId="0" applyFont="1" applyFill="1" applyBorder="1" applyAlignment="1" applyProtection="1">
      <alignment horizontal="center" vertical="center"/>
    </xf>
    <xf numFmtId="195" fontId="0" fillId="0" borderId="0" xfId="0" applyAlignment="1"/>
    <xf numFmtId="195" fontId="98" fillId="6" borderId="0" xfId="0" applyFont="1" applyFill="1" applyAlignment="1"/>
    <xf numFmtId="195" fontId="82" fillId="6" borderId="0" xfId="2" applyFont="1" applyFill="1"/>
    <xf numFmtId="195" fontId="21" fillId="6" borderId="0" xfId="2" applyFont="1" applyFill="1"/>
    <xf numFmtId="195" fontId="21" fillId="6" borderId="6" xfId="2" applyFont="1" applyFill="1" applyBorder="1"/>
    <xf numFmtId="195" fontId="124" fillId="6" borderId="9" xfId="2" applyFont="1" applyFill="1" applyBorder="1" applyAlignment="1">
      <alignment horizontal="center" vertical="center" wrapText="1"/>
    </xf>
    <xf numFmtId="195" fontId="21" fillId="6" borderId="10" xfId="2" applyFont="1" applyFill="1" applyBorder="1" applyAlignment="1">
      <alignment horizontal="center"/>
    </xf>
    <xf numFmtId="195" fontId="124" fillId="6" borderId="6" xfId="2" applyFont="1" applyFill="1" applyBorder="1" applyAlignment="1">
      <alignment horizontal="center" vertical="center" wrapText="1"/>
    </xf>
    <xf numFmtId="195" fontId="21" fillId="6" borderId="9" xfId="2" applyNumberFormat="1" applyFont="1" applyFill="1" applyBorder="1" applyAlignment="1">
      <alignment horizontal="center"/>
    </xf>
    <xf numFmtId="195" fontId="21" fillId="0" borderId="0" xfId="2" applyFont="1"/>
    <xf numFmtId="195" fontId="21" fillId="6" borderId="23" xfId="2" applyFont="1" applyFill="1" applyBorder="1"/>
    <xf numFmtId="195" fontId="124" fillId="6" borderId="1" xfId="2" applyFont="1" applyFill="1" applyBorder="1" applyAlignment="1">
      <alignment horizontal="center" vertical="center" wrapText="1"/>
    </xf>
    <xf numFmtId="195" fontId="21" fillId="6" borderId="24" xfId="2" applyFont="1" applyFill="1" applyBorder="1" applyAlignment="1">
      <alignment horizontal="center"/>
    </xf>
    <xf numFmtId="195" fontId="124" fillId="6" borderId="23" xfId="2" applyFont="1" applyFill="1" applyBorder="1" applyAlignment="1">
      <alignment horizontal="center" vertical="center" wrapText="1"/>
    </xf>
    <xf numFmtId="195" fontId="21" fillId="6" borderId="1" xfId="2" applyNumberFormat="1" applyFont="1" applyFill="1" applyBorder="1" applyAlignment="1">
      <alignment horizontal="center"/>
    </xf>
    <xf numFmtId="195" fontId="21" fillId="6" borderId="25" xfId="2" applyFont="1" applyFill="1" applyBorder="1"/>
    <xf numFmtId="195" fontId="124" fillId="6" borderId="32" xfId="2" applyFont="1" applyFill="1" applyBorder="1" applyAlignment="1">
      <alignment horizontal="center" vertical="center" wrapText="1"/>
    </xf>
    <xf numFmtId="195" fontId="21" fillId="6" borderId="49" xfId="2" applyFont="1" applyFill="1" applyBorder="1" applyAlignment="1">
      <alignment horizontal="center"/>
    </xf>
    <xf numFmtId="195" fontId="124" fillId="6" borderId="25" xfId="2" applyFont="1" applyFill="1" applyBorder="1" applyAlignment="1">
      <alignment horizontal="center" vertical="center" wrapText="1"/>
    </xf>
    <xf numFmtId="195" fontId="21" fillId="6" borderId="32" xfId="2" applyNumberFormat="1" applyFont="1" applyFill="1" applyBorder="1" applyAlignment="1">
      <alignment horizontal="center"/>
    </xf>
    <xf numFmtId="195" fontId="21" fillId="6" borderId="0" xfId="2" applyNumberFormat="1" applyFont="1" applyFill="1" applyAlignment="1">
      <alignment horizontal="center"/>
    </xf>
    <xf numFmtId="195" fontId="21" fillId="6" borderId="0" xfId="2" applyFont="1" applyFill="1" applyAlignment="1">
      <alignment horizontal="right"/>
    </xf>
    <xf numFmtId="14" fontId="21" fillId="6" borderId="0" xfId="2" applyNumberFormat="1" applyFont="1" applyFill="1" applyAlignment="1">
      <alignment horizontal="center"/>
    </xf>
    <xf numFmtId="195" fontId="154" fillId="6" borderId="0" xfId="2" applyNumberFormat="1" applyFont="1" applyFill="1" applyAlignment="1">
      <alignment horizontal="center"/>
    </xf>
    <xf numFmtId="195" fontId="155" fillId="6" borderId="0" xfId="2" applyFont="1" applyFill="1" applyAlignment="1">
      <alignment horizontal="left"/>
    </xf>
    <xf numFmtId="14" fontId="154" fillId="6" borderId="0" xfId="2" applyNumberFormat="1" applyFont="1" applyFill="1" applyAlignment="1">
      <alignment horizontal="center"/>
    </xf>
    <xf numFmtId="195" fontId="154" fillId="6" borderId="0" xfId="2" applyFont="1" applyFill="1"/>
    <xf numFmtId="195" fontId="154" fillId="0" borderId="0" xfId="2" applyFont="1"/>
    <xf numFmtId="195" fontId="154" fillId="0" borderId="0" xfId="0" applyFont="1" applyAlignment="1"/>
    <xf numFmtId="195" fontId="156" fillId="6" borderId="0" xfId="2" applyFont="1" applyFill="1"/>
    <xf numFmtId="195" fontId="157" fillId="6" borderId="0" xfId="2" applyFont="1" applyFill="1"/>
    <xf numFmtId="195" fontId="156" fillId="0" borderId="0" xfId="2" applyFont="1"/>
    <xf numFmtId="195" fontId="124" fillId="6" borderId="0" xfId="2" applyFont="1" applyFill="1" applyAlignment="1"/>
    <xf numFmtId="195" fontId="138" fillId="6" borderId="13" xfId="2" applyFont="1" applyFill="1" applyBorder="1" applyAlignment="1">
      <alignment horizontal="center" vertical="center"/>
    </xf>
    <xf numFmtId="195" fontId="138" fillId="6" borderId="13" xfId="2" applyFont="1" applyFill="1" applyBorder="1" applyAlignment="1">
      <alignment vertical="center"/>
    </xf>
    <xf numFmtId="195" fontId="138" fillId="6" borderId="5" xfId="2" applyFont="1" applyFill="1" applyBorder="1" applyAlignment="1">
      <alignment vertical="center"/>
    </xf>
    <xf numFmtId="195" fontId="138" fillId="6" borderId="3" xfId="2" applyFont="1" applyFill="1" applyBorder="1" applyAlignment="1">
      <alignment vertical="center"/>
    </xf>
    <xf numFmtId="195" fontId="138" fillId="6" borderId="54" xfId="2" applyFont="1" applyFill="1" applyBorder="1" applyAlignment="1">
      <alignment vertical="center"/>
    </xf>
    <xf numFmtId="195" fontId="124" fillId="0" borderId="0" xfId="2" applyFont="1" applyAlignment="1"/>
    <xf numFmtId="195" fontId="124" fillId="6" borderId="0" xfId="2" applyFont="1" applyFill="1"/>
    <xf numFmtId="195" fontId="138" fillId="6" borderId="2" xfId="2" applyFont="1" applyFill="1" applyBorder="1" applyAlignment="1">
      <alignment horizontal="center" vertical="center" wrapText="1"/>
    </xf>
    <xf numFmtId="195" fontId="138" fillId="6" borderId="2" xfId="2" applyFont="1" applyFill="1" applyBorder="1" applyAlignment="1">
      <alignment vertical="center" wrapText="1"/>
    </xf>
    <xf numFmtId="195" fontId="21" fillId="6" borderId="1" xfId="2" applyFont="1" applyFill="1" applyBorder="1"/>
    <xf numFmtId="195" fontId="138" fillId="6" borderId="1" xfId="2" applyFont="1" applyFill="1" applyBorder="1" applyAlignment="1">
      <alignment horizontal="center" vertical="center" wrapText="1"/>
    </xf>
    <xf numFmtId="195" fontId="124" fillId="0" borderId="0" xfId="2" applyFont="1"/>
    <xf numFmtId="195" fontId="159" fillId="6" borderId="0" xfId="2" applyFont="1" applyFill="1" applyAlignment="1">
      <alignment vertical="center"/>
    </xf>
    <xf numFmtId="195" fontId="159" fillId="6" borderId="1" xfId="2" applyFont="1" applyFill="1" applyBorder="1" applyAlignment="1">
      <alignment horizontal="left" vertical="center" wrapText="1"/>
    </xf>
    <xf numFmtId="195"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195" fontId="159" fillId="5" borderId="0" xfId="2" applyFont="1" applyFill="1" applyAlignment="1">
      <alignment vertical="center"/>
    </xf>
    <xf numFmtId="195" fontId="160" fillId="0" borderId="0" xfId="0" applyFont="1" applyAlignment="1"/>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195" fontId="140" fillId="6" borderId="87" xfId="2" applyFont="1" applyFill="1" applyBorder="1"/>
    <xf numFmtId="14" fontId="140" fillId="6" borderId="78" xfId="2" applyNumberFormat="1" applyFont="1" applyFill="1" applyBorder="1" applyAlignment="1" applyProtection="1">
      <alignment horizontal="center"/>
    </xf>
    <xf numFmtId="195"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195" fontId="140" fillId="0" borderId="87" xfId="2" applyFont="1" applyBorder="1"/>
    <xf numFmtId="195" fontId="110" fillId="0" borderId="87" xfId="0" applyFont="1" applyBorder="1" applyAlignment="1"/>
    <xf numFmtId="195" fontId="110" fillId="0" borderId="0" xfId="0" applyFont="1" applyAlignment="1"/>
    <xf numFmtId="195" fontId="138" fillId="6" borderId="78" xfId="2" applyFont="1" applyFill="1" applyBorder="1" applyAlignment="1">
      <alignment horizontal="center"/>
    </xf>
    <xf numFmtId="177" fontId="138" fillId="6" borderId="87" xfId="2" applyNumberFormat="1" applyFont="1" applyFill="1" applyBorder="1" applyAlignment="1">
      <alignment horizontal="center"/>
    </xf>
    <xf numFmtId="195" fontId="120" fillId="0" borderId="1" xfId="5" applyFont="1" applyFill="1" applyBorder="1" applyAlignment="1">
      <alignment horizontal="left" vertical="center"/>
    </xf>
    <xf numFmtId="195" fontId="101" fillId="0" borderId="1" xfId="0" applyNumberFormat="1" applyFont="1" applyFill="1" applyBorder="1" applyAlignment="1" applyProtection="1">
      <alignment horizontal="center" vertical="center" wrapText="1"/>
      <protection locked="0"/>
    </xf>
    <xf numFmtId="195" fontId="101" fillId="0" borderId="1" xfId="0" applyNumberFormat="1" applyFont="1" applyFill="1" applyBorder="1" applyAlignment="1" applyProtection="1">
      <alignment horizontal="left" vertical="center" wrapText="1"/>
      <protection locked="0"/>
    </xf>
    <xf numFmtId="195" fontId="101" fillId="0" borderId="5" xfId="0" applyNumberFormat="1" applyFont="1" applyFill="1" applyBorder="1" applyAlignment="1" applyProtection="1">
      <alignment horizontal="center" vertical="center" wrapText="1"/>
      <protection locked="0"/>
    </xf>
    <xf numFmtId="195" fontId="101" fillId="0" borderId="48" xfId="0" applyNumberFormat="1" applyFont="1" applyFill="1" applyBorder="1" applyAlignment="1" applyProtection="1">
      <alignment horizontal="center" vertical="center" wrapText="1"/>
      <protection locked="0"/>
    </xf>
    <xf numFmtId="195" fontId="101" fillId="0" borderId="13" xfId="0" applyNumberFormat="1" applyFont="1" applyFill="1" applyBorder="1" applyAlignment="1" applyProtection="1">
      <alignment horizontal="center" vertical="center" wrapText="1"/>
      <protection locked="0"/>
    </xf>
    <xf numFmtId="195" fontId="101" fillId="0" borderId="46" xfId="0" applyNumberFormat="1" applyFont="1" applyFill="1" applyBorder="1" applyAlignment="1" applyProtection="1">
      <alignment horizontal="center" vertical="center" wrapText="1"/>
      <protection locked="0"/>
    </xf>
    <xf numFmtId="195" fontId="101" fillId="0" borderId="59"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left" vertical="center" wrapText="1"/>
      <protection locked="0"/>
    </xf>
    <xf numFmtId="195" fontId="101" fillId="0" borderId="111" xfId="0" applyNumberFormat="1" applyFont="1" applyFill="1" applyBorder="1" applyAlignment="1" applyProtection="1">
      <alignment horizontal="center" vertical="center" wrapText="1"/>
      <protection locked="0"/>
    </xf>
    <xf numFmtId="195" fontId="101" fillId="0" borderId="112" xfId="0" applyNumberFormat="1" applyFont="1" applyFill="1" applyBorder="1" applyAlignment="1" applyProtection="1">
      <alignment horizontal="center" vertical="center" wrapText="1"/>
      <protection locked="0"/>
    </xf>
    <xf numFmtId="195" fontId="101" fillId="6" borderId="98"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4" xfId="0" applyNumberFormat="1" applyFont="1" applyFill="1" applyBorder="1" applyAlignment="1" applyProtection="1">
      <alignment horizontal="center" vertical="center" wrapText="1"/>
      <protection locked="0"/>
    </xf>
    <xf numFmtId="195" fontId="101" fillId="0" borderId="58" xfId="0" applyFont="1" applyFill="1" applyBorder="1" applyAlignment="1" applyProtection="1">
      <alignment horizontal="center" vertical="center"/>
      <protection locked="0"/>
    </xf>
    <xf numFmtId="195"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protection locked="0"/>
    </xf>
    <xf numFmtId="195" fontId="101" fillId="0" borderId="56" xfId="0" applyFont="1" applyFill="1" applyBorder="1" applyAlignment="1" applyProtection="1">
      <alignment horizontal="center" vertical="center"/>
      <protection locked="0"/>
    </xf>
    <xf numFmtId="195" fontId="101" fillId="0" borderId="2" xfId="0" applyNumberFormat="1" applyFont="1" applyFill="1" applyBorder="1" applyAlignment="1" applyProtection="1">
      <alignment horizontal="left" vertical="center" wrapText="1"/>
      <protection locked="0"/>
    </xf>
    <xf numFmtId="195" fontId="101" fillId="6" borderId="13" xfId="0" applyNumberFormat="1" applyFont="1" applyFill="1" applyBorder="1" applyAlignment="1" applyProtection="1">
      <alignment horizontal="center" vertical="center" wrapText="1"/>
    </xf>
    <xf numFmtId="195" fontId="56" fillId="6" borderId="1" xfId="0" applyNumberFormat="1" applyFont="1" applyFill="1" applyBorder="1" applyAlignment="1" applyProtection="1">
      <alignment horizontal="right" vertical="center"/>
    </xf>
    <xf numFmtId="195" fontId="60" fillId="6" borderId="10" xfId="0" applyFont="1" applyFill="1" applyBorder="1" applyAlignment="1" applyProtection="1">
      <alignment horizontal="center" vertical="center" wrapText="1"/>
    </xf>
    <xf numFmtId="195" fontId="60" fillId="6" borderId="49" xfId="0" applyFont="1" applyFill="1" applyBorder="1" applyAlignment="1" applyProtection="1">
      <alignment horizontal="center" vertical="center" wrapText="1"/>
    </xf>
    <xf numFmtId="195" fontId="49" fillId="0" borderId="24" xfId="0" applyFont="1" applyBorder="1" applyProtection="1">
      <alignment vertical="center"/>
      <protection locked="0"/>
    </xf>
    <xf numFmtId="195" fontId="162" fillId="0" borderId="1" xfId="12" applyFont="1" applyBorder="1" applyAlignment="1" applyProtection="1">
      <alignment horizontal="left" vertical="center" wrapText="1"/>
      <protection locked="0"/>
    </xf>
    <xf numFmtId="195" fontId="166" fillId="6" borderId="1" xfId="0" applyFont="1" applyFill="1" applyBorder="1" applyAlignment="1">
      <alignment horizontal="left" vertical="center" wrapText="1"/>
    </xf>
    <xf numFmtId="195" fontId="100" fillId="6" borderId="9" xfId="0" applyNumberFormat="1" applyFont="1" applyFill="1" applyBorder="1" applyAlignment="1" applyProtection="1">
      <alignment horizontal="center" vertical="center" wrapText="1"/>
    </xf>
    <xf numFmtId="195"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5" fontId="170" fillId="0" borderId="108" xfId="0" applyNumberFormat="1" applyFont="1" applyFill="1" applyBorder="1" applyAlignment="1" applyProtection="1">
      <alignment horizontal="center" vertical="center" wrapText="1"/>
      <protection locked="0"/>
    </xf>
    <xf numFmtId="195" fontId="170" fillId="0" borderId="18" xfId="0" applyNumberFormat="1" applyFont="1" applyFill="1" applyBorder="1" applyAlignment="1" applyProtection="1">
      <alignment horizontal="center" vertical="center" wrapText="1"/>
      <protection locked="0"/>
    </xf>
    <xf numFmtId="195" fontId="115" fillId="6" borderId="24" xfId="0" applyFont="1" applyFill="1" applyBorder="1" applyAlignment="1" applyProtection="1">
      <alignment horizontal="left" vertical="center"/>
    </xf>
    <xf numFmtId="195" fontId="171" fillId="6" borderId="32" xfId="0" applyFont="1" applyFill="1" applyBorder="1" applyAlignment="1" applyProtection="1">
      <alignment horizontal="center" vertical="center"/>
    </xf>
    <xf numFmtId="195" fontId="49" fillId="6" borderId="19" xfId="0" applyFont="1" applyFill="1" applyBorder="1" applyAlignment="1" applyProtection="1">
      <alignment horizontal="center" vertical="center"/>
      <protection locked="0"/>
    </xf>
    <xf numFmtId="195" fontId="49" fillId="5" borderId="66" xfId="0" applyFont="1" applyFill="1" applyBorder="1" applyAlignment="1" applyProtection="1">
      <alignment horizontal="center" vertical="center"/>
      <protection locked="0"/>
    </xf>
    <xf numFmtId="195" fontId="49" fillId="6" borderId="54" xfId="0" applyFont="1" applyFill="1" applyBorder="1" applyAlignment="1" applyProtection="1">
      <alignment horizontal="left" vertical="center" wrapText="1"/>
    </xf>
    <xf numFmtId="195" fontId="46" fillId="6"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5" xfId="0" applyFont="1" applyFill="1" applyBorder="1" applyAlignment="1" applyProtection="1">
      <alignment horizontal="center" vertical="center" wrapText="1"/>
    </xf>
    <xf numFmtId="195" fontId="49" fillId="6" borderId="54" xfId="0" applyFont="1" applyFill="1" applyBorder="1" applyAlignment="1" applyProtection="1">
      <alignment horizontal="center" vertical="center" wrapText="1"/>
    </xf>
    <xf numFmtId="195" fontId="46" fillId="0" borderId="1" xfId="0" applyFont="1" applyBorder="1" applyAlignment="1" applyProtection="1">
      <alignment horizontal="center" vertical="center"/>
      <protection locked="0"/>
    </xf>
    <xf numFmtId="195" fontId="49"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wrapText="1"/>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55" fillId="6" borderId="3" xfId="8"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5" fontId="55" fillId="6" borderId="13" xfId="0" applyFont="1" applyFill="1" applyBorder="1" applyAlignment="1" applyProtection="1">
      <alignment vertical="center"/>
    </xf>
    <xf numFmtId="195" fontId="49" fillId="6" borderId="22" xfId="0" applyFont="1" applyFill="1" applyBorder="1" applyAlignment="1" applyProtection="1">
      <alignment vertical="center" wrapText="1"/>
    </xf>
    <xf numFmtId="195" fontId="49" fillId="6" borderId="22" xfId="0" applyFont="1" applyFill="1" applyBorder="1" applyAlignment="1" applyProtection="1">
      <alignment vertical="center"/>
    </xf>
    <xf numFmtId="195" fontId="173" fillId="6" borderId="1" xfId="0" applyFont="1" applyFill="1" applyBorder="1" applyAlignment="1" applyProtection="1">
      <alignment horizontal="right" vertical="center" wrapText="1"/>
    </xf>
    <xf numFmtId="195" fontId="115" fillId="6" borderId="15" xfId="0" applyFont="1" applyFill="1" applyBorder="1" applyAlignment="1" applyProtection="1">
      <alignment vertical="center"/>
    </xf>
    <xf numFmtId="195" fontId="49" fillId="6" borderId="118" xfId="0" applyFont="1" applyFill="1" applyBorder="1" applyAlignment="1" applyProtection="1">
      <alignment vertical="center" wrapText="1"/>
    </xf>
    <xf numFmtId="195" fontId="49" fillId="2" borderId="1" xfId="0" applyFont="1" applyFill="1" applyBorder="1" applyAlignment="1" applyProtection="1">
      <alignment horizontal="left" vertical="center" wrapText="1"/>
      <protection locked="0"/>
    </xf>
    <xf numFmtId="195" fontId="54" fillId="6" borderId="46" xfId="0" applyFont="1" applyFill="1" applyBorder="1" applyAlignment="1" applyProtection="1">
      <alignment vertical="center" wrapText="1"/>
      <protection locked="0"/>
    </xf>
    <xf numFmtId="195" fontId="49" fillId="6" borderId="1" xfId="0" applyFont="1" applyFill="1" applyBorder="1" applyAlignment="1" applyProtection="1">
      <protection locked="0"/>
    </xf>
    <xf numFmtId="195" fontId="49" fillId="6" borderId="3" xfId="0" applyFont="1" applyFill="1" applyBorder="1" applyAlignment="1" applyProtection="1">
      <alignment vertical="center" wrapText="1"/>
    </xf>
    <xf numFmtId="195"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5" fontId="79" fillId="6" borderId="13" xfId="0" applyFont="1" applyFill="1" applyBorder="1" applyAlignment="1" applyProtection="1">
      <alignment vertical="center"/>
    </xf>
    <xf numFmtId="195"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5" fontId="55" fillId="6" borderId="0" xfId="0" applyFont="1" applyFill="1" applyAlignment="1" applyProtection="1">
      <alignment horizontal="center" vertical="center"/>
    </xf>
    <xf numFmtId="195"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5" fontId="55" fillId="7" borderId="0" xfId="0" applyFont="1" applyFill="1" applyAlignment="1" applyProtection="1">
      <alignment vertical="center"/>
      <protection locked="0"/>
    </xf>
    <xf numFmtId="195" fontId="56" fillId="6" borderId="1" xfId="1" applyFont="1" applyFill="1" applyBorder="1" applyAlignment="1" applyProtection="1">
      <alignment vertical="center"/>
    </xf>
    <xf numFmtId="195" fontId="54" fillId="6" borderId="1" xfId="0" applyFont="1" applyFill="1" applyBorder="1" applyAlignment="1" applyProtection="1">
      <alignment horizontal="right" vertical="center"/>
    </xf>
    <xf numFmtId="195"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5" fontId="56" fillId="6" borderId="32" xfId="1" applyFont="1" applyFill="1" applyBorder="1" applyAlignment="1" applyProtection="1">
      <alignment vertical="center"/>
    </xf>
    <xf numFmtId="195" fontId="54" fillId="6" borderId="32" xfId="0" applyFont="1" applyFill="1" applyBorder="1" applyAlignment="1" applyProtection="1">
      <alignment horizontal="right" vertical="center"/>
    </xf>
    <xf numFmtId="195" fontId="49" fillId="6" borderId="60" xfId="0" applyFont="1" applyFill="1" applyBorder="1" applyAlignment="1" applyProtection="1">
      <alignment vertical="center"/>
    </xf>
    <xf numFmtId="195" fontId="49" fillId="6" borderId="71" xfId="0" applyFont="1" applyFill="1" applyBorder="1" applyAlignment="1" applyProtection="1">
      <alignment vertical="center"/>
    </xf>
    <xf numFmtId="195" fontId="49" fillId="6" borderId="88" xfId="0" applyFont="1" applyFill="1" applyBorder="1" applyAlignment="1" applyProtection="1">
      <alignment vertical="center"/>
    </xf>
    <xf numFmtId="195" fontId="49" fillId="6" borderId="90" xfId="0" applyFont="1" applyFill="1" applyBorder="1" applyAlignment="1" applyProtection="1">
      <alignment vertical="center"/>
    </xf>
    <xf numFmtId="195" fontId="50" fillId="7" borderId="0" xfId="0" applyFont="1" applyFill="1" applyAlignment="1" applyProtection="1">
      <alignment vertical="center"/>
      <protection locked="0"/>
    </xf>
    <xf numFmtId="195" fontId="50" fillId="0" borderId="0" xfId="0" applyFont="1" applyFill="1" applyAlignment="1" applyProtection="1">
      <alignment vertical="center"/>
      <protection locked="0"/>
    </xf>
    <xf numFmtId="195" fontId="56" fillId="6" borderId="0" xfId="0" applyFont="1" applyFill="1" applyBorder="1" applyAlignment="1" applyProtection="1">
      <alignment horizontal="left" vertical="center"/>
      <protection locked="0"/>
    </xf>
    <xf numFmtId="195" fontId="62" fillId="6" borderId="0" xfId="0" applyFont="1" applyFill="1" applyBorder="1" applyAlignment="1" applyProtection="1">
      <alignment horizontal="center" vertical="center"/>
      <protection locked="0"/>
    </xf>
    <xf numFmtId="195" fontId="49" fillId="7" borderId="0" xfId="0" applyFont="1" applyFill="1" applyAlignment="1" applyProtection="1">
      <protection locked="0"/>
    </xf>
    <xf numFmtId="195" fontId="49" fillId="7" borderId="0" xfId="0" applyFont="1" applyFill="1" applyAlignment="1" applyProtection="1">
      <alignment horizontal="center"/>
      <protection locked="0"/>
    </xf>
    <xf numFmtId="195" fontId="55" fillId="7" borderId="0" xfId="0" applyFont="1" applyFill="1" applyAlignment="1" applyProtection="1">
      <alignment horizontal="left" vertical="center"/>
      <protection locked="0"/>
    </xf>
    <xf numFmtId="195" fontId="141" fillId="6" borderId="0" xfId="0" applyFont="1" applyFill="1" applyAlignment="1" applyProtection="1">
      <alignment vertical="center"/>
    </xf>
    <xf numFmtId="195" fontId="141" fillId="7" borderId="0" xfId="0" applyFont="1" applyFill="1" applyAlignment="1" applyProtection="1">
      <protection locked="0"/>
    </xf>
    <xf numFmtId="195" fontId="55" fillId="6" borderId="16" xfId="0" applyFont="1" applyFill="1" applyBorder="1" applyAlignment="1" applyProtection="1">
      <alignment horizontal="center" vertical="center"/>
    </xf>
    <xf numFmtId="195" fontId="49" fillId="6" borderId="31" xfId="0" applyFont="1" applyFill="1" applyBorder="1" applyAlignment="1" applyProtection="1"/>
    <xf numFmtId="195" fontId="141" fillId="7" borderId="63" xfId="0" applyFont="1" applyFill="1" applyBorder="1" applyAlignment="1" applyProtection="1">
      <alignment vertical="center"/>
      <protection locked="0"/>
    </xf>
    <xf numFmtId="195" fontId="55" fillId="7" borderId="64" xfId="0" applyFont="1" applyFill="1" applyBorder="1" applyAlignment="1" applyProtection="1">
      <alignment vertical="center"/>
      <protection locked="0"/>
    </xf>
    <xf numFmtId="195" fontId="55" fillId="7" borderId="65" xfId="0" applyFont="1" applyFill="1" applyBorder="1" applyAlignment="1" applyProtection="1">
      <alignment horizontal="left" vertical="center"/>
      <protection locked="0"/>
    </xf>
    <xf numFmtId="195" fontId="104" fillId="6" borderId="82" xfId="0" applyFont="1" applyFill="1" applyBorder="1" applyAlignment="1" applyProtection="1">
      <alignment horizontal="center" vertical="center"/>
    </xf>
    <xf numFmtId="195" fontId="101" fillId="6" borderId="82" xfId="0" applyFont="1" applyFill="1" applyBorder="1" applyAlignment="1" applyProtection="1">
      <alignment vertical="center" wrapText="1"/>
    </xf>
    <xf numFmtId="195" fontId="101" fillId="6" borderId="65" xfId="0" applyFont="1" applyFill="1" applyBorder="1" applyAlignment="1" applyProtection="1">
      <alignment vertical="center"/>
    </xf>
    <xf numFmtId="195" fontId="101" fillId="6" borderId="65" xfId="0" applyFont="1" applyFill="1" applyBorder="1" applyAlignment="1" applyProtection="1">
      <alignment vertical="center" wrapText="1"/>
    </xf>
    <xf numFmtId="195" fontId="55" fillId="6" borderId="6" xfId="0" applyFont="1" applyFill="1" applyBorder="1" applyAlignment="1" applyProtection="1">
      <alignment vertical="center"/>
    </xf>
    <xf numFmtId="195" fontId="55" fillId="5" borderId="10" xfId="0" applyFont="1" applyFill="1" applyBorder="1" applyAlignment="1" applyProtection="1">
      <alignment horizontal="center" vertical="center"/>
      <protection locked="0"/>
    </xf>
    <xf numFmtId="195" fontId="55" fillId="6" borderId="6" xfId="0" applyFont="1" applyFill="1" applyBorder="1" applyAlignment="1" applyProtection="1">
      <alignment horizontal="left" vertical="center"/>
      <protection locked="0"/>
    </xf>
    <xf numFmtId="195" fontId="55" fillId="6" borderId="10" xfId="0" applyFont="1" applyFill="1" applyBorder="1" applyAlignment="1" applyProtection="1">
      <alignment horizontal="center" vertical="center"/>
    </xf>
    <xf numFmtId="195" fontId="101" fillId="6" borderId="81" xfId="0" applyFont="1" applyFill="1" applyBorder="1" applyAlignment="1" applyProtection="1">
      <alignment vertical="center" wrapText="1"/>
    </xf>
    <xf numFmtId="195" fontId="101" fillId="6" borderId="43" xfId="0" applyFont="1" applyFill="1" applyBorder="1" applyAlignment="1" applyProtection="1">
      <alignment vertical="center"/>
    </xf>
    <xf numFmtId="195" fontId="101" fillId="6" borderId="43" xfId="0" applyFont="1" applyFill="1" applyBorder="1" applyAlignment="1" applyProtection="1">
      <alignment vertical="center" wrapText="1"/>
    </xf>
    <xf numFmtId="195" fontId="55" fillId="6" borderId="23" xfId="0" applyFont="1" applyFill="1" applyBorder="1" applyAlignment="1" applyProtection="1">
      <alignment vertical="center"/>
    </xf>
    <xf numFmtId="195" fontId="101" fillId="5" borderId="24" xfId="0" applyFont="1" applyFill="1" applyBorder="1" applyAlignment="1" applyProtection="1">
      <alignment horizontal="center"/>
      <protection locked="0"/>
    </xf>
    <xf numFmtId="195" fontId="101" fillId="6" borderId="23" xfId="0" applyFont="1" applyFill="1" applyBorder="1" applyAlignment="1" applyProtection="1">
      <alignment horizontal="left"/>
      <protection locked="0"/>
    </xf>
    <xf numFmtId="195" fontId="55" fillId="6" borderId="24" xfId="0" applyFont="1" applyFill="1" applyBorder="1" applyAlignment="1" applyProtection="1">
      <alignment horizontal="center" vertical="center"/>
    </xf>
    <xf numFmtId="195" fontId="55" fillId="7" borderId="0" xfId="0" applyFont="1" applyFill="1" applyBorder="1" applyAlignment="1" applyProtection="1">
      <alignment vertical="center"/>
      <protection locked="0"/>
    </xf>
    <xf numFmtId="195" fontId="55" fillId="7" borderId="24" xfId="0" applyFont="1" applyFill="1" applyBorder="1" applyAlignment="1" applyProtection="1">
      <alignment horizontal="center" vertical="center"/>
      <protection locked="0"/>
    </xf>
    <xf numFmtId="195" fontId="55" fillId="0" borderId="24" xfId="0" applyFont="1" applyFill="1" applyBorder="1" applyAlignment="1" applyProtection="1">
      <alignment horizontal="center" vertical="center"/>
      <protection locked="0"/>
    </xf>
    <xf numFmtId="195" fontId="101" fillId="6" borderId="81" xfId="0" applyFont="1" applyFill="1" applyBorder="1" applyAlignment="1" applyProtection="1">
      <alignment horizontal="right" vertical="center" wrapText="1"/>
    </xf>
    <xf numFmtId="195" fontId="101" fillId="6" borderId="24" xfId="0" applyFont="1" applyFill="1" applyBorder="1" applyAlignment="1" applyProtection="1">
      <alignment horizontal="center"/>
    </xf>
    <xf numFmtId="195"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5" fontId="55" fillId="6" borderId="24" xfId="0" applyNumberFormat="1" applyFont="1" applyFill="1" applyBorder="1" applyAlignment="1" applyProtection="1">
      <alignment horizontal="center" vertical="center"/>
    </xf>
    <xf numFmtId="195"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5" fontId="55" fillId="7" borderId="7" xfId="0" applyFont="1" applyFill="1" applyBorder="1" applyAlignment="1" applyProtection="1">
      <alignment vertical="center" wrapText="1"/>
      <protection locked="0"/>
    </xf>
    <xf numFmtId="195"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5" fontId="55" fillId="6" borderId="26" xfId="0" applyFont="1" applyFill="1" applyBorder="1" applyAlignment="1" applyProtection="1">
      <alignment vertical="center" wrapText="1"/>
    </xf>
    <xf numFmtId="195" fontId="55" fillId="6" borderId="48" xfId="0" applyFont="1" applyFill="1" applyBorder="1" applyAlignment="1" applyProtection="1">
      <alignment vertical="center"/>
      <protection locked="0"/>
    </xf>
    <xf numFmtId="195" fontId="115" fillId="6" borderId="0" xfId="0" applyFont="1" applyFill="1" applyAlignment="1" applyProtection="1">
      <alignment vertical="center"/>
      <protection locked="0"/>
    </xf>
    <xf numFmtId="195" fontId="115" fillId="6" borderId="47" xfId="0" applyFont="1" applyFill="1" applyBorder="1" applyAlignment="1" applyProtection="1">
      <alignment vertical="center" wrapText="1"/>
    </xf>
    <xf numFmtId="195"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5" fontId="56" fillId="6" borderId="16" xfId="0" applyFont="1" applyFill="1" applyBorder="1" applyAlignment="1" applyProtection="1">
      <alignment horizontal="center" vertical="center"/>
    </xf>
    <xf numFmtId="195" fontId="55" fillId="5" borderId="21" xfId="0" applyFont="1" applyFill="1" applyBorder="1" applyAlignment="1" applyProtection="1">
      <alignment horizontal="center" vertical="center"/>
      <protection locked="0"/>
    </xf>
    <xf numFmtId="195" fontId="55" fillId="6" borderId="1" xfId="0" applyFont="1" applyFill="1" applyBorder="1" applyAlignment="1" applyProtection="1">
      <alignment vertical="center"/>
      <protection locked="0"/>
    </xf>
    <xf numFmtId="195" fontId="55" fillId="6" borderId="54" xfId="0" applyFont="1" applyFill="1" applyBorder="1" applyAlignment="1" applyProtection="1">
      <alignment vertical="center"/>
      <protection locked="0"/>
    </xf>
    <xf numFmtId="195" fontId="55" fillId="6" borderId="41" xfId="0" applyFont="1" applyFill="1" applyBorder="1" applyAlignment="1" applyProtection="1">
      <alignment vertical="center" wrapText="1"/>
    </xf>
    <xf numFmtId="195" fontId="55" fillId="5" borderId="0" xfId="0" applyFont="1" applyFill="1" applyBorder="1" applyAlignment="1" applyProtection="1">
      <alignment horizontal="center" vertical="center"/>
      <protection locked="0"/>
    </xf>
    <xf numFmtId="195" fontId="55" fillId="6" borderId="18" xfId="0" applyFont="1" applyFill="1" applyBorder="1" applyAlignment="1" applyProtection="1">
      <alignment vertical="center"/>
      <protection locked="0"/>
    </xf>
    <xf numFmtId="195" fontId="55" fillId="6" borderId="4" xfId="0" applyFont="1" applyFill="1" applyBorder="1" applyAlignment="1" applyProtection="1">
      <alignment vertical="center"/>
      <protection locked="0"/>
    </xf>
    <xf numFmtId="195" fontId="55" fillId="6" borderId="60" xfId="0" applyFont="1" applyFill="1" applyBorder="1" applyAlignment="1" applyProtection="1">
      <alignment vertical="center"/>
      <protection locked="0"/>
    </xf>
    <xf numFmtId="195" fontId="55" fillId="6" borderId="71" xfId="0" applyFont="1" applyFill="1" applyBorder="1" applyAlignment="1" applyProtection="1">
      <alignment vertical="center"/>
      <protection locked="0"/>
    </xf>
    <xf numFmtId="195" fontId="55" fillId="6" borderId="23" xfId="0" applyFont="1" applyFill="1" applyBorder="1" applyAlignment="1" applyProtection="1">
      <alignment vertical="center" wrapText="1"/>
    </xf>
    <xf numFmtId="195"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5" fontId="55" fillId="6" borderId="49" xfId="0" applyFont="1" applyFill="1" applyBorder="1" applyAlignment="1" applyProtection="1">
      <alignment horizontal="center" vertical="center"/>
    </xf>
    <xf numFmtId="195" fontId="56" fillId="6" borderId="25" xfId="0" applyFont="1" applyFill="1" applyBorder="1" applyAlignment="1" applyProtection="1">
      <alignment horizontal="center" vertical="center"/>
    </xf>
    <xf numFmtId="195" fontId="55" fillId="6" borderId="0" xfId="0" applyFont="1" applyFill="1" applyAlignment="1" applyProtection="1">
      <alignment vertical="center"/>
      <protection locked="0"/>
    </xf>
    <xf numFmtId="195" fontId="55" fillId="6" borderId="1" xfId="0" applyFont="1" applyFill="1" applyBorder="1" applyAlignment="1"/>
    <xf numFmtId="195" fontId="55" fillId="6" borderId="1" xfId="0" applyFont="1" applyFill="1" applyBorder="1" applyAlignment="1">
      <alignment horizontal="center"/>
    </xf>
    <xf numFmtId="195"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1" fillId="6" borderId="43" xfId="0" applyNumberFormat="1" applyFont="1" applyFill="1" applyBorder="1" applyAlignment="1" applyProtection="1">
      <alignment vertical="center" wrapText="1"/>
    </xf>
    <xf numFmtId="195" fontId="166" fillId="6" borderId="43" xfId="0" applyFont="1" applyFill="1" applyBorder="1" applyAlignment="1" applyProtection="1">
      <alignment vertical="center"/>
    </xf>
    <xf numFmtId="195" fontId="55" fillId="0" borderId="0" xfId="0" applyFont="1" applyFill="1" applyAlignment="1" applyProtection="1">
      <alignment horizontal="left" vertical="center"/>
      <protection locked="0"/>
    </xf>
    <xf numFmtId="195"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5" fontId="56" fillId="6" borderId="0" xfId="0" applyFont="1" applyFill="1" applyBorder="1" applyAlignment="1" applyProtection="1">
      <alignment vertical="center"/>
    </xf>
    <xf numFmtId="195" fontId="49" fillId="6" borderId="0" xfId="0" applyFont="1" applyFill="1" applyAlignment="1" applyProtection="1"/>
    <xf numFmtId="195" fontId="173" fillId="6" borderId="3" xfId="0" applyFont="1" applyFill="1" applyBorder="1" applyAlignment="1" applyProtection="1">
      <alignment horizontal="right" vertical="center" wrapText="1"/>
    </xf>
    <xf numFmtId="195" fontId="188" fillId="0" borderId="0" xfId="5" applyFont="1">
      <alignment vertical="center"/>
    </xf>
    <xf numFmtId="195" fontId="97" fillId="0" borderId="0" xfId="0" applyFont="1" applyProtection="1">
      <alignment vertical="center"/>
      <protection locked="0"/>
    </xf>
    <xf numFmtId="195" fontId="197" fillId="0" borderId="0" xfId="0" applyFont="1" applyBorder="1" applyAlignment="1">
      <alignment horizontal="center" vertical="center"/>
    </xf>
    <xf numFmtId="195" fontId="100" fillId="0" borderId="0" xfId="0" applyFont="1">
      <alignment vertical="center"/>
    </xf>
    <xf numFmtId="195" fontId="100" fillId="0" borderId="0" xfId="0" applyFont="1" applyBorder="1">
      <alignment vertical="center"/>
    </xf>
    <xf numFmtId="195" fontId="198" fillId="0" borderId="0" xfId="0" applyFont="1" applyAlignment="1">
      <alignment vertical="center"/>
    </xf>
    <xf numFmtId="195" fontId="132" fillId="0" borderId="0" xfId="0" applyFont="1" applyAlignment="1">
      <alignment vertical="center" wrapText="1"/>
    </xf>
    <xf numFmtId="195" fontId="199" fillId="0" borderId="0" xfId="0" applyFont="1">
      <alignment vertical="center"/>
    </xf>
    <xf numFmtId="195" fontId="200" fillId="0" borderId="0" xfId="0" applyFont="1">
      <alignment vertical="center"/>
    </xf>
    <xf numFmtId="195" fontId="201" fillId="0" borderId="0" xfId="0" applyFont="1" applyAlignment="1" applyProtection="1">
      <alignment vertical="center" wrapText="1"/>
      <protection locked="0"/>
    </xf>
    <xf numFmtId="195" fontId="132" fillId="0" borderId="0" xfId="0" applyFont="1" applyFill="1" applyAlignment="1">
      <alignment vertical="center" wrapText="1"/>
    </xf>
    <xf numFmtId="195" fontId="198" fillId="0" borderId="0" xfId="0" applyFont="1">
      <alignment vertical="center"/>
    </xf>
    <xf numFmtId="183" fontId="132" fillId="0" borderId="0" xfId="0" applyNumberFormat="1" applyFont="1" applyAlignment="1">
      <alignment horizontal="left" vertical="center"/>
    </xf>
    <xf numFmtId="195" fontId="132" fillId="0" borderId="0" xfId="0" applyFont="1">
      <alignment vertical="center"/>
    </xf>
    <xf numFmtId="195" fontId="202" fillId="5" borderId="0" xfId="0" applyFont="1" applyFill="1" applyProtection="1">
      <alignment vertical="center"/>
      <protection locked="0"/>
    </xf>
    <xf numFmtId="195" fontId="100" fillId="0" borderId="0" xfId="0" applyFont="1" applyProtection="1">
      <alignment vertical="center"/>
      <protection locked="0"/>
    </xf>
    <xf numFmtId="195" fontId="198" fillId="0" borderId="0" xfId="7" applyFont="1" applyProtection="1">
      <alignment vertical="center"/>
    </xf>
    <xf numFmtId="195" fontId="100" fillId="0" borderId="0" xfId="7" applyFont="1" applyProtection="1">
      <alignment vertical="center"/>
    </xf>
    <xf numFmtId="195" fontId="100" fillId="0" borderId="0" xfId="7" applyFont="1">
      <alignment vertical="center"/>
    </xf>
    <xf numFmtId="195" fontId="198" fillId="0" borderId="0" xfId="7" applyFont="1" applyAlignment="1" applyProtection="1">
      <alignment horizontal="center" vertical="center"/>
    </xf>
    <xf numFmtId="195" fontId="126" fillId="0" borderId="2" xfId="7" applyFont="1" applyFill="1" applyBorder="1" applyAlignment="1" applyProtection="1">
      <alignment horizontal="left" vertical="center" wrapText="1"/>
    </xf>
    <xf numFmtId="195" fontId="127" fillId="0" borderId="1" xfId="7" applyFont="1" applyFill="1" applyBorder="1" applyAlignment="1" applyProtection="1">
      <alignment horizontal="left" vertical="center" wrapText="1"/>
    </xf>
    <xf numFmtId="195" fontId="205" fillId="0" borderId="1" xfId="7" applyFont="1" applyFill="1" applyBorder="1" applyAlignment="1" applyProtection="1">
      <alignment horizontal="left" vertical="center" wrapText="1"/>
    </xf>
    <xf numFmtId="195" fontId="63" fillId="0" borderId="5" xfId="7" applyFont="1" applyFill="1" applyBorder="1" applyAlignment="1" applyProtection="1">
      <alignment vertical="center" wrapText="1"/>
    </xf>
    <xf numFmtId="195" fontId="106" fillId="0" borderId="1" xfId="7" applyFont="1" applyFill="1" applyBorder="1" applyAlignment="1" applyProtection="1">
      <alignment horizontal="left" vertical="center" wrapText="1"/>
    </xf>
    <xf numFmtId="195" fontId="126" fillId="0" borderId="1" xfId="7" applyFont="1" applyFill="1" applyBorder="1" applyAlignment="1" applyProtection="1">
      <alignment horizontal="left" vertical="center" wrapText="1"/>
    </xf>
    <xf numFmtId="195" fontId="206" fillId="0" borderId="1" xfId="7" applyFont="1" applyBorder="1" applyAlignment="1">
      <alignment horizontal="center" vertical="center"/>
    </xf>
    <xf numFmtId="195" fontId="127" fillId="0" borderId="78" xfId="7" applyFont="1" applyFill="1" applyBorder="1" applyAlignment="1" applyProtection="1">
      <alignment horizontal="left" vertical="center" wrapText="1"/>
    </xf>
    <xf numFmtId="195" fontId="101" fillId="0" borderId="0" xfId="7" applyFont="1" applyProtection="1">
      <alignment vertical="center"/>
    </xf>
    <xf numFmtId="195" fontId="100" fillId="0" borderId="0" xfId="7" applyFont="1" applyProtection="1">
      <alignment vertical="center"/>
      <protection locked="0"/>
    </xf>
    <xf numFmtId="195" fontId="132" fillId="0" borderId="0" xfId="7" applyFont="1" applyProtection="1">
      <alignment vertical="center"/>
      <protection locked="0"/>
    </xf>
    <xf numFmtId="195" fontId="63" fillId="0" borderId="1" xfId="0" applyFont="1" applyFill="1" applyBorder="1" applyAlignment="1" applyProtection="1">
      <alignment horizontal="left" vertical="center" wrapText="1"/>
    </xf>
    <xf numFmtId="195" fontId="132" fillId="0" borderId="0" xfId="0" applyFont="1" applyProtection="1">
      <alignment vertical="center"/>
      <protection locked="0"/>
    </xf>
    <xf numFmtId="195" fontId="97" fillId="0" borderId="0" xfId="0" applyFont="1" applyProtection="1">
      <alignment vertical="center"/>
    </xf>
    <xf numFmtId="195" fontId="195" fillId="0" borderId="0" xfId="0" applyFont="1" applyBorder="1" applyAlignment="1" applyProtection="1">
      <alignment horizontal="left" vertical="center"/>
    </xf>
    <xf numFmtId="195"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195" fontId="132" fillId="0" borderId="0" xfId="0" applyFont="1" applyBorder="1" applyAlignment="1" applyProtection="1">
      <alignment horizontal="center" vertical="center" wrapText="1"/>
    </xf>
    <xf numFmtId="195" fontId="213" fillId="0" borderId="60" xfId="0" applyFont="1" applyBorder="1" applyAlignment="1" applyProtection="1">
      <alignment horizontal="justify" vertical="center" wrapText="1"/>
    </xf>
    <xf numFmtId="195" fontId="213" fillId="0" borderId="0" xfId="0" applyFont="1" applyBorder="1" applyAlignment="1" applyProtection="1">
      <alignment horizontal="right" vertical="center" wrapText="1"/>
    </xf>
    <xf numFmtId="195" fontId="213" fillId="0" borderId="54" xfId="0" applyFont="1" applyBorder="1" applyAlignment="1" applyProtection="1">
      <alignment horizontal="justify" vertical="center" wrapText="1"/>
    </xf>
    <xf numFmtId="195" fontId="214" fillId="0" borderId="0" xfId="0" applyFont="1" applyBorder="1" applyAlignment="1" applyProtection="1">
      <alignment horizontal="center" vertical="center" wrapText="1"/>
      <protection locked="0"/>
    </xf>
    <xf numFmtId="195" fontId="198" fillId="0" borderId="0" xfId="0" applyFont="1" applyBorder="1" applyAlignment="1" applyProtection="1">
      <alignment horizontal="left" vertical="center"/>
    </xf>
    <xf numFmtId="195" fontId="100" fillId="0" borderId="0" xfId="0" applyFont="1" applyAlignment="1" applyProtection="1">
      <alignment vertical="center" wrapText="1"/>
      <protection locked="0"/>
    </xf>
    <xf numFmtId="195" fontId="132" fillId="0" borderId="0" xfId="0" applyFont="1" applyAlignment="1">
      <alignment horizontal="right" vertical="center"/>
    </xf>
    <xf numFmtId="195" fontId="97" fillId="0" borderId="0" xfId="0" applyFont="1" applyBorder="1" applyProtection="1">
      <alignment vertical="center"/>
      <protection locked="0"/>
    </xf>
    <xf numFmtId="195" fontId="196" fillId="0" borderId="0" xfId="0" applyFont="1" applyBorder="1" applyProtection="1">
      <alignment vertical="center"/>
      <protection locked="0"/>
    </xf>
    <xf numFmtId="195" fontId="217" fillId="0" borderId="0" xfId="0" applyFont="1" applyProtection="1">
      <alignment vertical="center"/>
    </xf>
    <xf numFmtId="195" fontId="196" fillId="0" borderId="0" xfId="0" applyFont="1" applyProtection="1">
      <alignment vertical="center"/>
    </xf>
    <xf numFmtId="195" fontId="204" fillId="0" borderId="1" xfId="0" applyFont="1" applyBorder="1" applyAlignment="1" applyProtection="1">
      <alignment horizontal="center" vertical="center" wrapText="1"/>
    </xf>
    <xf numFmtId="195" fontId="97" fillId="0" borderId="0" xfId="0" applyFont="1" applyAlignment="1" applyProtection="1">
      <alignment horizontal="left" vertical="center"/>
    </xf>
    <xf numFmtId="195" fontId="204" fillId="0" borderId="0" xfId="0" applyFont="1" applyProtection="1">
      <alignment vertical="center"/>
    </xf>
    <xf numFmtId="195" fontId="204" fillId="2" borderId="1" xfId="0" applyFont="1" applyFill="1" applyBorder="1" applyAlignment="1" applyProtection="1">
      <alignment horizontal="center" vertical="center" wrapText="1"/>
    </xf>
    <xf numFmtId="195" fontId="204" fillId="6" borderId="1" xfId="0" applyFont="1" applyFill="1" applyBorder="1" applyAlignment="1" applyProtection="1">
      <alignment horizontal="center" vertical="center" wrapText="1"/>
    </xf>
    <xf numFmtId="195" fontId="220" fillId="4" borderId="1" xfId="0" applyFont="1" applyFill="1" applyBorder="1" applyAlignment="1" applyProtection="1">
      <alignment horizontal="center" vertical="center"/>
    </xf>
    <xf numFmtId="195" fontId="221" fillId="0" borderId="1" xfId="0" applyFont="1" applyFill="1" applyBorder="1" applyAlignment="1" applyProtection="1">
      <alignment horizontal="center" vertical="center"/>
    </xf>
    <xf numFmtId="195" fontId="219" fillId="0" borderId="0" xfId="0" applyFont="1" applyProtection="1">
      <alignment vertical="center"/>
    </xf>
    <xf numFmtId="195" fontId="118" fillId="0" borderId="1" xfId="0" applyFont="1" applyBorder="1" applyAlignment="1" applyProtection="1">
      <alignment horizontal="center" vertical="center"/>
    </xf>
    <xf numFmtId="195" fontId="97" fillId="0" borderId="1" xfId="0" applyFont="1" applyBorder="1" applyAlignment="1" applyProtection="1">
      <alignment horizontal="left" vertical="center"/>
    </xf>
    <xf numFmtId="195" fontId="97" fillId="8" borderId="5" xfId="0" applyFont="1" applyFill="1" applyBorder="1" applyAlignment="1" applyProtection="1">
      <alignment vertical="center"/>
    </xf>
    <xf numFmtId="195" fontId="97" fillId="7" borderId="54" xfId="0" applyFont="1" applyFill="1" applyBorder="1" applyAlignment="1" applyProtection="1">
      <alignment vertical="center"/>
    </xf>
    <xf numFmtId="195" fontId="97" fillId="7" borderId="3" xfId="0" applyFont="1" applyFill="1" applyBorder="1" applyAlignment="1" applyProtection="1">
      <alignment vertical="center"/>
    </xf>
    <xf numFmtId="195" fontId="222" fillId="0" borderId="0" xfId="0" applyFont="1" applyProtection="1">
      <alignment vertical="center"/>
    </xf>
    <xf numFmtId="195"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195" fontId="219" fillId="6" borderId="35" xfId="0" applyFont="1" applyFill="1" applyBorder="1" applyAlignment="1" applyProtection="1">
      <alignment horizontal="center" vertical="center" wrapText="1"/>
    </xf>
    <xf numFmtId="195" fontId="97" fillId="6" borderId="15" xfId="0" applyFont="1" applyFill="1" applyBorder="1" applyAlignment="1" applyProtection="1">
      <alignment horizontal="center" vertical="center" wrapText="1"/>
    </xf>
    <xf numFmtId="195" fontId="97" fillId="6" borderId="0" xfId="0" applyFont="1" applyFill="1" applyBorder="1" applyAlignment="1" applyProtection="1">
      <alignment horizontal="center" vertical="center" wrapText="1"/>
    </xf>
    <xf numFmtId="195" fontId="97" fillId="6" borderId="0" xfId="0" applyFont="1" applyFill="1" applyAlignment="1" applyProtection="1">
      <alignment horizontal="center" vertical="center" wrapText="1"/>
    </xf>
    <xf numFmtId="195" fontId="219" fillId="6" borderId="0" xfId="0" applyFont="1" applyFill="1" applyAlignment="1" applyProtection="1">
      <alignment horizontal="center" vertical="center" wrapText="1"/>
    </xf>
    <xf numFmtId="195" fontId="219" fillId="6" borderId="0" xfId="0" applyNumberFormat="1" applyFont="1" applyFill="1" applyBorder="1" applyAlignment="1" applyProtection="1">
      <alignment horizontal="center" vertical="center" wrapText="1"/>
    </xf>
    <xf numFmtId="195" fontId="97" fillId="0" borderId="0" xfId="0" applyFont="1" applyAlignment="1" applyProtection="1">
      <alignment horizontal="center" vertical="center" wrapText="1"/>
    </xf>
    <xf numFmtId="195" fontId="97" fillId="0" borderId="1" xfId="0" applyFont="1" applyBorder="1" applyAlignment="1" applyProtection="1">
      <alignment horizontal="left" vertical="center"/>
      <protection locked="0"/>
    </xf>
    <xf numFmtId="195" fontId="97" fillId="6" borderId="0" xfId="0" applyFont="1" applyFill="1" applyBorder="1" applyAlignment="1" applyProtection="1">
      <alignment horizontal="center" vertical="center"/>
      <protection locked="0"/>
    </xf>
    <xf numFmtId="195" fontId="97" fillId="6" borderId="0" xfId="0" applyFont="1" applyFill="1" applyAlignment="1" applyProtection="1">
      <alignment horizontal="center" vertical="center"/>
    </xf>
    <xf numFmtId="195" fontId="219" fillId="0" borderId="1" xfId="0" applyFont="1" applyBorder="1" applyAlignment="1" applyProtection="1">
      <alignment horizontal="left" vertical="center"/>
      <protection locked="0"/>
    </xf>
    <xf numFmtId="195" fontId="97" fillId="6" borderId="0" xfId="0" applyFont="1" applyFill="1" applyAlignment="1" applyProtection="1">
      <alignment horizontal="center" vertical="center"/>
      <protection locked="0"/>
    </xf>
    <xf numFmtId="195" fontId="97" fillId="6" borderId="0" xfId="0" applyFont="1" applyFill="1" applyProtection="1">
      <alignment vertical="center"/>
    </xf>
    <xf numFmtId="195" fontId="219" fillId="6" borderId="0" xfId="0" applyFont="1" applyFill="1" applyBorder="1" applyAlignment="1" applyProtection="1">
      <alignment horizontal="center" vertical="center"/>
      <protection locked="0"/>
    </xf>
    <xf numFmtId="195" fontId="97" fillId="6" borderId="0" xfId="0" applyFont="1" applyFill="1" applyBorder="1" applyAlignment="1" applyProtection="1">
      <alignment horizontal="left" vertical="center"/>
    </xf>
    <xf numFmtId="195" fontId="97" fillId="6" borderId="0" xfId="0" applyFont="1" applyFill="1" applyAlignment="1" applyProtection="1">
      <alignment horizontal="left" vertical="center"/>
    </xf>
    <xf numFmtId="195" fontId="97" fillId="6" borderId="0" xfId="0" applyFont="1" applyFill="1" applyBorder="1" applyAlignment="1" applyProtection="1">
      <alignment horizontal="center" vertical="center"/>
    </xf>
    <xf numFmtId="195" fontId="97" fillId="0" borderId="0" xfId="0" applyFont="1" applyBorder="1" applyAlignment="1" applyProtection="1">
      <alignment horizontal="center" vertical="center"/>
    </xf>
    <xf numFmtId="195" fontId="46" fillId="6" borderId="0" xfId="0" applyFont="1" applyFill="1" applyAlignment="1" applyProtection="1">
      <alignment vertical="center" wrapText="1"/>
    </xf>
    <xf numFmtId="195" fontId="46" fillId="6" borderId="0" xfId="0" applyFont="1" applyFill="1" applyAlignment="1" applyProtection="1">
      <alignment horizontal="center" vertical="center" wrapText="1"/>
    </xf>
    <xf numFmtId="195" fontId="46" fillId="0" borderId="0" xfId="0" applyFont="1" applyAlignment="1" applyProtection="1">
      <alignment vertical="center"/>
    </xf>
    <xf numFmtId="195" fontId="46" fillId="0" borderId="0" xfId="0" applyFont="1" applyAlignment="1" applyProtection="1">
      <alignment vertical="center" wrapText="1"/>
    </xf>
    <xf numFmtId="195" fontId="63" fillId="5" borderId="13" xfId="0" applyFont="1" applyFill="1" applyBorder="1" applyAlignment="1" applyProtection="1">
      <alignment horizontal="center" vertical="center" wrapText="1"/>
      <protection locked="0"/>
    </xf>
    <xf numFmtId="195" fontId="46" fillId="6" borderId="1" xfId="0" applyFont="1" applyFill="1" applyBorder="1" applyAlignment="1" applyProtection="1">
      <alignment vertical="center" wrapText="1"/>
    </xf>
    <xf numFmtId="195" fontId="49" fillId="5" borderId="15" xfId="0" applyFont="1" applyFill="1" applyBorder="1" applyAlignment="1" applyProtection="1">
      <alignment horizontal="center" vertical="center" wrapText="1"/>
      <protection locked="0"/>
    </xf>
    <xf numFmtId="195" fontId="49" fillId="6" borderId="74" xfId="0" applyFont="1" applyFill="1" applyBorder="1" applyAlignment="1" applyProtection="1">
      <alignment horizontal="center" vertical="center" wrapText="1"/>
    </xf>
    <xf numFmtId="195" fontId="49" fillId="5" borderId="74" xfId="0" applyFont="1" applyFill="1" applyBorder="1" applyAlignment="1" applyProtection="1">
      <alignment horizontal="center" vertical="center" wrapText="1"/>
      <protection locked="0"/>
    </xf>
    <xf numFmtId="195" fontId="115" fillId="6" borderId="74" xfId="0" applyFont="1" applyFill="1" applyBorder="1" applyAlignment="1" applyProtection="1">
      <alignment vertical="center" wrapText="1"/>
    </xf>
    <xf numFmtId="195" fontId="49" fillId="5" borderId="76" xfId="0" applyFont="1" applyFill="1" applyBorder="1" applyAlignment="1" applyProtection="1">
      <alignment horizontal="center" vertical="center" wrapText="1"/>
      <protection locked="0"/>
    </xf>
    <xf numFmtId="195" fontId="170" fillId="0" borderId="23" xfId="0" applyFont="1" applyBorder="1" applyAlignment="1" applyProtection="1">
      <alignment vertical="center" wrapText="1"/>
      <protection locked="0"/>
    </xf>
    <xf numFmtId="195" fontId="49" fillId="6" borderId="58" xfId="0" applyFont="1" applyFill="1" applyBorder="1" applyAlignment="1" applyProtection="1">
      <alignment horizontal="center" vertical="center" wrapText="1"/>
    </xf>
    <xf numFmtId="195" fontId="49" fillId="0" borderId="1" xfId="0" applyFont="1" applyBorder="1" applyAlignment="1" applyProtection="1">
      <alignment vertical="center" wrapText="1"/>
      <protection locked="0"/>
    </xf>
    <xf numFmtId="195" fontId="46" fillId="0" borderId="5" xfId="0" applyFont="1" applyBorder="1" applyAlignment="1" applyProtection="1">
      <alignment horizontal="center" vertical="center" wrapText="1"/>
      <protection locked="0"/>
    </xf>
    <xf numFmtId="195" fontId="46" fillId="0" borderId="0" xfId="0" applyFont="1" applyAlignment="1" applyProtection="1">
      <alignment vertical="center" wrapText="1"/>
      <protection locked="0"/>
    </xf>
    <xf numFmtId="195" fontId="46" fillId="0" borderId="0" xfId="0" applyFont="1" applyAlignment="1" applyProtection="1">
      <alignment horizontal="center" vertical="center" wrapText="1"/>
    </xf>
    <xf numFmtId="195" fontId="105" fillId="6" borderId="0" xfId="0" applyFont="1" applyFill="1" applyAlignment="1" applyProtection="1">
      <alignment horizontal="left" vertical="center"/>
    </xf>
    <xf numFmtId="195" fontId="103" fillId="6" borderId="0" xfId="0" applyFont="1" applyFill="1" applyAlignment="1" applyProtection="1">
      <alignment horizontal="left" vertical="center"/>
    </xf>
    <xf numFmtId="195" fontId="49" fillId="6" borderId="0" xfId="0" applyFont="1" applyFill="1" applyAlignment="1" applyProtection="1">
      <alignment horizontal="center" vertical="center" wrapText="1"/>
    </xf>
    <xf numFmtId="195" fontId="49" fillId="6" borderId="0" xfId="0" applyFont="1" applyFill="1" applyBorder="1" applyAlignment="1" applyProtection="1">
      <alignment horizontal="center" vertical="center"/>
    </xf>
    <xf numFmtId="195" fontId="49" fillId="6" borderId="0" xfId="0" applyFont="1" applyFill="1" applyBorder="1" applyAlignment="1" applyProtection="1">
      <alignment horizontal="center" vertical="center" wrapText="1"/>
    </xf>
    <xf numFmtId="195" fontId="49" fillId="0" borderId="0" xfId="0" applyFont="1" applyAlignment="1" applyProtection="1">
      <alignment horizontal="center" vertical="center" wrapText="1"/>
    </xf>
    <xf numFmtId="195" fontId="49" fillId="2" borderId="1" xfId="0" applyFont="1" applyFill="1" applyBorder="1" applyAlignment="1" applyProtection="1">
      <alignment horizontal="center" vertical="center" wrapText="1"/>
      <protection locked="0"/>
    </xf>
    <xf numFmtId="195"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5"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5" fontId="49" fillId="6" borderId="46" xfId="0" applyFont="1" applyFill="1" applyBorder="1" applyAlignment="1" applyProtection="1">
      <alignment horizontal="left" vertical="center"/>
    </xf>
    <xf numFmtId="195" fontId="49" fillId="6" borderId="36" xfId="0" applyFont="1" applyFill="1" applyBorder="1" applyAlignment="1" applyProtection="1">
      <alignment horizontal="center" vertical="center" wrapText="1"/>
    </xf>
    <xf numFmtId="195" fontId="49" fillId="6" borderId="36" xfId="0" applyFont="1" applyFill="1" applyBorder="1" applyAlignment="1" applyProtection="1">
      <alignment horizontal="center" vertical="center"/>
    </xf>
    <xf numFmtId="195" fontId="49" fillId="6" borderId="59"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xf>
    <xf numFmtId="195"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5"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5" fontId="50" fillId="6" borderId="36" xfId="0" applyFont="1" applyFill="1" applyBorder="1" applyAlignment="1" applyProtection="1">
      <alignment horizontal="center" vertical="center"/>
    </xf>
    <xf numFmtId="195"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5" fontId="49" fillId="2" borderId="4" xfId="0" applyFont="1" applyFill="1" applyBorder="1" applyAlignment="1" applyProtection="1">
      <alignment horizontal="left" vertical="center"/>
      <protection locked="0"/>
    </xf>
    <xf numFmtId="195" fontId="50" fillId="6" borderId="54" xfId="0" applyFont="1" applyFill="1" applyBorder="1" applyAlignment="1" applyProtection="1">
      <alignment horizontal="left" vertical="center"/>
    </xf>
    <xf numFmtId="195"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5"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5" fontId="49" fillId="2" borderId="5" xfId="0" applyFont="1" applyFill="1" applyBorder="1" applyAlignment="1" applyProtection="1">
      <alignment horizontal="left" vertical="center"/>
      <protection locked="0"/>
    </xf>
    <xf numFmtId="195"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5" fontId="49" fillId="6" borderId="7" xfId="0" applyFont="1" applyFill="1" applyBorder="1" applyAlignment="1" applyProtection="1">
      <alignment horizontal="center" vertical="center"/>
    </xf>
    <xf numFmtId="195" fontId="49" fillId="6" borderId="8" xfId="0" applyFont="1" applyFill="1" applyBorder="1" applyAlignment="1" applyProtection="1">
      <alignment horizontal="center" vertical="center"/>
    </xf>
    <xf numFmtId="195" fontId="49" fillId="2" borderId="54" xfId="0" applyFont="1" applyFill="1" applyBorder="1" applyAlignment="1" applyProtection="1">
      <alignment horizontal="left" vertical="center"/>
      <protection locked="0"/>
    </xf>
    <xf numFmtId="195" fontId="50" fillId="6" borderId="3" xfId="0" applyFont="1" applyFill="1" applyBorder="1" applyAlignment="1" applyProtection="1">
      <alignment horizontal="left" vertical="center"/>
    </xf>
    <xf numFmtId="195" fontId="115" fillId="6" borderId="5" xfId="0" applyFont="1" applyFill="1" applyBorder="1" applyAlignment="1" applyProtection="1">
      <alignment horizontal="left" vertical="center"/>
    </xf>
    <xf numFmtId="195" fontId="225" fillId="6" borderId="3" xfId="0" applyFont="1" applyFill="1" applyBorder="1" applyAlignment="1" applyProtection="1">
      <alignment horizontal="right" vertical="center"/>
    </xf>
    <xf numFmtId="195" fontId="49" fillId="6" borderId="61" xfId="0" applyFont="1" applyFill="1" applyBorder="1" applyAlignment="1" applyProtection="1">
      <alignment horizontal="center" vertical="center"/>
    </xf>
    <xf numFmtId="195"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5"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5"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5" fontId="49" fillId="0" borderId="4" xfId="0" applyFont="1" applyBorder="1" applyAlignment="1" applyProtection="1">
      <alignment horizontal="center" vertical="center" wrapText="1"/>
      <protection locked="0"/>
    </xf>
    <xf numFmtId="195" fontId="46" fillId="5" borderId="2" xfId="0" applyFont="1" applyFill="1" applyBorder="1" applyAlignment="1" applyProtection="1">
      <alignment horizontal="center" vertical="center" wrapText="1"/>
      <protection locked="0"/>
    </xf>
    <xf numFmtId="195" fontId="46" fillId="0" borderId="4" xfId="0" applyFont="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5" fontId="46" fillId="0" borderId="0" xfId="0" applyFont="1" applyFill="1" applyAlignment="1" applyProtection="1">
      <alignment horizontal="center" vertical="center" wrapText="1"/>
    </xf>
    <xf numFmtId="195" fontId="51" fillId="0" borderId="0" xfId="0" applyFont="1" applyAlignment="1" applyProtection="1">
      <alignment horizontal="center" vertical="center" wrapText="1"/>
    </xf>
    <xf numFmtId="195" fontId="51" fillId="0" borderId="0" xfId="0" applyFont="1" applyAlignment="1" applyProtection="1">
      <alignment horizontal="center" vertical="center"/>
    </xf>
    <xf numFmtId="195" fontId="105" fillId="6" borderId="0" xfId="0" applyFont="1" applyFill="1" applyProtection="1">
      <alignment vertical="center"/>
    </xf>
    <xf numFmtId="195"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5" fontId="46" fillId="6" borderId="5" xfId="0" applyFont="1" applyFill="1" applyBorder="1" applyProtection="1">
      <alignment vertical="center"/>
    </xf>
    <xf numFmtId="195"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5" fontId="46" fillId="6" borderId="2" xfId="0" applyFont="1" applyFill="1" applyBorder="1" applyProtection="1">
      <alignment vertical="center"/>
    </xf>
    <xf numFmtId="195"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5" fontId="46" fillId="6" borderId="14" xfId="0" applyFont="1" applyFill="1" applyBorder="1" applyAlignment="1" applyProtection="1">
      <alignment vertical="center"/>
    </xf>
    <xf numFmtId="195" fontId="46" fillId="6" borderId="15" xfId="0" applyFont="1" applyFill="1" applyBorder="1" applyAlignment="1" applyProtection="1">
      <alignment vertical="center"/>
    </xf>
    <xf numFmtId="195" fontId="48" fillId="6" borderId="51" xfId="0" applyFont="1" applyFill="1" applyBorder="1" applyProtection="1">
      <alignment vertical="center"/>
    </xf>
    <xf numFmtId="195" fontId="46" fillId="6" borderId="21" xfId="0" applyFont="1" applyFill="1" applyBorder="1" applyProtection="1">
      <alignment vertical="center"/>
    </xf>
    <xf numFmtId="195" fontId="46" fillId="6" borderId="16" xfId="0" applyFont="1" applyFill="1" applyBorder="1" applyAlignment="1" applyProtection="1">
      <alignment vertical="center"/>
    </xf>
    <xf numFmtId="195" fontId="46" fillId="6" borderId="17" xfId="0" applyFont="1" applyFill="1" applyBorder="1" applyProtection="1">
      <alignment vertical="center"/>
    </xf>
    <xf numFmtId="195" fontId="46" fillId="6" borderId="19" xfId="0" applyFont="1" applyFill="1" applyBorder="1" applyAlignment="1" applyProtection="1">
      <alignment vertical="center"/>
    </xf>
    <xf numFmtId="195"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5"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5" fontId="46" fillId="6" borderId="2" xfId="0" applyFont="1" applyFill="1" applyBorder="1" applyAlignment="1" applyProtection="1">
      <alignment vertical="center"/>
    </xf>
    <xf numFmtId="195" fontId="46" fillId="6" borderId="0" xfId="0" applyFont="1" applyFill="1" applyBorder="1" applyAlignment="1" applyProtection="1">
      <alignment vertical="center"/>
    </xf>
    <xf numFmtId="195"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5" fontId="46" fillId="6" borderId="7" xfId="0" applyFont="1" applyFill="1" applyBorder="1" applyAlignment="1" applyProtection="1">
      <alignment horizontal="center" vertical="center"/>
    </xf>
    <xf numFmtId="195"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5" fontId="46" fillId="6" borderId="1" xfId="0" applyFont="1" applyFill="1" applyBorder="1" applyAlignment="1" applyProtection="1">
      <alignment horizontal="left" vertical="center"/>
    </xf>
    <xf numFmtId="195" fontId="46" fillId="6" borderId="18" xfId="0" applyFont="1" applyFill="1" applyBorder="1" applyProtection="1">
      <alignment vertical="center"/>
    </xf>
    <xf numFmtId="195" fontId="46" fillId="0" borderId="23" xfId="0" applyFont="1" applyBorder="1" applyProtection="1">
      <alignment vertical="center"/>
      <protection locked="0"/>
    </xf>
    <xf numFmtId="195" fontId="46" fillId="0" borderId="1" xfId="0" applyFont="1" applyBorder="1" applyProtection="1">
      <alignment vertical="center"/>
      <protection locked="0"/>
    </xf>
    <xf numFmtId="195" fontId="46" fillId="6" borderId="18" xfId="0" applyFont="1" applyFill="1" applyBorder="1" applyAlignment="1" applyProtection="1">
      <alignment vertical="center"/>
    </xf>
    <xf numFmtId="195" fontId="46" fillId="0" borderId="11" xfId="0" applyFont="1" applyBorder="1" applyProtection="1">
      <alignment vertical="center"/>
      <protection locked="0"/>
    </xf>
    <xf numFmtId="195" fontId="46" fillId="0" borderId="13" xfId="0" applyFont="1" applyBorder="1" applyProtection="1">
      <alignment vertical="center"/>
      <protection locked="0"/>
    </xf>
    <xf numFmtId="195" fontId="48" fillId="6" borderId="3" xfId="0" applyFont="1" applyFill="1" applyBorder="1" applyAlignment="1" applyProtection="1">
      <alignment horizontal="left" vertical="center"/>
    </xf>
    <xf numFmtId="195" fontId="46" fillId="6" borderId="3" xfId="0" applyFont="1" applyFill="1" applyBorder="1" applyAlignment="1" applyProtection="1">
      <alignment horizontal="left" vertical="center"/>
    </xf>
    <xf numFmtId="195" fontId="48" fillId="6" borderId="22" xfId="0" applyFont="1" applyFill="1" applyBorder="1" applyAlignment="1" applyProtection="1">
      <alignment horizontal="left" vertical="center"/>
    </xf>
    <xf numFmtId="195" fontId="46" fillId="6" borderId="42" xfId="0" applyFont="1" applyFill="1" applyBorder="1" applyAlignment="1" applyProtection="1">
      <alignment vertical="center"/>
    </xf>
    <xf numFmtId="195" fontId="46" fillId="6" borderId="33" xfId="0" applyFont="1" applyFill="1" applyBorder="1" applyProtection="1">
      <alignment vertical="center"/>
    </xf>
    <xf numFmtId="176" fontId="46" fillId="0" borderId="0" xfId="0" applyNumberFormat="1" applyFont="1" applyProtection="1">
      <alignment vertical="center"/>
      <protection locked="0"/>
    </xf>
    <xf numFmtId="195"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5" fontId="49" fillId="0" borderId="0" xfId="0" applyFont="1" applyAlignment="1" applyProtection="1">
      <alignment vertical="center"/>
      <protection locked="0"/>
    </xf>
    <xf numFmtId="195" fontId="49" fillId="0" borderId="0" xfId="0" applyFont="1" applyAlignment="1" applyProtection="1">
      <alignment vertical="center"/>
    </xf>
    <xf numFmtId="195" fontId="48" fillId="6" borderId="26" xfId="0" applyFont="1" applyFill="1" applyBorder="1" applyAlignment="1" applyProtection="1">
      <alignment vertical="center" wrapText="1"/>
    </xf>
    <xf numFmtId="195"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5" fontId="46" fillId="0" borderId="0" xfId="0" applyFont="1" applyAlignment="1" applyProtection="1">
      <alignment vertical="center"/>
      <protection locked="0"/>
    </xf>
    <xf numFmtId="195" fontId="46" fillId="6" borderId="0" xfId="0" applyFont="1" applyFill="1" applyAlignment="1" applyProtection="1">
      <alignment vertical="center"/>
    </xf>
    <xf numFmtId="195" fontId="46" fillId="6" borderId="63" xfId="0" applyFont="1" applyFill="1" applyBorder="1" applyAlignment="1" applyProtection="1">
      <alignment vertical="center"/>
    </xf>
    <xf numFmtId="195"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5" fontId="46" fillId="6" borderId="65" xfId="0" applyFont="1" applyFill="1" applyBorder="1" applyAlignment="1" applyProtection="1">
      <alignment vertical="center"/>
    </xf>
    <xf numFmtId="195" fontId="46" fillId="6" borderId="63" xfId="0" applyFont="1" applyFill="1" applyBorder="1" applyAlignment="1" applyProtection="1">
      <alignment horizontal="center" vertical="center"/>
    </xf>
    <xf numFmtId="195" fontId="46" fillId="6" borderId="64" xfId="0" applyFont="1" applyFill="1" applyBorder="1" applyAlignment="1" applyProtection="1">
      <alignment horizontal="center" vertical="center"/>
    </xf>
    <xf numFmtId="195" fontId="46" fillId="6" borderId="31" xfId="0" applyFont="1" applyFill="1" applyBorder="1" applyAlignment="1" applyProtection="1">
      <alignment vertical="center"/>
    </xf>
    <xf numFmtId="195" fontId="46" fillId="6" borderId="6" xfId="1" applyFont="1" applyFill="1" applyBorder="1" applyAlignment="1" applyProtection="1">
      <alignment vertical="center" wrapText="1"/>
    </xf>
    <xf numFmtId="195" fontId="46" fillId="6" borderId="9" xfId="1" applyFont="1" applyFill="1" applyBorder="1" applyAlignment="1" applyProtection="1">
      <alignment vertical="center" wrapText="1"/>
    </xf>
    <xf numFmtId="195"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5"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5"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5" fontId="46" fillId="5" borderId="9" xfId="1" applyFont="1" applyFill="1" applyBorder="1" applyAlignment="1" applyProtection="1">
      <alignment horizontal="center" vertical="center" wrapText="1"/>
      <protection locked="0"/>
    </xf>
    <xf numFmtId="195" fontId="46" fillId="6" borderId="28" xfId="1" applyFont="1" applyFill="1" applyBorder="1" applyAlignment="1" applyProtection="1">
      <alignment horizontal="center" vertical="center" wrapText="1"/>
    </xf>
    <xf numFmtId="195" fontId="46" fillId="6" borderId="6" xfId="1" applyFont="1" applyFill="1" applyBorder="1" applyAlignment="1" applyProtection="1">
      <alignment horizontal="center" vertical="center" wrapText="1"/>
    </xf>
    <xf numFmtId="195" fontId="46" fillId="6" borderId="19" xfId="1" applyFont="1" applyFill="1" applyBorder="1" applyAlignment="1" applyProtection="1">
      <alignment horizontal="center" vertical="center" wrapText="1"/>
    </xf>
    <xf numFmtId="195" fontId="46" fillId="6" borderId="62" xfId="1" applyFont="1" applyFill="1" applyBorder="1" applyAlignment="1" applyProtection="1">
      <alignment horizontal="center" vertical="center" wrapText="1"/>
    </xf>
    <xf numFmtId="195" fontId="46" fillId="6" borderId="30" xfId="0" applyFont="1" applyFill="1" applyBorder="1" applyAlignment="1" applyProtection="1">
      <alignment horizontal="center" vertical="center" wrapText="1"/>
    </xf>
    <xf numFmtId="195" fontId="46" fillId="6" borderId="3" xfId="0" applyFont="1" applyFill="1" applyBorder="1" applyAlignment="1" applyProtection="1">
      <alignment horizontal="center" vertical="center" wrapText="1"/>
      <protection locked="0"/>
    </xf>
    <xf numFmtId="195"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5" fontId="100" fillId="2" borderId="3" xfId="0" applyFont="1" applyFill="1" applyBorder="1" applyAlignment="1" applyProtection="1">
      <alignment horizontal="center" vertical="center"/>
      <protection locked="0"/>
    </xf>
    <xf numFmtId="195"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5" fontId="48" fillId="6" borderId="25" xfId="1" applyFont="1" applyFill="1" applyBorder="1" applyAlignment="1" applyProtection="1">
      <alignment vertical="center" wrapText="1"/>
    </xf>
    <xf numFmtId="195" fontId="48" fillId="6" borderId="25" xfId="1" applyFont="1" applyFill="1" applyBorder="1" applyAlignment="1" applyProtection="1">
      <alignment vertical="center"/>
    </xf>
    <xf numFmtId="195"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5" fontId="46" fillId="6" borderId="34" xfId="0" applyFont="1" applyFill="1" applyBorder="1" applyAlignment="1" applyProtection="1">
      <alignment horizontal="center" vertical="center"/>
    </xf>
    <xf numFmtId="195" fontId="46" fillId="6" borderId="6" xfId="0" applyFont="1" applyFill="1" applyBorder="1" applyAlignment="1" applyProtection="1">
      <alignment vertical="center" wrapText="1"/>
    </xf>
    <xf numFmtId="195" fontId="49" fillId="0" borderId="0" xfId="0" applyFont="1" applyFill="1" applyAlignment="1" applyProtection="1">
      <alignment vertical="center"/>
    </xf>
    <xf numFmtId="195" fontId="46" fillId="6" borderId="23" xfId="0" applyFont="1" applyFill="1" applyBorder="1" applyAlignment="1" applyProtection="1">
      <alignment vertical="center" wrapText="1"/>
    </xf>
    <xf numFmtId="195" fontId="46" fillId="6" borderId="25" xfId="0" applyFont="1" applyFill="1" applyBorder="1" applyAlignment="1" applyProtection="1">
      <alignment vertical="center" wrapText="1"/>
    </xf>
    <xf numFmtId="195" fontId="46" fillId="6" borderId="41" xfId="0" applyFont="1" applyFill="1" applyBorder="1" applyAlignment="1" applyProtection="1">
      <alignment vertical="center" wrapText="1"/>
    </xf>
    <xf numFmtId="195" fontId="46" fillId="6" borderId="11" xfId="0" applyFont="1" applyFill="1" applyBorder="1" applyAlignment="1" applyProtection="1">
      <alignment vertical="center" wrapText="1"/>
    </xf>
    <xf numFmtId="195" fontId="46" fillId="6" borderId="11" xfId="0" applyFont="1" applyFill="1" applyBorder="1" applyAlignment="1" applyProtection="1">
      <alignment horizontal="left" vertical="center" wrapText="1"/>
    </xf>
    <xf numFmtId="195" fontId="46" fillId="6" borderId="11" xfId="0" applyFont="1" applyFill="1" applyBorder="1" applyAlignment="1" applyProtection="1">
      <alignment horizontal="right" vertical="center" wrapText="1"/>
    </xf>
    <xf numFmtId="195" fontId="46" fillId="6" borderId="25" xfId="0" applyFont="1" applyFill="1" applyBorder="1" applyAlignment="1" applyProtection="1">
      <alignment horizontal="right" vertical="center" wrapText="1"/>
    </xf>
    <xf numFmtId="195" fontId="46" fillId="6" borderId="14" xfId="0" applyFont="1" applyFill="1" applyBorder="1" applyAlignment="1" applyProtection="1">
      <alignment vertical="center" wrapText="1"/>
    </xf>
    <xf numFmtId="195" fontId="46" fillId="6" borderId="40" xfId="0" applyFont="1" applyFill="1" applyBorder="1" applyAlignment="1" applyProtection="1">
      <alignment vertical="center" wrapText="1"/>
    </xf>
    <xf numFmtId="195" fontId="46" fillId="2" borderId="24" xfId="0" applyFont="1" applyFill="1" applyBorder="1" applyAlignment="1" applyProtection="1">
      <alignment horizontal="center" vertical="center"/>
      <protection locked="0"/>
    </xf>
    <xf numFmtId="195" fontId="46" fillId="0" borderId="23" xfId="0" applyFont="1" applyBorder="1" applyAlignment="1" applyProtection="1">
      <alignment horizontal="right" vertical="center" wrapText="1"/>
      <protection locked="0"/>
    </xf>
    <xf numFmtId="195" fontId="46" fillId="0" borderId="25" xfId="0" applyFont="1" applyBorder="1" applyAlignment="1" applyProtection="1">
      <alignment horizontal="right" vertical="center" wrapText="1"/>
      <protection locked="0"/>
    </xf>
    <xf numFmtId="195"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5"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5" fontId="49" fillId="0" borderId="0" xfId="0" applyFont="1" applyAlignment="1" applyProtection="1">
      <alignment vertical="center" wrapText="1"/>
    </xf>
    <xf numFmtId="179" fontId="49" fillId="0" borderId="0" xfId="0" applyNumberFormat="1" applyFont="1" applyAlignment="1" applyProtection="1">
      <alignment vertical="center"/>
    </xf>
    <xf numFmtId="195" fontId="49" fillId="6" borderId="0" xfId="0" applyFont="1" applyFill="1" applyProtection="1">
      <alignment vertical="center"/>
    </xf>
    <xf numFmtId="195" fontId="49" fillId="5" borderId="0" xfId="0" applyFont="1" applyFill="1" applyProtection="1">
      <alignment vertical="center"/>
      <protection locked="0"/>
    </xf>
    <xf numFmtId="195" fontId="63" fillId="6" borderId="13" xfId="0" applyFont="1" applyFill="1" applyBorder="1" applyProtection="1">
      <alignment vertical="center"/>
    </xf>
    <xf numFmtId="195" fontId="63" fillId="6" borderId="13" xfId="0" applyNumberFormat="1" applyFont="1" applyFill="1" applyBorder="1" applyProtection="1">
      <alignment vertical="center"/>
    </xf>
    <xf numFmtId="195" fontId="63" fillId="5" borderId="13" xfId="0" applyFont="1" applyFill="1" applyBorder="1" applyAlignment="1" applyProtection="1">
      <alignment horizontal="center" vertical="center"/>
      <protection locked="0"/>
    </xf>
    <xf numFmtId="195" fontId="49" fillId="7" borderId="0" xfId="0" applyFont="1" applyFill="1" applyProtection="1">
      <alignment vertical="center"/>
    </xf>
    <xf numFmtId="195" fontId="49" fillId="0" borderId="0" xfId="0" applyFont="1" applyProtection="1">
      <alignment vertical="center"/>
    </xf>
    <xf numFmtId="195" fontId="49" fillId="6" borderId="54" xfId="0" applyFont="1" applyFill="1" applyBorder="1" applyAlignment="1" applyProtection="1">
      <alignment vertical="center" wrapText="1"/>
    </xf>
    <xf numFmtId="195" fontId="46" fillId="6" borderId="9" xfId="0" applyFont="1" applyFill="1" applyBorder="1" applyAlignment="1" applyProtection="1">
      <alignment vertical="center"/>
    </xf>
    <xf numFmtId="195" fontId="48" fillId="6" borderId="18" xfId="0" applyFont="1" applyFill="1" applyBorder="1" applyAlignment="1" applyProtection="1">
      <alignment vertical="center"/>
    </xf>
    <xf numFmtId="195" fontId="46" fillId="6" borderId="70" xfId="0" applyFont="1" applyFill="1" applyBorder="1" applyProtection="1">
      <alignment vertical="center"/>
    </xf>
    <xf numFmtId="195" fontId="46" fillId="6" borderId="34" xfId="0" applyFont="1" applyFill="1" applyBorder="1" applyProtection="1">
      <alignment vertical="center"/>
    </xf>
    <xf numFmtId="195" fontId="46" fillId="6" borderId="21" xfId="0" applyFont="1" applyFill="1" applyBorder="1" applyAlignment="1" applyProtection="1">
      <alignment horizontal="center" vertical="center"/>
    </xf>
    <xf numFmtId="195" fontId="46" fillId="6" borderId="48" xfId="0" applyFont="1" applyFill="1" applyBorder="1" applyAlignment="1" applyProtection="1">
      <alignment horizontal="center" vertical="center"/>
    </xf>
    <xf numFmtId="195" fontId="102" fillId="0" borderId="23" xfId="0" applyFont="1" applyBorder="1" applyAlignment="1" applyProtection="1">
      <alignment horizontal="center" vertical="center"/>
      <protection locked="0"/>
    </xf>
    <xf numFmtId="195" fontId="49" fillId="0" borderId="0" xfId="0" applyFont="1" applyFill="1" applyProtection="1">
      <alignment vertical="center"/>
    </xf>
    <xf numFmtId="195" fontId="48" fillId="6" borderId="16" xfId="0" applyFont="1" applyFill="1" applyBorder="1" applyAlignment="1" applyProtection="1">
      <alignment horizontal="left" vertical="center"/>
    </xf>
    <xf numFmtId="195" fontId="46" fillId="6" borderId="19" xfId="0" applyFont="1" applyFill="1" applyBorder="1" applyProtection="1">
      <alignment vertical="center"/>
    </xf>
    <xf numFmtId="195" fontId="48" fillId="5" borderId="62" xfId="0" applyFont="1" applyFill="1" applyBorder="1" applyAlignment="1" applyProtection="1">
      <alignment horizontal="right" vertical="center"/>
      <protection locked="0"/>
    </xf>
    <xf numFmtId="195" fontId="49" fillId="6" borderId="5" xfId="0" applyFont="1" applyFill="1" applyBorder="1" applyProtection="1">
      <alignment vertical="center"/>
    </xf>
    <xf numFmtId="195" fontId="48" fillId="5" borderId="1" xfId="0" applyFont="1" applyFill="1" applyBorder="1" applyAlignment="1" applyProtection="1">
      <alignment horizontal="center" vertical="center"/>
      <protection locked="0"/>
    </xf>
    <xf numFmtId="195" fontId="206" fillId="2" borderId="24" xfId="0" applyFont="1" applyFill="1" applyBorder="1" applyAlignment="1" applyProtection="1">
      <alignment horizontal="center" vertical="center"/>
      <protection locked="0"/>
    </xf>
    <xf numFmtId="195" fontId="49" fillId="6" borderId="30" xfId="0" applyFont="1" applyFill="1" applyBorder="1" applyProtection="1">
      <alignment vertical="center"/>
    </xf>
    <xf numFmtId="195" fontId="49" fillId="6" borderId="10" xfId="0" applyFont="1" applyFill="1" applyBorder="1" applyAlignment="1" applyProtection="1">
      <alignment horizontal="center" vertical="center"/>
    </xf>
    <xf numFmtId="195" fontId="48" fillId="6" borderId="69" xfId="0" applyFont="1" applyFill="1" applyBorder="1" applyAlignment="1" applyProtection="1">
      <alignment horizontal="left" vertical="center"/>
    </xf>
    <xf numFmtId="195" fontId="46" fillId="6" borderId="7" xfId="0" applyFont="1" applyFill="1" applyBorder="1" applyAlignment="1" applyProtection="1">
      <alignment horizontal="right" vertical="center"/>
    </xf>
    <xf numFmtId="195" fontId="49" fillId="6" borderId="3" xfId="0" applyFont="1" applyFill="1" applyBorder="1" applyProtection="1">
      <alignment vertical="center"/>
    </xf>
    <xf numFmtId="195" fontId="48" fillId="6" borderId="38" xfId="0" applyFont="1" applyFill="1" applyBorder="1" applyAlignment="1" applyProtection="1">
      <alignment horizontal="left" vertical="center"/>
    </xf>
    <xf numFmtId="195" fontId="46" fillId="6" borderId="66" xfId="0" applyFont="1" applyFill="1" applyBorder="1" applyAlignment="1" applyProtection="1">
      <alignment horizontal="right" vertical="center"/>
    </xf>
    <xf numFmtId="195" fontId="49" fillId="6" borderId="66" xfId="0" applyFont="1" applyFill="1" applyBorder="1" applyProtection="1">
      <alignment vertical="center"/>
    </xf>
    <xf numFmtId="195" fontId="46" fillId="6" borderId="30" xfId="0" applyFont="1" applyFill="1" applyBorder="1" applyAlignment="1" applyProtection="1">
      <alignment horizontal="left" vertical="center"/>
    </xf>
    <xf numFmtId="195" fontId="46" fillId="5" borderId="63" xfId="0" applyFont="1" applyFill="1" applyBorder="1" applyProtection="1">
      <alignment vertical="center"/>
      <protection locked="0"/>
    </xf>
    <xf numFmtId="195" fontId="46" fillId="6" borderId="65" xfId="0" applyFont="1" applyFill="1" applyBorder="1" applyProtection="1">
      <alignment vertical="center"/>
    </xf>
    <xf numFmtId="195" fontId="46" fillId="6" borderId="0" xfId="0" applyFont="1" applyFill="1" applyBorder="1" applyAlignment="1" applyProtection="1">
      <alignment horizontal="left" vertical="center"/>
      <protection locked="0"/>
    </xf>
    <xf numFmtId="195" fontId="46" fillId="6" borderId="66" xfId="0" applyFont="1" applyFill="1" applyBorder="1" applyAlignment="1" applyProtection="1">
      <alignment horizontal="left" vertical="center"/>
    </xf>
    <xf numFmtId="195" fontId="46" fillId="0" borderId="65" xfId="0" applyFont="1" applyFill="1" applyBorder="1" applyProtection="1">
      <alignment vertical="center"/>
      <protection locked="0"/>
    </xf>
    <xf numFmtId="195" fontId="102" fillId="0" borderId="6" xfId="0" applyFont="1" applyFill="1" applyBorder="1" applyAlignment="1" applyProtection="1">
      <alignment horizontal="center" vertical="center"/>
      <protection locked="0"/>
    </xf>
    <xf numFmtId="195" fontId="102" fillId="0" borderId="9" xfId="0" applyFont="1" applyFill="1" applyBorder="1" applyAlignment="1" applyProtection="1">
      <alignment horizontal="center" vertical="center"/>
      <protection locked="0"/>
    </xf>
    <xf numFmtId="195" fontId="102" fillId="0" borderId="10" xfId="0" applyFont="1" applyFill="1" applyBorder="1" applyAlignment="1" applyProtection="1">
      <alignment horizontal="center" vertical="center"/>
      <protection locked="0"/>
    </xf>
    <xf numFmtId="195" fontId="49" fillId="6" borderId="18" xfId="0" applyFont="1" applyFill="1" applyBorder="1" applyProtection="1">
      <alignment vertical="center"/>
    </xf>
    <xf numFmtId="195" fontId="49" fillId="6" borderId="42" xfId="0" applyFont="1" applyFill="1" applyBorder="1" applyProtection="1">
      <alignment vertical="center"/>
    </xf>
    <xf numFmtId="195" fontId="115" fillId="6" borderId="0" xfId="0" applyFont="1" applyFill="1" applyBorder="1" applyAlignment="1" applyProtection="1">
      <alignment horizontal="center" vertical="center"/>
    </xf>
    <xf numFmtId="195" fontId="115" fillId="6" borderId="0" xfId="0" applyFont="1" applyFill="1" applyProtection="1">
      <alignment vertical="center"/>
    </xf>
    <xf numFmtId="195" fontId="105" fillId="6" borderId="0" xfId="0" applyFont="1" applyFill="1" applyBorder="1" applyAlignment="1" applyProtection="1">
      <alignment horizontal="left" vertical="center"/>
    </xf>
    <xf numFmtId="195" fontId="207" fillId="6" borderId="0" xfId="0" applyFont="1" applyFill="1" applyBorder="1" applyAlignment="1" applyProtection="1">
      <alignment horizontal="left" vertical="center"/>
    </xf>
    <xf numFmtId="195" fontId="227" fillId="6" borderId="0" xfId="0" applyFont="1" applyFill="1" applyBorder="1" applyAlignment="1" applyProtection="1">
      <alignment vertical="center"/>
    </xf>
    <xf numFmtId="195" fontId="227" fillId="6" borderId="0" xfId="0" applyFont="1" applyFill="1" applyBorder="1" applyAlignment="1" applyProtection="1">
      <alignment horizontal="center" vertical="center"/>
    </xf>
    <xf numFmtId="195" fontId="104" fillId="6" borderId="0" xfId="0" applyFont="1" applyFill="1" applyBorder="1" applyAlignment="1" applyProtection="1">
      <alignment horizontal="left" vertical="center"/>
    </xf>
    <xf numFmtId="195"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195" fontId="49" fillId="6" borderId="0" xfId="0" applyFont="1" applyFill="1" applyBorder="1" applyAlignment="1" applyProtection="1">
      <alignment horizontal="center" vertical="center" wrapText="1"/>
      <protection locked="0"/>
    </xf>
    <xf numFmtId="195" fontId="49" fillId="6" borderId="0" xfId="0" applyFont="1" applyFill="1" applyBorder="1" applyAlignment="1" applyProtection="1">
      <alignment horizontal="left" vertical="center" wrapText="1"/>
    </xf>
    <xf numFmtId="195"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195"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195" fontId="49" fillId="6" borderId="0" xfId="0" applyFont="1" applyFill="1" applyBorder="1" applyAlignment="1" applyProtection="1">
      <alignment horizontal="left" vertical="center"/>
    </xf>
    <xf numFmtId="195" fontId="49" fillId="6" borderId="0" xfId="2" applyFont="1" applyFill="1" applyBorder="1" applyAlignment="1" applyProtection="1">
      <alignment horizontal="left" vertical="center" wrapText="1"/>
    </xf>
    <xf numFmtId="195" fontId="100" fillId="0" borderId="0" xfId="0" applyFont="1" applyFill="1" applyProtection="1">
      <alignment vertical="center"/>
    </xf>
    <xf numFmtId="195" fontId="100" fillId="7" borderId="0" xfId="0" applyFont="1" applyFill="1" applyProtection="1">
      <alignment vertical="center"/>
      <protection locked="0"/>
    </xf>
    <xf numFmtId="195" fontId="100" fillId="7" borderId="0" xfId="0" applyFont="1" applyFill="1" applyProtection="1">
      <alignment vertical="center"/>
    </xf>
    <xf numFmtId="195" fontId="100" fillId="6" borderId="0" xfId="2" applyFont="1" applyFill="1" applyAlignment="1" applyProtection="1">
      <alignment vertical="center" wrapText="1"/>
      <protection locked="0"/>
    </xf>
    <xf numFmtId="195" fontId="100" fillId="6" borderId="0" xfId="0" applyFont="1" applyFill="1" applyProtection="1">
      <alignment vertical="center"/>
      <protection locked="0"/>
    </xf>
    <xf numFmtId="195" fontId="49" fillId="2" borderId="54" xfId="0" applyFont="1" applyFill="1" applyBorder="1" applyAlignment="1" applyProtection="1">
      <alignment horizontal="left" vertical="center" wrapText="1"/>
      <protection locked="0"/>
    </xf>
    <xf numFmtId="195"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195" fontId="100" fillId="0" borderId="23" xfId="0" applyFont="1" applyFill="1" applyBorder="1" applyProtection="1">
      <alignment vertical="center"/>
      <protection locked="0"/>
    </xf>
    <xf numFmtId="195" fontId="127" fillId="6" borderId="1" xfId="0" applyFont="1" applyFill="1" applyBorder="1" applyAlignment="1" applyProtection="1">
      <alignment vertical="center" wrapText="1"/>
    </xf>
    <xf numFmtId="195" fontId="106" fillId="6" borderId="1" xfId="0" applyFont="1" applyFill="1" applyBorder="1" applyAlignment="1" applyProtection="1">
      <alignment vertical="center" wrapText="1"/>
    </xf>
    <xf numFmtId="195" fontId="46" fillId="6" borderId="23" xfId="0" applyFont="1" applyFill="1" applyBorder="1" applyAlignment="1" applyProtection="1">
      <alignment horizontal="left" vertical="center"/>
    </xf>
    <xf numFmtId="195" fontId="127" fillId="6" borderId="32" xfId="0" applyFont="1" applyFill="1" applyBorder="1" applyAlignment="1" applyProtection="1">
      <alignment vertical="center" wrapText="1"/>
    </xf>
    <xf numFmtId="195" fontId="133" fillId="0" borderId="46" xfId="0" applyFont="1" applyBorder="1" applyAlignment="1" applyProtection="1">
      <alignment horizontal="left" vertical="center"/>
    </xf>
    <xf numFmtId="195" fontId="49" fillId="0" borderId="36" xfId="0" applyFont="1" applyBorder="1" applyAlignment="1" applyProtection="1">
      <alignment horizontal="left" vertical="center" wrapText="1"/>
    </xf>
    <xf numFmtId="195" fontId="58" fillId="5" borderId="36" xfId="0" applyFont="1" applyFill="1" applyBorder="1" applyAlignment="1" applyProtection="1">
      <alignment horizontal="left" vertical="center" wrapText="1"/>
      <protection locked="0"/>
    </xf>
    <xf numFmtId="195" fontId="49" fillId="7" borderId="36" xfId="0" applyFont="1" applyFill="1" applyBorder="1" applyAlignment="1" applyProtection="1">
      <alignment horizontal="center" vertical="center" wrapText="1"/>
    </xf>
    <xf numFmtId="195" fontId="49" fillId="7" borderId="36" xfId="0" applyFont="1" applyFill="1" applyBorder="1" applyAlignment="1" applyProtection="1">
      <alignment horizontal="center" vertical="center"/>
    </xf>
    <xf numFmtId="195" fontId="49" fillId="7" borderId="22" xfId="0" applyFont="1" applyFill="1" applyBorder="1" applyProtection="1">
      <alignment vertical="center"/>
    </xf>
    <xf numFmtId="195" fontId="49" fillId="7" borderId="58"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center" vertical="center" wrapText="1"/>
      <protection locked="0"/>
    </xf>
    <xf numFmtId="195" fontId="49" fillId="7" borderId="0" xfId="0" applyFont="1" applyFill="1" applyBorder="1" applyAlignment="1" applyProtection="1">
      <alignment horizontal="center" vertical="center"/>
      <protection locked="0"/>
    </xf>
    <xf numFmtId="195" fontId="49" fillId="7" borderId="35" xfId="0" applyFont="1" applyFill="1" applyBorder="1" applyProtection="1">
      <alignment vertical="center"/>
      <protection locked="0"/>
    </xf>
    <xf numFmtId="195" fontId="49" fillId="7" borderId="4"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center" vertical="center" wrapText="1"/>
      <protection locked="0"/>
    </xf>
    <xf numFmtId="195" fontId="49" fillId="7" borderId="60" xfId="0" applyFont="1" applyFill="1" applyBorder="1" applyAlignment="1" applyProtection="1">
      <alignment horizontal="center" vertical="center"/>
      <protection locked="0"/>
    </xf>
    <xf numFmtId="195" fontId="49" fillId="7" borderId="7" xfId="0" applyFont="1" applyFill="1" applyBorder="1" applyProtection="1">
      <alignment vertical="center"/>
      <protection locked="0"/>
    </xf>
    <xf numFmtId="195" fontId="54" fillId="7" borderId="60" xfId="0" applyFont="1" applyFill="1" applyBorder="1" applyAlignment="1" applyProtection="1">
      <alignment horizontal="left" vertical="center"/>
      <protection locked="0"/>
    </xf>
    <xf numFmtId="195" fontId="49" fillId="7" borderId="60" xfId="0" applyFont="1" applyFill="1" applyBorder="1" applyProtection="1">
      <alignment vertical="center"/>
      <protection locked="0"/>
    </xf>
    <xf numFmtId="195" fontId="49" fillId="7" borderId="60" xfId="0" applyFont="1" applyFill="1" applyBorder="1" applyAlignment="1" applyProtection="1">
      <alignment horizontal="right" vertical="center"/>
      <protection locked="0"/>
    </xf>
    <xf numFmtId="195"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195" fontId="54" fillId="7" borderId="0" xfId="0" applyFont="1" applyFill="1" applyAlignment="1" applyProtection="1">
      <alignment vertical="center" wrapText="1"/>
      <protection locked="0"/>
    </xf>
    <xf numFmtId="195" fontId="56" fillId="5" borderId="5" xfId="1" applyFont="1" applyFill="1" applyBorder="1" applyAlignment="1" applyProtection="1">
      <alignment vertical="center"/>
      <protection locked="0"/>
    </xf>
    <xf numFmtId="195" fontId="59" fillId="6" borderId="3" xfId="1" applyFont="1" applyFill="1" applyBorder="1" applyAlignment="1" applyProtection="1">
      <alignment vertical="center"/>
    </xf>
    <xf numFmtId="195" fontId="59" fillId="5" borderId="1" xfId="1" applyFont="1" applyFill="1" applyBorder="1" applyAlignment="1" applyProtection="1">
      <alignment vertical="center"/>
      <protection locked="0"/>
    </xf>
    <xf numFmtId="195" fontId="56" fillId="5" borderId="24" xfId="1" applyFont="1" applyFill="1" applyBorder="1" applyAlignment="1" applyProtection="1">
      <alignment horizontal="left" vertical="center"/>
      <protection locked="0"/>
    </xf>
    <xf numFmtId="195" fontId="141" fillId="5" borderId="24" xfId="1" applyFont="1" applyFill="1" applyBorder="1" applyAlignment="1" applyProtection="1">
      <alignment horizontal="right" vertical="center"/>
      <protection locked="0"/>
    </xf>
    <xf numFmtId="195" fontId="141" fillId="3" borderId="0" xfId="0" applyFont="1" applyFill="1" applyAlignment="1" applyProtection="1">
      <alignment vertical="center"/>
      <protection locked="0"/>
    </xf>
    <xf numFmtId="195"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5" fontId="141" fillId="5" borderId="5" xfId="1" applyFont="1" applyFill="1" applyBorder="1" applyAlignment="1" applyProtection="1">
      <alignment horizontal="right" vertical="center"/>
      <protection locked="0"/>
    </xf>
    <xf numFmtId="195" fontId="54" fillId="6" borderId="54" xfId="0" applyFont="1" applyFill="1" applyBorder="1" applyAlignment="1" applyProtection="1">
      <alignment vertical="center"/>
    </xf>
    <xf numFmtId="195" fontId="49" fillId="6" borderId="5" xfId="0" applyFont="1" applyFill="1" applyBorder="1" applyAlignment="1" applyProtection="1"/>
    <xf numFmtId="195"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195" fontId="100" fillId="6" borderId="19" xfId="0" applyFont="1" applyFill="1" applyBorder="1">
      <alignment vertical="center"/>
    </xf>
    <xf numFmtId="195" fontId="100" fillId="6" borderId="31" xfId="0" applyFont="1" applyFill="1" applyBorder="1">
      <alignment vertical="center"/>
    </xf>
    <xf numFmtId="195" fontId="59" fillId="6" borderId="23" xfId="1" applyFont="1" applyFill="1" applyBorder="1" applyAlignment="1" applyProtection="1">
      <alignment vertical="center"/>
    </xf>
    <xf numFmtId="195" fontId="100" fillId="6" borderId="5" xfId="0" applyFont="1" applyFill="1" applyBorder="1">
      <alignment vertical="center"/>
    </xf>
    <xf numFmtId="195" fontId="100" fillId="6" borderId="3" xfId="0" applyFont="1" applyFill="1" applyBorder="1">
      <alignment vertical="center"/>
    </xf>
    <xf numFmtId="195" fontId="206" fillId="6" borderId="1" xfId="0" applyFont="1" applyFill="1" applyBorder="1">
      <alignment vertical="center"/>
    </xf>
    <xf numFmtId="195" fontId="206" fillId="6" borderId="5" xfId="0" applyFont="1" applyFill="1" applyBorder="1" applyAlignment="1" applyProtection="1">
      <alignment horizontal="center" vertical="center"/>
    </xf>
    <xf numFmtId="195" fontId="100" fillId="6" borderId="1" xfId="0" applyFont="1" applyFill="1" applyBorder="1" applyAlignment="1">
      <alignment horizontal="center" vertical="center"/>
    </xf>
    <xf numFmtId="195" fontId="100" fillId="5" borderId="1" xfId="0" applyFont="1" applyFill="1" applyBorder="1" applyAlignment="1" applyProtection="1">
      <alignment horizontal="center" vertical="center"/>
      <protection locked="0"/>
    </xf>
    <xf numFmtId="195" fontId="100" fillId="6" borderId="66" xfId="0" applyFont="1" applyFill="1" applyBorder="1">
      <alignment vertical="center"/>
    </xf>
    <xf numFmtId="195" fontId="64" fillId="6" borderId="85" xfId="0" applyFont="1" applyFill="1" applyBorder="1" applyAlignment="1" applyProtection="1">
      <alignment horizontal="right" vertical="center"/>
    </xf>
    <xf numFmtId="195" fontId="64" fillId="5" borderId="78" xfId="0" applyFont="1" applyFill="1" applyBorder="1" applyAlignment="1" applyProtection="1">
      <alignment horizontal="center" vertical="center"/>
      <protection locked="0"/>
    </xf>
    <xf numFmtId="195" fontId="64" fillId="6" borderId="89" xfId="0" applyFont="1" applyFill="1" applyBorder="1" applyAlignment="1" applyProtection="1">
      <alignment horizontal="center" vertical="center"/>
    </xf>
    <xf numFmtId="195" fontId="56" fillId="5" borderId="4" xfId="1" applyFont="1" applyFill="1" applyBorder="1" applyAlignment="1" applyProtection="1">
      <alignment vertical="center"/>
      <protection locked="0"/>
    </xf>
    <xf numFmtId="195" fontId="59" fillId="6" borderId="7" xfId="1" applyFont="1" applyFill="1" applyBorder="1" applyAlignment="1" applyProtection="1">
      <alignment vertical="center"/>
      <protection locked="0"/>
    </xf>
    <xf numFmtId="195"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5" fontId="59" fillId="6" borderId="18" xfId="0" applyFont="1" applyFill="1" applyBorder="1" applyAlignment="1" applyProtection="1">
      <alignment horizontal="center" vertical="center"/>
    </xf>
    <xf numFmtId="195" fontId="59" fillId="6" borderId="0" xfId="0" applyFont="1" applyFill="1" applyBorder="1" applyAlignment="1" applyProtection="1">
      <alignment horizontal="center" vertical="center"/>
    </xf>
    <xf numFmtId="195" fontId="60" fillId="6" borderId="0" xfId="0" applyFont="1" applyFill="1" applyBorder="1" applyAlignment="1" applyProtection="1">
      <alignment horizontal="center" vertical="center"/>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5" fontId="46" fillId="6" borderId="48" xfId="0" applyNumberFormat="1" applyFont="1" applyFill="1" applyBorder="1" applyAlignment="1" applyProtection="1">
      <alignment horizontal="center" vertical="center" wrapText="1"/>
    </xf>
    <xf numFmtId="195" fontId="46" fillId="0" borderId="46" xfId="0" applyFont="1" applyFill="1" applyBorder="1" applyAlignment="1" applyProtection="1">
      <alignment horizontal="center" vertical="center" wrapText="1"/>
      <protection locked="0"/>
    </xf>
    <xf numFmtId="195" fontId="60" fillId="6" borderId="48" xfId="0" applyNumberFormat="1" applyFont="1" applyFill="1" applyBorder="1" applyAlignment="1" applyProtection="1">
      <alignment horizontal="center" vertical="center" wrapText="1"/>
    </xf>
    <xf numFmtId="195"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5" fontId="60" fillId="6" borderId="50" xfId="0" applyNumberFormat="1" applyFont="1" applyFill="1" applyBorder="1" applyAlignment="1" applyProtection="1">
      <alignment horizontal="center" vertical="center" wrapText="1"/>
    </xf>
    <xf numFmtId="195" fontId="53" fillId="6" borderId="11" xfId="0" applyNumberFormat="1" applyFont="1" applyFill="1" applyBorder="1" applyAlignment="1" applyProtection="1">
      <alignment horizontal="center" vertical="center" wrapText="1"/>
    </xf>
    <xf numFmtId="195"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5" fontId="53" fillId="2" borderId="7" xfId="0" applyNumberFormat="1" applyFont="1" applyFill="1" applyBorder="1" applyAlignment="1" applyProtection="1">
      <alignment horizontal="center" vertical="center" wrapText="1"/>
      <protection locked="0"/>
    </xf>
    <xf numFmtId="195"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195" fontId="53" fillId="0" borderId="54" xfId="0" applyNumberFormat="1" applyFont="1" applyFill="1" applyBorder="1" applyAlignment="1" applyProtection="1">
      <alignment horizontal="center" vertical="center" wrapText="1"/>
      <protection locked="0"/>
    </xf>
    <xf numFmtId="195" fontId="53" fillId="0" borderId="52" xfId="0" applyNumberFormat="1" applyFont="1" applyFill="1" applyBorder="1" applyAlignment="1" applyProtection="1">
      <alignment horizontal="center" vertical="center" wrapText="1"/>
      <protection locked="0"/>
    </xf>
    <xf numFmtId="195" fontId="53" fillId="2" borderId="6" xfId="0" applyFont="1" applyFill="1" applyBorder="1" applyAlignment="1" applyProtection="1">
      <alignment horizontal="center" vertical="center" wrapText="1"/>
      <protection locked="0"/>
    </xf>
    <xf numFmtId="195"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5" fontId="53" fillId="0" borderId="18" xfId="0" applyFont="1" applyFill="1" applyBorder="1" applyAlignment="1" applyProtection="1">
      <alignment horizontal="center" vertical="center"/>
      <protection locked="0"/>
    </xf>
    <xf numFmtId="195" fontId="70" fillId="0" borderId="18" xfId="0" applyFont="1" applyFill="1" applyBorder="1" applyAlignment="1" applyProtection="1">
      <alignment horizontal="center" vertical="center"/>
      <protection locked="0"/>
    </xf>
    <xf numFmtId="195" fontId="53" fillId="0" borderId="18" xfId="0" applyFont="1" applyBorder="1" applyAlignment="1" applyProtection="1">
      <protection locked="0"/>
    </xf>
    <xf numFmtId="195"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5" fontId="100" fillId="0" borderId="18" xfId="0" applyFont="1" applyFill="1" applyBorder="1" applyAlignment="1" applyProtection="1">
      <alignment vertical="center"/>
      <protection locked="0"/>
    </xf>
    <xf numFmtId="195" fontId="46"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protection locked="0"/>
    </xf>
    <xf numFmtId="195" fontId="51" fillId="0" borderId="18" xfId="0" applyFont="1" applyFill="1" applyBorder="1" applyAlignment="1" applyProtection="1">
      <alignment vertical="center" wrapText="1"/>
      <protection locked="0"/>
    </xf>
    <xf numFmtId="195" fontId="46" fillId="0" borderId="18" xfId="0" applyFont="1" applyFill="1" applyBorder="1" applyAlignment="1" applyProtection="1">
      <alignment vertical="center" wrapText="1"/>
      <protection locked="0"/>
    </xf>
    <xf numFmtId="195" fontId="46" fillId="0" borderId="83" xfId="0" applyNumberFormat="1" applyFont="1" applyFill="1" applyBorder="1" applyAlignment="1" applyProtection="1">
      <alignment horizontal="center" vertical="center"/>
      <protection locked="0"/>
    </xf>
    <xf numFmtId="195" fontId="52" fillId="6" borderId="12" xfId="0" applyNumberFormat="1" applyFont="1" applyFill="1" applyBorder="1" applyAlignment="1" applyProtection="1">
      <alignment vertical="center" wrapText="1"/>
    </xf>
    <xf numFmtId="195" fontId="102" fillId="0" borderId="0" xfId="0" applyFont="1" applyFill="1" applyAlignment="1" applyProtection="1">
      <alignment horizontal="left" vertical="center"/>
      <protection locked="0"/>
    </xf>
    <xf numFmtId="195" fontId="100" fillId="6" borderId="16" xfId="0" applyFont="1" applyFill="1" applyBorder="1" applyAlignment="1" applyProtection="1">
      <alignment horizontal="center" vertical="center"/>
    </xf>
    <xf numFmtId="195" fontId="60" fillId="6" borderId="19" xfId="0" applyFont="1" applyFill="1" applyBorder="1" applyAlignment="1" applyProtection="1">
      <alignment horizontal="center" vertical="center"/>
    </xf>
    <xf numFmtId="195" fontId="53" fillId="6" borderId="19" xfId="0" applyFont="1" applyFill="1" applyBorder="1" applyAlignment="1" applyProtection="1">
      <alignment horizontal="center" vertical="center"/>
    </xf>
    <xf numFmtId="195" fontId="53" fillId="6" borderId="31" xfId="0" applyFont="1" applyFill="1" applyBorder="1" applyAlignment="1" applyProtection="1">
      <alignment horizontal="center" vertical="center"/>
    </xf>
    <xf numFmtId="195" fontId="100" fillId="6" borderId="19" xfId="0" applyFont="1" applyFill="1" applyBorder="1" applyAlignment="1" applyProtection="1">
      <alignment horizontal="center" vertical="center"/>
    </xf>
    <xf numFmtId="195" fontId="60" fillId="6" borderId="31" xfId="0" applyFont="1" applyFill="1" applyBorder="1" applyAlignment="1" applyProtection="1">
      <alignment horizontal="center" vertical="center"/>
    </xf>
    <xf numFmtId="195" fontId="60" fillId="6" borderId="69" xfId="0" applyFont="1" applyFill="1" applyBorder="1" applyProtection="1">
      <alignment vertical="center"/>
    </xf>
    <xf numFmtId="195" fontId="100" fillId="6" borderId="5" xfId="0" applyFont="1" applyFill="1" applyBorder="1" applyAlignment="1" applyProtection="1">
      <alignment horizontal="center" vertical="center"/>
    </xf>
    <xf numFmtId="195" fontId="100" fillId="6" borderId="92" xfId="0" applyFont="1" applyFill="1" applyBorder="1" applyAlignment="1" applyProtection="1">
      <alignment horizontal="center" vertical="center"/>
    </xf>
    <xf numFmtId="195" fontId="60" fillId="6" borderId="60" xfId="0" applyFont="1" applyFill="1" applyBorder="1" applyAlignment="1" applyProtection="1">
      <alignment horizontal="center" vertical="center"/>
    </xf>
    <xf numFmtId="195" fontId="100" fillId="0" borderId="2" xfId="0" applyFont="1" applyBorder="1" applyAlignment="1" applyProtection="1">
      <alignment horizontal="center" vertical="center"/>
      <protection locked="0"/>
    </xf>
    <xf numFmtId="195" fontId="100" fillId="6" borderId="7" xfId="0" applyFont="1" applyFill="1" applyBorder="1" applyAlignment="1" applyProtection="1">
      <alignment horizontal="center" vertical="center"/>
    </xf>
    <xf numFmtId="195" fontId="100" fillId="6" borderId="3" xfId="0" applyFont="1" applyFill="1" applyBorder="1" applyAlignment="1" applyProtection="1">
      <alignment horizontal="center" vertical="center"/>
    </xf>
    <xf numFmtId="195" fontId="100" fillId="0" borderId="1" xfId="0" applyFont="1" applyBorder="1" applyAlignment="1" applyProtection="1">
      <alignment horizontal="center" vertical="center"/>
      <protection locked="0"/>
    </xf>
    <xf numFmtId="195" fontId="100" fillId="6" borderId="25" xfId="0" applyFont="1" applyFill="1" applyBorder="1" applyAlignment="1" applyProtection="1">
      <alignment horizontal="center" vertical="center"/>
    </xf>
    <xf numFmtId="195" fontId="60" fillId="6" borderId="94" xfId="0" applyFont="1" applyFill="1" applyBorder="1" applyAlignment="1" applyProtection="1">
      <alignment horizontal="left" vertical="center"/>
    </xf>
    <xf numFmtId="195" fontId="53" fillId="6" borderId="47" xfId="0" applyFont="1" applyFill="1" applyBorder="1" applyAlignment="1" applyProtection="1">
      <alignment horizontal="center" vertical="center"/>
    </xf>
    <xf numFmtId="195" fontId="53" fillId="6" borderId="43" xfId="0" applyFont="1" applyFill="1" applyBorder="1" applyAlignment="1" applyProtection="1">
      <alignment horizontal="center" vertical="center"/>
    </xf>
    <xf numFmtId="195" fontId="100" fillId="6" borderId="66" xfId="0" applyFont="1" applyFill="1" applyBorder="1" applyAlignment="1" applyProtection="1">
      <alignment horizontal="center" vertical="center"/>
    </xf>
    <xf numFmtId="195" fontId="64" fillId="6" borderId="89" xfId="0" applyFont="1" applyFill="1" applyBorder="1" applyAlignment="1" applyProtection="1">
      <alignment horizontal="center" vertical="center"/>
      <protection locked="0"/>
    </xf>
    <xf numFmtId="195" fontId="64" fillId="6" borderId="87" xfId="0" applyFont="1" applyFill="1" applyBorder="1" applyAlignment="1" applyProtection="1">
      <alignment horizontal="center" vertical="center"/>
      <protection locked="0"/>
    </xf>
    <xf numFmtId="195" fontId="65" fillId="6" borderId="87" xfId="0" applyFont="1" applyFill="1" applyBorder="1" applyAlignment="1" applyProtection="1">
      <alignment horizontal="center" vertical="center"/>
      <protection locked="0"/>
    </xf>
    <xf numFmtId="195" fontId="64" fillId="6" borderId="18" xfId="0" applyFont="1" applyFill="1" applyBorder="1" applyAlignment="1" applyProtection="1">
      <alignment horizontal="center" vertical="center"/>
      <protection locked="0"/>
    </xf>
    <xf numFmtId="195" fontId="65" fillId="6" borderId="0" xfId="0" applyFont="1" applyFill="1" applyBorder="1" applyAlignment="1" applyProtection="1">
      <alignment horizontal="center" vertical="center"/>
      <protection locked="0"/>
    </xf>
    <xf numFmtId="195"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5" fontId="46" fillId="2" borderId="41" xfId="0" applyNumberFormat="1" applyFont="1" applyFill="1" applyBorder="1" applyAlignment="1" applyProtection="1">
      <alignment horizontal="center" vertical="center" wrapText="1"/>
      <protection locked="0"/>
    </xf>
    <xf numFmtId="195" fontId="64" fillId="6" borderId="88" xfId="0" applyFont="1" applyFill="1" applyBorder="1" applyAlignment="1" applyProtection="1">
      <alignment horizontal="right" vertical="center"/>
    </xf>
    <xf numFmtId="195" fontId="53" fillId="6" borderId="17" xfId="0" applyFont="1" applyFill="1" applyBorder="1" applyAlignment="1" applyProtection="1">
      <alignment horizontal="center" vertical="center"/>
    </xf>
    <xf numFmtId="195" fontId="46" fillId="6" borderId="24" xfId="0" applyNumberFormat="1" applyFont="1" applyFill="1" applyBorder="1" applyAlignment="1" applyProtection="1">
      <alignment horizontal="center" vertical="center"/>
    </xf>
    <xf numFmtId="195"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5" fontId="53" fillId="6" borderId="24" xfId="0" applyNumberFormat="1" applyFont="1" applyFill="1" applyBorder="1" applyAlignment="1" applyProtection="1">
      <alignment horizontal="center" vertical="center"/>
    </xf>
    <xf numFmtId="195" fontId="53" fillId="6" borderId="22" xfId="0" applyNumberFormat="1" applyFont="1" applyFill="1" applyBorder="1" applyAlignment="1" applyProtection="1">
      <alignment horizontal="center" vertical="center" wrapText="1"/>
    </xf>
    <xf numFmtId="195" fontId="53" fillId="2" borderId="35" xfId="0" applyNumberFormat="1" applyFont="1" applyFill="1" applyBorder="1" applyAlignment="1" applyProtection="1">
      <alignment horizontal="center" vertical="center" wrapText="1"/>
      <protection locked="0"/>
    </xf>
    <xf numFmtId="195" fontId="46" fillId="2" borderId="7" xfId="0" applyNumberFormat="1" applyFont="1" applyFill="1" applyBorder="1" applyAlignment="1" applyProtection="1">
      <alignment horizontal="center" vertical="center" wrapText="1"/>
      <protection locked="0"/>
    </xf>
    <xf numFmtId="195" fontId="46" fillId="0" borderId="24" xfId="0" applyFont="1" applyFill="1" applyBorder="1" applyAlignment="1" applyProtection="1">
      <alignment horizontal="center" vertical="center" wrapText="1"/>
      <protection locked="0"/>
    </xf>
    <xf numFmtId="195" fontId="53" fillId="2" borderId="6" xfId="0" applyNumberFormat="1" applyFont="1" applyFill="1" applyBorder="1" applyAlignment="1" applyProtection="1">
      <alignment horizontal="center" vertical="center" wrapText="1"/>
      <protection locked="0"/>
    </xf>
    <xf numFmtId="195" fontId="53" fillId="0" borderId="44" xfId="0" applyNumberFormat="1" applyFont="1" applyFill="1" applyBorder="1" applyAlignment="1" applyProtection="1">
      <alignment horizontal="left" vertical="center" wrapText="1"/>
      <protection locked="0"/>
    </xf>
    <xf numFmtId="195" fontId="53" fillId="0" borderId="45" xfId="0" applyNumberFormat="1" applyFont="1" applyFill="1" applyBorder="1" applyAlignment="1" applyProtection="1">
      <alignment horizontal="center" vertical="center" wrapText="1"/>
      <protection locked="0"/>
    </xf>
    <xf numFmtId="195" fontId="46" fillId="0" borderId="54" xfId="0" applyNumberFormat="1" applyFont="1" applyFill="1" applyBorder="1" applyAlignment="1" applyProtection="1">
      <alignment horizontal="center" vertical="center" wrapText="1"/>
      <protection locked="0"/>
    </xf>
    <xf numFmtId="195" fontId="53" fillId="6" borderId="40" xfId="0" applyNumberFormat="1" applyFont="1" applyFill="1" applyBorder="1" applyAlignment="1" applyProtection="1">
      <alignment horizontal="center" vertical="center" wrapText="1"/>
    </xf>
    <xf numFmtId="195"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5" fontId="46" fillId="0" borderId="38" xfId="0" applyNumberFormat="1" applyFont="1" applyFill="1" applyBorder="1" applyAlignment="1" applyProtection="1">
      <alignment horizontal="center" vertical="center" wrapText="1"/>
      <protection locked="0"/>
    </xf>
    <xf numFmtId="195" fontId="53" fillId="0" borderId="55" xfId="0" applyNumberFormat="1" applyFont="1" applyFill="1" applyBorder="1" applyAlignment="1" applyProtection="1">
      <alignment horizontal="center" vertical="center" wrapText="1"/>
      <protection locked="0"/>
    </xf>
    <xf numFmtId="195" fontId="46" fillId="2" borderId="51" xfId="0" applyNumberFormat="1" applyFont="1" applyFill="1" applyBorder="1" applyAlignment="1" applyProtection="1">
      <alignment horizontal="center" vertical="center" wrapText="1"/>
      <protection locked="0"/>
    </xf>
    <xf numFmtId="195" fontId="46" fillId="2" borderId="69" xfId="0" applyNumberFormat="1" applyFont="1" applyFill="1" applyBorder="1" applyAlignment="1" applyProtection="1">
      <alignment horizontal="center" vertical="center" wrapText="1"/>
      <protection locked="0"/>
    </xf>
    <xf numFmtId="195"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5"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5" fontId="53" fillId="5" borderId="9" xfId="0" applyFont="1" applyFill="1" applyBorder="1" applyAlignment="1" applyProtection="1">
      <alignment horizontal="center" vertical="center"/>
      <protection locked="0"/>
    </xf>
    <xf numFmtId="195" fontId="53" fillId="6" borderId="19" xfId="0" applyFont="1" applyFill="1" applyBorder="1" applyAlignment="1" applyProtection="1">
      <alignment horizontal="center" vertical="center" wrapText="1"/>
      <protection locked="0"/>
    </xf>
    <xf numFmtId="195" fontId="100" fillId="6" borderId="95" xfId="0" applyFont="1" applyFill="1" applyBorder="1" applyAlignment="1" applyProtection="1">
      <alignment horizontal="center" vertical="center"/>
    </xf>
    <xf numFmtId="195" fontId="102" fillId="6" borderId="0" xfId="0" applyFont="1" applyFill="1" applyAlignment="1" applyProtection="1">
      <alignment horizontal="left" vertical="center"/>
      <protection locked="0"/>
    </xf>
    <xf numFmtId="195" fontId="101" fillId="6" borderId="23" xfId="0" applyFont="1" applyFill="1" applyBorder="1" applyAlignment="1" applyProtection="1">
      <alignment horizontal="center" vertical="center"/>
    </xf>
    <xf numFmtId="195" fontId="101" fillId="6" borderId="25" xfId="0" applyFont="1" applyFill="1" applyBorder="1" applyAlignment="1" applyProtection="1">
      <alignment horizontal="center" vertical="center"/>
    </xf>
    <xf numFmtId="195" fontId="48" fillId="6" borderId="16" xfId="0" applyNumberFormat="1" applyFont="1" applyFill="1" applyBorder="1" applyAlignment="1" applyProtection="1">
      <alignment vertical="center"/>
    </xf>
    <xf numFmtId="195" fontId="48" fillId="5" borderId="23"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horizontal="center" vertical="center" wrapText="1"/>
    </xf>
    <xf numFmtId="195" fontId="53" fillId="0" borderId="24" xfId="0" applyFont="1" applyFill="1" applyBorder="1" applyAlignment="1" applyProtection="1">
      <alignment horizontal="center" vertical="center"/>
      <protection locked="0"/>
    </xf>
    <xf numFmtId="195" fontId="100" fillId="0" borderId="49" xfId="0" applyFont="1" applyFill="1" applyBorder="1" applyAlignment="1" applyProtection="1">
      <alignment horizontal="center" vertical="center"/>
      <protection locked="0"/>
    </xf>
    <xf numFmtId="195" fontId="48" fillId="6" borderId="37" xfId="0" applyNumberFormat="1" applyFont="1" applyFill="1" applyBorder="1" applyAlignment="1" applyProtection="1">
      <alignment horizontal="center" vertical="center" wrapText="1"/>
    </xf>
    <xf numFmtId="195" fontId="55" fillId="6" borderId="0" xfId="0" applyFont="1" applyFill="1" applyAlignment="1" applyProtection="1">
      <alignment vertical="center" wrapText="1"/>
    </xf>
    <xf numFmtId="195" fontId="100" fillId="6" borderId="6" xfId="0" applyNumberFormat="1" applyFont="1" applyFill="1" applyBorder="1" applyAlignment="1" applyProtection="1">
      <alignment horizontal="center" vertical="center"/>
    </xf>
    <xf numFmtId="195" fontId="55" fillId="0" borderId="0" xfId="0" applyFont="1" applyAlignment="1" applyProtection="1">
      <alignment vertical="center" wrapText="1"/>
      <protection locked="0"/>
    </xf>
    <xf numFmtId="195" fontId="55" fillId="0" borderId="0" xfId="0" applyFont="1" applyAlignment="1" applyProtection="1">
      <alignment vertical="center" wrapText="1"/>
    </xf>
    <xf numFmtId="195" fontId="59" fillId="6" borderId="5" xfId="1" applyFont="1" applyFill="1" applyBorder="1" applyAlignment="1" applyProtection="1">
      <alignment vertical="center"/>
    </xf>
    <xf numFmtId="195" fontId="55" fillId="6" borderId="1" xfId="0" applyNumberFormat="1" applyFont="1" applyFill="1" applyBorder="1" applyAlignment="1" applyProtection="1">
      <alignment horizontal="left" vertical="center" wrapText="1"/>
    </xf>
    <xf numFmtId="195" fontId="55" fillId="6" borderId="1" xfId="0" applyNumberFormat="1" applyFont="1" applyFill="1" applyBorder="1" applyAlignment="1" applyProtection="1">
      <alignment horizontal="center" vertical="center" wrapText="1"/>
    </xf>
    <xf numFmtId="195" fontId="55" fillId="6" borderId="0" xfId="0" applyNumberFormat="1" applyFont="1" applyFill="1" applyAlignment="1" applyProtection="1">
      <alignment vertical="center" wrapText="1"/>
    </xf>
    <xf numFmtId="195" fontId="100" fillId="6" borderId="23" xfId="0" applyNumberFormat="1" applyFont="1" applyFill="1" applyBorder="1" applyAlignment="1" applyProtection="1">
      <alignment horizontal="center" vertical="center"/>
    </xf>
    <xf numFmtId="195"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5" fontId="52" fillId="6" borderId="13" xfId="0" applyFont="1" applyFill="1" applyBorder="1" applyAlignment="1" applyProtection="1">
      <alignment horizontal="left" vertical="center" wrapText="1"/>
    </xf>
    <xf numFmtId="195" fontId="52" fillId="6" borderId="36" xfId="0" applyFont="1" applyFill="1" applyBorder="1" applyAlignment="1" applyProtection="1">
      <alignment vertical="center" wrapText="1"/>
    </xf>
    <xf numFmtId="195" fontId="53" fillId="6" borderId="36" xfId="0" applyFont="1" applyFill="1" applyBorder="1" applyAlignment="1" applyProtection="1">
      <alignment vertical="center" wrapText="1"/>
    </xf>
    <xf numFmtId="195" fontId="53" fillId="6" borderId="22" xfId="0" applyFont="1" applyFill="1" applyBorder="1" applyAlignment="1" applyProtection="1">
      <alignment vertical="center" wrapText="1"/>
    </xf>
    <xf numFmtId="195" fontId="53" fillId="7" borderId="0" xfId="0" applyFont="1" applyFill="1" applyAlignment="1" applyProtection="1">
      <alignment vertical="center"/>
      <protection locked="0"/>
    </xf>
    <xf numFmtId="195" fontId="53" fillId="6" borderId="0" xfId="8" applyFont="1" applyFill="1" applyAlignment="1" applyProtection="1">
      <alignment horizontal="center" vertical="center" wrapText="1"/>
      <protection locked="0"/>
    </xf>
    <xf numFmtId="195" fontId="53" fillId="7" borderId="0" xfId="8" applyFont="1" applyFill="1" applyAlignment="1" applyProtection="1">
      <alignment horizontal="center" vertical="center" wrapText="1"/>
    </xf>
    <xf numFmtId="195" fontId="53" fillId="0" borderId="0" xfId="8" applyFont="1" applyAlignment="1" applyProtection="1">
      <alignment horizontal="center" vertical="center" wrapText="1"/>
    </xf>
    <xf numFmtId="195"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5" fontId="56" fillId="6" borderId="64" xfId="0" applyFont="1" applyFill="1" applyBorder="1" applyAlignment="1" applyProtection="1">
      <alignment horizontal="left" vertical="center" wrapText="1"/>
    </xf>
    <xf numFmtId="195" fontId="115" fillId="6" borderId="34" xfId="0" applyFont="1" applyFill="1" applyBorder="1" applyAlignment="1" applyProtection="1">
      <alignment vertical="center"/>
    </xf>
    <xf numFmtId="195" fontId="56" fillId="6" borderId="64" xfId="0" applyFont="1" applyFill="1" applyBorder="1" applyAlignment="1" applyProtection="1">
      <alignment horizontal="center" vertical="center" wrapText="1"/>
    </xf>
    <xf numFmtId="195" fontId="55" fillId="6" borderId="64" xfId="0" applyFont="1" applyFill="1" applyBorder="1" applyAlignment="1" applyProtection="1">
      <alignment vertical="center" wrapText="1"/>
    </xf>
    <xf numFmtId="195" fontId="55" fillId="6" borderId="65" xfId="0" applyFont="1" applyFill="1" applyBorder="1" applyAlignment="1" applyProtection="1">
      <alignment vertical="center" wrapText="1"/>
    </xf>
    <xf numFmtId="195" fontId="56" fillId="6" borderId="9" xfId="0" applyFont="1" applyFill="1" applyBorder="1" applyAlignment="1" applyProtection="1">
      <alignment horizontal="left" vertical="center" wrapText="1"/>
    </xf>
    <xf numFmtId="195" fontId="55" fillId="6" borderId="9" xfId="0" applyFont="1" applyFill="1" applyBorder="1" applyAlignment="1" applyProtection="1">
      <alignment horizontal="center" vertical="center" wrapText="1"/>
    </xf>
    <xf numFmtId="195" fontId="55" fillId="6" borderId="19" xfId="0" applyFont="1" applyFill="1" applyBorder="1" applyAlignment="1" applyProtection="1">
      <alignment horizontal="center" vertical="center" wrapText="1"/>
    </xf>
    <xf numFmtId="195" fontId="55" fillId="6" borderId="19" xfId="0" applyFont="1" applyFill="1" applyBorder="1" applyAlignment="1" applyProtection="1">
      <alignment vertical="center" wrapText="1"/>
    </xf>
    <xf numFmtId="195" fontId="55" fillId="6" borderId="31" xfId="0" applyFont="1" applyFill="1" applyBorder="1" applyAlignment="1" applyProtection="1">
      <alignment vertical="center" wrapText="1"/>
    </xf>
    <xf numFmtId="195" fontId="55" fillId="5" borderId="1" xfId="0" applyFont="1" applyFill="1" applyBorder="1" applyAlignment="1" applyProtection="1">
      <alignment horizontal="center" vertical="center" wrapText="1"/>
      <protection locked="0"/>
    </xf>
    <xf numFmtId="195" fontId="55" fillId="6" borderId="5" xfId="0" applyFont="1" applyFill="1" applyBorder="1" applyAlignment="1" applyProtection="1">
      <alignment vertical="center"/>
    </xf>
    <xf numFmtId="195" fontId="55" fillId="6" borderId="54" xfId="0" applyFont="1" applyFill="1" applyBorder="1" applyAlignment="1" applyProtection="1">
      <alignment vertical="center" wrapText="1"/>
    </xf>
    <xf numFmtId="195" fontId="55" fillId="6" borderId="48" xfId="0" applyFont="1" applyFill="1" applyBorder="1" applyAlignment="1" applyProtection="1">
      <alignment vertical="center" wrapText="1"/>
    </xf>
    <xf numFmtId="195" fontId="55" fillId="6" borderId="13" xfId="0" applyFont="1" applyFill="1" applyBorder="1" applyAlignment="1" applyProtection="1">
      <alignment horizontal="left" vertical="center" wrapText="1"/>
    </xf>
    <xf numFmtId="195" fontId="55" fillId="6" borderId="46" xfId="0" applyFont="1" applyFill="1" applyBorder="1" applyAlignment="1" applyProtection="1">
      <alignment vertical="center"/>
    </xf>
    <xf numFmtId="195" fontId="55" fillId="6" borderId="36" xfId="0" applyFont="1" applyFill="1" applyBorder="1" applyAlignment="1" applyProtection="1">
      <alignment vertical="center" wrapText="1"/>
    </xf>
    <xf numFmtId="195" fontId="55" fillId="6" borderId="59" xfId="0" applyFont="1" applyFill="1" applyBorder="1" applyAlignment="1" applyProtection="1">
      <alignment vertical="center" wrapText="1"/>
    </xf>
    <xf numFmtId="195" fontId="56" fillId="6" borderId="17" xfId="0" applyFont="1" applyFill="1" applyBorder="1" applyAlignment="1" applyProtection="1">
      <alignment horizontal="left" vertical="center" wrapText="1"/>
    </xf>
    <xf numFmtId="195" fontId="55" fillId="6" borderId="28" xfId="0" applyFont="1" applyFill="1" applyBorder="1" applyAlignment="1" applyProtection="1">
      <alignment vertical="center"/>
    </xf>
    <xf numFmtId="195" fontId="55" fillId="6" borderId="20" xfId="0" applyFont="1" applyFill="1" applyBorder="1" applyAlignment="1" applyProtection="1">
      <alignment horizontal="center" vertical="center" wrapText="1"/>
    </xf>
    <xf numFmtId="195" fontId="55" fillId="6" borderId="20" xfId="0" applyFont="1" applyFill="1" applyBorder="1" applyAlignment="1" applyProtection="1">
      <alignment vertical="center" wrapText="1"/>
    </xf>
    <xf numFmtId="195" fontId="55" fillId="6" borderId="21" xfId="0" applyFont="1" applyFill="1" applyBorder="1" applyAlignment="1" applyProtection="1">
      <alignment vertical="center" wrapText="1"/>
    </xf>
    <xf numFmtId="195" fontId="100" fillId="6" borderId="25" xfId="0" applyNumberFormat="1" applyFont="1" applyFill="1" applyBorder="1" applyAlignment="1" applyProtection="1">
      <alignment horizontal="center" vertical="center"/>
    </xf>
    <xf numFmtId="195" fontId="101" fillId="6" borderId="13" xfId="0" applyFont="1" applyFill="1" applyBorder="1" applyAlignment="1" applyProtection="1">
      <alignment horizontal="left" vertical="center" wrapText="1"/>
    </xf>
    <xf numFmtId="195" fontId="101"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left" vertical="center" wrapText="1"/>
    </xf>
    <xf numFmtId="195" fontId="101" fillId="5" borderId="3" xfId="0" applyFont="1" applyFill="1" applyBorder="1" applyAlignment="1" applyProtection="1">
      <alignment horizontal="center" vertical="center" wrapText="1"/>
      <protection locked="0"/>
    </xf>
    <xf numFmtId="195" fontId="101" fillId="5" borderId="1" xfId="0" applyFont="1" applyFill="1" applyBorder="1" applyAlignment="1" applyProtection="1">
      <alignment horizontal="center" vertical="center" wrapText="1"/>
      <protection locked="0"/>
    </xf>
    <xf numFmtId="195" fontId="101" fillId="5" borderId="2" xfId="0" applyFont="1" applyFill="1" applyBorder="1" applyAlignment="1" applyProtection="1">
      <alignment horizontal="center" vertical="center" wrapText="1"/>
      <protection locked="0"/>
    </xf>
    <xf numFmtId="195" fontId="55" fillId="6" borderId="0" xfId="0" applyFont="1" applyFill="1" applyBorder="1" applyAlignment="1" applyProtection="1">
      <alignment vertical="center" wrapText="1"/>
    </xf>
    <xf numFmtId="195" fontId="55" fillId="5" borderId="9" xfId="0" applyFont="1" applyFill="1" applyBorder="1" applyAlignment="1" applyProtection="1">
      <alignment horizontal="center" vertical="center" wrapText="1"/>
      <protection locked="0"/>
    </xf>
    <xf numFmtId="195" fontId="55" fillId="5" borderId="10" xfId="0" applyFont="1" applyFill="1" applyBorder="1" applyAlignment="1" applyProtection="1">
      <alignment horizontal="center" vertical="center" wrapText="1"/>
      <protection locked="0"/>
    </xf>
    <xf numFmtId="195"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5" fontId="52" fillId="6" borderId="84" xfId="0" applyFont="1" applyFill="1" applyBorder="1" applyAlignment="1" applyProtection="1">
      <alignment horizontal="left" vertical="center" wrapText="1"/>
    </xf>
    <xf numFmtId="195" fontId="55" fillId="6" borderId="64" xfId="0" applyFont="1" applyFill="1" applyBorder="1" applyAlignment="1" applyProtection="1">
      <alignment vertical="center"/>
    </xf>
    <xf numFmtId="195" fontId="55" fillId="0" borderId="0" xfId="0" applyFont="1" applyAlignment="1" applyProtection="1">
      <alignment horizontal="center" vertical="center" wrapText="1"/>
    </xf>
    <xf numFmtId="195" fontId="53" fillId="6" borderId="84" xfId="0" applyFont="1" applyFill="1" applyBorder="1" applyAlignment="1" applyProtection="1">
      <alignment horizontal="center" vertical="center" wrapText="1"/>
    </xf>
    <xf numFmtId="195" fontId="53" fillId="6" borderId="6" xfId="0" applyFont="1" applyFill="1" applyBorder="1" applyAlignment="1" applyProtection="1">
      <alignment vertical="center" wrapText="1"/>
    </xf>
    <xf numFmtId="195" fontId="55" fillId="6" borderId="64" xfId="0" applyFont="1" applyFill="1" applyBorder="1" applyAlignment="1" applyProtection="1">
      <alignment horizontal="center" vertical="center" wrapText="1"/>
    </xf>
    <xf numFmtId="195"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5" fontId="52" fillId="6" borderId="17" xfId="0" applyFont="1" applyFill="1" applyBorder="1" applyAlignment="1" applyProtection="1">
      <alignment horizontal="left" vertical="center" wrapText="1"/>
    </xf>
    <xf numFmtId="195" fontId="55" fillId="6" borderId="17" xfId="0" applyFont="1" applyFill="1" applyBorder="1" applyAlignment="1" applyProtection="1">
      <alignment horizontal="center" vertical="center" wrapText="1"/>
    </xf>
    <xf numFmtId="195" fontId="53" fillId="6" borderId="25" xfId="0" applyFont="1" applyFill="1" applyBorder="1" applyAlignment="1" applyProtection="1">
      <alignment vertical="center" wrapText="1"/>
    </xf>
    <xf numFmtId="195" fontId="53" fillId="6" borderId="19" xfId="8" applyFont="1" applyFill="1" applyBorder="1" applyAlignment="1" applyProtection="1">
      <alignment horizontal="center" vertical="center" wrapText="1"/>
      <protection locked="0"/>
    </xf>
    <xf numFmtId="195" fontId="53" fillId="6" borderId="9" xfId="8" applyFont="1" applyFill="1" applyBorder="1" applyAlignment="1" applyProtection="1">
      <alignment vertical="center" wrapText="1"/>
      <protection locked="0"/>
    </xf>
    <xf numFmtId="195"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5" fontId="52" fillId="5" borderId="9" xfId="0" applyFont="1" applyFill="1" applyBorder="1" applyAlignment="1" applyProtection="1">
      <alignment horizontal="left" vertical="center" wrapText="1"/>
      <protection locked="0"/>
    </xf>
    <xf numFmtId="195" fontId="53" fillId="6" borderId="19" xfId="0" applyFont="1" applyFill="1" applyBorder="1" applyAlignment="1" applyProtection="1">
      <alignment vertical="center" wrapText="1"/>
    </xf>
    <xf numFmtId="195" fontId="53" fillId="6" borderId="10" xfId="0" applyFont="1" applyFill="1" applyBorder="1" applyAlignment="1" applyProtection="1">
      <alignment vertical="center" wrapText="1"/>
    </xf>
    <xf numFmtId="195" fontId="53" fillId="6" borderId="23" xfId="8" applyFont="1" applyFill="1" applyBorder="1" applyAlignment="1" applyProtection="1">
      <alignment horizontal="center" vertical="center" wrapText="1"/>
    </xf>
    <xf numFmtId="195" fontId="53" fillId="6" borderId="1" xfId="0" applyFont="1" applyFill="1" applyBorder="1" applyAlignment="1" applyProtection="1">
      <alignment horizontal="left" vertical="center" wrapText="1"/>
    </xf>
    <xf numFmtId="195"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5" fontId="55" fillId="6" borderId="22" xfId="0" applyFont="1" applyFill="1" applyBorder="1" applyAlignment="1" applyProtection="1">
      <alignment vertical="center" wrapText="1"/>
    </xf>
    <xf numFmtId="195" fontId="53" fillId="6" borderId="13" xfId="0" applyFont="1" applyFill="1" applyBorder="1" applyAlignment="1" applyProtection="1">
      <alignment vertical="center" wrapText="1"/>
    </xf>
    <xf numFmtId="195" fontId="53" fillId="6" borderId="61" xfId="0" applyFont="1" applyFill="1" applyBorder="1" applyAlignment="1" applyProtection="1">
      <alignment vertical="center" wrapText="1"/>
    </xf>
    <xf numFmtId="195" fontId="53" fillId="6" borderId="84" xfId="0" applyFont="1" applyFill="1" applyBorder="1" applyAlignment="1" applyProtection="1">
      <alignment vertical="center" wrapText="1"/>
    </xf>
    <xf numFmtId="195" fontId="53" fillId="6" borderId="67" xfId="0" applyFont="1" applyFill="1" applyBorder="1" applyAlignment="1" applyProtection="1">
      <alignment vertical="center" wrapText="1"/>
    </xf>
    <xf numFmtId="195" fontId="53" fillId="6" borderId="25" xfId="8" applyFont="1" applyFill="1" applyBorder="1" applyAlignment="1" applyProtection="1">
      <alignment horizontal="center" vertical="center" wrapText="1"/>
    </xf>
    <xf numFmtId="195" fontId="52" fillId="6" borderId="28" xfId="0" applyFont="1" applyFill="1" applyBorder="1" applyAlignment="1" applyProtection="1">
      <alignment horizontal="left" vertical="center" wrapText="1"/>
    </xf>
    <xf numFmtId="195"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5" fontId="55" fillId="6" borderId="58" xfId="0" applyFont="1" applyFill="1" applyBorder="1" applyAlignment="1" applyProtection="1">
      <alignment vertical="center" wrapText="1"/>
    </xf>
    <xf numFmtId="195" fontId="56" fillId="6" borderId="0" xfId="0" applyFont="1" applyFill="1" applyBorder="1" applyAlignment="1" applyProtection="1">
      <alignment vertical="center" wrapText="1"/>
    </xf>
    <xf numFmtId="195" fontId="55" fillId="6" borderId="56" xfId="0" applyFont="1" applyFill="1" applyBorder="1" applyAlignment="1" applyProtection="1">
      <alignment vertical="center" wrapText="1"/>
    </xf>
    <xf numFmtId="195" fontId="53" fillId="6" borderId="0" xfId="0" applyFont="1" applyFill="1" applyBorder="1" applyAlignment="1" applyProtection="1">
      <alignment horizontal="left" vertical="center" wrapText="1"/>
    </xf>
    <xf numFmtId="195" fontId="55" fillId="6" borderId="75" xfId="0" applyFont="1" applyFill="1" applyBorder="1" applyAlignment="1" applyProtection="1">
      <alignment vertical="center" wrapText="1"/>
    </xf>
    <xf numFmtId="195" fontId="55" fillId="6" borderId="47" xfId="0" applyFont="1" applyFill="1" applyBorder="1" applyAlignment="1" applyProtection="1">
      <alignment vertical="center" wrapText="1"/>
    </xf>
    <xf numFmtId="195" fontId="56" fillId="6" borderId="47" xfId="0" applyFont="1" applyFill="1" applyBorder="1" applyAlignment="1" applyProtection="1">
      <alignment vertical="center" wrapText="1"/>
    </xf>
    <xf numFmtId="195"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5" fontId="56" fillId="6" borderId="30" xfId="0" applyFont="1" applyFill="1" applyBorder="1" applyAlignment="1" applyProtection="1">
      <alignment vertical="center" wrapText="1"/>
    </xf>
    <xf numFmtId="195" fontId="52" fillId="6" borderId="9" xfId="0" applyFont="1" applyFill="1" applyBorder="1" applyAlignment="1" applyProtection="1">
      <alignment horizontal="center" vertical="center" wrapText="1"/>
    </xf>
    <xf numFmtId="195" fontId="52" fillId="6" borderId="28" xfId="0" applyFont="1" applyFill="1" applyBorder="1" applyAlignment="1" applyProtection="1">
      <alignment horizontal="center" vertical="center" wrapText="1"/>
    </xf>
    <xf numFmtId="195" fontId="56" fillId="6" borderId="28" xfId="0" applyFont="1" applyFill="1" applyBorder="1" applyAlignment="1" applyProtection="1">
      <alignment vertical="center" wrapText="1"/>
    </xf>
    <xf numFmtId="195" fontId="55" fillId="6" borderId="14" xfId="0" applyFont="1" applyFill="1" applyBorder="1" applyAlignment="1" applyProtection="1">
      <alignment horizontal="center" vertical="center" wrapText="1"/>
    </xf>
    <xf numFmtId="195" fontId="55" fillId="6" borderId="3" xfId="0" applyFont="1" applyFill="1" applyBorder="1" applyAlignment="1" applyProtection="1">
      <alignment horizontal="left" vertical="center" wrapText="1"/>
    </xf>
    <xf numFmtId="195" fontId="55" fillId="0" borderId="1" xfId="0" applyFont="1" applyBorder="1" applyAlignment="1" applyProtection="1">
      <alignment vertical="center" wrapText="1"/>
      <protection locked="0"/>
    </xf>
    <xf numFmtId="195" fontId="101" fillId="6" borderId="54" xfId="0" applyFont="1" applyFill="1" applyBorder="1" applyAlignment="1" applyProtection="1">
      <alignment vertical="center"/>
    </xf>
    <xf numFmtId="195" fontId="101" fillId="6" borderId="48" xfId="0" applyFont="1" applyFill="1" applyBorder="1" applyAlignment="1" applyProtection="1">
      <alignment vertical="center"/>
    </xf>
    <xf numFmtId="195" fontId="56" fillId="6" borderId="12" xfId="0" applyFont="1" applyFill="1" applyBorder="1" applyAlignment="1" applyProtection="1">
      <alignment vertical="center" wrapText="1"/>
    </xf>
    <xf numFmtId="195" fontId="55" fillId="6" borderId="66" xfId="0" applyFont="1" applyFill="1" applyBorder="1" applyAlignment="1" applyProtection="1">
      <alignment horizontal="left" vertical="center" wrapText="1"/>
    </xf>
    <xf numFmtId="195" fontId="55" fillId="0" borderId="32" xfId="0" applyFont="1" applyBorder="1" applyAlignment="1" applyProtection="1">
      <alignment vertical="center" wrapText="1"/>
      <protection locked="0"/>
    </xf>
    <xf numFmtId="195" fontId="55" fillId="6" borderId="32" xfId="0" applyFont="1" applyFill="1" applyBorder="1" applyAlignment="1" applyProtection="1">
      <alignment vertical="center"/>
    </xf>
    <xf numFmtId="195" fontId="55" fillId="6" borderId="52" xfId="0" applyFont="1" applyFill="1" applyBorder="1" applyAlignment="1" applyProtection="1">
      <alignment vertical="center" wrapText="1"/>
    </xf>
    <xf numFmtId="195" fontId="55" fillId="6" borderId="68" xfId="0" applyFont="1" applyFill="1" applyBorder="1" applyAlignment="1" applyProtection="1">
      <alignment vertical="center" wrapText="1"/>
    </xf>
    <xf numFmtId="195" fontId="56" fillId="6" borderId="40" xfId="0" applyFont="1" applyFill="1" applyBorder="1" applyAlignment="1" applyProtection="1">
      <alignment vertical="center" wrapText="1"/>
    </xf>
    <xf numFmtId="195" fontId="56" fillId="6" borderId="39" xfId="0" applyFont="1" applyFill="1" applyBorder="1" applyAlignment="1" applyProtection="1">
      <alignment horizontal="left" vertical="center" wrapText="1"/>
    </xf>
    <xf numFmtId="195" fontId="55" fillId="6" borderId="20" xfId="0" applyFont="1" applyFill="1" applyBorder="1" applyAlignment="1" applyProtection="1">
      <alignment vertical="center"/>
    </xf>
    <xf numFmtId="195" fontId="55" fillId="6" borderId="30" xfId="0" applyFont="1" applyFill="1" applyBorder="1" applyAlignment="1" applyProtection="1">
      <alignment vertical="center"/>
    </xf>
    <xf numFmtId="195" fontId="56" fillId="6" borderId="7" xfId="0" applyFont="1" applyFill="1" applyBorder="1" applyAlignment="1" applyProtection="1">
      <alignment vertical="center" wrapText="1"/>
    </xf>
    <xf numFmtId="195" fontId="52" fillId="6" borderId="2" xfId="0" applyFont="1" applyFill="1" applyBorder="1" applyAlignment="1" applyProtection="1">
      <alignment horizontal="center" vertical="center" wrapText="1"/>
    </xf>
    <xf numFmtId="195" fontId="101" fillId="6" borderId="7" xfId="0" applyFont="1" applyFill="1" applyBorder="1" applyAlignment="1" applyProtection="1">
      <alignment horizontal="center" vertical="center" wrapText="1"/>
    </xf>
    <xf numFmtId="195" fontId="55" fillId="6" borderId="56" xfId="0" applyFont="1" applyFill="1" applyBorder="1" applyAlignment="1" applyProtection="1">
      <alignment horizontal="center" vertical="center" wrapText="1"/>
    </xf>
    <xf numFmtId="195" fontId="56" fillId="6" borderId="14" xfId="0" applyFont="1" applyFill="1" applyBorder="1" applyAlignment="1" applyProtection="1">
      <alignment vertical="center" wrapText="1"/>
    </xf>
    <xf numFmtId="195" fontId="55" fillId="6" borderId="16" xfId="0" applyFont="1" applyFill="1" applyBorder="1" applyAlignment="1" applyProtection="1">
      <alignment vertical="center"/>
      <protection locked="0"/>
    </xf>
    <xf numFmtId="195"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5" fontId="101" fillId="6" borderId="66" xfId="0" applyFont="1" applyFill="1" applyBorder="1" applyAlignment="1" applyProtection="1">
      <alignment horizontal="center" vertical="center" wrapText="1"/>
    </xf>
    <xf numFmtId="195" fontId="55" fillId="6" borderId="43" xfId="0" applyFont="1" applyFill="1" applyBorder="1" applyAlignment="1" applyProtection="1">
      <alignment horizontal="center" vertical="center" wrapText="1"/>
    </xf>
    <xf numFmtId="195"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5" fontId="55" fillId="7" borderId="0" xfId="0" applyFont="1" applyFill="1" applyAlignment="1" applyProtection="1">
      <alignment horizontal="left" vertical="center" wrapText="1"/>
      <protection locked="0"/>
    </xf>
    <xf numFmtId="195"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195"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195" fontId="100" fillId="6" borderId="19" xfId="0" applyFont="1" applyFill="1" applyBorder="1" applyProtection="1">
      <alignment vertical="center"/>
    </xf>
    <xf numFmtId="195" fontId="111" fillId="6" borderId="0" xfId="0" applyFont="1" applyFill="1" applyBorder="1" applyAlignment="1" applyProtection="1">
      <alignment horizontal="center" vertical="center"/>
    </xf>
    <xf numFmtId="195" fontId="101" fillId="6" borderId="23" xfId="0" applyFont="1" applyFill="1" applyBorder="1" applyAlignment="1" applyProtection="1">
      <alignment horizontal="center" vertical="center" wrapText="1"/>
    </xf>
    <xf numFmtId="195" fontId="115" fillId="6" borderId="58" xfId="0" applyFont="1" applyFill="1" applyBorder="1" applyAlignment="1" applyProtection="1">
      <alignment horizontal="center" vertical="center" wrapText="1"/>
    </xf>
    <xf numFmtId="195"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195" fontId="101" fillId="6" borderId="1" xfId="0" applyNumberFormat="1" applyFont="1" applyFill="1" applyBorder="1" applyAlignment="1" applyProtection="1">
      <alignment horizontal="center" vertical="center" wrapText="1"/>
    </xf>
    <xf numFmtId="195" fontId="170" fillId="0" borderId="1" xfId="0" applyNumberFormat="1" applyFont="1" applyFill="1" applyBorder="1" applyAlignment="1" applyProtection="1">
      <alignment horizontal="center" vertical="center" wrapText="1"/>
      <protection locked="0"/>
    </xf>
    <xf numFmtId="195" fontId="170" fillId="0" borderId="13" xfId="0" applyNumberFormat="1" applyFont="1" applyFill="1" applyBorder="1" applyAlignment="1" applyProtection="1">
      <alignment horizontal="center" vertical="center" wrapText="1"/>
      <protection locked="0"/>
    </xf>
    <xf numFmtId="195" fontId="101" fillId="6" borderId="37" xfId="0" applyFont="1" applyFill="1" applyBorder="1" applyAlignment="1" applyProtection="1">
      <alignment horizontal="center" vertical="center" wrapText="1"/>
    </xf>
    <xf numFmtId="195"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center" vertical="center" wrapText="1"/>
      <protection locked="0"/>
    </xf>
    <xf numFmtId="195" fontId="170" fillId="0" borderId="32" xfId="0" applyNumberFormat="1" applyFont="1" applyFill="1" applyBorder="1" applyAlignment="1" applyProtection="1">
      <alignment horizontal="center" vertical="center" wrapText="1"/>
      <protection locked="0"/>
    </xf>
    <xf numFmtId="195"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left" vertical="center" wrapText="1"/>
    </xf>
    <xf numFmtId="195" fontId="126" fillId="6" borderId="1" xfId="0" applyFont="1" applyFill="1" applyBorder="1">
      <alignment vertical="center"/>
    </xf>
    <xf numFmtId="195" fontId="100" fillId="6" borderId="1" xfId="0" applyFont="1" applyFill="1" applyBorder="1">
      <alignment vertical="center"/>
    </xf>
    <xf numFmtId="195" fontId="100" fillId="6" borderId="0" xfId="0" applyFont="1" applyFill="1">
      <alignment vertical="center"/>
    </xf>
    <xf numFmtId="195" fontId="54" fillId="6" borderId="95" xfId="0" applyNumberFormat="1" applyFont="1" applyFill="1" applyBorder="1" applyAlignment="1" applyProtection="1">
      <alignment horizontal="center" vertical="center" wrapText="1"/>
    </xf>
    <xf numFmtId="195" fontId="49" fillId="10" borderId="16" xfId="0" applyNumberFormat="1" applyFont="1" applyFill="1" applyBorder="1" applyAlignment="1" applyProtection="1">
      <alignment horizontal="center" vertical="center" wrapText="1"/>
    </xf>
    <xf numFmtId="195" fontId="54" fillId="6" borderId="16" xfId="0" applyFont="1" applyFill="1" applyBorder="1" applyAlignment="1" applyProtection="1">
      <alignment horizontal="left" vertical="center"/>
      <protection locked="0"/>
    </xf>
    <xf numFmtId="195" fontId="56" fillId="5" borderId="38" xfId="1" applyFont="1" applyFill="1" applyBorder="1" applyAlignment="1" applyProtection="1">
      <alignment vertical="center"/>
      <protection locked="0"/>
    </xf>
    <xf numFmtId="195"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195" fontId="21" fillId="6" borderId="1" xfId="0" applyFont="1" applyFill="1" applyBorder="1" applyAlignment="1" applyProtection="1">
      <alignment vertical="center" wrapText="1"/>
    </xf>
    <xf numFmtId="195" fontId="55" fillId="6" borderId="33" xfId="0" applyFont="1" applyFill="1" applyBorder="1" applyAlignment="1" applyProtection="1">
      <alignment horizontal="center" vertical="center" wrapText="1"/>
    </xf>
    <xf numFmtId="195" fontId="55" fillId="5" borderId="32" xfId="0" applyFont="1" applyFill="1" applyBorder="1" applyAlignment="1" applyProtection="1">
      <alignment horizontal="right" vertical="center" wrapText="1"/>
      <protection locked="0"/>
    </xf>
    <xf numFmtId="195"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195" fontId="52" fillId="6" borderId="74" xfId="0" applyFont="1" applyFill="1" applyBorder="1" applyAlignment="1" applyProtection="1">
      <alignment horizontal="left" vertical="center" wrapText="1"/>
    </xf>
    <xf numFmtId="195" fontId="52" fillId="6" borderId="75" xfId="0" applyFont="1" applyFill="1" applyBorder="1" applyAlignment="1" applyProtection="1">
      <alignment horizontal="center" vertical="center" wrapText="1"/>
    </xf>
    <xf numFmtId="195" fontId="55" fillId="6" borderId="75" xfId="0" applyFont="1" applyFill="1" applyBorder="1" applyAlignment="1" applyProtection="1">
      <alignment vertical="center"/>
    </xf>
    <xf numFmtId="195" fontId="52" fillId="6" borderId="47" xfId="0" applyFont="1" applyFill="1" applyBorder="1" applyAlignment="1" applyProtection="1">
      <alignment horizontal="center" vertical="center" wrapText="1"/>
    </xf>
    <xf numFmtId="195" fontId="53" fillId="6" borderId="43" xfId="0" applyFont="1" applyFill="1" applyBorder="1" applyAlignment="1" applyProtection="1">
      <alignment vertical="center" wrapText="1"/>
    </xf>
    <xf numFmtId="195" fontId="55" fillId="6" borderId="32" xfId="0" applyFont="1" applyFill="1" applyBorder="1" applyAlignment="1" applyProtection="1">
      <alignment horizontal="left" vertical="center"/>
    </xf>
    <xf numFmtId="195" fontId="55" fillId="6" borderId="74" xfId="0" applyFont="1" applyFill="1" applyBorder="1" applyAlignment="1" applyProtection="1">
      <alignment horizontal="center" vertical="center" wrapText="1"/>
    </xf>
    <xf numFmtId="195" fontId="55" fillId="6" borderId="75" xfId="0" applyFont="1" applyFill="1" applyBorder="1" applyAlignment="1" applyProtection="1">
      <alignment horizontal="center" vertical="center" wrapText="1"/>
    </xf>
    <xf numFmtId="195" fontId="55" fillId="6" borderId="76" xfId="0" applyFont="1" applyFill="1" applyBorder="1" applyAlignment="1" applyProtection="1">
      <alignment horizontal="center" vertical="center" wrapText="1"/>
    </xf>
    <xf numFmtId="195" fontId="55" fillId="6" borderId="84" xfId="0" applyFont="1" applyFill="1" applyBorder="1" applyAlignment="1" applyProtection="1">
      <alignment horizontal="center" vertical="center"/>
    </xf>
    <xf numFmtId="195" fontId="145" fillId="12" borderId="126" xfId="16" applyFont="1" applyFill="1" applyBorder="1" applyAlignment="1" applyProtection="1">
      <alignment horizontal="left" vertical="center" wrapText="1"/>
    </xf>
    <xf numFmtId="195" fontId="145" fillId="12" borderId="130" xfId="16" applyFont="1" applyFill="1" applyBorder="1" applyAlignment="1" applyProtection="1">
      <alignment horizontal="left" vertical="center" wrapText="1"/>
    </xf>
    <xf numFmtId="195" fontId="104" fillId="0" borderId="0" xfId="9" applyFont="1" applyAlignment="1">
      <alignment horizontal="left" vertical="center"/>
    </xf>
    <xf numFmtId="195" fontId="104" fillId="0" borderId="119" xfId="9" applyFont="1" applyBorder="1" applyAlignment="1">
      <alignment horizontal="left" vertical="center"/>
    </xf>
    <xf numFmtId="195" fontId="99" fillId="6" borderId="119" xfId="10" applyFont="1" applyFill="1" applyBorder="1" applyAlignment="1" applyProtection="1">
      <alignment horizontal="left" vertical="center"/>
    </xf>
    <xf numFmtId="195" fontId="24" fillId="6" borderId="119" xfId="10" applyFont="1" applyFill="1" applyBorder="1" applyAlignment="1" applyProtection="1">
      <alignment horizontal="left" vertical="center"/>
    </xf>
    <xf numFmtId="195" fontId="104" fillId="0" borderId="120" xfId="9" applyFont="1" applyBorder="1" applyAlignment="1">
      <alignment horizontal="left" vertical="center"/>
    </xf>
    <xf numFmtId="195" fontId="140" fillId="15" borderId="0" xfId="9" applyFont="1" applyFill="1" applyAlignment="1">
      <alignment horizontal="left" vertical="center"/>
    </xf>
    <xf numFmtId="195" fontId="100" fillId="15" borderId="0" xfId="10" applyFont="1" applyFill="1" applyAlignment="1" applyProtection="1">
      <alignment horizontal="left" vertical="center"/>
    </xf>
    <xf numFmtId="195" fontId="24" fillId="15" borderId="0" xfId="10" applyFont="1" applyFill="1" applyAlignment="1" applyProtection="1">
      <alignment horizontal="left" vertical="center"/>
    </xf>
    <xf numFmtId="195" fontId="104" fillId="15" borderId="121" xfId="9" applyFont="1" applyFill="1" applyBorder="1" applyAlignment="1">
      <alignment horizontal="left" vertical="center"/>
    </xf>
    <xf numFmtId="195" fontId="104" fillId="15" borderId="0" xfId="9" applyFont="1" applyFill="1" applyBorder="1" applyAlignment="1">
      <alignment horizontal="left" vertical="center"/>
    </xf>
    <xf numFmtId="195" fontId="146" fillId="15" borderId="0" xfId="9" applyFont="1" applyFill="1" applyBorder="1" applyAlignment="1" applyProtection="1">
      <alignment horizontal="left" vertical="center"/>
      <protection locked="0"/>
    </xf>
    <xf numFmtId="195" fontId="104" fillId="15" borderId="0" xfId="9" applyFont="1" applyFill="1" applyAlignment="1">
      <alignment horizontal="left" vertical="center"/>
    </xf>
    <xf numFmtId="195" fontId="138" fillId="15" borderId="0" xfId="9" applyFont="1" applyFill="1" applyAlignment="1">
      <alignment horizontal="left" vertical="center"/>
    </xf>
    <xf numFmtId="195" fontId="101" fillId="15" borderId="0" xfId="9" applyFont="1" applyFill="1" applyAlignment="1">
      <alignment horizontal="left" vertical="center"/>
    </xf>
    <xf numFmtId="10" fontId="101" fillId="15" borderId="0" xfId="9" applyNumberFormat="1" applyFont="1" applyFill="1" applyAlignment="1">
      <alignment horizontal="left" vertical="center"/>
    </xf>
    <xf numFmtId="195" fontId="104" fillId="0" borderId="0" xfId="9" applyFont="1" applyFill="1" applyAlignment="1">
      <alignment horizontal="left" vertical="center"/>
    </xf>
    <xf numFmtId="195" fontId="100" fillId="0" borderId="0" xfId="10" applyFont="1" applyFill="1" applyAlignment="1" applyProtection="1">
      <alignment horizontal="left" vertical="center"/>
    </xf>
    <xf numFmtId="195" fontId="24" fillId="0" borderId="0" xfId="10" applyFont="1" applyFill="1" applyAlignment="1" applyProtection="1">
      <alignment horizontal="left" vertical="center"/>
    </xf>
    <xf numFmtId="195" fontId="104" fillId="0" borderId="121" xfId="9" applyFont="1" applyFill="1" applyBorder="1" applyAlignment="1">
      <alignment horizontal="left" vertical="center"/>
    </xf>
    <xf numFmtId="195" fontId="104" fillId="0" borderId="0" xfId="9" applyFont="1" applyFill="1" applyBorder="1" applyAlignment="1">
      <alignment horizontal="left" vertical="center"/>
    </xf>
    <xf numFmtId="195" fontId="104" fillId="0" borderId="0" xfId="9" applyFont="1" applyFill="1" applyBorder="1" applyAlignment="1" applyProtection="1">
      <alignment horizontal="left" vertical="center"/>
      <protection locked="0"/>
    </xf>
    <xf numFmtId="195"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195" fontId="145" fillId="11" borderId="125" xfId="9" applyFont="1" applyFill="1" applyBorder="1" applyAlignment="1" applyProtection="1">
      <alignment horizontal="left" vertical="center" wrapText="1"/>
    </xf>
    <xf numFmtId="195" fontId="145" fillId="13" borderId="126" xfId="9" applyFont="1" applyFill="1" applyBorder="1" applyAlignment="1" applyProtection="1">
      <alignment horizontal="left" vertical="center" wrapText="1"/>
    </xf>
    <xf numFmtId="195" fontId="146" fillId="13" borderId="0" xfId="9" applyFont="1" applyFill="1" applyBorder="1" applyAlignment="1" applyProtection="1">
      <alignment horizontal="left" vertical="center"/>
      <protection locked="0"/>
    </xf>
    <xf numFmtId="195"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195" fontId="104" fillId="13" borderId="121" xfId="9" applyFont="1" applyFill="1" applyBorder="1" applyAlignment="1">
      <alignment horizontal="left" vertical="center"/>
    </xf>
    <xf numFmtId="195" fontId="115" fillId="5" borderId="0" xfId="9" applyFont="1" applyFill="1" applyAlignment="1">
      <alignment horizontal="left" vertical="center"/>
    </xf>
    <xf numFmtId="195"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195"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195" fontId="101" fillId="0" borderId="0" xfId="9" applyFont="1" applyFill="1" applyAlignment="1">
      <alignment horizontal="left" vertical="center"/>
    </xf>
    <xf numFmtId="10" fontId="101" fillId="0" borderId="0" xfId="9" applyNumberFormat="1" applyFont="1" applyFill="1" applyAlignment="1">
      <alignment horizontal="left" vertical="center"/>
    </xf>
    <xf numFmtId="195" fontId="146" fillId="13" borderId="0" xfId="9" applyFont="1" applyFill="1" applyAlignment="1">
      <alignment horizontal="left" vertical="center"/>
    </xf>
    <xf numFmtId="195" fontId="145" fillId="12" borderId="130" xfId="9" applyFont="1" applyFill="1" applyBorder="1" applyAlignment="1" applyProtection="1">
      <alignment horizontal="left" vertical="center" wrapText="1"/>
    </xf>
    <xf numFmtId="195" fontId="145" fillId="11" borderId="123" xfId="9" applyFont="1" applyFill="1" applyBorder="1" applyAlignment="1" applyProtection="1">
      <alignment horizontal="left" vertical="center" wrapText="1"/>
    </xf>
    <xf numFmtId="195"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195" fontId="145" fillId="11" borderId="126" xfId="9" applyFont="1" applyFill="1" applyBorder="1" applyAlignment="1" applyProtection="1">
      <alignment horizontal="left" vertical="center" wrapText="1"/>
    </xf>
    <xf numFmtId="195"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195" fontId="145" fillId="11" borderId="132" xfId="9" applyFont="1" applyFill="1" applyBorder="1" applyAlignment="1" applyProtection="1">
      <alignment horizontal="left" vertical="center" wrapText="1"/>
    </xf>
    <xf numFmtId="195"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195" fontId="101" fillId="0" borderId="121" xfId="9" applyFont="1" applyBorder="1" applyAlignment="1">
      <alignment horizontal="left" vertical="center"/>
    </xf>
    <xf numFmtId="195" fontId="145" fillId="12" borderId="123" xfId="9" applyFont="1" applyFill="1" applyBorder="1" applyAlignment="1" applyProtection="1">
      <alignment horizontal="left" vertical="center" wrapText="1"/>
    </xf>
    <xf numFmtId="195"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195" fontId="101" fillId="12" borderId="123" xfId="9" applyFont="1" applyFill="1" applyBorder="1" applyAlignment="1" applyProtection="1">
      <alignment horizontal="left" vertical="center" wrapText="1"/>
    </xf>
    <xf numFmtId="195"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195" fontId="101" fillId="5" borderId="126" xfId="9" applyFont="1" applyFill="1" applyBorder="1" applyAlignment="1" applyProtection="1">
      <alignment horizontal="left" vertical="center" wrapText="1"/>
    </xf>
    <xf numFmtId="195" fontId="101" fillId="5" borderId="130" xfId="9" applyFont="1" applyFill="1" applyBorder="1" applyAlignment="1" applyProtection="1">
      <alignment horizontal="left" vertical="center" wrapText="1"/>
    </xf>
    <xf numFmtId="195"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195" fontId="124" fillId="5" borderId="0" xfId="9" applyFont="1" applyFill="1" applyAlignment="1">
      <alignment horizontal="left" vertical="center"/>
    </xf>
    <xf numFmtId="195" fontId="101" fillId="5" borderId="0" xfId="9" applyNumberFormat="1" applyFont="1" applyFill="1" applyAlignment="1">
      <alignment horizontal="left" vertical="center"/>
    </xf>
    <xf numFmtId="195" fontId="101" fillId="11" borderId="132" xfId="9" applyFont="1" applyFill="1" applyBorder="1" applyAlignment="1" applyProtection="1">
      <alignment horizontal="left" vertical="center" wrapText="1"/>
    </xf>
    <xf numFmtId="195"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195" fontId="124" fillId="0" borderId="0" xfId="9" applyFont="1" applyAlignment="1">
      <alignment horizontal="left" vertical="center"/>
    </xf>
    <xf numFmtId="195"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195" fontId="145" fillId="12" borderId="137" xfId="9" applyFont="1" applyFill="1" applyBorder="1" applyAlignment="1" applyProtection="1">
      <alignment horizontal="left" vertical="center" wrapText="1"/>
    </xf>
    <xf numFmtId="195" fontId="145" fillId="12" borderId="138" xfId="9" applyFont="1" applyFill="1" applyBorder="1" applyAlignment="1" applyProtection="1">
      <alignment horizontal="left" vertical="center" wrapText="1"/>
    </xf>
    <xf numFmtId="195"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195" fontId="145" fillId="11" borderId="140" xfId="9" applyFont="1" applyFill="1" applyBorder="1" applyAlignment="1" applyProtection="1">
      <alignment horizontal="left" vertical="center" wrapText="1"/>
    </xf>
    <xf numFmtId="195"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195" fontId="104" fillId="12" borderId="142" xfId="9" applyFont="1" applyFill="1" applyBorder="1" applyAlignment="1">
      <alignment horizontal="left" vertical="center" wrapText="1"/>
    </xf>
    <xf numFmtId="195"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195" fontId="145" fillId="12" borderId="132" xfId="9" applyFont="1" applyFill="1" applyBorder="1" applyAlignment="1" applyProtection="1">
      <alignment horizontal="left" vertical="center" wrapText="1"/>
    </xf>
    <xf numFmtId="195" fontId="104" fillId="11" borderId="132" xfId="9" applyFont="1" applyFill="1" applyBorder="1" applyAlignment="1">
      <alignment horizontal="left" vertical="center" wrapText="1"/>
    </xf>
    <xf numFmtId="195" fontId="104" fillId="11" borderId="136" xfId="9" applyFont="1" applyFill="1" applyBorder="1" applyAlignment="1">
      <alignment horizontal="left" vertical="center" wrapText="1"/>
    </xf>
    <xf numFmtId="195"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195"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195" fontId="104" fillId="11" borderId="144" xfId="9" applyFont="1" applyFill="1" applyBorder="1" applyAlignment="1">
      <alignment horizontal="left" vertical="center" wrapText="1"/>
    </xf>
    <xf numFmtId="195" fontId="104" fillId="11" borderId="145" xfId="9" applyFont="1" applyFill="1" applyBorder="1" applyAlignment="1">
      <alignment horizontal="left" vertical="center" wrapText="1"/>
    </xf>
    <xf numFmtId="195" fontId="104" fillId="11" borderId="146" xfId="9" applyFont="1" applyFill="1" applyBorder="1" applyAlignment="1">
      <alignment horizontal="left" vertical="center" wrapText="1"/>
    </xf>
    <xf numFmtId="195" fontId="131" fillId="0" borderId="0" xfId="9" applyFont="1" applyAlignment="1">
      <alignment horizontal="left" vertical="center"/>
    </xf>
    <xf numFmtId="195" fontId="115" fillId="0" borderId="0" xfId="9" applyFont="1" applyAlignment="1">
      <alignment horizontal="left" vertical="center"/>
    </xf>
    <xf numFmtId="195"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195" fontId="145" fillId="12" borderId="147" xfId="9" applyFont="1" applyFill="1" applyBorder="1" applyAlignment="1">
      <alignment horizontal="left" vertical="center" wrapText="1"/>
    </xf>
    <xf numFmtId="195" fontId="145" fillId="12" borderId="123" xfId="9" applyFont="1" applyFill="1" applyBorder="1" applyAlignment="1">
      <alignment horizontal="left" vertical="center" wrapText="1"/>
    </xf>
    <xf numFmtId="195" fontId="145" fillId="11" borderId="148" xfId="9" applyFont="1" applyFill="1" applyBorder="1" applyAlignment="1">
      <alignment horizontal="left" vertical="center" wrapText="1"/>
    </xf>
    <xf numFmtId="195" fontId="145" fillId="11" borderId="126" xfId="9" applyFont="1" applyFill="1" applyBorder="1" applyAlignment="1">
      <alignment horizontal="left" vertical="center" wrapText="1"/>
    </xf>
    <xf numFmtId="195" fontId="145" fillId="12" borderId="148" xfId="9" applyFont="1" applyFill="1" applyBorder="1" applyAlignment="1">
      <alignment horizontal="left" vertical="center" wrapText="1"/>
    </xf>
    <xf numFmtId="195" fontId="145" fillId="12" borderId="126" xfId="9" applyFont="1" applyFill="1" applyBorder="1" applyAlignment="1">
      <alignment horizontal="left" vertical="center" wrapText="1"/>
    </xf>
    <xf numFmtId="195" fontId="145" fillId="11" borderId="149" xfId="9" applyFont="1" applyFill="1" applyBorder="1" applyAlignment="1">
      <alignment horizontal="left" vertical="center" wrapText="1"/>
    </xf>
    <xf numFmtId="195" fontId="145" fillId="11" borderId="132" xfId="9" applyFont="1" applyFill="1" applyBorder="1" applyAlignment="1">
      <alignment horizontal="left" vertical="center" wrapText="1"/>
    </xf>
    <xf numFmtId="195" fontId="131" fillId="6" borderId="0" xfId="0" applyFont="1" applyFill="1" applyAlignment="1" applyProtection="1">
      <alignment horizontal="left" vertical="center"/>
    </xf>
    <xf numFmtId="195" fontId="179" fillId="6" borderId="154" xfId="0" applyFont="1" applyFill="1" applyBorder="1" applyAlignment="1" applyProtection="1">
      <alignment horizontal="left"/>
    </xf>
    <xf numFmtId="195" fontId="103" fillId="6" borderId="154" xfId="0" applyFont="1" applyFill="1" applyBorder="1" applyAlignment="1" applyProtection="1">
      <alignment horizontal="left"/>
    </xf>
    <xf numFmtId="195" fontId="179" fillId="6" borderId="154" xfId="0" applyFont="1" applyFill="1" applyBorder="1" applyAlignment="1" applyProtection="1">
      <alignment horizontal="right"/>
    </xf>
    <xf numFmtId="195" fontId="103" fillId="7" borderId="154" xfId="0" applyFont="1" applyFill="1" applyBorder="1" applyAlignment="1" applyProtection="1">
      <protection locked="0"/>
    </xf>
    <xf numFmtId="195" fontId="103" fillId="7" borderId="154" xfId="0" applyFont="1" applyFill="1" applyBorder="1" applyAlignment="1" applyProtection="1"/>
    <xf numFmtId="195" fontId="103" fillId="0" borderId="154" xfId="0" applyFont="1" applyFill="1" applyBorder="1" applyAlignment="1" applyProtection="1"/>
    <xf numFmtId="195"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195" fontId="49" fillId="18" borderId="0" xfId="0" applyFont="1" applyFill="1" applyAlignment="1" applyProtection="1">
      <alignment horizontal="left" vertical="center"/>
    </xf>
    <xf numFmtId="195" fontId="79" fillId="18" borderId="0" xfId="0" applyFont="1" applyFill="1" applyProtection="1">
      <alignment vertical="center"/>
    </xf>
    <xf numFmtId="195"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195" fontId="49" fillId="18" borderId="1" xfId="0" applyFont="1" applyFill="1" applyBorder="1" applyAlignment="1" applyProtection="1">
      <alignment horizontal="center" vertical="center"/>
    </xf>
    <xf numFmtId="195"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5" fontId="56" fillId="18"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9" fillId="6" borderId="54"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48"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121" fillId="0" borderId="0" xfId="5" applyFont="1" applyAlignment="1">
      <alignment horizontal="left" vertical="center"/>
    </xf>
    <xf numFmtId="195" fontId="149" fillId="0" borderId="0" xfId="5" applyFont="1" applyAlignment="1">
      <alignment horizontal="left" vertical="center"/>
    </xf>
    <xf numFmtId="195" fontId="122" fillId="0" borderId="0" xfId="5" applyFont="1" applyAlignment="1">
      <alignment horizontal="left" vertical="center"/>
    </xf>
    <xf numFmtId="14" fontId="122" fillId="0" borderId="0" xfId="5" applyNumberFormat="1" applyFont="1" applyAlignment="1">
      <alignment horizontal="left" vertical="center"/>
    </xf>
    <xf numFmtId="195" fontId="239" fillId="0" borderId="0" xfId="5" applyFont="1" applyAlignment="1">
      <alignment horizontal="left" vertical="center"/>
    </xf>
    <xf numFmtId="195" fontId="119" fillId="5" borderId="13" xfId="5" applyFont="1" applyFill="1" applyBorder="1" applyAlignment="1">
      <alignment horizontal="left" vertical="center"/>
    </xf>
    <xf numFmtId="195" fontId="120" fillId="0" borderId="1" xfId="5" applyFont="1" applyBorder="1" applyAlignment="1">
      <alignment horizontal="left" vertical="center"/>
    </xf>
    <xf numFmtId="195" fontId="120" fillId="0" borderId="5" xfId="5" applyFont="1" applyBorder="1" applyAlignment="1">
      <alignment horizontal="left" vertical="center"/>
    </xf>
    <xf numFmtId="195" fontId="119" fillId="5" borderId="155" xfId="5" applyFont="1" applyFill="1" applyBorder="1" applyAlignment="1">
      <alignment horizontal="left" vertical="center"/>
    </xf>
    <xf numFmtId="195" fontId="120" fillId="0" borderId="1" xfId="5" applyNumberFormat="1" applyFont="1" applyFill="1" applyBorder="1" applyAlignment="1">
      <alignment horizontal="left" vertical="center"/>
    </xf>
    <xf numFmtId="195" fontId="240" fillId="0" borderId="5" xfId="5" applyNumberFormat="1" applyFont="1" applyFill="1" applyBorder="1" applyAlignment="1">
      <alignment horizontal="left" vertical="center"/>
    </xf>
    <xf numFmtId="195"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195" fontId="240" fillId="0" borderId="1" xfId="5" applyFont="1" applyFill="1" applyBorder="1" applyAlignment="1">
      <alignment horizontal="left" vertical="center"/>
    </xf>
    <xf numFmtId="195" fontId="120" fillId="0" borderId="5" xfId="5" applyNumberFormat="1" applyFont="1" applyFill="1" applyBorder="1" applyAlignment="1">
      <alignment horizontal="left" vertical="center"/>
    </xf>
    <xf numFmtId="195" fontId="240" fillId="0" borderId="0" xfId="5" applyFont="1" applyFill="1" applyAlignment="1">
      <alignment horizontal="left" vertical="center"/>
    </xf>
    <xf numFmtId="195" fontId="149" fillId="0" borderId="0" xfId="5" applyFont="1" applyFill="1" applyAlignment="1">
      <alignment horizontal="left" vertical="center"/>
    </xf>
    <xf numFmtId="195" fontId="119" fillId="0" borderId="1" xfId="5" applyFont="1" applyFill="1" applyBorder="1" applyAlignment="1">
      <alignment horizontal="left" vertical="center"/>
    </xf>
    <xf numFmtId="195" fontId="118" fillId="0" borderId="0" xfId="5" applyFont="1" applyAlignment="1">
      <alignment horizontal="left" vertical="center"/>
    </xf>
    <xf numFmtId="195"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195"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195"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195" fontId="149" fillId="0" borderId="0" xfId="5" applyFont="1" applyBorder="1" applyAlignment="1">
      <alignment horizontal="left" vertical="center"/>
    </xf>
    <xf numFmtId="195" fontId="217" fillId="0" borderId="0" xfId="5" applyFont="1" applyBorder="1" applyAlignment="1">
      <alignment horizontal="left" vertical="center"/>
    </xf>
    <xf numFmtId="195" fontId="49" fillId="6" borderId="26" xfId="0" applyFont="1" applyFill="1" applyBorder="1" applyAlignment="1" applyProtection="1">
      <alignment vertical="center" wrapText="1"/>
    </xf>
    <xf numFmtId="195" fontId="49" fillId="6" borderId="0" xfId="0" applyFont="1" applyFill="1" applyBorder="1" applyAlignment="1" applyProtection="1">
      <alignment vertical="center" wrapText="1"/>
    </xf>
    <xf numFmtId="195"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5" fontId="49" fillId="6" borderId="0" xfId="0" applyFont="1" applyFill="1" applyAlignment="1" applyProtection="1">
      <alignment vertical="center" wrapText="1"/>
    </xf>
    <xf numFmtId="195" fontId="49" fillId="0" borderId="0" xfId="0" applyFont="1" applyFill="1" applyBorder="1" applyAlignment="1" applyProtection="1">
      <alignment vertical="center"/>
      <protection locked="0"/>
    </xf>
    <xf numFmtId="195"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5"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5" fontId="49" fillId="6" borderId="78" xfId="0" applyFont="1" applyFill="1" applyBorder="1" applyAlignment="1" applyProtection="1">
      <alignment horizontal="right" vertical="center" shrinkToFit="1"/>
    </xf>
    <xf numFmtId="195" fontId="49" fillId="6" borderId="78" xfId="0" applyNumberFormat="1" applyFont="1" applyFill="1" applyBorder="1" applyAlignment="1" applyProtection="1">
      <alignment horizontal="right" vertical="center" shrinkToFit="1"/>
    </xf>
    <xf numFmtId="195" fontId="49" fillId="6" borderId="58" xfId="0" applyNumberFormat="1" applyFont="1" applyFill="1" applyBorder="1" applyAlignment="1" applyProtection="1">
      <alignment horizontal="left" vertical="center"/>
    </xf>
    <xf numFmtId="195" fontId="49" fillId="6" borderId="4" xfId="0" applyFont="1" applyFill="1" applyBorder="1" applyAlignment="1" applyProtection="1">
      <alignment vertical="center" wrapText="1"/>
    </xf>
    <xf numFmtId="195" fontId="49" fillId="7" borderId="150" xfId="0" applyFont="1" applyFill="1" applyBorder="1" applyAlignment="1" applyProtection="1">
      <alignment vertical="center" wrapText="1"/>
      <protection locked="0"/>
    </xf>
    <xf numFmtId="195" fontId="49" fillId="7" borderId="60" xfId="0" applyFont="1" applyFill="1" applyBorder="1" applyAlignment="1" applyProtection="1">
      <alignment vertical="center" wrapText="1"/>
    </xf>
    <xf numFmtId="195" fontId="49" fillId="7" borderId="7" xfId="0" applyFont="1" applyFill="1" applyBorder="1" applyAlignment="1" applyProtection="1">
      <alignment vertical="center" wrapText="1"/>
    </xf>
    <xf numFmtId="195" fontId="49" fillId="6" borderId="46" xfId="0" applyFont="1" applyFill="1" applyBorder="1" applyAlignment="1" applyProtection="1">
      <alignment vertical="center" wrapText="1"/>
    </xf>
    <xf numFmtId="195" fontId="49" fillId="7" borderId="5" xfId="0" applyFont="1" applyFill="1" applyBorder="1" applyAlignment="1" applyProtection="1">
      <alignment vertical="center"/>
      <protection locked="0"/>
    </xf>
    <xf numFmtId="195" fontId="49" fillId="7" borderId="54" xfId="0" applyFont="1" applyFill="1" applyBorder="1" applyAlignment="1" applyProtection="1">
      <alignment vertical="center" wrapText="1"/>
    </xf>
    <xf numFmtId="195" fontId="49" fillId="7" borderId="22" xfId="0" applyFont="1" applyFill="1" applyBorder="1" applyAlignment="1" applyProtection="1">
      <alignment vertical="center" wrapText="1"/>
    </xf>
    <xf numFmtId="195" fontId="49" fillId="7" borderId="5" xfId="0" applyFont="1" applyFill="1" applyBorder="1" applyAlignment="1" applyProtection="1">
      <alignment vertical="center" wrapText="1"/>
      <protection locked="0"/>
    </xf>
    <xf numFmtId="195" fontId="49" fillId="16" borderId="46" xfId="0" applyFont="1" applyFill="1" applyBorder="1" applyAlignment="1" applyProtection="1">
      <alignment vertical="center" wrapText="1"/>
    </xf>
    <xf numFmtId="195" fontId="49" fillId="5" borderId="5" xfId="0" applyFont="1" applyFill="1" applyBorder="1" applyAlignment="1" applyProtection="1">
      <alignment horizontal="left" vertical="center" wrapText="1"/>
      <protection locked="0"/>
    </xf>
    <xf numFmtId="195" fontId="49" fillId="5" borderId="54" xfId="0" applyFont="1" applyFill="1" applyBorder="1" applyAlignment="1" applyProtection="1">
      <alignment vertical="center" wrapText="1"/>
    </xf>
    <xf numFmtId="195" fontId="49" fillId="5" borderId="13" xfId="0" applyFont="1" applyFill="1" applyBorder="1" applyAlignment="1" applyProtection="1">
      <alignment horizontal="left" vertical="center"/>
      <protection locked="0"/>
    </xf>
    <xf numFmtId="195" fontId="49" fillId="5" borderId="22" xfId="0" applyFont="1" applyFill="1" applyBorder="1" applyAlignment="1" applyProtection="1">
      <alignment vertical="center" wrapText="1"/>
    </xf>
    <xf numFmtId="195" fontId="49" fillId="16" borderId="85" xfId="0" applyFont="1" applyFill="1" applyBorder="1" applyAlignment="1" applyProtection="1">
      <alignment vertical="center" wrapText="1"/>
    </xf>
    <xf numFmtId="195" fontId="49" fillId="5" borderId="85" xfId="0" applyFont="1" applyFill="1" applyBorder="1" applyAlignment="1" applyProtection="1">
      <alignment horizontal="left" vertical="center"/>
      <protection locked="0"/>
    </xf>
    <xf numFmtId="195" fontId="49" fillId="5" borderId="88" xfId="0" applyFont="1" applyFill="1" applyBorder="1" applyAlignment="1" applyProtection="1">
      <alignment vertical="center" wrapText="1"/>
    </xf>
    <xf numFmtId="195" fontId="49" fillId="5" borderId="118" xfId="0" applyFont="1" applyFill="1" applyBorder="1" applyAlignment="1" applyProtection="1">
      <alignment vertical="center" wrapText="1"/>
    </xf>
    <xf numFmtId="195" fontId="49" fillId="16" borderId="2" xfId="0" applyFont="1" applyFill="1" applyBorder="1" applyAlignment="1" applyProtection="1">
      <alignment horizontal="left" vertical="center"/>
    </xf>
    <xf numFmtId="195"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95" fontId="49" fillId="16" borderId="46" xfId="0" applyFont="1" applyFill="1" applyBorder="1" applyAlignment="1" applyProtection="1">
      <alignment horizontal="left" vertical="center"/>
    </xf>
    <xf numFmtId="195" fontId="49" fillId="5" borderId="13" xfId="0" applyFont="1" applyFill="1" applyBorder="1" applyAlignment="1" applyProtection="1">
      <alignment horizontal="center" vertical="center" wrapText="1"/>
      <protection locked="0"/>
    </xf>
    <xf numFmtId="195" fontId="49" fillId="7" borderId="54" xfId="0" applyFont="1" applyFill="1" applyBorder="1" applyAlignment="1" applyProtection="1">
      <alignment vertical="center" wrapText="1"/>
      <protection locked="0"/>
    </xf>
    <xf numFmtId="195"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5"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5"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5" fontId="49" fillId="6" borderId="0" xfId="0" applyNumberFormat="1" applyFont="1" applyFill="1" applyAlignment="1" applyProtection="1">
      <alignment horizontal="center" vertical="center" wrapText="1"/>
    </xf>
    <xf numFmtId="195"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5" fontId="49" fillId="5" borderId="77" xfId="0" applyFont="1" applyFill="1" applyBorder="1" applyAlignment="1" applyProtection="1">
      <alignment horizontal="left" vertical="center" wrapText="1"/>
      <protection locked="0"/>
    </xf>
    <xf numFmtId="195" fontId="49" fillId="6" borderId="78" xfId="0" applyFont="1" applyFill="1" applyBorder="1" applyAlignment="1" applyProtection="1">
      <alignment horizontal="center" vertical="center" wrapText="1"/>
    </xf>
    <xf numFmtId="195" fontId="49" fillId="2" borderId="4" xfId="0" applyFont="1" applyFill="1" applyBorder="1" applyAlignment="1" applyProtection="1">
      <alignment vertical="center"/>
      <protection locked="0"/>
    </xf>
    <xf numFmtId="195" fontId="49" fillId="2" borderId="7" xfId="0" applyFont="1" applyFill="1" applyBorder="1" applyAlignment="1" applyProtection="1">
      <alignment vertical="center" wrapText="1"/>
    </xf>
    <xf numFmtId="195" fontId="49" fillId="2" borderId="7" xfId="0" applyFont="1" applyFill="1" applyBorder="1" applyAlignment="1" applyProtection="1">
      <alignment horizontal="left" vertical="center"/>
      <protection locked="0"/>
    </xf>
    <xf numFmtId="195" fontId="49" fillId="0" borderId="2" xfId="0" applyFont="1" applyBorder="1" applyAlignment="1" applyProtection="1">
      <alignment horizontal="left" vertical="center" wrapText="1"/>
      <protection locked="0"/>
    </xf>
    <xf numFmtId="195" fontId="49" fillId="2" borderId="5" xfId="0" applyFont="1" applyFill="1" applyBorder="1" applyAlignment="1" applyProtection="1">
      <alignment vertical="center"/>
      <protection locked="0"/>
    </xf>
    <xf numFmtId="195" fontId="49" fillId="2" borderId="3" xfId="0" applyFont="1" applyFill="1" applyBorder="1" applyAlignment="1" applyProtection="1">
      <alignment vertical="center"/>
    </xf>
    <xf numFmtId="195" fontId="49" fillId="5" borderId="3" xfId="0" applyFont="1" applyFill="1" applyBorder="1" applyAlignment="1" applyProtection="1">
      <alignment horizontal="center" vertical="center" wrapText="1"/>
      <protection locked="0"/>
    </xf>
    <xf numFmtId="195" fontId="49" fillId="0" borderId="1" xfId="0" applyFont="1" applyBorder="1" applyAlignment="1" applyProtection="1">
      <alignment horizontal="left" vertical="center"/>
      <protection locked="0"/>
    </xf>
    <xf numFmtId="195" fontId="49" fillId="6" borderId="35" xfId="0" applyFont="1" applyFill="1" applyBorder="1" applyAlignment="1" applyProtection="1">
      <alignment horizontal="left" vertical="center"/>
    </xf>
    <xf numFmtId="195" fontId="49" fillId="5" borderId="22" xfId="0" applyFont="1" applyFill="1" applyBorder="1" applyAlignment="1" applyProtection="1">
      <alignment horizontal="center" vertical="center" wrapText="1"/>
      <protection locked="0"/>
    </xf>
    <xf numFmtId="195" fontId="49" fillId="0" borderId="13" xfId="0" applyFont="1" applyBorder="1" applyAlignment="1" applyProtection="1">
      <alignment horizontal="left" vertical="center"/>
      <protection locked="0"/>
    </xf>
    <xf numFmtId="195" fontId="49" fillId="6" borderId="1" xfId="0" applyFont="1" applyFill="1" applyBorder="1" applyAlignment="1" applyProtection="1">
      <alignment horizontal="center" vertical="center" wrapText="1"/>
    </xf>
    <xf numFmtId="195" fontId="49" fillId="6" borderId="1" xfId="0" applyFont="1" applyFill="1" applyBorder="1" applyAlignment="1" applyProtection="1">
      <alignment vertical="center" wrapText="1"/>
    </xf>
    <xf numFmtId="195" fontId="49" fillId="6" borderId="13" xfId="0" applyNumberFormat="1" applyFont="1" applyFill="1" applyBorder="1" applyAlignment="1" applyProtection="1">
      <alignment vertical="center" wrapText="1"/>
    </xf>
    <xf numFmtId="195" fontId="49" fillId="6" borderId="58" xfId="0" applyNumberFormat="1" applyFont="1" applyFill="1" applyBorder="1" applyAlignment="1" applyProtection="1">
      <alignment vertical="center" wrapText="1"/>
    </xf>
    <xf numFmtId="195" fontId="49" fillId="5" borderId="1" xfId="0" applyNumberFormat="1" applyFont="1" applyFill="1" applyBorder="1" applyAlignment="1" applyProtection="1">
      <alignment horizontal="center" vertical="center" wrapText="1"/>
      <protection locked="0"/>
    </xf>
    <xf numFmtId="195" fontId="49" fillId="5" borderId="78" xfId="0" applyNumberFormat="1" applyFont="1" applyFill="1" applyBorder="1" applyAlignment="1" applyProtection="1">
      <alignment horizontal="center" vertical="center" wrapText="1"/>
      <protection locked="0"/>
    </xf>
    <xf numFmtId="195" fontId="141" fillId="6" borderId="151" xfId="0" applyFont="1" applyFill="1" applyBorder="1" applyAlignment="1" applyProtection="1">
      <alignment vertical="center"/>
    </xf>
    <xf numFmtId="195" fontId="54" fillId="6" borderId="151" xfId="0" applyFont="1" applyFill="1" applyBorder="1" applyAlignment="1" applyProtection="1">
      <alignment vertical="center" wrapText="1"/>
    </xf>
    <xf numFmtId="195" fontId="54" fillId="0" borderId="151" xfId="0" applyFont="1" applyBorder="1" applyAlignment="1" applyProtection="1">
      <alignment vertical="center" wrapText="1"/>
    </xf>
    <xf numFmtId="195" fontId="54" fillId="6" borderId="5" xfId="0" applyFont="1" applyFill="1" applyBorder="1" applyAlignment="1" applyProtection="1">
      <alignment vertical="center"/>
    </xf>
    <xf numFmtId="195"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5"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5" fontId="54" fillId="6" borderId="40" xfId="0" applyFont="1" applyFill="1" applyBorder="1" applyAlignment="1" applyProtection="1">
      <alignment vertical="center" wrapText="1"/>
    </xf>
    <xf numFmtId="195" fontId="54" fillId="6" borderId="14" xfId="0" applyFont="1" applyFill="1" applyBorder="1" applyAlignment="1" applyProtection="1">
      <alignment vertical="center" wrapText="1"/>
    </xf>
    <xf numFmtId="195" fontId="54" fillId="6" borderId="12" xfId="0" applyFont="1" applyFill="1" applyBorder="1" applyAlignment="1" applyProtection="1">
      <alignment vertical="center" wrapText="1"/>
    </xf>
    <xf numFmtId="195"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5"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5" fontId="54" fillId="6" borderId="81" xfId="0" applyFont="1" applyFill="1" applyBorder="1" applyAlignment="1" applyProtection="1">
      <alignment vertical="center" wrapText="1"/>
    </xf>
    <xf numFmtId="195" fontId="49" fillId="6" borderId="0" xfId="0" applyFont="1" applyFill="1" applyAlignment="1" applyProtection="1">
      <alignment horizontal="center" vertical="center" wrapText="1"/>
      <protection locked="0"/>
    </xf>
    <xf numFmtId="195" fontId="49" fillId="6" borderId="0" xfId="0" applyNumberFormat="1" applyFont="1" applyFill="1" applyAlignment="1" applyProtection="1">
      <alignment horizontal="center" vertical="center" wrapText="1"/>
      <protection locked="0"/>
    </xf>
    <xf numFmtId="195" fontId="207" fillId="7" borderId="101" xfId="0" applyFont="1" applyFill="1" applyBorder="1" applyAlignment="1" applyProtection="1">
      <alignment vertical="center" wrapText="1"/>
      <protection locked="0"/>
    </xf>
    <xf numFmtId="195" fontId="207" fillId="7" borderId="101" xfId="0" applyNumberFormat="1" applyFont="1" applyFill="1" applyBorder="1" applyAlignment="1" applyProtection="1">
      <alignment vertical="center" wrapText="1"/>
      <protection locked="0"/>
    </xf>
    <xf numFmtId="195" fontId="207" fillId="7" borderId="102" xfId="0" applyFont="1" applyFill="1" applyBorder="1" applyAlignment="1" applyProtection="1">
      <alignment vertical="center" wrapText="1"/>
      <protection locked="0"/>
    </xf>
    <xf numFmtId="195" fontId="227" fillId="7" borderId="0" xfId="0" applyNumberFormat="1" applyFont="1" applyFill="1" applyAlignment="1" applyProtection="1">
      <alignment vertical="center"/>
      <protection locked="0"/>
    </xf>
    <xf numFmtId="195" fontId="227" fillId="7" borderId="0" xfId="0" applyFont="1" applyFill="1" applyAlignment="1" applyProtection="1">
      <alignment vertical="center"/>
      <protection locked="0"/>
    </xf>
    <xf numFmtId="195" fontId="227" fillId="0" borderId="0" xfId="0" applyFont="1" applyAlignment="1" applyProtection="1">
      <alignment vertical="center"/>
      <protection locked="0"/>
    </xf>
    <xf numFmtId="195" fontId="54" fillId="6" borderId="63" xfId="0" applyFont="1" applyFill="1" applyBorder="1" applyAlignment="1" applyProtection="1">
      <alignment vertical="center" wrapText="1"/>
    </xf>
    <xf numFmtId="195" fontId="54" fillId="6" borderId="34" xfId="0" applyFont="1" applyFill="1" applyBorder="1" applyAlignment="1" applyProtection="1">
      <alignment vertical="center" wrapText="1"/>
    </xf>
    <xf numFmtId="195" fontId="54" fillId="6" borderId="65" xfId="0" applyFont="1" applyFill="1" applyBorder="1" applyAlignment="1" applyProtection="1">
      <alignment vertical="center"/>
    </xf>
    <xf numFmtId="195" fontId="54" fillId="6" borderId="0" xfId="0" applyFont="1" applyFill="1" applyBorder="1" applyAlignment="1" applyProtection="1">
      <alignment vertical="center" wrapText="1"/>
    </xf>
    <xf numFmtId="195" fontId="49" fillId="6" borderId="64" xfId="0" applyFont="1" applyFill="1" applyBorder="1" applyAlignment="1" applyProtection="1">
      <alignment vertical="center"/>
    </xf>
    <xf numFmtId="195"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5" fontId="49" fillId="6" borderId="7" xfId="0" applyFont="1" applyFill="1" applyBorder="1" applyAlignment="1" applyProtection="1">
      <alignment vertical="center" wrapText="1"/>
    </xf>
    <xf numFmtId="195"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5" fontId="170" fillId="0" borderId="24" xfId="0" applyFont="1" applyBorder="1" applyAlignment="1" applyProtection="1">
      <alignment vertical="center" wrapText="1"/>
      <protection locked="0"/>
    </xf>
    <xf numFmtId="195"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5" fontId="49" fillId="6" borderId="66" xfId="0" applyFont="1" applyFill="1" applyBorder="1" applyAlignment="1" applyProtection="1">
      <alignment vertical="center" wrapText="1"/>
    </xf>
    <xf numFmtId="195" fontId="170" fillId="0" borderId="49" xfId="0" applyNumberFormat="1" applyFont="1" applyFill="1" applyBorder="1" applyAlignment="1" applyProtection="1">
      <alignment vertical="center" wrapText="1"/>
      <protection locked="0"/>
    </xf>
    <xf numFmtId="195" fontId="49" fillId="6" borderId="0" xfId="0" applyFont="1" applyFill="1" applyBorder="1" applyAlignment="1" applyProtection="1">
      <alignment vertical="center"/>
      <protection locked="0"/>
    </xf>
    <xf numFmtId="195" fontId="49" fillId="6" borderId="32" xfId="0" applyFont="1" applyFill="1" applyBorder="1" applyAlignment="1" applyProtection="1">
      <alignment vertical="center" wrapText="1"/>
    </xf>
    <xf numFmtId="195" fontId="170" fillId="0" borderId="49" xfId="0" applyFont="1" applyBorder="1" applyAlignment="1" applyProtection="1">
      <alignment vertical="center"/>
      <protection locked="0"/>
    </xf>
    <xf numFmtId="195" fontId="46" fillId="7" borderId="0" xfId="0" applyFont="1" applyFill="1" applyBorder="1" applyAlignment="1" applyProtection="1">
      <alignment vertical="center" wrapText="1"/>
      <protection locked="0"/>
    </xf>
    <xf numFmtId="195"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5" fontId="46" fillId="0" borderId="0" xfId="0" applyFont="1" applyFill="1" applyAlignment="1" applyProtection="1">
      <alignment vertical="center"/>
      <protection locked="0"/>
    </xf>
    <xf numFmtId="195" fontId="54" fillId="6" borderId="0" xfId="0" applyFont="1" applyFill="1" applyBorder="1" applyAlignment="1" applyProtection="1">
      <alignment vertical="center" wrapText="1"/>
      <protection locked="0"/>
    </xf>
    <xf numFmtId="195" fontId="49" fillId="6" borderId="0" xfId="0" applyNumberFormat="1" applyFont="1" applyFill="1" applyBorder="1" applyAlignment="1" applyProtection="1">
      <alignment vertical="center" wrapText="1"/>
      <protection locked="0"/>
    </xf>
    <xf numFmtId="195" fontId="62" fillId="6" borderId="0" xfId="0" applyFont="1" applyFill="1" applyBorder="1" applyAlignment="1" applyProtection="1">
      <alignment vertical="center"/>
    </xf>
    <xf numFmtId="195" fontId="207" fillId="7" borderId="0" xfId="0" applyFont="1" applyFill="1" applyBorder="1" applyAlignment="1" applyProtection="1">
      <alignment vertical="center" wrapText="1"/>
      <protection locked="0"/>
    </xf>
    <xf numFmtId="195" fontId="207" fillId="7" borderId="0" xfId="0" applyNumberFormat="1" applyFont="1" applyFill="1" applyBorder="1" applyAlignment="1" applyProtection="1">
      <alignment vertical="center" wrapText="1"/>
      <protection locked="0"/>
    </xf>
    <xf numFmtId="195" fontId="207" fillId="7" borderId="35" xfId="0" applyNumberFormat="1" applyFont="1" applyFill="1" applyBorder="1" applyAlignment="1" applyProtection="1">
      <alignment vertical="center" wrapText="1"/>
      <protection locked="0"/>
    </xf>
    <xf numFmtId="195" fontId="227" fillId="7" borderId="0" xfId="0" applyFont="1" applyFill="1" applyAlignment="1" applyProtection="1">
      <alignment vertical="center" wrapText="1"/>
      <protection locked="0"/>
    </xf>
    <xf numFmtId="195" fontId="227" fillId="7" borderId="0" xfId="0" applyNumberFormat="1" applyFont="1" applyFill="1" applyAlignment="1" applyProtection="1">
      <alignment vertical="center" wrapText="1"/>
      <protection locked="0"/>
    </xf>
    <xf numFmtId="195" fontId="71" fillId="6" borderId="104" xfId="0" applyFont="1" applyFill="1" applyBorder="1" applyAlignment="1" applyProtection="1">
      <alignment vertical="center"/>
    </xf>
    <xf numFmtId="195" fontId="46" fillId="7" borderId="0" xfId="0" applyFont="1" applyFill="1" applyAlignment="1" applyProtection="1">
      <alignment vertical="center" wrapText="1"/>
      <protection locked="0"/>
    </xf>
    <xf numFmtId="195" fontId="46" fillId="7" borderId="0" xfId="0" applyNumberFormat="1" applyFont="1" applyFill="1" applyAlignment="1" applyProtection="1">
      <alignment vertical="center" wrapText="1"/>
      <protection locked="0"/>
    </xf>
    <xf numFmtId="195" fontId="46" fillId="7" borderId="0" xfId="0" applyNumberFormat="1" applyFont="1" applyFill="1" applyAlignment="1" applyProtection="1">
      <alignment vertical="center"/>
      <protection locked="0"/>
    </xf>
    <xf numFmtId="195" fontId="54" fillId="6" borderId="16" xfId="0" applyFont="1" applyFill="1" applyBorder="1" applyAlignment="1" applyProtection="1">
      <alignment vertical="center" wrapText="1"/>
    </xf>
    <xf numFmtId="195" fontId="54" fillId="6" borderId="31" xfId="0" applyFont="1" applyFill="1" applyBorder="1" applyAlignment="1" applyProtection="1">
      <alignment vertical="center" wrapText="1"/>
    </xf>
    <xf numFmtId="195" fontId="54" fillId="6" borderId="82" xfId="0" applyFont="1" applyFill="1" applyBorder="1" applyAlignment="1" applyProtection="1">
      <alignment vertical="center" wrapText="1"/>
    </xf>
    <xf numFmtId="195"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5" fontId="49" fillId="6" borderId="10" xfId="0" applyNumberFormat="1" applyFont="1" applyFill="1" applyBorder="1" applyAlignment="1" applyProtection="1">
      <alignment vertical="center" wrapText="1"/>
    </xf>
    <xf numFmtId="195"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5" fontId="49" fillId="6" borderId="23" xfId="0" applyFont="1" applyFill="1" applyBorder="1" applyAlignment="1" applyProtection="1">
      <alignment vertical="center" wrapText="1"/>
    </xf>
    <xf numFmtId="195" fontId="49" fillId="6" borderId="24" xfId="0" applyNumberFormat="1" applyFont="1" applyFill="1" applyBorder="1" applyAlignment="1" applyProtection="1">
      <alignment vertical="center" wrapText="1"/>
    </xf>
    <xf numFmtId="195" fontId="49" fillId="0" borderId="24" xfId="0" applyNumberFormat="1" applyFont="1" applyFill="1" applyBorder="1" applyAlignment="1" applyProtection="1">
      <alignment vertical="center" wrapText="1"/>
      <protection locked="0"/>
    </xf>
    <xf numFmtId="195" fontId="49" fillId="5" borderId="24" xfId="0" applyNumberFormat="1" applyFont="1" applyFill="1" applyBorder="1" applyAlignment="1" applyProtection="1">
      <alignment vertical="center" wrapText="1"/>
      <protection locked="0"/>
    </xf>
    <xf numFmtId="195" fontId="49" fillId="6" borderId="25" xfId="0" applyFont="1" applyFill="1" applyBorder="1" applyAlignment="1" applyProtection="1">
      <alignment vertical="center" wrapText="1"/>
    </xf>
    <xf numFmtId="195" fontId="49" fillId="0" borderId="49" xfId="0" applyNumberFormat="1" applyFont="1" applyFill="1" applyBorder="1" applyAlignment="1" applyProtection="1">
      <alignment vertical="center" wrapText="1"/>
      <protection locked="0"/>
    </xf>
    <xf numFmtId="195" fontId="49" fillId="6" borderId="49" xfId="0" applyNumberFormat="1" applyFont="1" applyFill="1" applyBorder="1" applyAlignment="1" applyProtection="1">
      <alignment vertical="center" wrapText="1"/>
    </xf>
    <xf numFmtId="195" fontId="49" fillId="6" borderId="0" xfId="0" applyNumberFormat="1" applyFont="1" applyFill="1" applyAlignment="1" applyProtection="1">
      <alignment vertical="center" wrapText="1"/>
      <protection locked="0"/>
    </xf>
    <xf numFmtId="195" fontId="46" fillId="0" borderId="0" xfId="0" applyFont="1" applyFill="1" applyAlignment="1" applyProtection="1">
      <alignment vertical="center" wrapText="1"/>
      <protection locked="0"/>
    </xf>
    <xf numFmtId="195" fontId="46" fillId="0" borderId="0" xfId="0" applyNumberFormat="1" applyFont="1" applyFill="1" applyAlignment="1" applyProtection="1">
      <alignment vertical="center" wrapText="1"/>
      <protection locked="0"/>
    </xf>
    <xf numFmtId="195" fontId="162" fillId="6" borderId="1" xfId="12" applyFont="1" applyFill="1" applyBorder="1" applyAlignment="1" applyProtection="1">
      <alignment horizontal="left" vertical="center" wrapText="1"/>
    </xf>
    <xf numFmtId="195"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195" fontId="161" fillId="6" borderId="1" xfId="12" applyFill="1" applyBorder="1" applyAlignment="1" applyProtection="1">
      <alignment horizontal="left" vertical="center"/>
    </xf>
    <xf numFmtId="195" fontId="162" fillId="6" borderId="13" xfId="12" applyFont="1" applyFill="1" applyBorder="1" applyAlignment="1" applyProtection="1">
      <alignment horizontal="left" vertical="center" wrapText="1"/>
    </xf>
    <xf numFmtId="195" fontId="97" fillId="0" borderId="1" xfId="12" applyFont="1" applyFill="1" applyBorder="1" applyAlignment="1" applyProtection="1">
      <alignment horizontal="left"/>
      <protection locked="0"/>
    </xf>
    <xf numFmtId="195" fontId="162" fillId="0" borderId="13" xfId="12" applyFont="1" applyFill="1" applyBorder="1" applyAlignment="1" applyProtection="1">
      <alignment horizontal="left" vertical="center" wrapText="1"/>
      <protection locked="0"/>
    </xf>
    <xf numFmtId="195" fontId="161" fillId="0" borderId="1" xfId="12" applyBorder="1" applyAlignment="1" applyProtection="1">
      <alignment horizontal="left"/>
      <protection locked="0"/>
    </xf>
    <xf numFmtId="195" fontId="162" fillId="0" borderId="1" xfId="12" applyFont="1" applyFill="1" applyBorder="1" applyAlignment="1" applyProtection="1">
      <alignment horizontal="left" vertical="center" wrapText="1"/>
      <protection locked="0"/>
    </xf>
    <xf numFmtId="195" fontId="125" fillId="7" borderId="0" xfId="0" applyFont="1" applyFill="1" applyProtection="1">
      <alignment vertical="center"/>
    </xf>
    <xf numFmtId="195" fontId="102" fillId="7" borderId="0" xfId="0" applyFont="1" applyFill="1" applyProtection="1">
      <alignment vertical="center"/>
    </xf>
    <xf numFmtId="195" fontId="101" fillId="6" borderId="1" xfId="0" applyFont="1" applyFill="1" applyBorder="1" applyAlignment="1" applyProtection="1">
      <alignment horizontal="left" vertical="center" wrapText="1"/>
    </xf>
    <xf numFmtId="195" fontId="104" fillId="6" borderId="1" xfId="0" applyFont="1" applyFill="1" applyBorder="1" applyAlignment="1" applyProtection="1">
      <alignment horizontal="left" vertical="center" wrapText="1"/>
    </xf>
    <xf numFmtId="195"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195"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195" fontId="101" fillId="6" borderId="5" xfId="0" applyFont="1" applyFill="1" applyBorder="1" applyAlignment="1" applyProtection="1">
      <alignment horizontal="left" vertical="center" wrapText="1"/>
    </xf>
    <xf numFmtId="195" fontId="108" fillId="6" borderId="46" xfId="0" applyFont="1" applyFill="1" applyBorder="1" applyAlignment="1" applyProtection="1">
      <alignment horizontal="left" vertical="center" wrapText="1"/>
    </xf>
    <xf numFmtId="195" fontId="108" fillId="6" borderId="36" xfId="0" applyFont="1" applyFill="1" applyBorder="1" applyAlignment="1" applyProtection="1">
      <alignment horizontal="left" vertical="center" wrapText="1"/>
    </xf>
    <xf numFmtId="195" fontId="108" fillId="6" borderId="22" xfId="0" applyFont="1" applyFill="1" applyBorder="1" applyAlignment="1" applyProtection="1">
      <alignment horizontal="left" vertical="center" wrapText="1"/>
    </xf>
    <xf numFmtId="195" fontId="108" fillId="6" borderId="5" xfId="0" applyFont="1" applyFill="1" applyBorder="1" applyAlignment="1" applyProtection="1">
      <alignment horizontal="left" vertical="center" wrapText="1"/>
    </xf>
    <xf numFmtId="195" fontId="108" fillId="6" borderId="54" xfId="0" applyFont="1" applyFill="1" applyBorder="1" applyAlignment="1" applyProtection="1">
      <alignment horizontal="left" vertical="center"/>
    </xf>
    <xf numFmtId="195" fontId="108" fillId="6" borderId="3" xfId="0" applyFont="1" applyFill="1" applyBorder="1" applyAlignment="1" applyProtection="1">
      <alignment horizontal="left" vertical="center" wrapText="1"/>
    </xf>
    <xf numFmtId="195" fontId="108" fillId="6" borderId="58" xfId="0" applyFont="1" applyFill="1" applyBorder="1" applyAlignment="1" applyProtection="1">
      <alignment horizontal="left" vertical="center" wrapText="1"/>
    </xf>
    <xf numFmtId="195" fontId="108" fillId="6" borderId="0" xfId="0" applyFont="1" applyFill="1" applyBorder="1" applyAlignment="1" applyProtection="1">
      <alignment horizontal="left" vertical="center" wrapText="1"/>
    </xf>
    <xf numFmtId="195" fontId="108" fillId="6" borderId="35" xfId="0" applyFont="1" applyFill="1" applyBorder="1" applyAlignment="1" applyProtection="1">
      <alignment horizontal="left" vertical="center" wrapText="1"/>
    </xf>
    <xf numFmtId="195" fontId="108" fillId="6" borderId="4" xfId="0" applyFont="1" applyFill="1" applyBorder="1" applyAlignment="1" applyProtection="1">
      <alignment horizontal="left" vertical="center" wrapText="1"/>
    </xf>
    <xf numFmtId="195" fontId="108" fillId="6" borderId="60" xfId="0" applyFont="1" applyFill="1" applyBorder="1" applyAlignment="1" applyProtection="1">
      <alignment horizontal="left" vertical="center" wrapText="1"/>
    </xf>
    <xf numFmtId="195" fontId="108" fillId="6" borderId="7" xfId="0" applyFont="1" applyFill="1" applyBorder="1" applyAlignment="1" applyProtection="1">
      <alignment horizontal="left" vertical="center" wrapText="1"/>
    </xf>
    <xf numFmtId="195" fontId="49" fillId="7" borderId="0" xfId="0" applyFont="1" applyFill="1" applyAlignment="1" applyProtection="1">
      <alignment horizontal="left" vertical="center"/>
      <protection locked="0"/>
    </xf>
    <xf numFmtId="195"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195" fontId="50" fillId="0" borderId="24" xfId="0" applyFont="1" applyFill="1" applyBorder="1" applyAlignment="1" applyProtection="1">
      <alignment horizontal="left" vertical="center" wrapText="1"/>
      <protection locked="0"/>
    </xf>
    <xf numFmtId="195" fontId="49" fillId="5" borderId="3" xfId="0" applyFont="1" applyFill="1" applyBorder="1" applyAlignment="1" applyProtection="1">
      <alignment horizontal="left" vertical="center"/>
      <protection locked="0"/>
    </xf>
    <xf numFmtId="195" fontId="49" fillId="6" borderId="14" xfId="0" applyFont="1" applyFill="1" applyBorder="1" applyAlignment="1" applyProtection="1">
      <alignment horizontal="left" vertical="center" wrapText="1"/>
    </xf>
    <xf numFmtId="195" fontId="49" fillId="6" borderId="58" xfId="0" applyFont="1" applyFill="1" applyBorder="1" applyAlignment="1" applyProtection="1">
      <alignment horizontal="left" vertical="center"/>
    </xf>
    <xf numFmtId="195"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195" fontId="49" fillId="6" borderId="24" xfId="0" applyFont="1" applyFill="1" applyBorder="1" applyAlignment="1" applyProtection="1">
      <alignment horizontal="left" vertical="center"/>
    </xf>
    <xf numFmtId="195" fontId="50" fillId="6" borderId="0" xfId="0" applyFont="1" applyFill="1" applyAlignment="1" applyProtection="1">
      <alignment horizontal="left" vertical="center"/>
      <protection locked="0"/>
    </xf>
    <xf numFmtId="195" fontId="115" fillId="0" borderId="24" xfId="0" applyFont="1" applyFill="1" applyBorder="1" applyAlignment="1" applyProtection="1">
      <alignment horizontal="left" vertical="center" wrapText="1"/>
      <protection locked="0"/>
    </xf>
    <xf numFmtId="195" fontId="49" fillId="2" borderId="3" xfId="0" applyFont="1" applyFill="1" applyBorder="1" applyAlignment="1" applyProtection="1">
      <alignment horizontal="left" vertical="center" wrapText="1"/>
      <protection locked="0"/>
    </xf>
    <xf numFmtId="195" fontId="49" fillId="6" borderId="0" xfId="0" applyFont="1" applyFill="1" applyBorder="1" applyAlignment="1" applyProtection="1">
      <alignment horizontal="left" vertical="center" wrapText="1"/>
      <protection locked="0"/>
    </xf>
    <xf numFmtId="195" fontId="49" fillId="18" borderId="33" xfId="0" applyFont="1" applyFill="1" applyBorder="1" applyAlignment="1" applyProtection="1">
      <alignment horizontal="left" vertical="center"/>
    </xf>
    <xf numFmtId="195"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195"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95"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195" fontId="55" fillId="0" borderId="1" xfId="0" applyFont="1" applyFill="1" applyBorder="1" applyAlignment="1" applyProtection="1">
      <alignment horizontal="left" vertical="center" wrapText="1"/>
      <protection locked="0"/>
    </xf>
    <xf numFmtId="195"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195" fontId="54" fillId="6" borderId="32" xfId="0" applyFont="1" applyFill="1" applyBorder="1" applyAlignment="1" applyProtection="1">
      <alignment horizontal="left" vertical="center" wrapText="1"/>
    </xf>
    <xf numFmtId="195" fontId="55" fillId="6" borderId="32" xfId="0" applyFont="1" applyFill="1" applyBorder="1" applyAlignment="1" applyProtection="1">
      <alignment horizontal="left" vertical="center" wrapText="1"/>
    </xf>
    <xf numFmtId="195"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195" fontId="127" fillId="6" borderId="1" xfId="0" applyFont="1" applyFill="1" applyBorder="1" applyAlignment="1" applyProtection="1">
      <alignment horizontal="left" vertical="center" wrapText="1"/>
    </xf>
    <xf numFmtId="195" fontId="106" fillId="6" borderId="1" xfId="0" applyFont="1" applyFill="1" applyBorder="1" applyAlignment="1" applyProtection="1">
      <alignment horizontal="left" vertical="center" wrapText="1"/>
    </xf>
    <xf numFmtId="195" fontId="106" fillId="6" borderId="24" xfId="0" applyFont="1" applyFill="1" applyBorder="1" applyAlignment="1" applyProtection="1">
      <alignment horizontal="left" vertical="center" wrapText="1"/>
    </xf>
    <xf numFmtId="195" fontId="106" fillId="6" borderId="13" xfId="0" applyFont="1" applyFill="1" applyBorder="1" applyAlignment="1" applyProtection="1">
      <alignment horizontal="left" vertical="center" wrapText="1"/>
    </xf>
    <xf numFmtId="195" fontId="106" fillId="6" borderId="61" xfId="0" applyFont="1" applyFill="1" applyBorder="1" applyAlignment="1" applyProtection="1">
      <alignment horizontal="left" vertical="center" wrapText="1"/>
    </xf>
    <xf numFmtId="195" fontId="127" fillId="6" borderId="5" xfId="0" applyFont="1" applyFill="1" applyBorder="1" applyAlignment="1" applyProtection="1">
      <alignment horizontal="left" vertical="center" wrapText="1"/>
    </xf>
    <xf numFmtId="195" fontId="106" fillId="6" borderId="5" xfId="0" applyFont="1" applyFill="1" applyBorder="1" applyAlignment="1" applyProtection="1">
      <alignment horizontal="left" vertical="center" wrapText="1"/>
    </xf>
    <xf numFmtId="195" fontId="106" fillId="6" borderId="48" xfId="0" applyFont="1" applyFill="1" applyBorder="1" applyAlignment="1" applyProtection="1">
      <alignment horizontal="left" vertical="center" wrapText="1"/>
    </xf>
    <xf numFmtId="195" fontId="127" fillId="6" borderId="33" xfId="0" applyFont="1" applyFill="1" applyBorder="1" applyAlignment="1" applyProtection="1">
      <alignment horizontal="left" vertical="center" wrapText="1"/>
    </xf>
    <xf numFmtId="195" fontId="106" fillId="6" borderId="33" xfId="0" applyFont="1" applyFill="1" applyBorder="1" applyAlignment="1" applyProtection="1">
      <alignment horizontal="left" vertical="center" wrapText="1"/>
    </xf>
    <xf numFmtId="195" fontId="106" fillId="6" borderId="68" xfId="0" applyFont="1" applyFill="1" applyBorder="1" applyAlignment="1" applyProtection="1">
      <alignment horizontal="left" vertical="center" wrapText="1"/>
    </xf>
    <xf numFmtId="195" fontId="48" fillId="6" borderId="24" xfId="0" applyFont="1" applyFill="1" applyBorder="1" applyAlignment="1" applyProtection="1">
      <alignment horizontal="left" vertical="center"/>
    </xf>
    <xf numFmtId="195" fontId="46" fillId="18" borderId="24" xfId="0" applyFont="1" applyFill="1" applyBorder="1" applyAlignment="1" applyProtection="1">
      <alignment horizontal="left" vertical="center"/>
    </xf>
    <xf numFmtId="195" fontId="46" fillId="6" borderId="24" xfId="0" applyFont="1" applyFill="1" applyBorder="1" applyAlignment="1" applyProtection="1">
      <alignment horizontal="left" vertical="center"/>
    </xf>
    <xf numFmtId="195" fontId="54" fillId="6" borderId="24" xfId="0" applyFont="1" applyFill="1" applyBorder="1" applyAlignment="1" applyProtection="1">
      <alignment horizontal="left" vertical="center"/>
    </xf>
    <xf numFmtId="195" fontId="46" fillId="6" borderId="49"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protection locked="0"/>
    </xf>
    <xf numFmtId="195" fontId="100" fillId="6" borderId="5" xfId="0" applyFont="1" applyFill="1" applyBorder="1" applyAlignment="1">
      <alignment horizontal="right" vertical="center"/>
    </xf>
    <xf numFmtId="195" fontId="100" fillId="6" borderId="1" xfId="0" applyFont="1" applyFill="1" applyBorder="1" applyAlignment="1">
      <alignment horizontal="right" vertical="center"/>
    </xf>
    <xf numFmtId="195" fontId="206" fillId="6" borderId="23" xfId="0" applyFont="1" applyFill="1" applyBorder="1" applyAlignment="1">
      <alignment horizontal="left" vertical="center"/>
    </xf>
    <xf numFmtId="195" fontId="100" fillId="6" borderId="23" xfId="0" applyFont="1" applyFill="1" applyBorder="1" applyAlignment="1">
      <alignment horizontal="left" vertical="center"/>
    </xf>
    <xf numFmtId="195" fontId="100" fillId="6" borderId="25" xfId="0" applyFont="1" applyFill="1" applyBorder="1" applyAlignment="1">
      <alignment horizontal="left" vertical="center"/>
    </xf>
    <xf numFmtId="195" fontId="100" fillId="6" borderId="5" xfId="0" applyFont="1" applyFill="1" applyBorder="1" applyAlignment="1" applyProtection="1">
      <alignment horizontal="left" vertical="center"/>
    </xf>
    <xf numFmtId="195" fontId="100" fillId="6" borderId="24" xfId="0" applyFont="1" applyFill="1" applyBorder="1" applyAlignment="1" applyProtection="1">
      <alignment horizontal="left" vertical="center"/>
    </xf>
    <xf numFmtId="195" fontId="126" fillId="6" borderId="1" xfId="0" applyFont="1" applyFill="1" applyBorder="1" applyAlignment="1">
      <alignment horizontal="left" vertical="center" wrapText="1"/>
    </xf>
    <xf numFmtId="195" fontId="126" fillId="5" borderId="1" xfId="0" applyFont="1" applyFill="1" applyBorder="1" applyAlignment="1" applyProtection="1">
      <alignment horizontal="left" vertical="center"/>
      <protection locked="0"/>
    </xf>
    <xf numFmtId="195" fontId="126" fillId="6" borderId="1" xfId="0" applyFont="1" applyFill="1" applyBorder="1" applyAlignment="1">
      <alignment horizontal="center" vertical="center"/>
    </xf>
    <xf numFmtId="195" fontId="126" fillId="6" borderId="1" xfId="0" applyFont="1" applyFill="1" applyBorder="1" applyAlignment="1">
      <alignment horizontal="left" vertical="center"/>
    </xf>
    <xf numFmtId="195"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5" fontId="49" fillId="6" borderId="58" xfId="0" applyNumberFormat="1" applyFont="1" applyFill="1" applyBorder="1" applyAlignment="1" applyProtection="1">
      <alignment horizontal="left" vertical="center"/>
      <protection locked="0"/>
    </xf>
    <xf numFmtId="195"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5" fontId="49" fillId="6" borderId="58" xfId="0" applyFont="1" applyFill="1" applyBorder="1" applyAlignment="1" applyProtection="1">
      <alignment horizontal="center" vertical="center" wrapText="1"/>
      <protection locked="0"/>
    </xf>
    <xf numFmtId="195" fontId="49" fillId="6" borderId="1" xfId="0" applyFont="1" applyFill="1" applyBorder="1" applyAlignment="1" applyProtection="1">
      <alignment horizontal="center" vertical="center" wrapText="1"/>
      <protection locked="0"/>
    </xf>
    <xf numFmtId="195" fontId="49" fillId="6" borderId="1" xfId="0" applyFont="1" applyFill="1" applyBorder="1" applyAlignment="1" applyProtection="1">
      <alignment vertical="center" wrapText="1"/>
      <protection locked="0"/>
    </xf>
    <xf numFmtId="195" fontId="54" fillId="6" borderId="151" xfId="0" applyFont="1" applyFill="1" applyBorder="1" applyAlignment="1" applyProtection="1">
      <alignment vertical="center" wrapText="1"/>
      <protection locked="0"/>
    </xf>
    <xf numFmtId="195" fontId="54" fillId="6" borderId="152" xfId="0" applyFont="1" applyFill="1" applyBorder="1" applyAlignment="1" applyProtection="1">
      <alignment vertical="center" wrapText="1"/>
      <protection locked="0"/>
    </xf>
    <xf numFmtId="195" fontId="54" fillId="6" borderId="151" xfId="0" applyFont="1" applyFill="1" applyBorder="1" applyAlignment="1" applyProtection="1">
      <alignment horizontal="center" vertical="center" wrapText="1"/>
      <protection locked="0"/>
    </xf>
    <xf numFmtId="195"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5" fontId="49" fillId="16" borderId="15" xfId="0" applyNumberFormat="1" applyFont="1" applyFill="1" applyBorder="1" applyAlignment="1" applyProtection="1">
      <alignment vertical="center" wrapText="1"/>
    </xf>
    <xf numFmtId="195" fontId="49" fillId="16" borderId="78" xfId="0" applyNumberFormat="1" applyFont="1" applyFill="1" applyBorder="1" applyAlignment="1" applyProtection="1">
      <alignment vertical="center" wrapText="1"/>
    </xf>
    <xf numFmtId="195" fontId="49" fillId="6" borderId="5" xfId="0" applyFont="1" applyFill="1" applyBorder="1" applyAlignment="1" applyProtection="1">
      <alignment vertical="center" wrapText="1"/>
    </xf>
    <xf numFmtId="195" fontId="49" fillId="5" borderId="23" xfId="0" applyFont="1" applyFill="1" applyBorder="1" applyAlignment="1" applyProtection="1">
      <alignment vertical="center" wrapText="1"/>
      <protection locked="0"/>
    </xf>
    <xf numFmtId="195" fontId="49" fillId="5" borderId="24" xfId="0" applyFont="1" applyFill="1" applyBorder="1" applyAlignment="1" applyProtection="1">
      <alignment vertical="center" wrapText="1"/>
      <protection locked="0"/>
    </xf>
    <xf numFmtId="195" fontId="49" fillId="5" borderId="5" xfId="0" applyFont="1" applyFill="1" applyBorder="1" applyAlignment="1" applyProtection="1">
      <alignment vertical="center" wrapText="1"/>
      <protection locked="0"/>
    </xf>
    <xf numFmtId="195" fontId="49" fillId="5" borderId="23" xfId="0" applyFont="1" applyFill="1" applyBorder="1" applyAlignment="1" applyProtection="1">
      <alignment vertical="center" wrapText="1" shrinkToFit="1"/>
      <protection locked="0"/>
    </xf>
    <xf numFmtId="195"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195"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195" fontId="170" fillId="0" borderId="24" xfId="0" applyFont="1" applyFill="1" applyBorder="1" applyAlignment="1" applyProtection="1">
      <alignment vertical="center" wrapText="1"/>
      <protection locked="0"/>
    </xf>
    <xf numFmtId="195" fontId="170" fillId="0" borderId="48" xfId="0" applyFont="1" applyFill="1" applyBorder="1" applyAlignment="1" applyProtection="1">
      <alignment vertical="center" wrapText="1"/>
      <protection locked="0"/>
    </xf>
    <xf numFmtId="195" fontId="49" fillId="6" borderId="89" xfId="0" applyFont="1" applyFill="1" applyBorder="1" applyAlignment="1" applyProtection="1">
      <alignment vertical="center" wrapText="1"/>
    </xf>
    <xf numFmtId="195" fontId="49" fillId="6" borderId="91" xfId="0" applyFont="1" applyFill="1" applyBorder="1" applyAlignment="1" applyProtection="1">
      <alignment vertical="center" wrapText="1"/>
    </xf>
    <xf numFmtId="195" fontId="170" fillId="0" borderId="79" xfId="0" applyFont="1" applyFill="1" applyBorder="1" applyAlignment="1" applyProtection="1">
      <alignment vertical="center" wrapText="1"/>
      <protection locked="0"/>
    </xf>
    <xf numFmtId="195" fontId="170" fillId="0" borderId="90" xfId="0" applyFont="1" applyFill="1" applyBorder="1" applyAlignment="1" applyProtection="1">
      <alignment vertical="center" wrapText="1"/>
      <protection locked="0"/>
    </xf>
    <xf numFmtId="195" fontId="49" fillId="6" borderId="27" xfId="0" applyFont="1" applyFill="1" applyBorder="1" applyAlignment="1" applyProtection="1">
      <alignment horizontal="left" vertical="center"/>
    </xf>
    <xf numFmtId="195" fontId="49" fillId="0" borderId="96" xfId="0" applyFont="1" applyBorder="1" applyAlignment="1" applyProtection="1">
      <alignment horizontal="left" vertical="center" wrapText="1"/>
      <protection locked="0"/>
    </xf>
    <xf numFmtId="195" fontId="46" fillId="0" borderId="0" xfId="0" applyFont="1" applyFill="1" applyProtection="1">
      <alignment vertical="center"/>
      <protection locked="0"/>
    </xf>
    <xf numFmtId="195" fontId="46" fillId="6" borderId="51" xfId="0" applyFont="1" applyFill="1" applyBorder="1" applyProtection="1">
      <alignment vertical="center"/>
    </xf>
    <xf numFmtId="195" fontId="46" fillId="6" borderId="20" xfId="0" applyFont="1" applyFill="1" applyBorder="1" applyProtection="1">
      <alignment vertical="center"/>
    </xf>
    <xf numFmtId="195" fontId="46" fillId="6" borderId="41" xfId="0" applyFont="1" applyFill="1" applyBorder="1" applyProtection="1">
      <alignment vertical="center"/>
    </xf>
    <xf numFmtId="195" fontId="46" fillId="6" borderId="14" xfId="0" applyFont="1" applyFill="1" applyBorder="1" applyProtection="1">
      <alignment vertical="center"/>
    </xf>
    <xf numFmtId="195" fontId="46" fillId="6" borderId="61" xfId="0" applyFont="1" applyFill="1" applyBorder="1" applyAlignment="1" applyProtection="1">
      <alignment horizontal="center" vertical="center"/>
    </xf>
    <xf numFmtId="195" fontId="46" fillId="6" borderId="38" xfId="0" applyFont="1" applyFill="1" applyBorder="1" applyProtection="1">
      <alignment vertical="center"/>
    </xf>
    <xf numFmtId="195" fontId="46" fillId="6" borderId="66" xfId="0" applyFont="1" applyFill="1" applyBorder="1" applyProtection="1">
      <alignment vertical="center"/>
    </xf>
    <xf numFmtId="195" fontId="46" fillId="0" borderId="49" xfId="0" applyFont="1" applyFill="1" applyBorder="1" applyAlignment="1" applyProtection="1">
      <alignment horizontal="center" vertical="center"/>
      <protection locked="0"/>
    </xf>
    <xf numFmtId="195" fontId="49" fillId="6" borderId="82" xfId="0" applyFont="1" applyFill="1" applyBorder="1" applyAlignment="1" applyProtection="1">
      <alignment horizontal="center" vertical="center"/>
    </xf>
    <xf numFmtId="195" fontId="46" fillId="12" borderId="0" xfId="0" applyFont="1" applyFill="1" applyProtection="1">
      <alignment vertical="center"/>
      <protection locked="0"/>
    </xf>
    <xf numFmtId="195" fontId="46" fillId="12" borderId="0" xfId="0" applyFont="1" applyFill="1" applyBorder="1" applyProtection="1">
      <alignment vertical="center"/>
      <protection locked="0"/>
    </xf>
    <xf numFmtId="195" fontId="46" fillId="12" borderId="0" xfId="0" applyFont="1" applyFill="1" applyAlignment="1" applyProtection="1">
      <alignment horizontal="center" vertical="center"/>
      <protection locked="0"/>
    </xf>
    <xf numFmtId="195" fontId="49"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vertical="center" wrapText="1"/>
      <protection locked="0"/>
    </xf>
    <xf numFmtId="195" fontId="49" fillId="12" borderId="0" xfId="0" applyFont="1" applyFill="1" applyAlignment="1" applyProtection="1">
      <alignment vertical="center" wrapText="1"/>
      <protection locked="0"/>
    </xf>
    <xf numFmtId="195"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195" fontId="49" fillId="12" borderId="60" xfId="0" applyFont="1" applyFill="1" applyBorder="1" applyAlignment="1" applyProtection="1">
      <alignment vertical="center" wrapText="1"/>
    </xf>
    <xf numFmtId="195" fontId="49" fillId="12" borderId="60" xfId="0" applyFont="1" applyFill="1" applyBorder="1" applyAlignment="1" applyProtection="1">
      <alignment horizontal="center" vertical="center" wrapText="1"/>
    </xf>
    <xf numFmtId="195" fontId="49" fillId="12" borderId="7" xfId="0" applyFont="1" applyFill="1" applyBorder="1" applyAlignment="1" applyProtection="1">
      <alignment vertical="center" wrapText="1"/>
    </xf>
    <xf numFmtId="195" fontId="49" fillId="12" borderId="0" xfId="0" applyFont="1" applyFill="1" applyBorder="1" applyAlignment="1" applyProtection="1">
      <alignment vertical="center" wrapText="1"/>
    </xf>
    <xf numFmtId="195" fontId="49" fillId="12" borderId="0" xfId="0" applyFont="1" applyFill="1" applyAlignment="1" applyProtection="1">
      <alignment vertical="center"/>
      <protection locked="0"/>
    </xf>
    <xf numFmtId="195" fontId="49" fillId="12" borderId="0" xfId="0" applyFont="1" applyFill="1" applyAlignment="1" applyProtection="1">
      <alignment horizontal="center" vertical="center"/>
      <protection locked="0"/>
    </xf>
    <xf numFmtId="195" fontId="46" fillId="12" borderId="0" xfId="0" applyFont="1" applyFill="1" applyAlignment="1" applyProtection="1">
      <alignment vertical="center"/>
      <protection locked="0"/>
    </xf>
    <xf numFmtId="195"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195" fontId="46" fillId="12" borderId="67" xfId="0" applyFont="1" applyFill="1" applyBorder="1" applyAlignment="1" applyProtection="1">
      <alignment horizontal="center" vertical="center"/>
      <protection locked="0"/>
    </xf>
    <xf numFmtId="195"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195" fontId="102" fillId="12" borderId="0" xfId="0" applyFont="1" applyFill="1" applyAlignment="1" applyProtection="1">
      <alignment horizontal="center" vertical="center"/>
      <protection locked="0"/>
    </xf>
    <xf numFmtId="195" fontId="115" fillId="12" borderId="0" xfId="0" applyFont="1" applyFill="1" applyAlignment="1" applyProtection="1">
      <alignment vertical="center"/>
      <protection locked="0"/>
    </xf>
    <xf numFmtId="195"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195" fontId="46" fillId="12" borderId="0" xfId="0" applyFont="1" applyFill="1" applyAlignment="1" applyProtection="1">
      <alignment vertical="center"/>
    </xf>
    <xf numFmtId="195" fontId="162" fillId="12" borderId="0" xfId="12" applyFont="1" applyFill="1" applyBorder="1" applyAlignment="1" applyProtection="1">
      <alignment horizontal="left" vertical="center" wrapText="1"/>
      <protection locked="0"/>
    </xf>
    <xf numFmtId="195" fontId="161" fillId="12" borderId="0" xfId="12" applyFill="1" applyBorder="1" applyAlignment="1" applyProtection="1">
      <alignment horizontal="left"/>
      <protection locked="0"/>
    </xf>
    <xf numFmtId="195" fontId="161" fillId="12" borderId="0" xfId="12" applyFill="1" applyAlignment="1" applyProtection="1">
      <alignment horizontal="left"/>
      <protection locked="0"/>
    </xf>
    <xf numFmtId="195"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195" fontId="100" fillId="0" borderId="0" xfId="0" applyFont="1" applyFill="1" applyProtection="1">
      <alignment vertical="center"/>
      <protection locked="0"/>
    </xf>
    <xf numFmtId="195"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5"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5" fontId="101" fillId="6" borderId="0" xfId="0" applyFont="1" applyFill="1" applyAlignment="1" applyProtection="1">
      <protection locked="0"/>
    </xf>
    <xf numFmtId="195" fontId="101" fillId="6" borderId="0" xfId="0" applyFont="1" applyFill="1" applyAlignment="1" applyProtection="1">
      <alignment horizontal="left"/>
      <protection locked="0"/>
    </xf>
    <xf numFmtId="195" fontId="54" fillId="6" borderId="0" xfId="0" applyFont="1" applyFill="1" applyAlignment="1" applyProtection="1">
      <alignment horizontal="left"/>
      <protection locked="0"/>
    </xf>
    <xf numFmtId="195" fontId="54" fillId="6" borderId="0" xfId="0" applyFont="1" applyFill="1" applyAlignment="1" applyProtection="1">
      <protection locked="0"/>
    </xf>
    <xf numFmtId="195" fontId="55" fillId="6" borderId="0" xfId="0" applyFont="1" applyFill="1" applyAlignment="1" applyProtection="1">
      <alignment horizontal="left" vertical="center"/>
      <protection locked="0"/>
    </xf>
    <xf numFmtId="195"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5" fontId="100" fillId="12" borderId="0" xfId="0" applyFont="1" applyFill="1">
      <alignment vertical="center"/>
    </xf>
    <xf numFmtId="195" fontId="206" fillId="12" borderId="0" xfId="0" applyFont="1" applyFill="1" applyBorder="1">
      <alignment vertical="center"/>
    </xf>
    <xf numFmtId="195" fontId="100" fillId="12" borderId="0" xfId="0" applyFont="1" applyFill="1" applyBorder="1">
      <alignment vertical="center"/>
    </xf>
    <xf numFmtId="195" fontId="100" fillId="12" borderId="47" xfId="0" applyFont="1" applyFill="1" applyBorder="1">
      <alignment vertical="center"/>
    </xf>
    <xf numFmtId="195" fontId="100" fillId="12" borderId="56" xfId="0" applyFont="1" applyFill="1" applyBorder="1" applyProtection="1">
      <alignment vertical="center"/>
    </xf>
    <xf numFmtId="195"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5"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5"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5"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5"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5"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5" fontId="64" fillId="12" borderId="0" xfId="0" applyFont="1" applyFill="1" applyBorder="1" applyAlignment="1" applyProtection="1">
      <alignment horizontal="center" vertical="center"/>
      <protection locked="0"/>
    </xf>
    <xf numFmtId="195" fontId="53" fillId="12" borderId="18" xfId="0" applyFont="1" applyFill="1" applyBorder="1" applyAlignment="1" applyProtection="1">
      <alignment horizontal="center" vertical="center"/>
      <protection locked="0"/>
    </xf>
    <xf numFmtId="195" fontId="70" fillId="12" borderId="18" xfId="0" applyFont="1" applyFill="1" applyBorder="1" applyAlignment="1" applyProtection="1">
      <alignment horizontal="center" vertical="center"/>
      <protection locked="0"/>
    </xf>
    <xf numFmtId="195"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5" fontId="100" fillId="12" borderId="18" xfId="0" applyFont="1" applyFill="1" applyBorder="1" applyAlignment="1" applyProtection="1">
      <alignment vertical="center"/>
      <protection locked="0"/>
    </xf>
    <xf numFmtId="195" fontId="46" fillId="12" borderId="18" xfId="0" applyFont="1" applyFill="1" applyBorder="1" applyAlignment="1" applyProtection="1">
      <alignment horizontal="center" vertical="center" wrapText="1"/>
      <protection locked="0"/>
    </xf>
    <xf numFmtId="195"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5" fontId="51" fillId="12" borderId="0" xfId="0" applyFont="1" applyFill="1" applyAlignment="1" applyProtection="1">
      <alignment horizontal="center" vertical="center"/>
      <protection locked="0"/>
    </xf>
    <xf numFmtId="195"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5" fontId="51" fillId="12" borderId="18" xfId="0" applyFont="1" applyFill="1" applyBorder="1" applyAlignment="1" applyProtection="1">
      <alignment vertical="center" wrapText="1"/>
      <protection locked="0"/>
    </xf>
    <xf numFmtId="195" fontId="46" fillId="12" borderId="18" xfId="0" applyFont="1" applyFill="1" applyBorder="1" applyAlignment="1" applyProtection="1">
      <alignment vertical="center" wrapText="1"/>
      <protection locked="0"/>
    </xf>
    <xf numFmtId="195" fontId="46" fillId="12" borderId="0" xfId="0" applyNumberFormat="1" applyFont="1" applyFill="1" applyBorder="1" applyAlignment="1" applyProtection="1">
      <alignment horizontal="center" vertical="center" wrapText="1"/>
      <protection locked="0"/>
    </xf>
    <xf numFmtId="195" fontId="70" fillId="12" borderId="0" xfId="0" applyNumberFormat="1" applyFont="1" applyFill="1" applyBorder="1" applyAlignment="1" applyProtection="1">
      <alignment horizontal="center" vertical="center" wrapText="1"/>
      <protection locked="0"/>
    </xf>
    <xf numFmtId="195" fontId="53" fillId="12" borderId="0" xfId="0" applyNumberFormat="1" applyFont="1" applyFill="1" applyBorder="1" applyAlignment="1" applyProtection="1">
      <alignment horizontal="center" vertical="center" wrapText="1"/>
      <protection locked="0"/>
    </xf>
    <xf numFmtId="195" fontId="51" fillId="12" borderId="0" xfId="0" applyNumberFormat="1" applyFont="1" applyFill="1" applyBorder="1" applyAlignment="1" applyProtection="1">
      <alignment horizontal="center" vertical="center" wrapText="1"/>
      <protection locked="0"/>
    </xf>
    <xf numFmtId="195" fontId="53" fillId="12" borderId="58" xfId="0" applyFont="1" applyFill="1" applyBorder="1" applyAlignment="1" applyProtection="1">
      <alignment horizontal="center" vertical="center"/>
      <protection locked="0"/>
    </xf>
    <xf numFmtId="195" fontId="70" fillId="12" borderId="58" xfId="0" applyFont="1" applyFill="1" applyBorder="1" applyAlignment="1" applyProtection="1">
      <alignment horizontal="center" vertical="center"/>
      <protection locked="0"/>
    </xf>
    <xf numFmtId="195"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5" fontId="100" fillId="12" borderId="58" xfId="0" applyFont="1" applyFill="1" applyBorder="1" applyAlignment="1" applyProtection="1">
      <alignment vertical="center"/>
      <protection locked="0"/>
    </xf>
    <xf numFmtId="195" fontId="46"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protection locked="0"/>
    </xf>
    <xf numFmtId="195" fontId="51" fillId="12" borderId="58" xfId="0" applyFont="1" applyFill="1" applyBorder="1" applyAlignment="1" applyProtection="1">
      <alignment vertical="center" wrapText="1"/>
      <protection locked="0"/>
    </xf>
    <xf numFmtId="195" fontId="46" fillId="12" borderId="58" xfId="0" applyFont="1" applyFill="1" applyBorder="1" applyAlignment="1" applyProtection="1">
      <alignment vertical="center" wrapText="1"/>
      <protection locked="0"/>
    </xf>
    <xf numFmtId="195"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5" fontId="53" fillId="12" borderId="0" xfId="0" applyFont="1" applyFill="1" applyBorder="1" applyAlignment="1" applyProtection="1">
      <protection locked="0"/>
    </xf>
    <xf numFmtId="195" fontId="46" fillId="0" borderId="74" xfId="0" applyNumberFormat="1" applyFont="1" applyFill="1" applyBorder="1" applyAlignment="1" applyProtection="1">
      <alignment horizontal="center" vertical="center" wrapText="1"/>
    </xf>
    <xf numFmtId="195" fontId="46" fillId="0" borderId="76" xfId="0" applyNumberFormat="1" applyFont="1" applyFill="1" applyBorder="1" applyAlignment="1" applyProtection="1">
      <alignment horizontal="center" vertical="center" wrapText="1"/>
    </xf>
    <xf numFmtId="195" fontId="46" fillId="12" borderId="35" xfId="0" applyFont="1" applyFill="1" applyBorder="1" applyAlignment="1" applyProtection="1">
      <alignment horizontal="center" vertical="center"/>
      <protection locked="0"/>
    </xf>
    <xf numFmtId="195" fontId="69" fillId="12" borderId="35" xfId="0" applyFont="1" applyFill="1" applyBorder="1" applyAlignment="1" applyProtection="1">
      <alignment horizontal="center" vertical="center"/>
      <protection locked="0"/>
    </xf>
    <xf numFmtId="195" fontId="53" fillId="12" borderId="35" xfId="0" applyFont="1" applyFill="1" applyBorder="1" applyAlignment="1" applyProtection="1">
      <alignment horizontal="center" vertical="center"/>
      <protection locked="0"/>
    </xf>
    <xf numFmtId="195"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5" fontId="100" fillId="12" borderId="0" xfId="0" applyFont="1" applyFill="1" applyBorder="1" applyAlignment="1" applyProtection="1">
      <alignment vertical="center"/>
      <protection locked="0"/>
    </xf>
    <xf numFmtId="195" fontId="46" fillId="12" borderId="0" xfId="0"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wrapText="1"/>
      <protection locked="0"/>
    </xf>
    <xf numFmtId="195" fontId="46" fillId="12" borderId="0" xfId="0"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wrapText="1"/>
      <protection locked="0"/>
    </xf>
    <xf numFmtId="195" fontId="74" fillId="12" borderId="0" xfId="0" applyFont="1" applyFill="1" applyAlignment="1" applyProtection="1">
      <alignment horizontal="center" vertical="center"/>
      <protection locked="0"/>
    </xf>
    <xf numFmtId="195" fontId="55" fillId="12" borderId="0" xfId="0" applyFont="1" applyFill="1" applyAlignment="1" applyProtection="1">
      <protection locked="0"/>
    </xf>
    <xf numFmtId="195" fontId="51" fillId="12" borderId="0" xfId="0" applyFont="1" applyFill="1" applyBorder="1" applyAlignment="1" applyProtection="1">
      <alignment vertical="center" wrapText="1"/>
      <protection locked="0"/>
    </xf>
    <xf numFmtId="195" fontId="53" fillId="6" borderId="40" xfId="8" applyFont="1" applyFill="1" applyBorder="1" applyAlignment="1" applyProtection="1">
      <alignment horizontal="center" vertical="center" wrapText="1"/>
      <protection locked="0"/>
    </xf>
    <xf numFmtId="195"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5" fontId="53" fillId="0" borderId="0" xfId="0" applyFont="1" applyAlignment="1" applyProtection="1">
      <alignment vertical="center" wrapText="1"/>
      <protection locked="0"/>
    </xf>
    <xf numFmtId="195" fontId="55" fillId="7" borderId="0" xfId="8" applyFont="1" applyFill="1" applyAlignment="1" applyProtection="1">
      <alignment horizontal="center" vertical="center" wrapText="1"/>
      <protection locked="0"/>
    </xf>
    <xf numFmtId="195"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5" fontId="53" fillId="0" borderId="0" xfId="0" applyFont="1" applyAlignment="1" applyProtection="1">
      <alignment horizontal="center" vertical="center" wrapText="1"/>
      <protection locked="0"/>
    </xf>
    <xf numFmtId="195" fontId="100" fillId="12" borderId="0" xfId="0" applyFont="1" applyFill="1" applyProtection="1">
      <alignment vertical="center"/>
      <protection locked="0"/>
    </xf>
    <xf numFmtId="195" fontId="126" fillId="12" borderId="0" xfId="0" applyFont="1" applyFill="1" applyProtection="1">
      <alignment vertical="center"/>
      <protection locked="0"/>
    </xf>
    <xf numFmtId="195" fontId="49" fillId="0" borderId="3" xfId="0" applyFont="1" applyFill="1" applyBorder="1" applyProtection="1">
      <alignment vertical="center"/>
      <protection locked="0"/>
    </xf>
    <xf numFmtId="195" fontId="49" fillId="0" borderId="24" xfId="0" applyFont="1" applyFill="1" applyBorder="1" applyProtection="1">
      <alignment vertical="center"/>
      <protection locked="0"/>
    </xf>
    <xf numFmtId="195" fontId="46" fillId="0" borderId="22" xfId="0" applyFont="1" applyFill="1" applyBorder="1" applyProtection="1">
      <alignment vertical="center"/>
      <protection locked="0"/>
    </xf>
    <xf numFmtId="195" fontId="46" fillId="0" borderId="61" xfId="0" applyFont="1" applyFill="1" applyBorder="1" applyProtection="1">
      <alignment vertical="center"/>
      <protection locked="0"/>
    </xf>
    <xf numFmtId="195" fontId="125" fillId="12" borderId="0" xfId="0" applyFont="1" applyFill="1" applyAlignment="1" applyProtection="1">
      <alignment vertical="center"/>
    </xf>
    <xf numFmtId="195" fontId="102" fillId="12" borderId="0" xfId="0" applyFont="1" applyFill="1" applyAlignment="1" applyProtection="1">
      <alignment vertical="center"/>
    </xf>
    <xf numFmtId="195" fontId="242" fillId="12" borderId="0" xfId="0" applyFont="1" applyFill="1" applyAlignment="1" applyProtection="1">
      <alignment horizontal="left" vertical="center"/>
    </xf>
    <xf numFmtId="195" fontId="102" fillId="12" borderId="0" xfId="0" applyFont="1" applyFill="1" applyAlignment="1" applyProtection="1">
      <alignment horizontal="left" vertical="center"/>
    </xf>
    <xf numFmtId="195" fontId="115" fillId="12" borderId="0" xfId="0" applyFont="1" applyFill="1" applyAlignment="1" applyProtection="1">
      <alignment vertical="center"/>
    </xf>
    <xf numFmtId="195" fontId="241" fillId="12" borderId="0" xfId="0" applyFont="1" applyFill="1" applyAlignment="1" applyProtection="1">
      <alignment vertical="center"/>
    </xf>
    <xf numFmtId="195" fontId="125" fillId="12" borderId="0" xfId="0" applyFont="1" applyFill="1" applyAlignment="1" applyProtection="1">
      <alignment horizontal="left" vertical="center"/>
    </xf>
    <xf numFmtId="195" fontId="47" fillId="12" borderId="0" xfId="1" applyFont="1" applyFill="1" applyBorder="1" applyAlignment="1" applyProtection="1">
      <alignment vertical="center"/>
    </xf>
    <xf numFmtId="195"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195" fontId="145" fillId="11" borderId="125" xfId="9" applyFont="1" applyFill="1" applyBorder="1" applyAlignment="1" applyProtection="1">
      <alignment horizontal="left" vertical="center" wrapText="1"/>
    </xf>
    <xf numFmtId="195" fontId="104" fillId="6" borderId="1" xfId="0" applyFont="1" applyFill="1" applyBorder="1" applyAlignment="1" applyProtection="1">
      <alignment horizontal="center" vertical="center"/>
    </xf>
    <xf numFmtId="195" fontId="104" fillId="2" borderId="1" xfId="0" applyFont="1" applyFill="1" applyBorder="1" applyAlignment="1" applyProtection="1">
      <alignment horizontal="center" vertical="center"/>
      <protection locked="0"/>
    </xf>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195" fontId="46" fillId="5" borderId="11" xfId="0" applyFont="1" applyFill="1" applyBorder="1" applyAlignment="1" applyProtection="1">
      <alignment vertical="center" wrapText="1"/>
      <protection locked="0"/>
    </xf>
    <xf numFmtId="195" fontId="159" fillId="6" borderId="1" xfId="2" applyFont="1" applyFill="1" applyBorder="1" applyAlignment="1">
      <alignment horizontal="left" vertical="center" wrapText="1"/>
    </xf>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131" fillId="6" borderId="1" xfId="2" applyFont="1" applyFill="1" applyBorder="1" applyAlignment="1">
      <alignment horizontal="center" wrapText="1"/>
    </xf>
    <xf numFmtId="192" fontId="159" fillId="6" borderId="1" xfId="2" applyNumberFormat="1" applyFont="1" applyFill="1" applyBorder="1" applyAlignment="1">
      <alignment horizontal="center" vertical="center" wrapText="1"/>
    </xf>
    <xf numFmtId="195" fontId="159" fillId="6" borderId="1" xfId="2" applyFont="1" applyFill="1" applyBorder="1" applyAlignment="1">
      <alignment horizontal="center" vertical="center" wrapText="1"/>
    </xf>
    <xf numFmtId="195" fontId="135" fillId="6" borderId="0" xfId="2" applyFont="1" applyFill="1" applyAlignment="1">
      <alignment vertical="center"/>
    </xf>
    <xf numFmtId="195"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195"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195" fontId="97" fillId="0" borderId="0" xfId="0" applyFont="1" applyAlignment="1"/>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5"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5" fontId="60" fillId="6" borderId="0" xfId="4" applyNumberFormat="1" applyFont="1" applyFill="1" applyBorder="1" applyAlignment="1" applyProtection="1">
      <alignment horizontal="center"/>
    </xf>
    <xf numFmtId="195" fontId="60" fillId="0" borderId="0" xfId="4" applyNumberFormat="1" applyFont="1" applyFill="1" applyBorder="1" applyAlignment="1" applyProtection="1">
      <alignment horizontal="center"/>
      <protection locked="0"/>
    </xf>
    <xf numFmtId="195" fontId="5" fillId="0" borderId="0" xfId="4" applyFont="1" applyAlignment="1" applyProtection="1">
      <alignment horizontal="left"/>
      <protection locked="0"/>
    </xf>
    <xf numFmtId="195" fontId="244" fillId="0" borderId="0" xfId="4" applyFont="1" applyAlignment="1" applyProtection="1">
      <alignment horizontal="left"/>
      <protection locked="0"/>
    </xf>
    <xf numFmtId="195" fontId="56" fillId="5" borderId="16" xfId="4" applyFont="1" applyFill="1" applyBorder="1" applyAlignment="1" applyProtection="1">
      <alignment vertical="center"/>
      <protection locked="0"/>
    </xf>
    <xf numFmtId="195" fontId="56" fillId="5" borderId="19" xfId="4" applyFont="1" applyFill="1" applyBorder="1" applyAlignment="1" applyProtection="1">
      <alignment vertical="center"/>
      <protection locked="0"/>
    </xf>
    <xf numFmtId="195" fontId="56" fillId="5" borderId="31" xfId="4" applyFont="1" applyFill="1" applyBorder="1" applyAlignment="1" applyProtection="1">
      <alignment vertical="center"/>
      <protection locked="0"/>
    </xf>
    <xf numFmtId="195" fontId="55" fillId="0" borderId="0" xfId="4" applyFont="1" applyAlignment="1" applyProtection="1">
      <alignment horizontal="left" vertical="center"/>
      <protection locked="0"/>
    </xf>
    <xf numFmtId="195" fontId="5" fillId="0" borderId="0" xfId="4" applyFont="1" applyAlignment="1">
      <alignment horizontal="left"/>
    </xf>
    <xf numFmtId="185" fontId="54" fillId="6" borderId="1" xfId="4" applyNumberFormat="1" applyFont="1" applyFill="1" applyBorder="1" applyAlignment="1" applyProtection="1">
      <alignment horizontal="right" vertical="center"/>
    </xf>
    <xf numFmtId="195"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5" fontId="21" fillId="0" borderId="0" xfId="4" applyFont="1" applyAlignment="1" applyProtection="1">
      <alignment horizontal="left"/>
      <protection locked="0"/>
    </xf>
    <xf numFmtId="195" fontId="55" fillId="0" borderId="0" xfId="4" applyFont="1" applyAlignment="1" applyProtection="1">
      <alignment horizontal="left"/>
      <protection locked="0"/>
    </xf>
    <xf numFmtId="195" fontId="56" fillId="0" borderId="1" xfId="4" applyFont="1" applyFill="1" applyBorder="1" applyAlignment="1" applyProtection="1">
      <alignment horizontal="left" vertical="center"/>
      <protection locked="0"/>
    </xf>
    <xf numFmtId="195" fontId="56" fillId="0" borderId="24" xfId="4" applyFont="1" applyFill="1" applyBorder="1" applyAlignment="1" applyProtection="1">
      <alignment horizontal="left" vertical="center"/>
      <protection locked="0"/>
    </xf>
    <xf numFmtId="195" fontId="56" fillId="6" borderId="24" xfId="4" applyFont="1" applyFill="1" applyBorder="1" applyAlignment="1" applyProtection="1">
      <alignment horizontal="left" vertical="center"/>
      <protection locked="0"/>
    </xf>
    <xf numFmtId="195" fontId="21" fillId="0" borderId="0" xfId="4" applyFont="1" applyAlignment="1">
      <alignment horizontal="left"/>
    </xf>
    <xf numFmtId="195" fontId="56" fillId="6" borderId="13" xfId="1" applyFont="1" applyFill="1" applyBorder="1" applyAlignment="1" applyProtection="1">
      <alignment vertical="center"/>
    </xf>
    <xf numFmtId="195"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5" fontId="21" fillId="6" borderId="1" xfId="4" applyFont="1" applyFill="1" applyBorder="1" applyAlignment="1" applyProtection="1">
      <alignment vertical="center"/>
    </xf>
    <xf numFmtId="195" fontId="55" fillId="0" borderId="1" xfId="4" applyFont="1" applyFill="1" applyBorder="1" applyAlignment="1" applyProtection="1">
      <alignment horizontal="left" vertical="center"/>
      <protection locked="0"/>
    </xf>
    <xf numFmtId="195" fontId="55" fillId="0" borderId="13" xfId="4" applyFont="1" applyFill="1" applyBorder="1" applyAlignment="1" applyProtection="1">
      <alignment horizontal="left" vertical="center"/>
      <protection locked="0"/>
    </xf>
    <xf numFmtId="195" fontId="55" fillId="0" borderId="61" xfId="4" applyFont="1" applyFill="1" applyBorder="1" applyAlignment="1" applyProtection="1">
      <alignment horizontal="left" vertical="center"/>
      <protection locked="0"/>
    </xf>
    <xf numFmtId="195" fontId="55" fillId="6" borderId="61" xfId="4" applyFont="1" applyFill="1" applyBorder="1" applyAlignment="1" applyProtection="1">
      <alignment horizontal="left" vertical="center"/>
      <protection locked="0"/>
    </xf>
    <xf numFmtId="195" fontId="82" fillId="6" borderId="0" xfId="1" applyFont="1" applyFill="1" applyBorder="1" applyAlignment="1" applyProtection="1">
      <alignment vertical="center"/>
    </xf>
    <xf numFmtId="195" fontId="49" fillId="0" borderId="32" xfId="4" applyFont="1" applyFill="1" applyBorder="1" applyAlignment="1" applyProtection="1">
      <alignment horizontal="left" vertical="center"/>
      <protection locked="0"/>
    </xf>
    <xf numFmtId="195" fontId="21" fillId="6" borderId="58" xfId="4" applyFont="1" applyFill="1" applyBorder="1" applyAlignment="1" applyProtection="1">
      <alignment vertical="center"/>
    </xf>
    <xf numFmtId="195" fontId="104" fillId="6" borderId="37" xfId="4" applyFont="1" applyFill="1" applyBorder="1" applyAlignment="1" applyProtection="1">
      <alignment vertical="center"/>
      <protection locked="0"/>
    </xf>
    <xf numFmtId="195" fontId="104" fillId="6" borderId="54" xfId="4" applyFont="1" applyFill="1" applyBorder="1" applyAlignment="1" applyProtection="1">
      <alignment vertical="center"/>
      <protection locked="0"/>
    </xf>
    <xf numFmtId="195" fontId="56" fillId="6" borderId="54" xfId="4" applyFont="1" applyFill="1" applyBorder="1" applyAlignment="1" applyProtection="1">
      <alignment vertical="center"/>
      <protection locked="0"/>
    </xf>
    <xf numFmtId="195" fontId="56" fillId="0" borderId="34" xfId="4" applyFont="1" applyFill="1" applyBorder="1" applyAlignment="1" applyProtection="1">
      <alignment horizontal="left" vertical="center"/>
      <protection locked="0"/>
    </xf>
    <xf numFmtId="195" fontId="56" fillId="6" borderId="64" xfId="4" applyFont="1" applyFill="1" applyBorder="1" applyAlignment="1">
      <alignment vertical="center"/>
    </xf>
    <xf numFmtId="195" fontId="56" fillId="6" borderId="65" xfId="4" applyFont="1" applyFill="1" applyBorder="1" applyAlignment="1">
      <alignment vertical="center"/>
    </xf>
    <xf numFmtId="195" fontId="56" fillId="0" borderId="0" xfId="4" applyFont="1" applyFill="1" applyBorder="1" applyAlignment="1" applyProtection="1">
      <alignment vertical="center"/>
      <protection locked="0"/>
    </xf>
    <xf numFmtId="195" fontId="55" fillId="6" borderId="5" xfId="4" applyFont="1" applyFill="1" applyBorder="1" applyAlignment="1" applyProtection="1">
      <alignment vertical="center"/>
      <protection locked="0"/>
    </xf>
    <xf numFmtId="195" fontId="55" fillId="6" borderId="1" xfId="4" applyFont="1" applyFill="1" applyBorder="1" applyAlignment="1" applyProtection="1">
      <alignment horizontal="left" vertical="center"/>
      <protection locked="0"/>
    </xf>
    <xf numFmtId="195" fontId="56" fillId="6" borderId="69" xfId="4" applyFont="1" applyFill="1" applyBorder="1" applyAlignment="1">
      <alignment horizontal="left" vertical="center"/>
    </xf>
    <xf numFmtId="195" fontId="56" fillId="6" borderId="60" xfId="4" applyFont="1" applyFill="1" applyBorder="1" applyAlignment="1">
      <alignment horizontal="left" vertical="center"/>
    </xf>
    <xf numFmtId="195"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5" fontId="55" fillId="0" borderId="5" xfId="4" applyFont="1" applyFill="1" applyBorder="1" applyAlignment="1" applyProtection="1">
      <alignment vertical="center"/>
      <protection locked="0"/>
    </xf>
    <xf numFmtId="195"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5" fontId="55" fillId="0" borderId="24" xfId="4" applyFont="1" applyFill="1" applyBorder="1" applyAlignment="1" applyProtection="1">
      <alignment horizontal="left" vertical="center"/>
      <protection locked="0"/>
    </xf>
    <xf numFmtId="195"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5" fontId="56" fillId="6" borderId="1" xfId="4" applyFont="1" applyFill="1" applyBorder="1" applyAlignment="1">
      <alignment horizontal="left" vertical="center"/>
    </xf>
    <xf numFmtId="195" fontId="56" fillId="6" borderId="24" xfId="4" applyFont="1" applyFill="1" applyBorder="1" applyAlignment="1">
      <alignment horizontal="left" vertical="center"/>
    </xf>
    <xf numFmtId="195"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5"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5" fontId="55" fillId="6" borderId="5" xfId="4" applyFont="1" applyFill="1" applyBorder="1" applyAlignment="1">
      <alignment horizontal="left" vertical="center"/>
    </xf>
    <xf numFmtId="195"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5" fontId="56" fillId="6" borderId="5" xfId="4" applyFont="1" applyFill="1" applyBorder="1" applyAlignment="1" applyProtection="1">
      <alignment vertical="center"/>
      <protection locked="0"/>
    </xf>
    <xf numFmtId="195"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5"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5"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5" fontId="56" fillId="6" borderId="56" xfId="4" applyFont="1" applyFill="1" applyBorder="1" applyAlignment="1">
      <alignment vertical="center"/>
    </xf>
    <xf numFmtId="195"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5" fontId="104" fillId="6" borderId="24" xfId="4" applyFont="1" applyFill="1" applyBorder="1" applyAlignment="1" applyProtection="1">
      <alignment horizontal="left" vertical="center"/>
      <protection locked="0"/>
    </xf>
    <xf numFmtId="195" fontId="56" fillId="6" borderId="71" xfId="4" applyFont="1" applyFill="1" applyBorder="1" applyAlignment="1">
      <alignment horizontal="left" vertical="center"/>
    </xf>
    <xf numFmtId="195" fontId="101" fillId="0" borderId="1" xfId="4" applyFont="1" applyFill="1" applyBorder="1" applyAlignment="1" applyProtection="1">
      <alignment horizontal="left" vertical="center" wrapText="1"/>
      <protection locked="0"/>
    </xf>
    <xf numFmtId="195" fontId="55" fillId="0" borderId="0" xfId="4" applyFont="1" applyFill="1" applyAlignment="1" applyProtection="1">
      <alignment horizontal="left" vertical="center"/>
      <protection locked="0"/>
    </xf>
    <xf numFmtId="195" fontId="56" fillId="6" borderId="5" xfId="4" applyFont="1" applyFill="1" applyBorder="1" applyAlignment="1">
      <alignment horizontal="left" vertical="center"/>
    </xf>
    <xf numFmtId="195" fontId="56" fillId="6" borderId="158" xfId="4" applyFont="1" applyFill="1" applyBorder="1" applyAlignment="1">
      <alignment horizontal="left" vertical="center"/>
    </xf>
    <xf numFmtId="195" fontId="56" fillId="6" borderId="3" xfId="4" applyFont="1" applyFill="1" applyBorder="1" applyAlignment="1">
      <alignment horizontal="left" vertical="center"/>
    </xf>
    <xf numFmtId="195" fontId="101" fillId="0" borderId="24" xfId="4" applyFont="1" applyFill="1" applyBorder="1" applyAlignment="1" applyProtection="1">
      <alignment horizontal="left" vertical="center"/>
      <protection locked="0"/>
    </xf>
    <xf numFmtId="195" fontId="245" fillId="0" borderId="5" xfId="4" applyFont="1" applyFill="1" applyBorder="1" applyAlignment="1" applyProtection="1">
      <alignment horizontal="left" vertical="center"/>
      <protection locked="0"/>
    </xf>
    <xf numFmtId="195" fontId="245" fillId="0" borderId="158" xfId="4" applyFont="1" applyFill="1" applyBorder="1" applyAlignment="1" applyProtection="1">
      <alignment horizontal="left" vertical="center"/>
      <protection locked="0"/>
    </xf>
    <xf numFmtId="195" fontId="245" fillId="0" borderId="3" xfId="4" applyFont="1" applyFill="1" applyBorder="1" applyAlignment="1" applyProtection="1">
      <alignment horizontal="left" vertical="center"/>
      <protection locked="0"/>
    </xf>
    <xf numFmtId="195" fontId="55" fillId="0" borderId="0" xfId="4" applyFont="1" applyFill="1" applyBorder="1" applyAlignment="1" applyProtection="1">
      <alignment horizontal="left" vertical="center"/>
      <protection locked="0"/>
    </xf>
    <xf numFmtId="195" fontId="55" fillId="6" borderId="37" xfId="4" applyFont="1" applyFill="1" applyBorder="1" applyAlignment="1">
      <alignment horizontal="left" vertical="center"/>
    </xf>
    <xf numFmtId="195"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5" fontId="55" fillId="6" borderId="24" xfId="4" applyFont="1" applyFill="1" applyBorder="1" applyAlignment="1">
      <alignment horizontal="left" vertical="center"/>
    </xf>
    <xf numFmtId="195" fontId="55" fillId="0" borderId="0" xfId="4" applyFont="1" applyFill="1" applyBorder="1" applyAlignment="1" applyProtection="1">
      <alignment horizontal="right" vertical="center"/>
      <protection locked="0"/>
    </xf>
    <xf numFmtId="195" fontId="55" fillId="6" borderId="37" xfId="4" applyFont="1" applyFill="1" applyBorder="1" applyAlignment="1">
      <alignment horizontal="right" vertical="center"/>
    </xf>
    <xf numFmtId="195"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5" fontId="55" fillId="6" borderId="24" xfId="4" applyFont="1" applyFill="1" applyBorder="1" applyAlignment="1">
      <alignment horizontal="right" vertical="center"/>
    </xf>
    <xf numFmtId="195" fontId="56" fillId="6" borderId="23" xfId="4" applyFont="1" applyFill="1" applyBorder="1" applyAlignment="1" applyProtection="1">
      <alignment horizontal="left" vertical="center" wrapText="1"/>
      <protection locked="0"/>
    </xf>
    <xf numFmtId="195" fontId="56" fillId="6" borderId="5" xfId="4" applyFont="1" applyFill="1" applyBorder="1" applyAlignment="1" applyProtection="1">
      <alignment vertical="center" wrapText="1"/>
      <protection locked="0"/>
    </xf>
    <xf numFmtId="195" fontId="56" fillId="6" borderId="54" xfId="4" applyFont="1" applyFill="1" applyBorder="1" applyAlignment="1" applyProtection="1">
      <alignment vertical="center" wrapText="1"/>
      <protection locked="0"/>
    </xf>
    <xf numFmtId="195"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195" fontId="55" fillId="0" borderId="0" xfId="4" applyFont="1" applyAlignment="1" applyProtection="1">
      <alignment horizontal="right"/>
      <protection locked="0"/>
    </xf>
    <xf numFmtId="195" fontId="21" fillId="0" borderId="0" xfId="4" applyFont="1" applyAlignment="1">
      <alignment horizontal="right"/>
    </xf>
    <xf numFmtId="195" fontId="104" fillId="6" borderId="46" xfId="4" applyFont="1" applyFill="1" applyBorder="1" applyAlignment="1" applyProtection="1">
      <alignment vertical="center"/>
      <protection locked="0"/>
    </xf>
    <xf numFmtId="195" fontId="104" fillId="6" borderId="36" xfId="4" applyFont="1" applyFill="1" applyBorder="1" applyAlignment="1" applyProtection="1">
      <alignment vertical="center"/>
      <protection locked="0"/>
    </xf>
    <xf numFmtId="195" fontId="104" fillId="6" borderId="22" xfId="4" applyFont="1" applyFill="1" applyBorder="1" applyAlignment="1" applyProtection="1">
      <alignment vertical="center"/>
      <protection locked="0"/>
    </xf>
    <xf numFmtId="195"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95"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5" fontId="21" fillId="0" borderId="0" xfId="4" applyFont="1" applyAlignment="1" applyProtection="1">
      <alignment horizontal="right"/>
      <protection locked="0"/>
    </xf>
    <xf numFmtId="195" fontId="104" fillId="6" borderId="4" xfId="4" applyFont="1" applyFill="1" applyBorder="1" applyAlignment="1" applyProtection="1">
      <alignment vertical="center"/>
      <protection locked="0"/>
    </xf>
    <xf numFmtId="195" fontId="104" fillId="6" borderId="60" xfId="4" applyFont="1" applyFill="1" applyBorder="1" applyAlignment="1" applyProtection="1">
      <alignment vertical="center"/>
      <protection locked="0"/>
    </xf>
    <xf numFmtId="195" fontId="104" fillId="6" borderId="7" xfId="4" applyFont="1" applyFill="1" applyBorder="1" applyAlignment="1" applyProtection="1">
      <alignment vertical="center"/>
      <protection locked="0"/>
    </xf>
    <xf numFmtId="195"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195" fontId="82" fillId="6" borderId="12" xfId="4" applyFont="1" applyFill="1" applyBorder="1" applyAlignment="1" applyProtection="1">
      <alignment horizontal="left" vertical="center" wrapText="1"/>
      <protection locked="0"/>
    </xf>
    <xf numFmtId="195" fontId="138" fillId="6" borderId="74" xfId="4" applyFont="1" applyFill="1" applyBorder="1" applyAlignment="1" applyProtection="1">
      <alignment vertical="center"/>
      <protection locked="0"/>
    </xf>
    <xf numFmtId="195" fontId="21" fillId="6" borderId="74" xfId="4" applyFont="1" applyFill="1" applyBorder="1" applyAlignment="1" applyProtection="1">
      <alignment vertical="center"/>
      <protection locked="0"/>
    </xf>
    <xf numFmtId="195"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195"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5" fontId="56" fillId="6" borderId="1" xfId="4" applyFont="1" applyFill="1" applyBorder="1" applyAlignment="1" applyProtection="1">
      <alignment horizontal="left" vertical="center"/>
      <protection locked="0"/>
    </xf>
    <xf numFmtId="195" fontId="55" fillId="6" borderId="158" xfId="4" applyFont="1" applyFill="1" applyBorder="1" applyAlignment="1">
      <alignment horizontal="left" vertical="center"/>
    </xf>
    <xf numFmtId="195"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5"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5" fontId="56" fillId="6" borderId="5" xfId="4" applyFont="1" applyFill="1" applyBorder="1" applyAlignment="1" applyProtection="1">
      <alignment horizontal="left" vertical="center"/>
      <protection locked="0"/>
    </xf>
    <xf numFmtId="195"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5" fontId="55" fillId="0" borderId="0" xfId="4" applyFont="1" applyFill="1" applyBorder="1" applyAlignment="1" applyProtection="1">
      <alignment horizontal="left"/>
      <protection locked="0"/>
    </xf>
    <xf numFmtId="195"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5" fontId="55" fillId="6" borderId="1" xfId="4" applyFont="1" applyFill="1" applyBorder="1" applyAlignment="1">
      <alignment horizontal="left"/>
    </xf>
    <xf numFmtId="195" fontId="55" fillId="6" borderId="24" xfId="4" applyFont="1" applyFill="1" applyBorder="1" applyAlignment="1">
      <alignment horizontal="left"/>
    </xf>
    <xf numFmtId="195"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5" fontId="55" fillId="6" borderId="32" xfId="4" applyFont="1" applyFill="1" applyBorder="1" applyAlignment="1">
      <alignment horizontal="left"/>
    </xf>
    <xf numFmtId="195" fontId="55" fillId="6" borderId="49" xfId="4" applyFont="1" applyFill="1" applyBorder="1" applyAlignment="1">
      <alignment horizontal="left" vertical="center"/>
    </xf>
    <xf numFmtId="195" fontId="21" fillId="0" borderId="0" xfId="4" applyFont="1" applyFill="1" applyAlignment="1" applyProtection="1">
      <alignment horizontal="left"/>
      <protection locked="0"/>
    </xf>
    <xf numFmtId="195" fontId="5" fillId="0" borderId="0" xfId="4" applyFont="1" applyFill="1" applyAlignment="1" applyProtection="1">
      <alignment horizontal="left"/>
      <protection locked="0"/>
    </xf>
    <xf numFmtId="195" fontId="244" fillId="0" borderId="0" xfId="4" applyFont="1" applyAlignment="1" applyProtection="1">
      <alignment horizontal="left" vertical="center"/>
      <protection locked="0"/>
    </xf>
    <xf numFmtId="195" fontId="244" fillId="0" borderId="0" xfId="4" applyFont="1" applyAlignment="1">
      <alignment horizontal="left"/>
    </xf>
    <xf numFmtId="195" fontId="82" fillId="6" borderId="74" xfId="4" applyFont="1" applyFill="1" applyBorder="1" applyAlignment="1" applyProtection="1">
      <alignment vertical="center"/>
      <protection locked="0"/>
    </xf>
    <xf numFmtId="195" fontId="145" fillId="11" borderId="125" xfId="9" applyFont="1" applyFill="1" applyBorder="1" applyAlignment="1" applyProtection="1">
      <alignment horizontal="left" vertical="center" wrapText="1"/>
    </xf>
    <xf numFmtId="195" fontId="101" fillId="6" borderId="11" xfId="0" applyFont="1" applyFill="1" applyBorder="1" applyAlignment="1" applyProtection="1">
      <alignment vertical="center"/>
    </xf>
    <xf numFmtId="195" fontId="101" fillId="6" borderId="14" xfId="0" applyFont="1" applyFill="1" applyBorder="1" applyAlignment="1" applyProtection="1">
      <alignment vertical="center"/>
    </xf>
    <xf numFmtId="195" fontId="101" fillId="6" borderId="41" xfId="0" applyFont="1" applyFill="1" applyBorder="1" applyAlignment="1" applyProtection="1">
      <alignment vertical="center"/>
    </xf>
    <xf numFmtId="195" fontId="0" fillId="0" borderId="0" xfId="0" applyNumberFormat="1">
      <alignment vertical="center"/>
    </xf>
    <xf numFmtId="195" fontId="101" fillId="6" borderId="1" xfId="0" applyFont="1" applyFill="1" applyBorder="1" applyAlignment="1" applyProtection="1">
      <alignment horizontal="left" vertical="center" wrapText="1"/>
    </xf>
    <xf numFmtId="195" fontId="141" fillId="6" borderId="15" xfId="0" applyFont="1" applyFill="1" applyBorder="1" applyAlignment="1" applyProtection="1">
      <alignment vertical="center" wrapText="1"/>
    </xf>
    <xf numFmtId="195" fontId="140" fillId="6" borderId="13" xfId="0" applyFont="1" applyFill="1" applyBorder="1" applyAlignment="1" applyProtection="1">
      <alignment vertical="center" wrapText="1"/>
    </xf>
    <xf numFmtId="195" fontId="110" fillId="6" borderId="16" xfId="0" applyNumberFormat="1" applyFont="1" applyFill="1" applyBorder="1" applyAlignment="1" applyProtection="1">
      <alignment horizontal="left" vertical="center"/>
      <protection locked="0"/>
    </xf>
    <xf numFmtId="195" fontId="0" fillId="6" borderId="19" xfId="0" applyNumberFormat="1" applyFill="1" applyBorder="1" applyAlignment="1" applyProtection="1">
      <alignment horizontal="left" vertical="center"/>
      <protection locked="0"/>
    </xf>
    <xf numFmtId="195" fontId="0" fillId="6" borderId="31"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6" borderId="18" xfId="0" applyNumberFormat="1" applyFill="1" applyBorder="1" applyAlignment="1" applyProtection="1">
      <alignment horizontal="left" vertical="center"/>
      <protection locked="0"/>
    </xf>
    <xf numFmtId="195" fontId="0" fillId="6" borderId="0" xfId="0" applyNumberFormat="1" applyFill="1" applyBorder="1" applyAlignment="1" applyProtection="1">
      <alignment horizontal="left" vertical="center"/>
      <protection locked="0"/>
    </xf>
    <xf numFmtId="195" fontId="0" fillId="6" borderId="56" xfId="0" applyNumberFormat="1" applyFill="1" applyBorder="1" applyAlignment="1" applyProtection="1">
      <alignment horizontal="left" vertical="center"/>
      <protection locked="0"/>
    </xf>
    <xf numFmtId="195"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95"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5" fontId="0" fillId="0" borderId="1" xfId="0" applyNumberFormat="1" applyFill="1" applyBorder="1" applyAlignment="1" applyProtection="1">
      <alignment horizontal="left" vertical="center"/>
      <protection locked="0"/>
    </xf>
    <xf numFmtId="195"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5" fontId="0" fillId="6" borderId="25" xfId="0" applyNumberFormat="1" applyFill="1" applyBorder="1" applyAlignment="1" applyProtection="1">
      <alignment horizontal="left" vertical="center"/>
    </xf>
    <xf numFmtId="195" fontId="0" fillId="6" borderId="32" xfId="0" applyNumberFormat="1" applyFill="1" applyBorder="1" applyAlignment="1" applyProtection="1">
      <alignment horizontal="left" vertical="center"/>
    </xf>
    <xf numFmtId="195" fontId="0" fillId="6" borderId="47" xfId="0" applyNumberFormat="1" applyFill="1" applyBorder="1" applyAlignment="1" applyProtection="1">
      <alignment horizontal="left" vertical="center"/>
      <protection locked="0"/>
    </xf>
    <xf numFmtId="195" fontId="0" fillId="6" borderId="43" xfId="0" applyNumberFormat="1" applyFill="1" applyBorder="1" applyAlignment="1" applyProtection="1">
      <alignment horizontal="left" vertical="center"/>
      <protection locked="0"/>
    </xf>
    <xf numFmtId="195" fontId="248" fillId="6" borderId="23" xfId="0" applyFont="1" applyFill="1" applyBorder="1" applyAlignment="1" applyProtection="1">
      <alignment horizontal="left" vertical="center"/>
    </xf>
    <xf numFmtId="195" fontId="248" fillId="6" borderId="1" xfId="0" applyFont="1" applyFill="1" applyBorder="1" applyAlignment="1" applyProtection="1">
      <alignment horizontal="left" vertical="center"/>
    </xf>
    <xf numFmtId="195" fontId="248" fillId="6" borderId="24" xfId="0" applyFont="1" applyFill="1" applyBorder="1" applyAlignment="1" applyProtection="1">
      <alignment horizontal="left" vertical="center"/>
    </xf>
    <xf numFmtId="195"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195" fontId="248" fillId="6" borderId="18" xfId="0" applyFont="1" applyFill="1" applyBorder="1" applyAlignment="1" applyProtection="1">
      <alignment horizontal="left" vertical="center"/>
    </xf>
    <xf numFmtId="195" fontId="248" fillId="6" borderId="0" xfId="0" applyFont="1" applyFill="1" applyBorder="1" applyAlignment="1" applyProtection="1">
      <alignment horizontal="left" vertical="center"/>
    </xf>
    <xf numFmtId="195" fontId="248" fillId="6" borderId="56" xfId="0" applyFont="1" applyFill="1" applyBorder="1" applyAlignment="1" applyProtection="1">
      <alignment horizontal="left" vertical="center"/>
    </xf>
    <xf numFmtId="195" fontId="248" fillId="6" borderId="18" xfId="0" applyFont="1" applyFill="1" applyBorder="1" applyAlignment="1" applyProtection="1">
      <alignment horizontal="left"/>
    </xf>
    <xf numFmtId="195" fontId="248" fillId="6" borderId="0" xfId="0" applyFont="1" applyFill="1" applyBorder="1" applyAlignment="1" applyProtection="1">
      <alignment horizontal="left"/>
    </xf>
    <xf numFmtId="195" fontId="248" fillId="6" borderId="56" xfId="0" applyFont="1" applyFill="1" applyBorder="1" applyAlignment="1" applyProtection="1">
      <alignment horizontal="left"/>
    </xf>
    <xf numFmtId="195" fontId="248" fillId="6" borderId="23" xfId="0" applyFont="1" applyFill="1" applyBorder="1" applyAlignment="1" applyProtection="1">
      <alignment horizontal="left"/>
    </xf>
    <xf numFmtId="195" fontId="248" fillId="20" borderId="1" xfId="0" applyFont="1" applyFill="1" applyBorder="1" applyAlignment="1" applyProtection="1">
      <alignment horizontal="left"/>
    </xf>
    <xf numFmtId="195" fontId="248" fillId="6" borderId="1" xfId="0" applyFont="1" applyFill="1" applyBorder="1" applyAlignment="1" applyProtection="1">
      <alignment horizontal="left"/>
    </xf>
    <xf numFmtId="195" fontId="248" fillId="6" borderId="5" xfId="0" applyFont="1" applyFill="1" applyBorder="1" applyAlignment="1" applyProtection="1">
      <alignment horizontal="left"/>
    </xf>
    <xf numFmtId="195" fontId="248" fillId="6" borderId="54" xfId="0" applyFont="1" applyFill="1" applyBorder="1" applyAlignment="1" applyProtection="1">
      <alignment horizontal="left"/>
    </xf>
    <xf numFmtId="195"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195" fontId="248" fillId="6" borderId="25" xfId="0" applyFont="1" applyFill="1" applyBorder="1" applyAlignment="1" applyProtection="1">
      <alignment horizontal="left"/>
    </xf>
    <xf numFmtId="195" fontId="248" fillId="20" borderId="32" xfId="0" applyFont="1" applyFill="1" applyBorder="1" applyAlignment="1" applyProtection="1">
      <alignment horizontal="left"/>
    </xf>
    <xf numFmtId="195" fontId="248" fillId="6" borderId="32" xfId="0" applyFont="1" applyFill="1" applyBorder="1" applyAlignment="1" applyProtection="1">
      <alignment horizontal="left"/>
    </xf>
    <xf numFmtId="195" fontId="248" fillId="6" borderId="47" xfId="0" applyFont="1" applyFill="1" applyBorder="1" applyAlignment="1" applyProtection="1">
      <alignment horizontal="left"/>
    </xf>
    <xf numFmtId="195" fontId="248" fillId="6" borderId="43" xfId="0" applyFont="1" applyFill="1" applyBorder="1" applyAlignment="1" applyProtection="1">
      <alignment horizontal="left"/>
    </xf>
    <xf numFmtId="195" fontId="248" fillId="0" borderId="0" xfId="0" applyNumberFormat="1" applyFont="1" applyAlignment="1" applyProtection="1">
      <alignment horizontal="left" vertical="center"/>
      <protection locked="0"/>
    </xf>
    <xf numFmtId="195"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195"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195" fontId="79" fillId="6" borderId="1" xfId="0" applyNumberFormat="1" applyFont="1" applyFill="1" applyBorder="1" applyAlignment="1" applyProtection="1">
      <alignment horizontal="center" vertical="center" wrapText="1"/>
      <protection locked="0"/>
    </xf>
    <xf numFmtId="195" fontId="110" fillId="6" borderId="160" xfId="0" applyNumberFormat="1" applyFont="1" applyFill="1" applyBorder="1" applyAlignment="1" applyProtection="1">
      <alignment horizontal="left" vertical="center"/>
    </xf>
    <xf numFmtId="195" fontId="0" fillId="6" borderId="161" xfId="0" applyNumberFormat="1" applyFill="1" applyBorder="1" applyAlignment="1" applyProtection="1">
      <alignment horizontal="left" vertical="center"/>
    </xf>
    <xf numFmtId="195" fontId="0" fillId="6" borderId="162" xfId="0" applyNumberFormat="1" applyFill="1" applyBorder="1" applyAlignment="1" applyProtection="1">
      <alignment horizontal="left" vertical="center"/>
    </xf>
    <xf numFmtId="195" fontId="0" fillId="0" borderId="161" xfId="0" applyNumberFormat="1" applyBorder="1" applyAlignment="1" applyProtection="1">
      <alignment horizontal="left" vertical="center"/>
      <protection locked="0"/>
    </xf>
    <xf numFmtId="195" fontId="248" fillId="0" borderId="161" xfId="0" applyNumberFormat="1" applyFont="1" applyBorder="1" applyAlignment="1" applyProtection="1">
      <alignment horizontal="left" vertical="center"/>
      <protection locked="0"/>
    </xf>
    <xf numFmtId="195" fontId="0" fillId="6" borderId="40" xfId="0" applyNumberFormat="1" applyFill="1" applyBorder="1" applyAlignment="1" applyProtection="1">
      <alignment horizontal="left" vertical="center"/>
    </xf>
    <xf numFmtId="195" fontId="0" fillId="6" borderId="17" xfId="0" applyNumberFormat="1" applyFill="1" applyBorder="1" applyAlignment="1" applyProtection="1">
      <alignment horizontal="left" vertical="center"/>
    </xf>
    <xf numFmtId="195" fontId="0" fillId="6" borderId="62" xfId="0" applyNumberFormat="1" applyFill="1" applyBorder="1" applyAlignment="1" applyProtection="1">
      <alignment horizontal="left" vertical="center"/>
    </xf>
    <xf numFmtId="195" fontId="0" fillId="0" borderId="0" xfId="0" applyNumberFormat="1" applyAlignment="1" applyProtection="1">
      <alignment horizontal="left" vertical="center"/>
    </xf>
    <xf numFmtId="195" fontId="0" fillId="6" borderId="6" xfId="0" applyNumberFormat="1" applyFill="1" applyBorder="1" applyAlignment="1" applyProtection="1">
      <alignment horizontal="left" vertical="center"/>
    </xf>
    <xf numFmtId="195" fontId="0" fillId="6" borderId="9" xfId="0" applyNumberFormat="1" applyFill="1" applyBorder="1" applyAlignment="1" applyProtection="1">
      <alignment horizontal="left" vertical="center"/>
    </xf>
    <xf numFmtId="195" fontId="0" fillId="6" borderId="28" xfId="0" applyNumberFormat="1" applyFill="1" applyBorder="1" applyAlignment="1" applyProtection="1">
      <alignment horizontal="left" vertical="center"/>
    </xf>
    <xf numFmtId="195" fontId="0" fillId="6" borderId="10" xfId="0" applyNumberFormat="1" applyFill="1" applyBorder="1" applyAlignment="1" applyProtection="1">
      <alignment horizontal="left" vertical="center"/>
    </xf>
    <xf numFmtId="195" fontId="0" fillId="6" borderId="5" xfId="0" applyNumberFormat="1" applyFill="1" applyBorder="1" applyAlignment="1" applyProtection="1">
      <alignment horizontal="left" vertical="center"/>
    </xf>
    <xf numFmtId="195" fontId="97" fillId="6" borderId="23" xfId="0" applyNumberFormat="1" applyFont="1" applyFill="1" applyBorder="1" applyAlignment="1" applyProtection="1">
      <alignment horizontal="left" vertical="center"/>
    </xf>
    <xf numFmtId="195" fontId="97" fillId="6" borderId="14" xfId="0" applyNumberFormat="1" applyFont="1" applyFill="1" applyBorder="1" applyAlignment="1" applyProtection="1">
      <alignment horizontal="left" vertical="center"/>
    </xf>
    <xf numFmtId="195" fontId="0" fillId="6" borderId="58" xfId="0" applyNumberFormat="1" applyFill="1" applyBorder="1" applyAlignment="1" applyProtection="1">
      <alignment horizontal="left" vertical="center"/>
    </xf>
    <xf numFmtId="195" fontId="0" fillId="6" borderId="15" xfId="0" applyNumberFormat="1" applyFill="1" applyBorder="1" applyAlignment="1" applyProtection="1">
      <alignment horizontal="left" vertical="center"/>
    </xf>
    <xf numFmtId="195" fontId="0" fillId="6" borderId="53" xfId="0" applyNumberFormat="1" applyFill="1" applyBorder="1" applyAlignment="1" applyProtection="1">
      <alignment horizontal="left" vertical="center"/>
    </xf>
    <xf numFmtId="195" fontId="97" fillId="6" borderId="25" xfId="0" applyNumberFormat="1" applyFont="1" applyFill="1" applyBorder="1" applyAlignment="1" applyProtection="1">
      <alignment horizontal="left" vertical="center"/>
    </xf>
    <xf numFmtId="195" fontId="0" fillId="6" borderId="33" xfId="0" applyNumberFormat="1" applyFill="1" applyBorder="1" applyAlignment="1" applyProtection="1">
      <alignment horizontal="left" vertical="center"/>
    </xf>
    <xf numFmtId="195" fontId="0" fillId="6" borderId="49" xfId="0" applyNumberFormat="1" applyFill="1" applyBorder="1" applyAlignment="1" applyProtection="1">
      <alignment horizontal="left" vertical="center"/>
    </xf>
    <xf numFmtId="195" fontId="109" fillId="6" borderId="6" xfId="0" applyNumberFormat="1" applyFont="1" applyFill="1" applyBorder="1" applyAlignment="1" applyProtection="1">
      <alignment horizontal="left" vertical="center" wrapText="1"/>
    </xf>
    <xf numFmtId="195" fontId="109" fillId="6" borderId="9" xfId="0" applyNumberFormat="1" applyFont="1" applyFill="1" applyBorder="1" applyAlignment="1" applyProtection="1">
      <alignment horizontal="left" vertical="center" wrapText="1"/>
    </xf>
    <xf numFmtId="195" fontId="109" fillId="6" borderId="10" xfId="0" applyNumberFormat="1" applyFont="1" applyFill="1" applyBorder="1" applyAlignment="1" applyProtection="1">
      <alignment horizontal="left" vertical="center" wrapText="1"/>
    </xf>
    <xf numFmtId="195" fontId="109" fillId="6" borderId="23" xfId="0" applyNumberFormat="1" applyFont="1" applyFill="1" applyBorder="1" applyAlignment="1" applyProtection="1">
      <alignment horizontal="left" vertical="center" wrapText="1"/>
    </xf>
    <xf numFmtId="195" fontId="109" fillId="6" borderId="1" xfId="0" applyNumberFormat="1" applyFont="1" applyFill="1" applyBorder="1" applyAlignment="1" applyProtection="1">
      <alignment horizontal="left" vertical="center" wrapText="1"/>
    </xf>
    <xf numFmtId="195" fontId="109" fillId="6" borderId="24" xfId="0" applyNumberFormat="1" applyFont="1" applyFill="1" applyBorder="1" applyAlignment="1" applyProtection="1">
      <alignment horizontal="left" vertical="center" wrapText="1"/>
    </xf>
    <xf numFmtId="195" fontId="109" fillId="6" borderId="11" xfId="0" applyNumberFormat="1" applyFont="1" applyFill="1" applyBorder="1" applyAlignment="1" applyProtection="1">
      <alignment horizontal="left" vertical="center" wrapText="1"/>
    </xf>
    <xf numFmtId="195" fontId="109" fillId="6" borderId="13" xfId="0" applyNumberFormat="1" applyFont="1" applyFill="1" applyBorder="1" applyAlignment="1" applyProtection="1">
      <alignment horizontal="left" vertical="center" wrapText="1"/>
    </xf>
    <xf numFmtId="195" fontId="109" fillId="6" borderId="61" xfId="0" applyNumberFormat="1" applyFont="1" applyFill="1" applyBorder="1" applyAlignment="1" applyProtection="1">
      <alignment horizontal="left" vertical="center" wrapText="1"/>
    </xf>
    <xf numFmtId="195" fontId="222" fillId="6" borderId="60" xfId="0" applyNumberFormat="1" applyFont="1" applyFill="1" applyBorder="1" applyAlignment="1" applyProtection="1">
      <alignment horizontal="left" vertical="center"/>
    </xf>
    <xf numFmtId="195" fontId="222" fillId="6" borderId="0" xfId="0" applyNumberFormat="1" applyFont="1" applyFill="1" applyBorder="1" applyAlignment="1" applyProtection="1">
      <alignment horizontal="left" vertical="center"/>
    </xf>
    <xf numFmtId="195" fontId="250" fillId="0" borderId="0" xfId="0" applyNumberFormat="1" applyFont="1" applyAlignment="1" applyProtection="1">
      <alignment horizontal="left" vertical="center"/>
    </xf>
    <xf numFmtId="195" fontId="109" fillId="6" borderId="46" xfId="0" applyNumberFormat="1" applyFont="1" applyFill="1" applyBorder="1" applyAlignment="1" applyProtection="1">
      <alignment horizontal="left" vertical="center" wrapText="1"/>
    </xf>
    <xf numFmtId="195" fontId="109" fillId="6" borderId="22" xfId="0" applyNumberFormat="1" applyFont="1" applyFill="1" applyBorder="1" applyAlignment="1" applyProtection="1">
      <alignment horizontal="left" vertical="center" wrapText="1"/>
    </xf>
    <xf numFmtId="195" fontId="109" fillId="6" borderId="0" xfId="0" applyNumberFormat="1" applyFont="1" applyFill="1" applyBorder="1" applyAlignment="1" applyProtection="1">
      <alignment horizontal="left" vertical="center" wrapText="1"/>
    </xf>
    <xf numFmtId="195" fontId="109" fillId="6" borderId="28" xfId="0" applyNumberFormat="1" applyFont="1" applyFill="1" applyBorder="1" applyAlignment="1" applyProtection="1">
      <alignment horizontal="left" vertical="center"/>
    </xf>
    <xf numFmtId="195" fontId="109" fillId="6" borderId="30" xfId="0" applyNumberFormat="1" applyFont="1" applyFill="1" applyBorder="1" applyAlignment="1" applyProtection="1">
      <alignment horizontal="left" vertical="center"/>
    </xf>
    <xf numFmtId="195" fontId="109" fillId="6" borderId="10" xfId="0" applyNumberFormat="1" applyFont="1" applyFill="1" applyBorder="1" applyAlignment="1" applyProtection="1">
      <alignment horizontal="left" vertical="center"/>
    </xf>
    <xf numFmtId="195" fontId="109" fillId="6" borderId="0" xfId="0" applyNumberFormat="1" applyFont="1" applyFill="1" applyBorder="1" applyAlignment="1" applyProtection="1">
      <alignment horizontal="left" vertical="center"/>
    </xf>
    <xf numFmtId="195" fontId="109" fillId="6" borderId="5" xfId="0" applyNumberFormat="1" applyFont="1" applyFill="1" applyBorder="1" applyAlignment="1" applyProtection="1">
      <alignment horizontal="left" vertical="center"/>
    </xf>
    <xf numFmtId="195" fontId="109" fillId="6" borderId="3" xfId="0" applyNumberFormat="1" applyFont="1" applyFill="1" applyBorder="1" applyAlignment="1" applyProtection="1">
      <alignment horizontal="left" vertical="center"/>
    </xf>
    <xf numFmtId="195" fontId="109" fillId="6" borderId="24" xfId="0" applyNumberFormat="1" applyFont="1" applyFill="1" applyBorder="1" applyAlignment="1" applyProtection="1">
      <alignment horizontal="left" vertical="center"/>
    </xf>
    <xf numFmtId="195" fontId="109" fillId="6" borderId="33" xfId="0" applyNumberFormat="1" applyFont="1" applyFill="1" applyBorder="1" applyAlignment="1" applyProtection="1">
      <alignment horizontal="left" vertical="center"/>
    </xf>
    <xf numFmtId="195" fontId="109" fillId="6" borderId="66" xfId="0" applyNumberFormat="1" applyFont="1" applyFill="1" applyBorder="1" applyAlignment="1" applyProtection="1">
      <alignment horizontal="left" vertical="center"/>
    </xf>
    <xf numFmtId="195" fontId="109" fillId="6" borderId="49" xfId="0" applyNumberFormat="1" applyFont="1" applyFill="1" applyBorder="1" applyAlignment="1" applyProtection="1">
      <alignment horizontal="left" vertical="center"/>
    </xf>
    <xf numFmtId="195" fontId="109" fillId="6" borderId="26" xfId="0" applyNumberFormat="1" applyFont="1" applyFill="1" applyBorder="1" applyAlignment="1" applyProtection="1">
      <alignment horizontal="left" vertical="center"/>
    </xf>
    <xf numFmtId="195" fontId="109" fillId="6" borderId="84" xfId="0" applyNumberFormat="1" applyFont="1" applyFill="1" applyBorder="1" applyAlignment="1" applyProtection="1">
      <alignment horizontal="left" vertical="center"/>
    </xf>
    <xf numFmtId="195" fontId="109" fillId="6" borderId="34" xfId="0" applyNumberFormat="1" applyFont="1" applyFill="1" applyBorder="1" applyAlignment="1" applyProtection="1">
      <alignment horizontal="left" vertical="center"/>
    </xf>
    <xf numFmtId="195" fontId="109" fillId="6" borderId="70" xfId="0" applyNumberFormat="1" applyFont="1" applyFill="1" applyBorder="1" applyAlignment="1" applyProtection="1">
      <alignment horizontal="left" vertical="center"/>
    </xf>
    <xf numFmtId="195" fontId="109" fillId="6" borderId="67" xfId="0" applyNumberFormat="1" applyFont="1" applyFill="1" applyBorder="1" applyAlignment="1" applyProtection="1">
      <alignment horizontal="left" vertical="center"/>
    </xf>
    <xf numFmtId="195" fontId="109" fillId="6" borderId="1" xfId="0" applyNumberFormat="1" applyFont="1" applyFill="1" applyBorder="1" applyAlignment="1" applyProtection="1">
      <alignment horizontal="left" vertical="center"/>
    </xf>
    <xf numFmtId="195" fontId="109" fillId="0" borderId="0" xfId="0" applyNumberFormat="1" applyFont="1" applyBorder="1" applyAlignment="1" applyProtection="1">
      <alignment horizontal="left" vertical="center"/>
    </xf>
    <xf numFmtId="195" fontId="109" fillId="6" borderId="4"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wrapText="1"/>
    </xf>
    <xf numFmtId="195" fontId="109" fillId="6" borderId="7" xfId="0" applyNumberFormat="1" applyFont="1" applyFill="1" applyBorder="1" applyAlignment="1" applyProtection="1">
      <alignment horizontal="left" vertical="center" wrapText="1"/>
    </xf>
    <xf numFmtId="195" fontId="109" fillId="6" borderId="3"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xf>
    <xf numFmtId="195" fontId="109" fillId="6" borderId="0" xfId="0" applyNumberFormat="1" applyFont="1" applyFill="1" applyAlignment="1" applyProtection="1">
      <alignment horizontal="left" vertical="center"/>
    </xf>
    <xf numFmtId="195"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195" fontId="104" fillId="0" borderId="119" xfId="9" applyNumberFormat="1" applyFont="1" applyBorder="1" applyAlignment="1" applyProtection="1">
      <alignment horizontal="left" vertical="center"/>
    </xf>
    <xf numFmtId="195" fontId="104" fillId="6" borderId="120" xfId="9" applyNumberFormat="1" applyFont="1" applyFill="1" applyBorder="1" applyAlignment="1" applyProtection="1">
      <alignment horizontal="left" vertical="center"/>
    </xf>
    <xf numFmtId="195" fontId="104" fillId="6" borderId="119" xfId="9" applyNumberFormat="1" applyFont="1" applyFill="1" applyBorder="1" applyAlignment="1" applyProtection="1">
      <alignment horizontal="left" vertical="center"/>
    </xf>
    <xf numFmtId="195" fontId="99" fillId="6" borderId="119" xfId="10" applyNumberFormat="1" applyFont="1" applyFill="1" applyBorder="1" applyAlignment="1" applyProtection="1">
      <alignment horizontal="left" vertical="center"/>
    </xf>
    <xf numFmtId="195" fontId="24" fillId="6" borderId="119" xfId="10" applyNumberFormat="1" applyFont="1" applyFill="1" applyBorder="1" applyAlignment="1" applyProtection="1">
      <alignment horizontal="left" vertical="center"/>
    </xf>
    <xf numFmtId="195" fontId="104" fillId="17" borderId="119" xfId="9" applyNumberFormat="1" applyFont="1" applyFill="1" applyBorder="1" applyAlignment="1" applyProtection="1">
      <alignment horizontal="left" vertical="center"/>
    </xf>
    <xf numFmtId="195" fontId="254" fillId="15" borderId="0" xfId="9" applyNumberFormat="1" applyFont="1" applyFill="1" applyAlignment="1" applyProtection="1">
      <alignment horizontal="left" vertical="center"/>
    </xf>
    <xf numFmtId="195" fontId="245" fillId="15" borderId="121" xfId="9" applyNumberFormat="1" applyFont="1" applyFill="1" applyBorder="1" applyAlignment="1" applyProtection="1">
      <alignment horizontal="left" vertical="center"/>
    </xf>
    <xf numFmtId="195" fontId="245" fillId="15" borderId="0" xfId="9" applyNumberFormat="1" applyFont="1" applyFill="1" applyBorder="1" applyAlignment="1" applyProtection="1">
      <alignment horizontal="left" vertical="center"/>
    </xf>
    <xf numFmtId="195"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195" fontId="170" fillId="15" borderId="0" xfId="9" applyNumberFormat="1" applyFont="1" applyFill="1" applyAlignment="1" applyProtection="1">
      <alignment horizontal="left" vertical="center"/>
    </xf>
    <xf numFmtId="195"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195" fontId="245" fillId="15" borderId="0" xfId="9" applyNumberFormat="1" applyFont="1" applyFill="1" applyAlignment="1" applyProtection="1">
      <alignment horizontal="left" vertical="center"/>
    </xf>
    <xf numFmtId="195" fontId="104" fillId="0" borderId="0" xfId="9" applyNumberFormat="1" applyFont="1" applyFill="1" applyAlignment="1" applyProtection="1">
      <alignment horizontal="left" vertical="center"/>
    </xf>
    <xf numFmtId="195" fontId="104" fillId="0" borderId="121" xfId="9" applyNumberFormat="1" applyFont="1" applyFill="1" applyBorder="1" applyAlignment="1" applyProtection="1">
      <alignment horizontal="left" vertical="center"/>
    </xf>
    <xf numFmtId="195" fontId="104" fillId="0" borderId="0" xfId="9" applyNumberFormat="1" applyFont="1" applyFill="1" applyBorder="1" applyAlignment="1" applyProtection="1">
      <alignment horizontal="left" vertical="center"/>
    </xf>
    <xf numFmtId="195"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195" fontId="101" fillId="0" borderId="0" xfId="9" applyNumberFormat="1" applyFont="1" applyAlignment="1" applyProtection="1">
      <alignment horizontal="left" vertical="center"/>
    </xf>
    <xf numFmtId="195" fontId="101" fillId="0" borderId="163" xfId="9" applyNumberFormat="1" applyFont="1" applyBorder="1" applyAlignment="1" applyProtection="1">
      <alignment horizontal="left" vertical="center"/>
    </xf>
    <xf numFmtId="195" fontId="101" fillId="0" borderId="164" xfId="9" applyNumberFormat="1" applyFont="1" applyBorder="1" applyAlignment="1" applyProtection="1">
      <alignment horizontal="left" vertical="center"/>
    </xf>
    <xf numFmtId="195"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195" fontId="55" fillId="6" borderId="1" xfId="9" applyNumberFormat="1" applyFont="1" applyFill="1" applyBorder="1" applyAlignment="1" applyProtection="1">
      <alignment horizontal="left" vertical="center" wrapText="1"/>
    </xf>
    <xf numFmtId="195" fontId="145" fillId="11" borderId="125" xfId="9" applyNumberFormat="1" applyFont="1" applyFill="1" applyBorder="1" applyAlignment="1" applyProtection="1">
      <alignment horizontal="left" vertical="center" wrapText="1"/>
    </xf>
    <xf numFmtId="195" fontId="145" fillId="12" borderId="126" xfId="9" applyNumberFormat="1" applyFont="1" applyFill="1" applyBorder="1" applyAlignment="1" applyProtection="1">
      <alignment horizontal="left" vertical="center" wrapText="1"/>
    </xf>
    <xf numFmtId="195" fontId="145" fillId="12" borderId="126" xfId="16" applyNumberFormat="1" applyFont="1" applyFill="1" applyBorder="1" applyAlignment="1" applyProtection="1">
      <alignment horizontal="left" vertical="center" wrapText="1"/>
    </xf>
    <xf numFmtId="195" fontId="145" fillId="12" borderId="130" xfId="16" applyNumberFormat="1" applyFont="1" applyFill="1" applyBorder="1" applyAlignment="1" applyProtection="1">
      <alignment horizontal="left" vertical="center" wrapText="1"/>
    </xf>
    <xf numFmtId="195"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195"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195" fontId="146" fillId="13" borderId="0" xfId="9" applyNumberFormat="1" applyFont="1" applyFill="1" applyAlignment="1" applyProtection="1">
      <alignment horizontal="left" vertical="center"/>
    </xf>
    <xf numFmtId="195" fontId="56" fillId="21" borderId="1" xfId="9" applyNumberFormat="1" applyFont="1" applyFill="1" applyBorder="1" applyAlignment="1" applyProtection="1">
      <alignment horizontal="left" vertical="center" wrapText="1"/>
    </xf>
    <xf numFmtId="195" fontId="255" fillId="21" borderId="125" xfId="9" applyNumberFormat="1" applyFont="1" applyFill="1" applyBorder="1" applyAlignment="1" applyProtection="1">
      <alignment horizontal="left" vertical="center" wrapText="1"/>
    </xf>
    <xf numFmtId="195" fontId="255" fillId="21" borderId="126" xfId="9" applyNumberFormat="1" applyFont="1" applyFill="1" applyBorder="1" applyAlignment="1" applyProtection="1">
      <alignment horizontal="left" vertical="center" wrapText="1"/>
    </xf>
    <xf numFmtId="195" fontId="255" fillId="21" borderId="126" xfId="16" applyNumberFormat="1" applyFont="1" applyFill="1" applyBorder="1" applyAlignment="1" applyProtection="1">
      <alignment horizontal="left" vertical="center" wrapText="1"/>
    </xf>
    <xf numFmtId="195" fontId="255" fillId="21" borderId="135" xfId="16" applyNumberFormat="1" applyFont="1" applyFill="1" applyBorder="1" applyAlignment="1" applyProtection="1">
      <alignment horizontal="left" vertical="center" wrapText="1"/>
    </xf>
    <xf numFmtId="195" fontId="255" fillId="21" borderId="130" xfId="16" applyNumberFormat="1" applyFont="1" applyFill="1" applyBorder="1" applyAlignment="1" applyProtection="1">
      <alignment horizontal="left" vertical="center" wrapText="1"/>
    </xf>
    <xf numFmtId="195"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195" fontId="146" fillId="21" borderId="0" xfId="9" applyNumberFormat="1" applyFont="1" applyFill="1" applyAlignment="1" applyProtection="1">
      <alignment horizontal="left" vertical="center"/>
    </xf>
    <xf numFmtId="195" fontId="145" fillId="12" borderId="135" xfId="16" applyNumberFormat="1" applyFont="1" applyFill="1" applyBorder="1" applyAlignment="1" applyProtection="1">
      <alignment horizontal="left" vertical="center" wrapText="1"/>
    </xf>
    <xf numFmtId="195" fontId="55" fillId="18" borderId="166" xfId="9" applyNumberFormat="1" applyFont="1" applyFill="1" applyBorder="1" applyAlignment="1" applyProtection="1">
      <alignment horizontal="left" vertical="center" wrapText="1"/>
    </xf>
    <xf numFmtId="195" fontId="145" fillId="18" borderId="167" xfId="9" applyNumberFormat="1" applyFont="1" applyFill="1" applyBorder="1" applyAlignment="1" applyProtection="1">
      <alignment horizontal="left" vertical="center" wrapText="1"/>
    </xf>
    <xf numFmtId="195" fontId="145" fillId="18" borderId="168" xfId="9" applyNumberFormat="1" applyFont="1" applyFill="1" applyBorder="1" applyAlignment="1" applyProtection="1">
      <alignment horizontal="left" vertical="center" wrapText="1"/>
    </xf>
    <xf numFmtId="195" fontId="145" fillId="18" borderId="168" xfId="16" applyNumberFormat="1" applyFont="1" applyFill="1" applyBorder="1" applyAlignment="1" applyProtection="1">
      <alignment horizontal="left" vertical="center" wrapText="1"/>
    </xf>
    <xf numFmtId="195" fontId="145" fillId="18" borderId="169" xfId="16" applyNumberFormat="1" applyFont="1" applyFill="1" applyBorder="1" applyAlignment="1" applyProtection="1">
      <alignment horizontal="left" vertical="center" wrapText="1"/>
    </xf>
    <xf numFmtId="195" fontId="145" fillId="18" borderId="170" xfId="16" applyNumberFormat="1" applyFont="1" applyFill="1" applyBorder="1" applyAlignment="1" applyProtection="1">
      <alignment horizontal="left" vertical="center" wrapText="1"/>
    </xf>
    <xf numFmtId="195"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195" fontId="101" fillId="18" borderId="171" xfId="9" applyNumberFormat="1" applyFont="1" applyFill="1" applyBorder="1" applyAlignment="1" applyProtection="1">
      <alignment horizontal="left" vertical="center"/>
    </xf>
    <xf numFmtId="195" fontId="146" fillId="18" borderId="171" xfId="9" applyNumberFormat="1" applyFont="1" applyFill="1" applyBorder="1" applyAlignment="1" applyProtection="1">
      <alignment horizontal="left" vertical="center"/>
    </xf>
    <xf numFmtId="195" fontId="97" fillId="0" borderId="0" xfId="0" applyNumberFormat="1" applyFont="1">
      <alignment vertical="center"/>
    </xf>
    <xf numFmtId="195" fontId="104" fillId="0" borderId="0" xfId="9" applyNumberFormat="1" applyFont="1" applyAlignment="1" applyProtection="1">
      <alignment horizontal="left" vertical="center"/>
    </xf>
    <xf numFmtId="195" fontId="143" fillId="0" borderId="0" xfId="9" applyNumberFormat="1" applyFont="1" applyAlignment="1" applyProtection="1">
      <alignment vertical="center"/>
    </xf>
    <xf numFmtId="195"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5" fontId="248" fillId="6" borderId="18" xfId="0" applyNumberFormat="1" applyFont="1" applyFill="1" applyBorder="1" applyAlignment="1" applyProtection="1">
      <alignment horizontal="left" vertical="center"/>
    </xf>
    <xf numFmtId="195" fontId="248" fillId="6" borderId="40" xfId="0" applyNumberFormat="1" applyFont="1" applyFill="1" applyBorder="1" applyAlignment="1" applyProtection="1">
      <alignment horizontal="left" vertical="center"/>
    </xf>
    <xf numFmtId="195" fontId="248" fillId="6" borderId="17" xfId="0" applyNumberFormat="1" applyFont="1" applyFill="1" applyBorder="1" applyAlignment="1" applyProtection="1">
      <alignment horizontal="left" vertical="center"/>
    </xf>
    <xf numFmtId="195" fontId="248" fillId="6" borderId="62" xfId="0" applyNumberFormat="1" applyFont="1" applyFill="1" applyBorder="1" applyAlignment="1" applyProtection="1">
      <alignment horizontal="left" vertical="center"/>
    </xf>
    <xf numFmtId="195" fontId="248" fillId="6" borderId="0" xfId="0" applyNumberFormat="1" applyFont="1" applyFill="1" applyAlignment="1" applyProtection="1">
      <alignment horizontal="left" vertical="center"/>
    </xf>
    <xf numFmtId="195" fontId="257" fillId="6" borderId="47" xfId="0" applyNumberFormat="1" applyFont="1" applyFill="1" applyBorder="1" applyAlignment="1" applyProtection="1">
      <alignment vertical="center"/>
    </xf>
    <xf numFmtId="195" fontId="257" fillId="6" borderId="43" xfId="0" applyNumberFormat="1" applyFont="1" applyFill="1" applyBorder="1" applyAlignment="1" applyProtection="1">
      <alignment horizontal="right" vertical="center"/>
    </xf>
    <xf numFmtId="195" fontId="257" fillId="6" borderId="9" xfId="0" applyNumberFormat="1" applyFont="1" applyFill="1" applyBorder="1" applyAlignment="1" applyProtection="1">
      <alignment horizontal="left" vertical="center" wrapText="1"/>
    </xf>
    <xf numFmtId="195" fontId="258" fillId="6" borderId="19" xfId="0" applyNumberFormat="1" applyFont="1" applyFill="1" applyBorder="1" applyAlignment="1" applyProtection="1">
      <alignment horizontal="left" vertical="center"/>
    </xf>
    <xf numFmtId="195" fontId="256" fillId="6" borderId="28" xfId="0" applyNumberFormat="1" applyFont="1" applyFill="1" applyBorder="1" applyAlignment="1" applyProtection="1">
      <alignment horizontal="left" vertical="center"/>
    </xf>
    <xf numFmtId="195" fontId="258" fillId="6" borderId="18" xfId="0" applyNumberFormat="1" applyFont="1" applyFill="1" applyBorder="1" applyAlignment="1" applyProtection="1">
      <alignment horizontal="left" vertical="center"/>
    </xf>
    <xf numFmtId="195" fontId="257" fillId="6" borderId="1" xfId="0" applyNumberFormat="1" applyFont="1" applyFill="1" applyBorder="1" applyAlignment="1" applyProtection="1">
      <alignment horizontal="left" vertical="center" wrapText="1"/>
    </xf>
    <xf numFmtId="195" fontId="257" fillId="6" borderId="2" xfId="0" applyNumberFormat="1" applyFont="1" applyFill="1" applyBorder="1" applyAlignment="1" applyProtection="1">
      <alignment horizontal="left" vertical="center" wrapText="1"/>
    </xf>
    <xf numFmtId="195" fontId="258" fillId="6" borderId="0" xfId="0" applyNumberFormat="1" applyFont="1" applyFill="1" applyAlignment="1" applyProtection="1">
      <alignment horizontal="left" vertical="center"/>
    </xf>
    <xf numFmtId="195" fontId="256" fillId="6" borderId="32" xfId="0" applyNumberFormat="1" applyFont="1" applyFill="1" applyBorder="1" applyAlignment="1" applyProtection="1">
      <alignment horizontal="left" vertical="center"/>
    </xf>
    <xf numFmtId="195" fontId="256" fillId="6" borderId="33" xfId="0" applyNumberFormat="1" applyFont="1" applyFill="1" applyBorder="1" applyAlignment="1" applyProtection="1">
      <alignment horizontal="left" vertical="center"/>
    </xf>
    <xf numFmtId="195" fontId="257" fillId="6" borderId="40" xfId="0" applyNumberFormat="1" applyFont="1" applyFill="1" applyBorder="1" applyAlignment="1" applyProtection="1">
      <alignment horizontal="left" vertical="center" wrapText="1"/>
    </xf>
    <xf numFmtId="195" fontId="257" fillId="6" borderId="74" xfId="0" applyNumberFormat="1" applyFont="1" applyFill="1" applyBorder="1" applyAlignment="1" applyProtection="1">
      <alignment horizontal="left" vertical="center" wrapText="1"/>
    </xf>
    <xf numFmtId="195" fontId="257" fillId="6" borderId="32" xfId="0" applyNumberFormat="1" applyFont="1" applyFill="1" applyBorder="1" applyAlignment="1" applyProtection="1">
      <alignment horizontal="left" vertical="center" wrapText="1"/>
    </xf>
    <xf numFmtId="195" fontId="257" fillId="6" borderId="14" xfId="0" applyNumberFormat="1" applyFont="1" applyFill="1" applyBorder="1" applyAlignment="1" applyProtection="1">
      <alignment horizontal="left" vertical="center" wrapText="1"/>
    </xf>
    <xf numFmtId="195" fontId="257" fillId="6" borderId="1" xfId="18" applyNumberFormat="1" applyFont="1" applyFill="1" applyBorder="1" applyAlignment="1" applyProtection="1">
      <alignment horizontal="left" vertical="center" wrapText="1"/>
    </xf>
    <xf numFmtId="195" fontId="257" fillId="6" borderId="15" xfId="0" applyNumberFormat="1" applyFont="1" applyFill="1" applyBorder="1" applyAlignment="1" applyProtection="1">
      <alignment horizontal="left" vertical="center" wrapText="1"/>
    </xf>
    <xf numFmtId="195" fontId="257" fillId="6" borderId="13" xfId="0" applyNumberFormat="1" applyFont="1" applyFill="1" applyBorder="1" applyAlignment="1" applyProtection="1">
      <alignment horizontal="left" vertical="center" wrapText="1"/>
    </xf>
    <xf numFmtId="195" fontId="257" fillId="6" borderId="10" xfId="0" applyNumberFormat="1" applyFont="1" applyFill="1" applyBorder="1" applyAlignment="1" applyProtection="1">
      <alignment horizontal="left" vertical="center" wrapText="1"/>
    </xf>
    <xf numFmtId="195" fontId="257" fillId="6" borderId="24" xfId="0" applyNumberFormat="1" applyFont="1" applyFill="1" applyBorder="1" applyAlignment="1" applyProtection="1">
      <alignment horizontal="left" vertical="center" wrapText="1"/>
    </xf>
    <xf numFmtId="195" fontId="257" fillId="6" borderId="12" xfId="0" applyNumberFormat="1" applyFont="1" applyFill="1" applyBorder="1" applyAlignment="1" applyProtection="1">
      <alignment horizontal="left" vertical="center" wrapText="1"/>
    </xf>
    <xf numFmtId="195" fontId="257" fillId="6" borderId="49" xfId="0" applyNumberFormat="1" applyFont="1" applyFill="1" applyBorder="1" applyAlignment="1" applyProtection="1">
      <alignment horizontal="left" vertical="center" wrapText="1"/>
    </xf>
    <xf numFmtId="195" fontId="257" fillId="6" borderId="61" xfId="0" applyNumberFormat="1" applyFont="1" applyFill="1" applyBorder="1" applyAlignment="1" applyProtection="1">
      <alignment horizontal="left" vertical="center" wrapText="1"/>
    </xf>
    <xf numFmtId="195" fontId="257" fillId="6" borderId="6" xfId="0" applyNumberFormat="1" applyFont="1" applyFill="1" applyBorder="1" applyAlignment="1" applyProtection="1">
      <alignment horizontal="left" vertical="center" wrapText="1"/>
    </xf>
    <xf numFmtId="195" fontId="257" fillId="6" borderId="23" xfId="0" applyNumberFormat="1" applyFont="1" applyFill="1" applyBorder="1" applyAlignment="1" applyProtection="1">
      <alignment horizontal="left" vertical="center" wrapText="1"/>
    </xf>
    <xf numFmtId="195" fontId="257" fillId="6" borderId="25" xfId="0" applyNumberFormat="1" applyFont="1" applyFill="1" applyBorder="1" applyAlignment="1" applyProtection="1">
      <alignment horizontal="left" vertical="center" wrapText="1"/>
    </xf>
    <xf numFmtId="195" fontId="0" fillId="6" borderId="0" xfId="0" applyFill="1" applyAlignment="1">
      <alignment horizontal="left" vertical="center"/>
    </xf>
    <xf numFmtId="195" fontId="0" fillId="0" borderId="0" xfId="0" applyAlignment="1">
      <alignment horizontal="left" vertical="center"/>
    </xf>
    <xf numFmtId="195" fontId="123" fillId="6" borderId="0" xfId="0" applyFont="1" applyFill="1" applyAlignment="1" applyProtection="1">
      <alignment horizontal="left" vertical="center"/>
    </xf>
    <xf numFmtId="195" fontId="113" fillId="6" borderId="29" xfId="0" applyFont="1" applyFill="1" applyBorder="1" applyAlignment="1" applyProtection="1">
      <alignment horizontal="left" vertical="center"/>
    </xf>
    <xf numFmtId="195" fontId="113" fillId="6" borderId="40" xfId="0" applyFont="1" applyFill="1" applyBorder="1" applyAlignment="1" applyProtection="1">
      <alignment horizontal="left" vertical="center" wrapText="1"/>
    </xf>
    <xf numFmtId="195" fontId="113" fillId="6" borderId="13" xfId="0" applyFont="1" applyFill="1" applyBorder="1" applyAlignment="1" applyProtection="1">
      <alignment horizontal="left" vertical="center"/>
    </xf>
    <xf numFmtId="195" fontId="112" fillId="6" borderId="6" xfId="0" applyFont="1" applyFill="1" applyBorder="1" applyAlignment="1" applyProtection="1">
      <alignment horizontal="left" vertical="center" wrapText="1"/>
    </xf>
    <xf numFmtId="195"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195" fontId="112" fillId="6" borderId="23" xfId="0" applyFont="1" applyFill="1" applyBorder="1" applyAlignment="1" applyProtection="1">
      <alignment horizontal="left" vertical="center" wrapText="1"/>
    </xf>
    <xf numFmtId="195"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195" fontId="112" fillId="6" borderId="11" xfId="0" applyFont="1" applyFill="1" applyBorder="1" applyAlignment="1" applyProtection="1">
      <alignment horizontal="left" vertical="center" wrapText="1"/>
    </xf>
    <xf numFmtId="195"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195" fontId="262" fillId="6" borderId="1" xfId="0" applyFont="1" applyFill="1" applyBorder="1" applyAlignment="1">
      <alignment horizontal="left" vertical="center" wrapText="1"/>
    </xf>
    <xf numFmtId="195" fontId="262" fillId="6" borderId="13" xfId="0" applyFont="1" applyFill="1" applyBorder="1" applyAlignment="1">
      <alignment horizontal="left" vertical="center" wrapText="1"/>
    </xf>
    <xf numFmtId="195" fontId="260" fillId="6" borderId="6" xfId="0" applyFont="1" applyFill="1" applyBorder="1" applyAlignment="1" applyProtection="1">
      <alignment horizontal="left" vertical="center" wrapText="1"/>
    </xf>
    <xf numFmtId="195"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5"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5" fontId="260" fillId="6" borderId="1" xfId="18" applyFont="1" applyFill="1" applyBorder="1" applyAlignment="1" applyProtection="1">
      <alignment horizontal="left" vertical="center" wrapText="1"/>
    </xf>
    <xf numFmtId="195" fontId="260" fillId="6" borderId="25" xfId="0" applyFont="1" applyFill="1" applyBorder="1" applyAlignment="1" applyProtection="1">
      <alignment horizontal="left" vertical="center" wrapText="1"/>
    </xf>
    <xf numFmtId="195"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195" fontId="0" fillId="6" borderId="0" xfId="0" applyFill="1" applyAlignment="1" applyProtection="1">
      <alignment horizontal="left" vertical="center"/>
    </xf>
    <xf numFmtId="195" fontId="0" fillId="0" borderId="0" xfId="0" applyNumberFormat="1" applyAlignment="1">
      <alignment horizontal="left" vertical="center"/>
    </xf>
    <xf numFmtId="195" fontId="265"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97" fillId="0" borderId="0" xfId="0" applyNumberFormat="1" applyFont="1" applyFill="1" applyAlignment="1">
      <alignment horizontal="right" vertical="center"/>
    </xf>
    <xf numFmtId="195" fontId="266" fillId="0" borderId="1" xfId="0" applyNumberFormat="1" applyFont="1" applyFill="1" applyBorder="1" applyAlignment="1">
      <alignment horizontal="left" vertical="center"/>
    </xf>
    <xf numFmtId="195" fontId="266" fillId="0" borderId="1" xfId="0" applyNumberFormat="1" applyFont="1" applyFill="1" applyBorder="1" applyAlignment="1">
      <alignment horizontal="left" vertical="center" wrapText="1"/>
    </xf>
    <xf numFmtId="195" fontId="267" fillId="0" borderId="1" xfId="0" applyNumberFormat="1" applyFont="1" applyFill="1" applyBorder="1" applyAlignment="1">
      <alignment horizontal="left" vertical="center"/>
    </xf>
    <xf numFmtId="195"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195" fontId="100" fillId="6" borderId="0" xfId="0" applyNumberFormat="1" applyFont="1" applyFill="1" applyBorder="1" applyAlignment="1" applyProtection="1">
      <alignment horizontal="center" vertical="center"/>
    </xf>
    <xf numFmtId="195"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195" fontId="56" fillId="6" borderId="84" xfId="0" applyNumberFormat="1" applyFont="1" applyFill="1" applyBorder="1" applyAlignment="1" applyProtection="1">
      <alignment horizontal="left" vertical="center" wrapText="1"/>
    </xf>
    <xf numFmtId="195" fontId="55" fillId="0" borderId="34" xfId="0" applyNumberFormat="1" applyFont="1" applyFill="1" applyBorder="1" applyAlignment="1" applyProtection="1">
      <alignment horizontal="left" vertical="center" wrapText="1"/>
      <protection locked="0"/>
    </xf>
    <xf numFmtId="195" fontId="55" fillId="6" borderId="34" xfId="0" applyNumberFormat="1" applyFont="1" applyFill="1" applyBorder="1" applyAlignment="1" applyProtection="1">
      <alignment horizontal="left" vertical="center" wrapText="1"/>
    </xf>
    <xf numFmtId="195" fontId="21" fillId="6" borderId="3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wrapText="1"/>
      <protection locked="0"/>
    </xf>
    <xf numFmtId="195" fontId="55" fillId="6" borderId="65"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protection locked="0"/>
    </xf>
    <xf numFmtId="195" fontId="50" fillId="6" borderId="4" xfId="0" applyNumberFormat="1" applyFont="1" applyFill="1" applyBorder="1" applyAlignment="1" applyProtection="1">
      <alignment horizontal="left" vertical="center"/>
    </xf>
    <xf numFmtId="195" fontId="53" fillId="6" borderId="0" xfId="0" applyNumberFormat="1" applyFont="1" applyFill="1" applyAlignment="1" applyProtection="1">
      <alignment horizontal="left" vertical="center" wrapText="1"/>
    </xf>
    <xf numFmtId="195" fontId="55" fillId="6" borderId="0" xfId="0" applyNumberFormat="1" applyFont="1" applyFill="1" applyBorder="1" applyAlignment="1" applyProtection="1">
      <alignment horizontal="left" vertical="center" wrapText="1"/>
    </xf>
    <xf numFmtId="195" fontId="115" fillId="6" borderId="60" xfId="0" applyNumberFormat="1" applyFont="1" applyFill="1" applyBorder="1" applyAlignment="1" applyProtection="1">
      <alignment horizontal="left" vertical="center"/>
    </xf>
    <xf numFmtId="195" fontId="115" fillId="6" borderId="71" xfId="0" applyNumberFormat="1" applyFont="1" applyFill="1" applyBorder="1" applyAlignment="1" applyProtection="1">
      <alignment horizontal="left" vertical="center"/>
    </xf>
    <xf numFmtId="195" fontId="55" fillId="0" borderId="13" xfId="0" applyNumberFormat="1" applyFont="1" applyFill="1" applyBorder="1" applyAlignment="1" applyProtection="1">
      <alignment horizontal="left" vertical="center" wrapText="1"/>
      <protection locked="0"/>
    </xf>
    <xf numFmtId="195" fontId="55" fillId="0" borderId="61" xfId="0" applyNumberFormat="1" applyFont="1" applyFill="1" applyBorder="1" applyAlignment="1" applyProtection="1">
      <alignment horizontal="left" vertical="center" wrapText="1"/>
      <protection locked="0"/>
    </xf>
    <xf numFmtId="195" fontId="101" fillId="6" borderId="15" xfId="0" applyFont="1" applyFill="1" applyBorder="1" applyAlignment="1" applyProtection="1">
      <alignment horizontal="left" vertical="center" wrapText="1"/>
    </xf>
    <xf numFmtId="195" fontId="82" fillId="6" borderId="9" xfId="0" applyNumberFormat="1" applyFont="1" applyFill="1" applyBorder="1" applyAlignment="1" applyProtection="1">
      <alignment horizontal="left" vertical="center" wrapText="1"/>
    </xf>
    <xf numFmtId="195" fontId="21" fillId="6" borderId="9" xfId="0" applyNumberFormat="1" applyFont="1" applyFill="1" applyBorder="1" applyAlignment="1" applyProtection="1">
      <alignment horizontal="left" vertical="center" wrapText="1"/>
      <protection locked="0"/>
    </xf>
    <xf numFmtId="195" fontId="21" fillId="6" borderId="1" xfId="0" applyNumberFormat="1" applyFont="1" applyFill="1" applyBorder="1" applyAlignment="1" applyProtection="1">
      <alignment horizontal="left" vertical="center"/>
    </xf>
    <xf numFmtId="195" fontId="21" fillId="6" borderId="1" xfId="0" applyNumberFormat="1" applyFont="1" applyFill="1" applyBorder="1" applyAlignment="1" applyProtection="1">
      <alignment horizontal="left" vertical="center" wrapText="1"/>
    </xf>
    <xf numFmtId="195" fontId="56" fillId="6" borderId="2" xfId="0" applyFont="1" applyFill="1" applyBorder="1" applyAlignment="1" applyProtection="1">
      <alignment horizontal="center" vertical="center" wrapText="1"/>
    </xf>
    <xf numFmtId="195" fontId="55" fillId="5" borderId="2" xfId="0" applyFont="1" applyFill="1" applyBorder="1" applyAlignment="1" applyProtection="1">
      <alignment horizontal="center" vertical="center" wrapText="1"/>
      <protection locked="0"/>
    </xf>
    <xf numFmtId="195" fontId="55" fillId="5" borderId="4" xfId="0" applyFont="1" applyFill="1" applyBorder="1" applyAlignment="1" applyProtection="1">
      <alignment horizontal="center" vertical="center" wrapText="1"/>
      <protection locked="0"/>
    </xf>
    <xf numFmtId="195" fontId="55" fillId="6" borderId="1"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195" fontId="55" fillId="6" borderId="9" xfId="0" applyNumberFormat="1" applyFont="1" applyFill="1" applyBorder="1" applyAlignment="1" applyProtection="1">
      <alignment horizontal="left" vertical="center" wrapText="1"/>
      <protection locked="0"/>
    </xf>
    <xf numFmtId="195"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195"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195" fontId="101" fillId="6" borderId="32" xfId="0" applyFont="1" applyFill="1" applyBorder="1" applyAlignment="1" applyProtection="1">
      <alignment horizontal="left" vertical="center" wrapText="1"/>
    </xf>
    <xf numFmtId="195" fontId="55" fillId="6" borderId="32" xfId="0" applyNumberFormat="1" applyFont="1" applyFill="1" applyBorder="1" applyAlignment="1" applyProtection="1">
      <alignment horizontal="left" vertical="center" wrapText="1"/>
      <protection locked="0"/>
    </xf>
    <xf numFmtId="195" fontId="55" fillId="0" borderId="32" xfId="0" applyNumberFormat="1" applyFont="1" applyFill="1" applyBorder="1" applyAlignment="1" applyProtection="1">
      <alignment horizontal="left" vertical="center" wrapText="1"/>
      <protection locked="0"/>
    </xf>
    <xf numFmtId="195" fontId="21" fillId="6" borderId="32" xfId="0" applyNumberFormat="1" applyFont="1" applyFill="1" applyBorder="1" applyAlignment="1" applyProtection="1">
      <alignment horizontal="left" vertical="center" wrapText="1"/>
      <protection locked="0"/>
    </xf>
    <xf numFmtId="195" fontId="55" fillId="6" borderId="49" xfId="0" applyNumberFormat="1" applyFont="1" applyFill="1" applyBorder="1" applyAlignment="1" applyProtection="1">
      <alignment horizontal="left" vertical="center" wrapText="1"/>
      <protection locked="0"/>
    </xf>
    <xf numFmtId="195" fontId="55" fillId="6" borderId="28" xfId="0" applyFont="1" applyFill="1" applyBorder="1" applyAlignment="1" applyProtection="1">
      <alignment vertical="center" wrapText="1"/>
    </xf>
    <xf numFmtId="195" fontId="55" fillId="6" borderId="30" xfId="0" applyFont="1" applyFill="1" applyBorder="1" applyAlignment="1" applyProtection="1">
      <alignment vertical="center" wrapText="1"/>
    </xf>
    <xf numFmtId="195"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195" fontId="53" fillId="6" borderId="1" xfId="0" applyNumberFormat="1" applyFont="1" applyFill="1" applyBorder="1" applyAlignment="1" applyProtection="1">
      <alignment horizontal="left" vertical="center" wrapText="1"/>
    </xf>
    <xf numFmtId="195" fontId="79" fillId="6" borderId="5" xfId="0" applyFont="1" applyFill="1" applyBorder="1" applyAlignment="1" applyProtection="1">
      <alignment vertical="center"/>
    </xf>
    <xf numFmtId="195" fontId="21" fillId="6" borderId="20" xfId="0" applyFont="1" applyFill="1" applyBorder="1" applyAlignment="1" applyProtection="1">
      <alignment vertical="center"/>
    </xf>
    <xf numFmtId="195" fontId="55" fillId="6" borderId="24"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xf>
    <xf numFmtId="195" fontId="55" fillId="7" borderId="0" xfId="0" applyNumberFormat="1" applyFont="1" applyFill="1" applyAlignment="1" applyProtection="1">
      <alignment horizontal="left" vertical="center" wrapText="1"/>
    </xf>
    <xf numFmtId="195" fontId="55" fillId="6" borderId="6" xfId="0" applyFont="1" applyFill="1" applyBorder="1" applyAlignment="1" applyProtection="1">
      <alignment horizontal="left" vertical="center" wrapText="1"/>
    </xf>
    <xf numFmtId="195" fontId="55" fillId="6" borderId="9" xfId="0" applyFont="1" applyFill="1" applyBorder="1" applyAlignment="1" applyProtection="1">
      <alignment horizontal="left" vertical="center" wrapText="1"/>
    </xf>
    <xf numFmtId="195"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195" fontId="55" fillId="7" borderId="0" xfId="0" applyNumberFormat="1" applyFont="1" applyFill="1" applyAlignment="1" applyProtection="1">
      <alignment horizontal="left" vertical="center" wrapText="1"/>
      <protection locked="0"/>
    </xf>
    <xf numFmtId="195" fontId="55" fillId="6" borderId="32"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protection locked="0"/>
    </xf>
    <xf numFmtId="195" fontId="55" fillId="6" borderId="23" xfId="0" applyNumberFormat="1" applyFont="1" applyFill="1" applyBorder="1" applyAlignment="1" applyProtection="1">
      <alignment horizontal="left" vertical="center"/>
    </xf>
    <xf numFmtId="195" fontId="60" fillId="6" borderId="1" xfId="8" applyNumberFormat="1" applyFont="1" applyFill="1" applyBorder="1" applyAlignment="1" applyProtection="1">
      <alignment horizontal="left" vertical="center" wrapText="1"/>
    </xf>
    <xf numFmtId="195" fontId="101" fillId="6" borderId="1" xfId="8" applyNumberFormat="1" applyFont="1" applyFill="1" applyBorder="1" applyAlignment="1" applyProtection="1">
      <alignment horizontal="left" vertical="center"/>
    </xf>
    <xf numFmtId="195" fontId="115" fillId="0" borderId="1" xfId="8" applyNumberFormat="1" applyFont="1" applyFill="1" applyBorder="1" applyAlignment="1" applyProtection="1">
      <alignment horizontal="left" vertical="center"/>
      <protection locked="0"/>
    </xf>
    <xf numFmtId="195" fontId="115" fillId="6" borderId="1" xfId="8" applyNumberFormat="1" applyFont="1" applyFill="1" applyBorder="1" applyAlignment="1" applyProtection="1">
      <alignment horizontal="left" vertical="center"/>
    </xf>
    <xf numFmtId="195" fontId="115" fillId="6" borderId="1" xfId="8" applyNumberFormat="1" applyFont="1" applyFill="1" applyBorder="1" applyAlignment="1" applyProtection="1">
      <alignment horizontal="left" vertical="center" wrapText="1"/>
    </xf>
    <xf numFmtId="195"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195" fontId="124" fillId="6" borderId="23" xfId="0" applyNumberFormat="1" applyFont="1" applyFill="1" applyBorder="1" applyAlignment="1" applyProtection="1">
      <alignment horizontal="left" vertical="center" wrapText="1"/>
    </xf>
    <xf numFmtId="195" fontId="101" fillId="6" borderId="0" xfId="0" applyNumberFormat="1" applyFont="1" applyFill="1" applyBorder="1" applyAlignment="1" applyProtection="1">
      <alignment horizontal="center" vertical="center" wrapText="1"/>
    </xf>
    <xf numFmtId="195"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195" fontId="111" fillId="6" borderId="51" xfId="0" applyNumberFormat="1" applyFont="1" applyFill="1" applyBorder="1" applyAlignment="1" applyProtection="1">
      <alignment horizontal="left" vertical="center"/>
    </xf>
    <xf numFmtId="195" fontId="206" fillId="6" borderId="19" xfId="0" applyNumberFormat="1" applyFont="1" applyFill="1" applyBorder="1" applyAlignment="1" applyProtection="1">
      <alignment horizontal="left" vertical="center" wrapText="1"/>
    </xf>
    <xf numFmtId="195" fontId="101" fillId="6" borderId="23" xfId="0" applyNumberFormat="1" applyFont="1" applyFill="1" applyBorder="1" applyAlignment="1" applyProtection="1">
      <alignment horizontal="left" vertical="center" wrapText="1"/>
    </xf>
    <xf numFmtId="195" fontId="101" fillId="6" borderId="25" xfId="0" applyNumberFormat="1" applyFont="1" applyFill="1" applyBorder="1" applyAlignment="1" applyProtection="1">
      <alignment horizontal="left" vertical="center" wrapText="1"/>
    </xf>
    <xf numFmtId="195" fontId="115" fillId="6" borderId="58" xfId="0" applyNumberFormat="1" applyFont="1" applyFill="1" applyBorder="1" applyAlignment="1" applyProtection="1">
      <alignment horizontal="left" vertical="center" wrapText="1"/>
    </xf>
    <xf numFmtId="195" fontId="55" fillId="6" borderId="61" xfId="0" applyNumberFormat="1" applyFont="1" applyFill="1" applyBorder="1" applyAlignment="1" applyProtection="1">
      <alignment horizontal="left" vertical="center" wrapText="1"/>
    </xf>
    <xf numFmtId="195" fontId="55" fillId="6" borderId="53" xfId="0" applyNumberFormat="1" applyFont="1" applyFill="1" applyBorder="1" applyAlignment="1" applyProtection="1">
      <alignment horizontal="left" vertical="center" wrapText="1"/>
    </xf>
    <xf numFmtId="195" fontId="55" fillId="6" borderId="76" xfId="0" applyNumberFormat="1" applyFont="1" applyFill="1" applyBorder="1" applyAlignment="1" applyProtection="1">
      <alignment horizontal="left" vertical="center" wrapText="1"/>
    </xf>
    <xf numFmtId="195" fontId="170" fillId="0" borderId="1" xfId="0" applyNumberFormat="1" applyFont="1" applyFill="1" applyBorder="1" applyAlignment="1" applyProtection="1">
      <alignment horizontal="left" vertical="center" wrapText="1"/>
      <protection locked="0"/>
    </xf>
    <xf numFmtId="195"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195" fontId="115" fillId="6" borderId="1" xfId="0" applyNumberFormat="1" applyFont="1" applyFill="1" applyBorder="1" applyAlignment="1" applyProtection="1">
      <alignment horizontal="left" vertical="center" wrapText="1"/>
    </xf>
    <xf numFmtId="195" fontId="46" fillId="6" borderId="1" xfId="0" applyNumberFormat="1" applyFont="1" applyFill="1" applyBorder="1" applyAlignment="1" applyProtection="1">
      <alignment horizontal="left" vertical="center" wrapText="1"/>
    </xf>
    <xf numFmtId="195" fontId="104" fillId="6" borderId="0" xfId="0" applyNumberFormat="1" applyFont="1" applyFill="1" applyAlignment="1" applyProtection="1">
      <alignment horizontal="left" vertical="center"/>
    </xf>
    <xf numFmtId="195" fontId="101" fillId="6" borderId="5" xfId="0" applyNumberFormat="1" applyFont="1" applyFill="1" applyBorder="1" applyAlignment="1" applyProtection="1">
      <alignment horizontal="left" vertical="center"/>
    </xf>
    <xf numFmtId="195" fontId="101" fillId="6" borderId="54" xfId="0" applyNumberFormat="1" applyFont="1" applyFill="1" applyBorder="1" applyAlignment="1" applyProtection="1">
      <alignment horizontal="left" vertical="center"/>
    </xf>
    <xf numFmtId="195" fontId="101" fillId="6" borderId="3" xfId="0" applyNumberFormat="1" applyFont="1" applyFill="1" applyBorder="1" applyAlignment="1" applyProtection="1">
      <alignment horizontal="left" vertical="center"/>
    </xf>
    <xf numFmtId="195" fontId="101" fillId="6" borderId="0" xfId="0" applyNumberFormat="1" applyFont="1" applyFill="1" applyBorder="1" applyAlignment="1" applyProtection="1">
      <alignment horizontal="left" vertical="center"/>
    </xf>
    <xf numFmtId="195" fontId="101" fillId="6" borderId="1" xfId="0" applyNumberFormat="1" applyFont="1" applyFill="1" applyBorder="1" applyAlignment="1" applyProtection="1">
      <alignment horizontal="left" vertical="center"/>
    </xf>
    <xf numFmtId="195" fontId="115" fillId="6" borderId="1"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0" borderId="0" xfId="0" applyNumberFormat="1" applyFont="1" applyAlignment="1" applyProtection="1">
      <alignment horizontal="left" vertical="center" wrapText="1"/>
      <protection locked="0"/>
    </xf>
    <xf numFmtId="195" fontId="55" fillId="6" borderId="15" xfId="0" applyNumberFormat="1" applyFont="1" applyFill="1" applyBorder="1" applyAlignment="1" applyProtection="1">
      <alignment horizontal="left" vertical="center" wrapText="1"/>
    </xf>
    <xf numFmtId="195" fontId="55" fillId="6" borderId="17" xfId="0" applyNumberFormat="1" applyFont="1" applyFill="1" applyBorder="1" applyAlignment="1" applyProtection="1">
      <alignment horizontal="left" vertical="center" wrapText="1"/>
    </xf>
    <xf numFmtId="195" fontId="115" fillId="6" borderId="19" xfId="0" applyNumberFormat="1" applyFont="1" applyFill="1" applyBorder="1" applyAlignment="1" applyProtection="1">
      <alignment horizontal="left" vertical="center" wrapText="1"/>
    </xf>
    <xf numFmtId="195" fontId="172" fillId="6" borderId="1" xfId="3" applyNumberFormat="1" applyFont="1" applyFill="1" applyBorder="1" applyAlignment="1" applyProtection="1">
      <alignment horizontal="left" vertical="center"/>
    </xf>
    <xf numFmtId="195" fontId="100" fillId="0" borderId="0" xfId="0" applyNumberFormat="1" applyFont="1" applyAlignment="1" applyProtection="1">
      <alignment horizontal="left" vertical="center"/>
    </xf>
    <xf numFmtId="195" fontId="55" fillId="6" borderId="16" xfId="0" applyNumberFormat="1" applyFont="1" applyFill="1" applyBorder="1" applyAlignment="1" applyProtection="1">
      <alignment horizontal="left" vertical="center" wrapText="1"/>
    </xf>
    <xf numFmtId="195" fontId="55" fillId="6" borderId="9"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wrapText="1"/>
    </xf>
    <xf numFmtId="195" fontId="55" fillId="6" borderId="17" xfId="3" applyNumberFormat="1" applyFont="1" applyFill="1" applyBorder="1" applyAlignment="1" applyProtection="1">
      <alignment horizontal="left" vertical="center"/>
    </xf>
    <xf numFmtId="195" fontId="55" fillId="6" borderId="62" xfId="3" applyNumberFormat="1" applyFont="1" applyFill="1" applyBorder="1" applyAlignment="1" applyProtection="1">
      <alignment horizontal="left" vertical="center"/>
    </xf>
    <xf numFmtId="195" fontId="55" fillId="6" borderId="23" xfId="0" applyNumberFormat="1" applyFont="1" applyFill="1" applyBorder="1" applyAlignment="1" applyProtection="1">
      <alignment horizontal="left" vertical="center" wrapText="1"/>
    </xf>
    <xf numFmtId="195" fontId="115" fillId="6" borderId="24" xfId="0" applyNumberFormat="1" applyFont="1" applyFill="1" applyBorder="1" applyAlignment="1" applyProtection="1">
      <alignment horizontal="left" vertical="center" wrapText="1"/>
    </xf>
    <xf numFmtId="195" fontId="55" fillId="6" borderId="25" xfId="0" applyNumberFormat="1" applyFont="1" applyFill="1" applyBorder="1" applyAlignment="1" applyProtection="1">
      <alignment horizontal="left" vertical="center" wrapText="1"/>
    </xf>
    <xf numFmtId="195" fontId="115" fillId="6" borderId="32" xfId="0" applyNumberFormat="1" applyFont="1" applyFill="1" applyBorder="1" applyAlignment="1" applyProtection="1">
      <alignment horizontal="left" vertical="center" wrapText="1"/>
    </xf>
    <xf numFmtId="195" fontId="115" fillId="6" borderId="49" xfId="0" applyNumberFormat="1" applyFont="1" applyFill="1" applyBorder="1" applyAlignment="1" applyProtection="1">
      <alignment horizontal="left" vertical="center" wrapText="1"/>
    </xf>
    <xf numFmtId="195"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195" fontId="60" fillId="0" borderId="1" xfId="8" applyFont="1" applyFill="1" applyBorder="1" applyAlignment="1" applyProtection="1">
      <alignment horizontal="center" vertical="center" wrapText="1"/>
    </xf>
    <xf numFmtId="195"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195" fontId="55" fillId="5" borderId="1" xfId="0" applyNumberFormat="1" applyFont="1" applyFill="1" applyBorder="1" applyAlignment="1" applyProtection="1">
      <alignment horizontal="left" vertical="center" wrapText="1"/>
      <protection locked="0"/>
    </xf>
    <xf numFmtId="195"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195"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195" fontId="140" fillId="7" borderId="0" xfId="0" applyFont="1" applyFill="1" applyAlignment="1" applyProtection="1">
      <protection locked="0"/>
    </xf>
    <xf numFmtId="195" fontId="79" fillId="6" borderId="0" xfId="0" applyFont="1" applyFill="1" applyAlignment="1" applyProtection="1">
      <protection locked="0"/>
    </xf>
    <xf numFmtId="195"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195" fontId="145" fillId="11" borderId="125" xfId="9" applyFont="1" applyFill="1" applyBorder="1" applyAlignment="1" applyProtection="1">
      <alignment horizontal="left" vertical="center" wrapText="1"/>
    </xf>
    <xf numFmtId="195" fontId="110" fillId="6" borderId="16" xfId="0" applyNumberFormat="1" applyFont="1" applyFill="1" applyBorder="1" applyAlignment="1" applyProtection="1">
      <alignment horizontal="left" vertical="center"/>
    </xf>
    <xf numFmtId="195" fontId="0" fillId="6" borderId="0" xfId="0" applyNumberFormat="1" applyFill="1" applyAlignment="1" applyProtection="1">
      <alignment horizontal="left" vertical="center"/>
    </xf>
    <xf numFmtId="195" fontId="248" fillId="6" borderId="1" xfId="0" applyNumberFormat="1" applyFont="1" applyFill="1" applyBorder="1" applyAlignment="1" applyProtection="1">
      <alignment horizontal="left" vertical="center"/>
    </xf>
    <xf numFmtId="195" fontId="97" fillId="6" borderId="1" xfId="0" applyNumberFormat="1" applyFont="1" applyFill="1" applyBorder="1" applyAlignment="1" applyProtection="1">
      <alignment horizontal="left" vertical="center"/>
    </xf>
    <xf numFmtId="195"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195"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195" fontId="161" fillId="6" borderId="1" xfId="12" applyFill="1" applyBorder="1" applyAlignment="1" applyProtection="1">
      <alignment horizontal="left"/>
    </xf>
    <xf numFmtId="195"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195" fontId="270" fillId="0" borderId="0" xfId="9" applyNumberFormat="1" applyFont="1" applyAlignment="1" applyProtection="1">
      <alignment vertical="center"/>
    </xf>
    <xf numFmtId="195" fontId="130" fillId="0" borderId="44" xfId="0" applyNumberFormat="1" applyFont="1" applyFill="1" applyBorder="1" applyAlignment="1" applyProtection="1">
      <alignment horizontal="center" vertical="center" wrapText="1"/>
      <protection locked="0"/>
    </xf>
    <xf numFmtId="195" fontId="79" fillId="7" borderId="60" xfId="0" applyFont="1" applyFill="1" applyBorder="1" applyAlignment="1" applyProtection="1">
      <alignment vertical="center" wrapText="1"/>
      <protection locked="0"/>
    </xf>
    <xf numFmtId="49" fontId="21" fillId="22" borderId="1" xfId="19" applyNumberFormat="1" applyFont="1" applyFill="1" applyBorder="1" applyAlignment="1" applyProtection="1">
      <alignment horizontal="left"/>
      <protection locked="0"/>
    </xf>
    <xf numFmtId="195" fontId="21" fillId="22" borderId="1" xfId="19" applyFont="1" applyFill="1" applyBorder="1" applyAlignment="1" applyProtection="1">
      <alignment horizontal="center"/>
      <protection locked="0"/>
    </xf>
    <xf numFmtId="49" fontId="21" fillId="22" borderId="1" xfId="19" applyNumberFormat="1" applyFont="1" applyFill="1" applyBorder="1" applyAlignment="1" applyProtection="1">
      <alignment horizontal="center"/>
      <protection locked="0"/>
    </xf>
    <xf numFmtId="195" fontId="21" fillId="22" borderId="1" xfId="19" applyFont="1" applyFill="1" applyBorder="1" applyAlignment="1" applyProtection="1">
      <protection locked="0"/>
    </xf>
    <xf numFmtId="195" fontId="21" fillId="22" borderId="1" xfId="19" applyFont="1" applyFill="1" applyBorder="1" applyAlignment="1" applyProtection="1">
      <alignment horizontal="left"/>
      <protection locked="0"/>
    </xf>
    <xf numFmtId="195" fontId="21" fillId="22" borderId="1" xfId="19" applyFont="1" applyFill="1" applyBorder="1" applyAlignment="1" applyProtection="1">
      <alignment horizontal="right"/>
      <protection locked="0"/>
    </xf>
    <xf numFmtId="195" fontId="21" fillId="22" borderId="1" xfId="19" applyNumberFormat="1" applyFont="1" applyFill="1" applyBorder="1" applyAlignment="1" applyProtection="1">
      <alignment horizontal="center"/>
      <protection locked="0"/>
    </xf>
    <xf numFmtId="195" fontId="21" fillId="22" borderId="1" xfId="19" applyNumberFormat="1" applyFont="1" applyFill="1" applyBorder="1" applyAlignment="1" applyProtection="1">
      <alignment horizontal="right"/>
      <protection locked="0"/>
    </xf>
    <xf numFmtId="31" fontId="21" fillId="22" borderId="1" xfId="19" applyNumberFormat="1" applyFont="1" applyFill="1" applyBorder="1" applyAlignment="1" applyProtection="1">
      <protection locked="0"/>
    </xf>
    <xf numFmtId="195" fontId="82" fillId="22" borderId="1" xfId="19" applyFont="1" applyFill="1" applyBorder="1" applyAlignment="1" applyProtection="1">
      <alignment horizontal="center"/>
      <protection locked="0"/>
    </xf>
    <xf numFmtId="195" fontId="82" fillId="22" borderId="1" xfId="19" applyFont="1" applyFill="1" applyBorder="1" applyAlignment="1">
      <alignment horizontal="center"/>
    </xf>
    <xf numFmtId="195" fontId="21" fillId="23" borderId="1" xfId="19" applyFont="1" applyFill="1" applyBorder="1" applyAlignment="1" applyProtection="1">
      <protection locked="0"/>
    </xf>
    <xf numFmtId="49" fontId="21" fillId="23" borderId="1" xfId="19" applyNumberFormat="1" applyFont="1" applyFill="1" applyBorder="1" applyAlignment="1" applyProtection="1">
      <protection locked="0"/>
    </xf>
    <xf numFmtId="194" fontId="21" fillId="23" borderId="1" xfId="19" applyNumberFormat="1" applyFont="1" applyFill="1" applyBorder="1" applyAlignment="1" applyProtection="1">
      <protection locked="0"/>
    </xf>
    <xf numFmtId="179" fontId="21" fillId="23" borderId="1" xfId="19" applyNumberFormat="1" applyFont="1" applyFill="1" applyBorder="1" applyAlignment="1" applyProtection="1">
      <protection locked="0"/>
    </xf>
    <xf numFmtId="31" fontId="21" fillId="23" borderId="1" xfId="19" applyNumberFormat="1" applyFont="1" applyFill="1" applyBorder="1" applyAlignment="1" applyProtection="1">
      <protection locked="0"/>
    </xf>
    <xf numFmtId="183" fontId="82" fillId="22" borderId="1" xfId="19" applyNumberFormat="1" applyFont="1" applyFill="1" applyBorder="1" applyAlignment="1" applyProtection="1">
      <alignment horizontal="center"/>
      <protection locked="0"/>
    </xf>
    <xf numFmtId="183" fontId="178" fillId="22" borderId="1" xfId="19" applyNumberFormat="1" applyFont="1" applyFill="1" applyBorder="1" applyAlignment="1" applyProtection="1">
      <alignment horizontal="center"/>
      <protection locked="0"/>
    </xf>
    <xf numFmtId="195" fontId="82" fillId="24" borderId="1" xfId="19" applyFont="1" applyFill="1" applyBorder="1" applyAlignment="1" applyProtection="1">
      <alignment horizontal="center"/>
      <protection locked="0"/>
    </xf>
    <xf numFmtId="195" fontId="21" fillId="0" borderId="1" xfId="19" applyFont="1" applyFill="1" applyBorder="1" applyAlignment="1" applyProtection="1">
      <protection locked="0"/>
    </xf>
    <xf numFmtId="49" fontId="82" fillId="22" borderId="1" xfId="19" applyNumberFormat="1" applyFont="1" applyFill="1" applyBorder="1" applyAlignment="1" applyProtection="1">
      <alignment horizontal="center"/>
      <protection locked="0"/>
    </xf>
    <xf numFmtId="195" fontId="82" fillId="22" borderId="1" xfId="19" applyNumberFormat="1" applyFont="1" applyFill="1" applyBorder="1" applyAlignment="1" applyProtection="1">
      <alignment horizontal="center"/>
      <protection locked="0"/>
    </xf>
    <xf numFmtId="31" fontId="82" fillId="22" borderId="1" xfId="19" applyNumberFormat="1" applyFont="1" applyFill="1" applyBorder="1" applyAlignment="1" applyProtection="1">
      <alignment horizontal="center"/>
      <protection locked="0"/>
    </xf>
    <xf numFmtId="195" fontId="178" fillId="22" borderId="1" xfId="19" applyFont="1" applyFill="1" applyBorder="1" applyAlignment="1" applyProtection="1">
      <alignment horizontal="center"/>
      <protection locked="0"/>
    </xf>
    <xf numFmtId="195" fontId="82" fillId="23" borderId="1" xfId="19" applyFont="1" applyFill="1" applyBorder="1" applyAlignment="1" applyProtection="1">
      <alignment horizontal="center"/>
      <protection locked="0"/>
    </xf>
    <xf numFmtId="46" fontId="82" fillId="23" borderId="1" xfId="19" applyNumberFormat="1" applyFont="1" applyFill="1" applyBorder="1" applyAlignment="1" applyProtection="1">
      <alignment horizontal="center"/>
      <protection locked="0"/>
    </xf>
    <xf numFmtId="49" fontId="82" fillId="23" borderId="1" xfId="19" applyNumberFormat="1" applyFont="1" applyFill="1" applyBorder="1" applyAlignment="1" applyProtection="1">
      <alignment horizontal="center"/>
      <protection locked="0"/>
    </xf>
    <xf numFmtId="194" fontId="82" fillId="23" borderId="1" xfId="19" applyNumberFormat="1" applyFont="1" applyFill="1" applyBorder="1" applyAlignment="1" applyProtection="1">
      <alignment horizontal="center"/>
      <protection locked="0"/>
    </xf>
    <xf numFmtId="179" fontId="82" fillId="23" borderId="1" xfId="19" applyNumberFormat="1" applyFont="1" applyFill="1" applyBorder="1" applyAlignment="1" applyProtection="1">
      <alignment horizontal="center"/>
      <protection locked="0"/>
    </xf>
    <xf numFmtId="31" fontId="82" fillId="23" borderId="1" xfId="19" applyNumberFormat="1" applyFont="1" applyFill="1" applyBorder="1" applyAlignment="1" applyProtection="1">
      <alignment horizontal="center"/>
      <protection locked="0"/>
    </xf>
    <xf numFmtId="195" fontId="82" fillId="0" borderId="1" xfId="19" applyFont="1" applyFill="1" applyBorder="1" applyAlignment="1" applyProtection="1">
      <alignment horizontal="center"/>
      <protection locked="0"/>
    </xf>
    <xf numFmtId="195" fontId="21" fillId="0" borderId="1" xfId="19" applyFont="1" applyFill="1" applyBorder="1" applyAlignment="1">
      <alignment horizontal="left"/>
    </xf>
    <xf numFmtId="49" fontId="21" fillId="0" borderId="1" xfId="19" applyNumberFormat="1" applyFont="1" applyFill="1" applyBorder="1" applyAlignment="1">
      <alignment horizontal="left"/>
    </xf>
    <xf numFmtId="49" fontId="21" fillId="0" borderId="1" xfId="19" applyNumberFormat="1" applyFont="1" applyFill="1" applyBorder="1" applyAlignment="1">
      <alignment horizontal="center"/>
    </xf>
    <xf numFmtId="195" fontId="21" fillId="0" borderId="1" xfId="19" applyFont="1" applyFill="1" applyBorder="1" applyAlignment="1">
      <alignment horizontal="center"/>
    </xf>
    <xf numFmtId="1" fontId="21" fillId="0" borderId="1" xfId="19" applyNumberFormat="1" applyFont="1" applyFill="1" applyBorder="1" applyAlignment="1">
      <alignment horizontal="center"/>
    </xf>
    <xf numFmtId="2"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9" fontId="21" fillId="0" borderId="1" xfId="19" applyNumberFormat="1" applyFont="1" applyFill="1" applyBorder="1" applyAlignment="1">
      <alignment horizontal="center"/>
    </xf>
    <xf numFmtId="31"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195" fontId="21" fillId="0" borderId="1" xfId="19" applyFont="1" applyFill="1" applyBorder="1" applyAlignment="1" applyProtection="1">
      <alignment horizontal="left"/>
      <protection locked="0"/>
    </xf>
    <xf numFmtId="46" fontId="21" fillId="0" borderId="1" xfId="19" applyNumberFormat="1" applyFont="1" applyFill="1" applyBorder="1" applyAlignment="1" applyProtection="1">
      <alignment horizontal="left"/>
      <protection locked="0"/>
    </xf>
    <xf numFmtId="49" fontId="21" fillId="0" borderId="1" xfId="19" applyNumberFormat="1" applyFont="1" applyFill="1" applyBorder="1" applyAlignment="1" applyProtection="1">
      <alignment horizontal="left"/>
      <protection locked="0"/>
    </xf>
    <xf numFmtId="194" fontId="21" fillId="0" borderId="1" xfId="19" applyNumberFormat="1" applyFont="1" applyFill="1" applyBorder="1" applyAlignment="1" applyProtection="1">
      <alignment horizontal="left"/>
      <protection locked="0"/>
    </xf>
    <xf numFmtId="176" fontId="21" fillId="0" borderId="1" xfId="19" applyNumberFormat="1" applyFont="1" applyFill="1" applyBorder="1" applyAlignment="1" applyProtection="1">
      <alignment horizontal="left"/>
      <protection locked="0"/>
    </xf>
    <xf numFmtId="31" fontId="21" fillId="0" borderId="1" xfId="19" applyNumberFormat="1" applyFont="1" applyFill="1" applyBorder="1" applyAlignment="1" applyProtection="1">
      <alignment horizontal="left"/>
      <protection locked="0"/>
    </xf>
    <xf numFmtId="195" fontId="21" fillId="0" borderId="1" xfId="19" applyFont="1" applyFill="1" applyBorder="1" applyAlignment="1" applyProtection="1">
      <alignment horizontal="center"/>
      <protection locked="0"/>
    </xf>
    <xf numFmtId="195" fontId="21" fillId="0" borderId="1" xfId="19" applyFont="1" applyFill="1" applyBorder="1" applyAlignment="1"/>
    <xf numFmtId="177" fontId="21" fillId="0" borderId="1" xfId="19" applyNumberFormat="1" applyFont="1" applyFill="1" applyBorder="1" applyAlignment="1" applyProtection="1">
      <alignment horizontal="left"/>
    </xf>
    <xf numFmtId="2" fontId="21" fillId="0" borderId="1" xfId="19" applyNumberFormat="1" applyFont="1" applyFill="1" applyBorder="1" applyAlignment="1">
      <alignment horizontal="right"/>
    </xf>
    <xf numFmtId="195" fontId="21" fillId="0" borderId="1" xfId="19" applyNumberFormat="1" applyFont="1" applyFill="1" applyBorder="1" applyAlignment="1">
      <alignment horizontal="right"/>
    </xf>
    <xf numFmtId="9" fontId="21" fillId="0" borderId="1" xfId="19" applyNumberFormat="1" applyFont="1" applyFill="1" applyBorder="1" applyAlignment="1"/>
    <xf numFmtId="2"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right"/>
    </xf>
    <xf numFmtId="195" fontId="21" fillId="0" borderId="1" xfId="19" applyFont="1" applyFill="1" applyBorder="1" applyAlignment="1" applyProtection="1">
      <alignment horizontal="right"/>
    </xf>
    <xf numFmtId="31" fontId="21" fillId="0" borderId="1" xfId="19" applyNumberFormat="1" applyFont="1" applyFill="1" applyBorder="1" applyAlignment="1"/>
    <xf numFmtId="195" fontId="21" fillId="0" borderId="1" xfId="19" applyNumberFormat="1" applyFont="1" applyFill="1" applyBorder="1" applyAlignment="1" applyProtection="1">
      <alignment horizontal="center"/>
    </xf>
    <xf numFmtId="195" fontId="79" fillId="0" borderId="1" xfId="19" applyFont="1" applyFill="1" applyBorder="1" applyAlignment="1">
      <alignment horizontal="center"/>
    </xf>
    <xf numFmtId="49" fontId="21" fillId="0" borderId="1" xfId="19" applyNumberFormat="1" applyFont="1" applyFill="1" applyBorder="1" applyAlignment="1"/>
    <xf numFmtId="194" fontId="21" fillId="0" borderId="1" xfId="19" applyNumberFormat="1" applyFont="1" applyFill="1" applyBorder="1" applyAlignment="1"/>
    <xf numFmtId="179" fontId="21" fillId="0" borderId="1" xfId="19" applyNumberFormat="1" applyFont="1" applyFill="1" applyBorder="1" applyAlignment="1"/>
    <xf numFmtId="183" fontId="21" fillId="0" borderId="1" xfId="19" applyNumberFormat="1" applyFont="1" applyFill="1" applyBorder="1" applyAlignment="1" applyProtection="1">
      <protection locked="0"/>
    </xf>
    <xf numFmtId="195" fontId="21" fillId="0" borderId="1" xfId="19" applyFont="1" applyFill="1" applyBorder="1" applyAlignment="1" applyProtection="1"/>
    <xf numFmtId="195" fontId="79" fillId="0" borderId="1" xfId="19" applyFont="1" applyFill="1" applyBorder="1" applyAlignment="1">
      <alignment horizontal="left"/>
    </xf>
    <xf numFmtId="49" fontId="79" fillId="0" borderId="1" xfId="19" applyNumberFormat="1" applyFont="1" applyFill="1" applyBorder="1" applyAlignment="1"/>
    <xf numFmtId="49" fontId="79" fillId="0" borderId="1" xfId="19" applyNumberFormat="1" applyFont="1" applyFill="1" applyBorder="1" applyAlignment="1">
      <alignment horizontal="left"/>
    </xf>
    <xf numFmtId="49" fontId="79" fillId="0" borderId="1" xfId="20" applyNumberFormat="1" applyFont="1" applyFill="1" applyBorder="1" applyAlignment="1">
      <alignment horizontal="left"/>
    </xf>
    <xf numFmtId="195" fontId="79" fillId="0" borderId="1" xfId="19" applyFont="1" applyFill="1" applyBorder="1" applyAlignment="1"/>
    <xf numFmtId="195" fontId="79" fillId="0" borderId="1" xfId="19" applyFont="1" applyFill="1" applyBorder="1" applyAlignment="1">
      <alignment horizontal="right"/>
    </xf>
    <xf numFmtId="1" fontId="79" fillId="0" borderId="1" xfId="19" applyNumberFormat="1" applyFont="1" applyFill="1" applyBorder="1" applyAlignment="1"/>
    <xf numFmtId="9"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protection locked="0"/>
    </xf>
    <xf numFmtId="195" fontId="21" fillId="0" borderId="1" xfId="19" applyFont="1" applyFill="1" applyBorder="1" applyAlignment="1">
      <alignment horizontal="right"/>
    </xf>
    <xf numFmtId="195" fontId="79" fillId="0" borderId="1" xfId="19" applyFont="1" applyFill="1" applyBorder="1" applyAlignment="1" applyProtection="1"/>
    <xf numFmtId="195" fontId="79" fillId="0" borderId="1" xfId="19" applyFont="1" applyFill="1" applyBorder="1" applyAlignment="1" applyProtection="1">
      <alignment horizontal="center"/>
      <protection locked="0"/>
    </xf>
    <xf numFmtId="49" fontId="79" fillId="0" borderId="1" xfId="19" applyNumberFormat="1" applyFont="1" applyFill="1" applyBorder="1" applyAlignment="1" applyProtection="1">
      <alignment horizontal="left"/>
    </xf>
    <xf numFmtId="31" fontId="79" fillId="0" borderId="1" xfId="19" applyNumberFormat="1" applyFont="1" applyFill="1" applyBorder="1" applyAlignment="1" applyProtection="1"/>
    <xf numFmtId="195" fontId="21" fillId="0" borderId="1" xfId="19" applyNumberFormat="1" applyFont="1" applyFill="1" applyBorder="1" applyAlignment="1">
      <alignment horizontal="left"/>
    </xf>
    <xf numFmtId="195" fontId="79" fillId="0" borderId="1" xfId="19" applyFont="1" applyFill="1" applyBorder="1" applyAlignment="1" applyProtection="1">
      <alignment horizontal="right"/>
      <protection locked="0"/>
    </xf>
    <xf numFmtId="195" fontId="79" fillId="0" borderId="1" xfId="19" applyFont="1" applyFill="1" applyBorder="1" applyAlignment="1" applyProtection="1">
      <protection locked="0"/>
    </xf>
    <xf numFmtId="49" fontId="79" fillId="0" borderId="1" xfId="19" applyNumberFormat="1" applyFont="1" applyFill="1" applyBorder="1" applyAlignment="1" applyProtection="1">
      <alignment horizontal="right"/>
      <protection locked="0"/>
    </xf>
    <xf numFmtId="49" fontId="79" fillId="0" borderId="1" xfId="19" applyNumberFormat="1" applyFont="1" applyFill="1" applyBorder="1" applyAlignment="1" applyProtection="1">
      <protection locked="0"/>
    </xf>
    <xf numFmtId="194" fontId="79" fillId="0" borderId="1" xfId="19" applyNumberFormat="1" applyFont="1" applyFill="1" applyBorder="1" applyAlignment="1" applyProtection="1">
      <protection locked="0"/>
    </xf>
    <xf numFmtId="176" fontId="79"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protection locked="0"/>
    </xf>
    <xf numFmtId="183" fontId="21" fillId="0" borderId="1" xfId="19" applyNumberFormat="1" applyFont="1" applyFill="1" applyBorder="1" applyAlignment="1"/>
    <xf numFmtId="194" fontId="21" fillId="0" borderId="1" xfId="19" applyNumberFormat="1" applyFont="1" applyFill="1" applyBorder="1" applyAlignment="1">
      <alignment horizontal="left"/>
    </xf>
    <xf numFmtId="1" fontId="21" fillId="0" borderId="1" xfId="19" applyNumberFormat="1" applyFont="1" applyFill="1" applyBorder="1" applyAlignment="1">
      <alignment horizontal="right"/>
    </xf>
    <xf numFmtId="196" fontId="21" fillId="0" borderId="1" xfId="19" applyNumberFormat="1" applyFont="1" applyFill="1" applyBorder="1" applyAlignment="1">
      <alignment horizontal="right"/>
    </xf>
    <xf numFmtId="9" fontId="21" fillId="0" borderId="1" xfId="19" applyNumberFormat="1" applyFont="1" applyFill="1" applyBorder="1" applyAlignment="1">
      <alignment horizontal="right"/>
    </xf>
    <xf numFmtId="31" fontId="21"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protection locked="0"/>
    </xf>
    <xf numFmtId="195" fontId="21" fillId="0" borderId="1" xfId="19" applyFont="1" applyFill="1" applyBorder="1" applyAlignment="1" applyProtection="1">
      <alignment horizontal="right"/>
      <protection locked="0"/>
    </xf>
    <xf numFmtId="176" fontId="21" fillId="0" borderId="1" xfId="19" applyNumberFormat="1" applyFont="1" applyFill="1" applyBorder="1" applyAlignment="1">
      <alignment horizontal="left"/>
    </xf>
    <xf numFmtId="31" fontId="21" fillId="0" borderId="1" xfId="19" applyNumberFormat="1" applyFont="1" applyFill="1" applyBorder="1" applyAlignment="1">
      <alignment horizontal="left"/>
    </xf>
    <xf numFmtId="31" fontId="21" fillId="0" borderId="1" xfId="19" applyNumberFormat="1" applyFont="1" applyFill="1" applyBorder="1" applyAlignment="1" applyProtection="1">
      <protection locked="0"/>
    </xf>
    <xf numFmtId="183" fontId="21" fillId="0" borderId="1" xfId="19" applyNumberFormat="1" applyFont="1" applyFill="1" applyBorder="1" applyAlignment="1">
      <alignment horizontal="right"/>
    </xf>
    <xf numFmtId="176" fontId="21" fillId="0" borderId="1" xfId="19" applyNumberFormat="1" applyFont="1" applyFill="1" applyBorder="1" applyAlignment="1"/>
    <xf numFmtId="44" fontId="21" fillId="0" borderId="1" xfId="20" applyFont="1" applyFill="1" applyBorder="1" applyAlignment="1">
      <alignment horizontal="left"/>
    </xf>
    <xf numFmtId="195" fontId="21" fillId="0" borderId="1" xfId="19" applyFont="1" applyFill="1" applyBorder="1" applyAlignment="1" applyProtection="1">
      <alignment horizontal="center"/>
    </xf>
    <xf numFmtId="31" fontId="21" fillId="0" borderId="1" xfId="19" applyNumberFormat="1" applyFont="1" applyFill="1" applyBorder="1" applyAlignment="1" applyProtection="1"/>
    <xf numFmtId="49" fontId="21" fillId="0" borderId="1" xfId="19" applyNumberFormat="1" applyFont="1" applyFill="1" applyBorder="1" applyAlignment="1" applyProtection="1">
      <protection locked="0"/>
    </xf>
    <xf numFmtId="194" fontId="21" fillId="0" borderId="1" xfId="19" applyNumberFormat="1" applyFont="1" applyFill="1" applyBorder="1" applyAlignment="1" applyProtection="1">
      <protection locked="0"/>
    </xf>
    <xf numFmtId="179" fontId="21" fillId="0" borderId="1" xfId="19" applyNumberFormat="1" applyFont="1" applyFill="1" applyBorder="1" applyAlignment="1" applyProtection="1">
      <protection locked="0"/>
    </xf>
    <xf numFmtId="195" fontId="21" fillId="0" borderId="1" xfId="19" applyNumberFormat="1" applyFont="1" applyFill="1" applyBorder="1" applyAlignment="1"/>
    <xf numFmtId="49" fontId="21" fillId="0" borderId="1" xfId="20" applyNumberFormat="1" applyFont="1" applyFill="1" applyBorder="1" applyAlignment="1">
      <alignment horizontal="left"/>
    </xf>
    <xf numFmtId="9" fontId="79" fillId="0" borderId="1" xfId="19" applyNumberFormat="1" applyFont="1" applyFill="1" applyBorder="1" applyAlignment="1">
      <alignment horizontal="right"/>
    </xf>
    <xf numFmtId="49" fontId="21" fillId="0" borderId="1" xfId="19" applyNumberFormat="1" applyFont="1" applyFill="1" applyBorder="1" applyAlignment="1" applyProtection="1">
      <alignment horizontal="left"/>
    </xf>
    <xf numFmtId="1" fontId="79" fillId="0" borderId="1" xfId="19" applyNumberFormat="1" applyFont="1" applyFill="1" applyBorder="1" applyAlignment="1">
      <alignment horizontal="right"/>
    </xf>
    <xf numFmtId="2" fontId="79" fillId="0" borderId="1" xfId="19" applyNumberFormat="1" applyFont="1" applyFill="1" applyBorder="1" applyAlignment="1">
      <alignment horizontal="right"/>
    </xf>
    <xf numFmtId="196" fontId="79" fillId="0" borderId="1" xfId="19" applyNumberFormat="1" applyFont="1" applyFill="1" applyBorder="1" applyAlignment="1"/>
    <xf numFmtId="195" fontId="79"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xf>
    <xf numFmtId="49" fontId="21"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alignment horizontal="right"/>
    </xf>
    <xf numFmtId="9"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left"/>
    </xf>
    <xf numFmtId="195" fontId="21" fillId="0" borderId="1" xfId="19" applyFont="1" applyFill="1" applyBorder="1" applyAlignment="1" applyProtection="1">
      <alignment horizontal="left"/>
    </xf>
    <xf numFmtId="49" fontId="21" fillId="0" borderId="1" xfId="19" applyNumberFormat="1" applyFont="1" applyFill="1" applyBorder="1" applyAlignment="1" applyProtection="1"/>
    <xf numFmtId="176" fontId="21" fillId="0" borderId="1" xfId="19" applyNumberFormat="1" applyFont="1" applyFill="1" applyBorder="1" applyAlignment="1" applyProtection="1">
      <protection locked="0"/>
    </xf>
    <xf numFmtId="31" fontId="21" fillId="0" borderId="1" xfId="19" applyNumberFormat="1" applyFont="1" applyFill="1" applyBorder="1" applyAlignment="1" applyProtection="1">
      <alignment horizontal="center"/>
    </xf>
    <xf numFmtId="49" fontId="21" fillId="5" borderId="1" xfId="19" applyNumberFormat="1" applyFont="1" applyFill="1" applyBorder="1" applyAlignment="1"/>
    <xf numFmtId="49" fontId="21" fillId="0" borderId="1" xfId="19" applyNumberFormat="1" applyFont="1" applyFill="1" applyBorder="1" applyAlignment="1">
      <alignment horizontal="right"/>
    </xf>
    <xf numFmtId="195" fontId="79" fillId="0" borderId="1" xfId="19" applyNumberFormat="1" applyFont="1" applyFill="1" applyBorder="1" applyAlignment="1">
      <alignment horizontal="left"/>
    </xf>
    <xf numFmtId="2" fontId="186" fillId="0" borderId="1" xfId="19" applyNumberFormat="1" applyFont="1" applyFill="1" applyBorder="1" applyAlignment="1">
      <alignment horizontal="right"/>
    </xf>
    <xf numFmtId="196" fontId="21" fillId="0" borderId="1" xfId="19" applyNumberFormat="1" applyFont="1" applyFill="1" applyBorder="1" applyAlignment="1"/>
    <xf numFmtId="195" fontId="186" fillId="0" borderId="1" xfId="19" applyFont="1" applyFill="1" applyBorder="1" applyAlignment="1" applyProtection="1"/>
    <xf numFmtId="195" fontId="79" fillId="0" borderId="1" xfId="19" applyFont="1" applyFill="1" applyBorder="1" applyAlignment="1" applyProtection="1">
      <alignment horizontal="left"/>
      <protection locked="0"/>
    </xf>
    <xf numFmtId="195" fontId="21" fillId="5" borderId="1" xfId="19" applyFont="1" applyFill="1" applyBorder="1" applyAlignment="1" applyProtection="1">
      <alignment horizontal="left"/>
    </xf>
    <xf numFmtId="195" fontId="79" fillId="0" borderId="1" xfId="19" applyNumberFormat="1" applyFont="1" applyFill="1" applyBorder="1" applyAlignment="1"/>
    <xf numFmtId="195" fontId="79" fillId="0" borderId="1" xfId="19" applyFont="1" applyFill="1" applyBorder="1" applyAlignment="1" applyProtection="1">
      <alignment horizontal="left"/>
    </xf>
    <xf numFmtId="183" fontId="79" fillId="0" borderId="1" xfId="19" applyNumberFormat="1" applyFont="1" applyFill="1" applyBorder="1" applyAlignment="1" applyProtection="1">
      <alignment horizontal="right"/>
    </xf>
    <xf numFmtId="1" fontId="79" fillId="0" borderId="1" xfId="19" applyNumberFormat="1" applyFont="1" applyFill="1" applyBorder="1" applyAlignment="1">
      <alignment horizontal="center"/>
    </xf>
    <xf numFmtId="44" fontId="79" fillId="0" borderId="1" xfId="20" applyFont="1" applyFill="1" applyBorder="1" applyAlignment="1">
      <alignment horizontal="left"/>
    </xf>
    <xf numFmtId="9" fontId="79" fillId="0" borderId="1" xfId="19" applyNumberFormat="1" applyFont="1" applyFill="1" applyBorder="1" applyAlignment="1"/>
    <xf numFmtId="2" fontId="79" fillId="0" borderId="1" xfId="19" applyNumberFormat="1" applyFont="1" applyFill="1" applyBorder="1" applyAlignment="1" applyProtection="1">
      <alignment horizontal="right"/>
    </xf>
    <xf numFmtId="195" fontId="79" fillId="0" borderId="1" xfId="19" applyFont="1" applyFill="1" applyBorder="1" applyAlignment="1" applyProtection="1">
      <alignment horizontal="center"/>
    </xf>
    <xf numFmtId="195" fontId="79" fillId="0" borderId="1" xfId="19" applyNumberFormat="1" applyFont="1" applyFill="1" applyBorder="1" applyAlignment="1" applyProtection="1">
      <alignment horizontal="center"/>
    </xf>
    <xf numFmtId="179" fontId="79" fillId="0" borderId="1" xfId="19" applyNumberFormat="1" applyFont="1" applyFill="1" applyBorder="1" applyAlignment="1" applyProtection="1">
      <protection locked="0"/>
    </xf>
    <xf numFmtId="183" fontId="79" fillId="0" borderId="1" xfId="19" applyNumberFormat="1" applyFont="1" applyFill="1" applyBorder="1" applyAlignment="1" applyProtection="1">
      <protection locked="0"/>
    </xf>
    <xf numFmtId="195" fontId="2" fillId="0" borderId="1" xfId="19" applyFill="1" applyBorder="1" applyAlignment="1"/>
    <xf numFmtId="31" fontId="21"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right"/>
      <protection locked="0"/>
    </xf>
    <xf numFmtId="194" fontId="79" fillId="0" borderId="1" xfId="19" applyNumberFormat="1" applyFont="1" applyFill="1" applyBorder="1" applyAlignment="1" applyProtection="1">
      <alignment horizontal="left"/>
      <protection locked="0"/>
    </xf>
    <xf numFmtId="194" fontId="79" fillId="0" borderId="1" xfId="19" applyNumberFormat="1" applyFont="1" applyFill="1" applyBorder="1" applyAlignment="1" applyProtection="1">
      <alignment horizontal="right"/>
      <protection locked="0"/>
    </xf>
    <xf numFmtId="195" fontId="186" fillId="0" borderId="1" xfId="19" applyFont="1" applyFill="1" applyBorder="1" applyAlignment="1"/>
    <xf numFmtId="195" fontId="186" fillId="0" borderId="1" xfId="19" applyFont="1" applyFill="1" applyBorder="1" applyAlignment="1" applyProtection="1">
      <protection locked="0"/>
    </xf>
    <xf numFmtId="195" fontId="21" fillId="0" borderId="1" xfId="19" applyNumberFormat="1" applyFont="1" applyFill="1" applyBorder="1" applyAlignment="1" applyProtection="1"/>
    <xf numFmtId="195" fontId="79" fillId="0" borderId="1" xfId="19" applyNumberFormat="1" applyFont="1" applyFill="1" applyBorder="1" applyAlignment="1" applyProtection="1">
      <alignment horizontal="left"/>
    </xf>
    <xf numFmtId="195" fontId="79" fillId="0" borderId="1" xfId="19" applyFont="1" applyFill="1" applyBorder="1" applyAlignment="1" applyProtection="1">
      <alignment horizontal="right"/>
    </xf>
    <xf numFmtId="31" fontId="79" fillId="0" borderId="1" xfId="19" applyNumberFormat="1" applyFont="1" applyFill="1" applyBorder="1" applyAlignment="1">
      <alignment horizontal="right"/>
    </xf>
    <xf numFmtId="176" fontId="21" fillId="0" borderId="1" xfId="19" applyNumberFormat="1" applyFont="1" applyFill="1" applyBorder="1" applyAlignment="1">
      <alignment horizontal="center"/>
    </xf>
    <xf numFmtId="49" fontId="79" fillId="0" borderId="1" xfId="19" applyNumberFormat="1" applyFont="1" applyFill="1" applyBorder="1" applyAlignment="1">
      <alignment horizontal="center"/>
    </xf>
    <xf numFmtId="44" fontId="79" fillId="0" borderId="1" xfId="20" applyFont="1" applyFill="1" applyBorder="1" applyAlignment="1">
      <alignment horizontal="center"/>
    </xf>
    <xf numFmtId="2" fontId="79" fillId="0" borderId="1" xfId="19" applyNumberFormat="1" applyFont="1" applyFill="1" applyBorder="1" applyAlignment="1">
      <alignment horizontal="center"/>
    </xf>
    <xf numFmtId="195" fontId="79" fillId="0" borderId="1" xfId="19" applyNumberFormat="1" applyFont="1" applyFill="1" applyBorder="1" applyAlignment="1">
      <alignment horizontal="center"/>
    </xf>
    <xf numFmtId="9" fontId="79" fillId="0" borderId="1" xfId="19" applyNumberFormat="1" applyFont="1" applyFill="1" applyBorder="1" applyAlignment="1">
      <alignment horizontal="center"/>
    </xf>
    <xf numFmtId="2" fontId="79" fillId="0" borderId="1" xfId="19" applyNumberFormat="1" applyFont="1" applyFill="1" applyBorder="1" applyAlignment="1" applyProtection="1">
      <alignment horizontal="center"/>
    </xf>
    <xf numFmtId="31" fontId="79" fillId="0" borderId="1" xfId="19" applyNumberFormat="1" applyFont="1" applyFill="1" applyBorder="1" applyAlignment="1" applyProtection="1">
      <alignment horizontal="center"/>
    </xf>
    <xf numFmtId="49" fontId="79" fillId="0" borderId="1" xfId="19" applyNumberFormat="1" applyFont="1" applyFill="1" applyBorder="1" applyAlignment="1" applyProtection="1">
      <alignment horizontal="center"/>
      <protection locked="0"/>
    </xf>
    <xf numFmtId="194" fontId="79" fillId="0" borderId="1" xfId="19" applyNumberFormat="1" applyFont="1" applyFill="1" applyBorder="1" applyAlignment="1" applyProtection="1">
      <alignment horizontal="center"/>
      <protection locked="0"/>
    </xf>
    <xf numFmtId="179" fontId="79"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center"/>
      <protection locked="0"/>
    </xf>
    <xf numFmtId="183" fontId="79" fillId="0" borderId="1" xfId="19" applyNumberFormat="1" applyFont="1" applyFill="1" applyBorder="1" applyAlignment="1" applyProtection="1">
      <alignment horizontal="center"/>
      <protection locked="0"/>
    </xf>
    <xf numFmtId="196" fontId="79" fillId="0" borderId="1" xfId="19" applyNumberFormat="1" applyFont="1" applyFill="1" applyBorder="1" applyAlignment="1">
      <alignment horizontal="center"/>
    </xf>
    <xf numFmtId="2" fontId="21" fillId="0" borderId="1" xfId="19" applyNumberFormat="1" applyFont="1" applyFill="1" applyBorder="1" applyAlignment="1" applyProtection="1">
      <alignment horizontal="center"/>
    </xf>
    <xf numFmtId="49" fontId="21" fillId="0" borderId="1" xfId="19" applyNumberFormat="1" applyFont="1" applyFill="1" applyBorder="1" applyAlignment="1" applyProtection="1">
      <alignment horizontal="center"/>
      <protection locked="0"/>
    </xf>
    <xf numFmtId="194" fontId="21" fillId="0" borderId="1" xfId="19" applyNumberFormat="1" applyFont="1" applyFill="1" applyBorder="1" applyAlignment="1" applyProtection="1">
      <alignment horizontal="center"/>
      <protection locked="0"/>
    </xf>
    <xf numFmtId="179" fontId="21" fillId="0" borderId="1" xfId="19" applyNumberFormat="1" applyFont="1" applyFill="1" applyBorder="1" applyAlignment="1" applyProtection="1">
      <alignment horizontal="center"/>
      <protection locked="0"/>
    </xf>
    <xf numFmtId="183" fontId="21" fillId="0" borderId="1" xfId="19" applyNumberFormat="1" applyFont="1" applyFill="1" applyBorder="1" applyAlignment="1" applyProtection="1">
      <alignment horizontal="center"/>
      <protection locked="0"/>
    </xf>
    <xf numFmtId="49" fontId="79" fillId="0" borderId="1" xfId="19" applyNumberFormat="1" applyFont="1" applyFill="1" applyBorder="1" applyAlignment="1" applyProtection="1"/>
    <xf numFmtId="49" fontId="273" fillId="0" borderId="1" xfId="19" applyNumberFormat="1" applyFont="1" applyFill="1" applyBorder="1" applyAlignment="1"/>
    <xf numFmtId="49" fontId="273"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left"/>
    </xf>
    <xf numFmtId="183" fontId="21" fillId="0" borderId="1" xfId="19" applyNumberFormat="1" applyFont="1" applyFill="1" applyBorder="1" applyAlignment="1" applyProtection="1">
      <alignment horizontal="right"/>
    </xf>
    <xf numFmtId="1" fontId="21" fillId="0" borderId="1" xfId="19" applyNumberFormat="1" applyFont="1" applyFill="1" applyBorder="1" applyAlignment="1"/>
    <xf numFmtId="183" fontId="21" fillId="0" borderId="1" xfId="19" applyNumberFormat="1" applyFont="1" applyFill="1" applyBorder="1" applyAlignment="1" applyProtection="1">
      <alignment horizontal="right"/>
      <protection locked="0"/>
    </xf>
    <xf numFmtId="196" fontId="21" fillId="0" borderId="1" xfId="19" applyNumberFormat="1" applyFont="1" applyFill="1" applyBorder="1" applyAlignment="1" applyProtection="1">
      <alignment horizontal="right"/>
    </xf>
    <xf numFmtId="195" fontId="21" fillId="0" borderId="1" xfId="19" applyNumberFormat="1" applyFont="1" applyFill="1" applyBorder="1" applyAlignment="1"/>
    <xf numFmtId="195" fontId="21" fillId="0" borderId="0" xfId="19" applyFont="1" applyFill="1" applyAlignment="1" applyProtection="1">
      <protection locked="0"/>
    </xf>
    <xf numFmtId="195" fontId="21" fillId="0" borderId="0" xfId="19" applyFont="1" applyFill="1" applyAlignment="1"/>
    <xf numFmtId="197" fontId="21" fillId="0" borderId="1" xfId="19" applyNumberFormat="1" applyFont="1" applyFill="1" applyBorder="1" applyAlignment="1">
      <alignment horizontal="center"/>
    </xf>
    <xf numFmtId="1" fontId="186" fillId="0" borderId="1" xfId="19" applyNumberFormat="1" applyFont="1" applyFill="1" applyBorder="1" applyAlignment="1">
      <alignment horizontal="center"/>
    </xf>
    <xf numFmtId="195" fontId="186" fillId="0" borderId="1" xfId="19" applyNumberFormat="1" applyFont="1" applyFill="1" applyBorder="1" applyAlignment="1"/>
    <xf numFmtId="2" fontId="186" fillId="0" borderId="1" xfId="19" applyNumberFormat="1" applyFont="1" applyFill="1" applyBorder="1" applyAlignment="1" applyProtection="1">
      <alignment horizontal="right"/>
    </xf>
    <xf numFmtId="195" fontId="186" fillId="0" borderId="1" xfId="19" applyNumberFormat="1" applyFont="1" applyFill="1" applyBorder="1" applyAlignment="1">
      <alignment horizontal="right"/>
    </xf>
    <xf numFmtId="196" fontId="21" fillId="0" borderId="1" xfId="19" applyNumberFormat="1" applyFont="1" applyFill="1" applyBorder="1" applyAlignment="1" applyProtection="1">
      <protection locked="0"/>
    </xf>
    <xf numFmtId="195" fontId="79" fillId="0" borderId="1" xfId="19" applyNumberFormat="1" applyFont="1" applyFill="1" applyBorder="1" applyAlignment="1"/>
    <xf numFmtId="31" fontId="21" fillId="0" borderId="1" xfId="19" applyNumberFormat="1" applyFont="1" applyFill="1" applyBorder="1" applyAlignment="1" applyProtection="1">
      <alignment horizontal="left"/>
    </xf>
    <xf numFmtId="194" fontId="21" fillId="0" borderId="1" xfId="19" applyNumberFormat="1" applyFont="1" applyFill="1" applyBorder="1" applyAlignment="1">
      <alignment horizontal="center"/>
    </xf>
    <xf numFmtId="176" fontId="21" fillId="0" borderId="1" xfId="19" applyNumberFormat="1" applyFont="1" applyFill="1" applyBorder="1" applyAlignment="1" applyProtection="1">
      <alignment horizontal="center"/>
      <protection locked="0"/>
    </xf>
    <xf numFmtId="177" fontId="21" fillId="0" borderId="1" xfId="19" applyNumberFormat="1" applyFont="1" applyFill="1" applyBorder="1" applyAlignment="1"/>
    <xf numFmtId="195" fontId="2" fillId="0" borderId="0" xfId="19" applyFill="1" applyAlignment="1"/>
    <xf numFmtId="195" fontId="21" fillId="0" borderId="0" xfId="19" applyFont="1" applyFill="1" applyBorder="1" applyAlignment="1" applyProtection="1">
      <protection locked="0"/>
    </xf>
    <xf numFmtId="177" fontId="21" fillId="0" borderId="1" xfId="19" applyNumberFormat="1" applyFont="1" applyFill="1" applyBorder="1" applyAlignment="1">
      <alignment horizontal="left"/>
    </xf>
    <xf numFmtId="198" fontId="21" fillId="0" borderId="1" xfId="19" applyNumberFormat="1" applyFont="1" applyFill="1" applyBorder="1" applyAlignment="1"/>
    <xf numFmtId="195" fontId="21" fillId="0" borderId="0" xfId="19" applyFont="1" applyFill="1" applyAlignment="1">
      <alignment horizontal="center"/>
    </xf>
    <xf numFmtId="195" fontId="79" fillId="0" borderId="0" xfId="19" applyFont="1" applyFill="1" applyAlignment="1" applyProtection="1">
      <protection locked="0"/>
    </xf>
    <xf numFmtId="196" fontId="79" fillId="0" borderId="1" xfId="19" applyNumberFormat="1" applyFont="1" applyFill="1" applyBorder="1" applyAlignment="1">
      <alignment horizontal="right"/>
    </xf>
    <xf numFmtId="9" fontId="21" fillId="0" borderId="1" xfId="19" applyNumberFormat="1" applyFont="1" applyFill="1" applyBorder="1" applyAlignment="1" applyProtection="1"/>
    <xf numFmtId="195" fontId="21" fillId="0" borderId="0" xfId="19" applyFont="1" applyFill="1" applyAlignment="1" applyProtection="1">
      <alignment horizontal="center"/>
      <protection locked="0"/>
    </xf>
    <xf numFmtId="31" fontId="186" fillId="0" borderId="1" xfId="19" applyNumberFormat="1" applyFont="1" applyFill="1" applyBorder="1" applyAlignment="1"/>
    <xf numFmtId="183" fontId="186" fillId="0" borderId="1" xfId="19" applyNumberFormat="1" applyFont="1" applyFill="1" applyBorder="1" applyAlignment="1" applyProtection="1">
      <protection locked="0"/>
    </xf>
    <xf numFmtId="195" fontId="21" fillId="0" borderId="1" xfId="20" applyNumberFormat="1" applyFont="1" applyFill="1" applyBorder="1" applyAlignment="1">
      <alignment horizontal="left"/>
    </xf>
    <xf numFmtId="195" fontId="21" fillId="0" borderId="0" xfId="19" applyFont="1" applyFill="1" applyBorder="1" applyAlignment="1"/>
    <xf numFmtId="196" fontId="79" fillId="0" borderId="1" xfId="19" applyNumberFormat="1" applyFont="1" applyFill="1" applyBorder="1" applyAlignment="1" applyProtection="1">
      <alignment horizontal="right"/>
    </xf>
    <xf numFmtId="183" fontId="79"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lignment horizontal="right"/>
    </xf>
    <xf numFmtId="44" fontId="21" fillId="0" borderId="1" xfId="20" applyFont="1" applyFill="1" applyBorder="1" applyAlignment="1">
      <alignment horizontal="center"/>
    </xf>
    <xf numFmtId="199" fontId="21" fillId="0" borderId="1" xfId="19" applyNumberFormat="1" applyFont="1" applyFill="1" applyBorder="1" applyAlignment="1"/>
    <xf numFmtId="195" fontId="273" fillId="0" borderId="1" xfId="19" applyFont="1" applyFill="1" applyBorder="1" applyAlignment="1"/>
    <xf numFmtId="49" fontId="274" fillId="0" borderId="1" xfId="19" applyNumberFormat="1" applyFont="1" applyFill="1" applyBorder="1" applyAlignment="1" applyProtection="1">
      <alignment horizontal="left"/>
    </xf>
    <xf numFmtId="49" fontId="274" fillId="0" borderId="1" xfId="19" applyNumberFormat="1" applyFont="1" applyFill="1" applyBorder="1" applyAlignment="1" applyProtection="1">
      <alignment horizontal="right"/>
      <protection locked="0"/>
    </xf>
    <xf numFmtId="195" fontId="274" fillId="0" borderId="1" xfId="19" applyFont="1" applyFill="1" applyBorder="1" applyAlignment="1"/>
    <xf numFmtId="195" fontId="273" fillId="0" borderId="1" xfId="19" applyFont="1" applyFill="1" applyBorder="1" applyAlignment="1">
      <alignment horizontal="left"/>
    </xf>
    <xf numFmtId="49" fontId="273" fillId="0" borderId="1" xfId="19" applyNumberFormat="1" applyFont="1" applyFill="1" applyBorder="1" applyAlignment="1">
      <alignment horizontal="left"/>
    </xf>
    <xf numFmtId="49" fontId="273"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lignment horizontal="right"/>
    </xf>
    <xf numFmtId="195" fontId="21" fillId="0" borderId="13" xfId="19" applyFont="1" applyFill="1" applyBorder="1" applyAlignment="1"/>
    <xf numFmtId="49" fontId="21" fillId="0" borderId="13" xfId="19" applyNumberFormat="1" applyFont="1" applyFill="1" applyBorder="1" applyAlignment="1"/>
    <xf numFmtId="49" fontId="21" fillId="0" borderId="13" xfId="20" applyNumberFormat="1" applyFont="1" applyFill="1" applyBorder="1" applyAlignment="1">
      <alignment horizontal="left"/>
    </xf>
    <xf numFmtId="195" fontId="21" fillId="0" borderId="13" xfId="19" applyFont="1" applyFill="1" applyBorder="1" applyAlignment="1">
      <alignment horizontal="left"/>
    </xf>
    <xf numFmtId="49" fontId="21" fillId="0" borderId="13" xfId="19" applyNumberFormat="1" applyFont="1" applyFill="1" applyBorder="1" applyAlignment="1">
      <alignment horizontal="left"/>
    </xf>
    <xf numFmtId="195" fontId="21" fillId="0" borderId="13" xfId="19" applyFont="1" applyFill="1" applyBorder="1" applyAlignment="1">
      <alignment horizontal="right"/>
    </xf>
    <xf numFmtId="195" fontId="21" fillId="0" borderId="13" xfId="19" applyFont="1" applyFill="1" applyBorder="1" applyAlignment="1" applyProtection="1"/>
    <xf numFmtId="1" fontId="21" fillId="0" borderId="13" xfId="19" applyNumberFormat="1" applyFont="1" applyFill="1" applyBorder="1" applyAlignment="1">
      <alignment horizontal="center"/>
    </xf>
    <xf numFmtId="2" fontId="21" fillId="0" borderId="13" xfId="19" applyNumberFormat="1" applyFont="1" applyFill="1" applyBorder="1" applyAlignment="1">
      <alignment horizontal="right"/>
    </xf>
    <xf numFmtId="195" fontId="21" fillId="0" borderId="13" xfId="19" applyNumberFormat="1" applyFont="1" applyFill="1" applyBorder="1" applyAlignment="1"/>
    <xf numFmtId="9" fontId="21" fillId="0" borderId="13" xfId="19" applyNumberFormat="1" applyFont="1" applyFill="1" applyBorder="1" applyAlignment="1">
      <alignment horizontal="right"/>
    </xf>
    <xf numFmtId="2" fontId="21" fillId="0" borderId="13" xfId="19" applyNumberFormat="1" applyFont="1" applyFill="1" applyBorder="1" applyAlignment="1" applyProtection="1">
      <alignment horizontal="right"/>
    </xf>
    <xf numFmtId="195" fontId="21" fillId="0" borderId="13" xfId="19" applyNumberFormat="1" applyFont="1" applyFill="1" applyBorder="1" applyAlignment="1">
      <alignment horizontal="right"/>
    </xf>
    <xf numFmtId="195" fontId="21" fillId="0" borderId="13" xfId="19" applyFont="1" applyFill="1" applyBorder="1" applyAlignment="1" applyProtection="1">
      <alignment horizontal="right"/>
      <protection locked="0"/>
    </xf>
    <xf numFmtId="195" fontId="21" fillId="0" borderId="13" xfId="19" applyFont="1" applyFill="1" applyBorder="1" applyAlignment="1" applyProtection="1">
      <protection locked="0"/>
    </xf>
    <xf numFmtId="195" fontId="21" fillId="0" borderId="13" xfId="19" applyFont="1" applyFill="1" applyBorder="1" applyAlignment="1" applyProtection="1">
      <alignment horizontal="right"/>
    </xf>
    <xf numFmtId="195" fontId="21" fillId="0" borderId="13" xfId="19" applyFont="1" applyFill="1" applyBorder="1" applyAlignment="1" applyProtection="1">
      <alignment horizontal="center"/>
      <protection locked="0"/>
    </xf>
    <xf numFmtId="195" fontId="21" fillId="0" borderId="13" xfId="19" applyFont="1" applyFill="1" applyBorder="1" applyAlignment="1" applyProtection="1">
      <alignment horizontal="center"/>
    </xf>
    <xf numFmtId="31" fontId="21" fillId="0" borderId="13" xfId="19" applyNumberFormat="1" applyFont="1" applyFill="1" applyBorder="1" applyAlignment="1" applyProtection="1"/>
    <xf numFmtId="195" fontId="21" fillId="0" borderId="13" xfId="19" applyNumberFormat="1" applyFont="1" applyFill="1" applyBorder="1" applyAlignment="1">
      <alignment horizontal="left"/>
    </xf>
    <xf numFmtId="195" fontId="21" fillId="0" borderId="13" xfId="19" applyFont="1" applyFill="1" applyBorder="1" applyAlignment="1">
      <alignment horizontal="center"/>
    </xf>
    <xf numFmtId="31" fontId="21" fillId="0" borderId="13" xfId="19" applyNumberFormat="1" applyFont="1" applyFill="1" applyBorder="1" applyAlignment="1" applyProtection="1">
      <alignment horizontal="right"/>
    </xf>
    <xf numFmtId="49" fontId="21" fillId="0" borderId="13" xfId="19" applyNumberFormat="1" applyFont="1" applyFill="1" applyBorder="1" applyAlignment="1" applyProtection="1">
      <alignment horizontal="right"/>
      <protection locked="0"/>
    </xf>
    <xf numFmtId="195" fontId="21" fillId="0" borderId="13" xfId="19" applyFont="1" applyFill="1" applyBorder="1" applyAlignment="1" applyProtection="1">
      <alignment horizontal="left"/>
      <protection locked="0"/>
    </xf>
    <xf numFmtId="194" fontId="21" fillId="0" borderId="13" xfId="19" applyNumberFormat="1" applyFont="1" applyFill="1" applyBorder="1" applyAlignment="1" applyProtection="1">
      <alignment horizontal="left"/>
      <protection locked="0"/>
    </xf>
    <xf numFmtId="176" fontId="21" fillId="0" borderId="13" xfId="19" applyNumberFormat="1" applyFont="1" applyFill="1" applyBorder="1" applyAlignment="1" applyProtection="1">
      <alignment horizontal="right"/>
      <protection locked="0"/>
    </xf>
    <xf numFmtId="183" fontId="21" fillId="0" borderId="13" xfId="19" applyNumberFormat="1" applyFont="1" applyFill="1" applyBorder="1" applyAlignment="1" applyProtection="1">
      <protection locked="0"/>
    </xf>
    <xf numFmtId="1" fontId="21" fillId="0" borderId="1" xfId="19" applyNumberFormat="1" applyFont="1" applyFill="1" applyBorder="1" applyAlignment="1">
      <alignment horizontal="left"/>
    </xf>
    <xf numFmtId="2" fontId="21" fillId="0" borderId="1" xfId="19" applyNumberFormat="1" applyFont="1" applyFill="1" applyBorder="1" applyAlignment="1">
      <alignment horizontal="left"/>
    </xf>
    <xf numFmtId="195" fontId="21" fillId="0" borderId="1" xfId="19" applyNumberFormat="1" applyFont="1" applyFill="1" applyBorder="1" applyAlignment="1">
      <alignment horizontal="left"/>
    </xf>
    <xf numFmtId="9" fontId="21" fillId="0" borderId="1" xfId="19" applyNumberFormat="1" applyFont="1" applyFill="1" applyBorder="1" applyAlignment="1">
      <alignment horizontal="left"/>
    </xf>
    <xf numFmtId="2" fontId="21" fillId="0" borderId="1" xfId="19" applyNumberFormat="1" applyFont="1" applyFill="1" applyBorder="1" applyAlignment="1" applyProtection="1">
      <alignment horizontal="left"/>
    </xf>
    <xf numFmtId="179" fontId="21" fillId="0" borderId="1" xfId="19" applyNumberFormat="1" applyFont="1" applyFill="1" applyBorder="1" applyAlignment="1" applyProtection="1">
      <alignment horizontal="left"/>
      <protection locked="0"/>
    </xf>
    <xf numFmtId="183" fontId="21" fillId="0" borderId="1" xfId="19" applyNumberFormat="1" applyFont="1" applyFill="1" applyBorder="1" applyAlignment="1" applyProtection="1">
      <alignment horizontal="left"/>
      <protection locked="0"/>
    </xf>
    <xf numFmtId="195" fontId="21" fillId="0" borderId="1" xfId="19" applyNumberFormat="1" applyFont="1" applyFill="1" applyBorder="1" applyAlignment="1"/>
    <xf numFmtId="195" fontId="21" fillId="0" borderId="1" xfId="19" applyNumberFormat="1" applyFont="1" applyFill="1" applyBorder="1" applyAlignment="1">
      <alignment horizontal="left"/>
    </xf>
    <xf numFmtId="195" fontId="21"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xf numFmtId="195" fontId="21" fillId="0" borderId="1" xfId="19" applyNumberFormat="1" applyFont="1" applyFill="1" applyBorder="1" applyAlignment="1" applyProtection="1">
      <alignment horizontal="center"/>
    </xf>
    <xf numFmtId="197" fontId="21" fillId="0" borderId="1" xfId="19" applyNumberFormat="1" applyFont="1" applyFill="1" applyBorder="1" applyAlignment="1" applyProtection="1">
      <alignment horizontal="center"/>
    </xf>
    <xf numFmtId="49" fontId="21" fillId="0" borderId="0" xfId="19" applyNumberFormat="1" applyFont="1" applyFill="1" applyAlignment="1"/>
    <xf numFmtId="58" fontId="21" fillId="0" borderId="1" xfId="19" applyNumberFormat="1" applyFont="1" applyFill="1" applyBorder="1" applyAlignment="1">
      <alignment horizontal="right"/>
    </xf>
    <xf numFmtId="195" fontId="2" fillId="0" borderId="0" xfId="19">
      <alignment vertical="center"/>
    </xf>
    <xf numFmtId="195" fontId="21" fillId="5" borderId="1" xfId="19" applyFont="1" applyFill="1" applyBorder="1" applyAlignment="1"/>
    <xf numFmtId="195" fontId="21" fillId="5" borderId="1" xfId="19" applyFont="1" applyFill="1" applyBorder="1" applyAlignment="1">
      <alignment horizontal="left"/>
    </xf>
    <xf numFmtId="195" fontId="21" fillId="7" borderId="1" xfId="19" applyFont="1" applyFill="1" applyBorder="1" applyAlignment="1"/>
    <xf numFmtId="195" fontId="130" fillId="0" borderId="83" xfId="0" applyNumberFormat="1" applyFont="1" applyFill="1" applyBorder="1" applyAlignment="1" applyProtection="1">
      <alignment horizontal="center" vertical="center"/>
      <protection locked="0"/>
    </xf>
    <xf numFmtId="195" fontId="131" fillId="0" borderId="1" xfId="19" applyFont="1" applyFill="1" applyBorder="1" applyAlignment="1"/>
    <xf numFmtId="195" fontId="131" fillId="5" borderId="1" xfId="19" applyFont="1" applyFill="1" applyBorder="1" applyAlignment="1"/>
    <xf numFmtId="195" fontId="131" fillId="25" borderId="1" xfId="19" applyFont="1" applyFill="1" applyBorder="1" applyAlignment="1"/>
    <xf numFmtId="31" fontId="131" fillId="0" borderId="1" xfId="19" applyNumberFormat="1" applyFont="1" applyFill="1" applyBorder="1" applyAlignment="1"/>
    <xf numFmtId="183" fontId="131" fillId="0" borderId="1" xfId="19" applyNumberFormat="1" applyFont="1" applyFill="1" applyBorder="1" applyAlignment="1"/>
    <xf numFmtId="195" fontId="131" fillId="0" borderId="1" xfId="19" applyFont="1" applyFill="1" applyBorder="1" applyAlignment="1" applyProtection="1">
      <protection locked="0"/>
    </xf>
    <xf numFmtId="195" fontId="131" fillId="0" borderId="1" xfId="19" applyFont="1" applyFill="1" applyBorder="1" applyAlignment="1" applyProtection="1"/>
    <xf numFmtId="49" fontId="131" fillId="0" borderId="1" xfId="19" applyNumberFormat="1" applyFont="1" applyFill="1" applyBorder="1" applyAlignment="1"/>
    <xf numFmtId="195" fontId="131" fillId="0" borderId="1" xfId="19" applyFont="1" applyFill="1" applyBorder="1" applyAlignment="1">
      <alignment horizontal="left"/>
    </xf>
    <xf numFmtId="1" fontId="131" fillId="0" borderId="1" xfId="19" applyNumberFormat="1" applyFont="1" applyFill="1" applyBorder="1" applyAlignment="1">
      <alignment horizontal="center"/>
    </xf>
    <xf numFmtId="2" fontId="131" fillId="0" borderId="1" xfId="19" applyNumberFormat="1" applyFont="1" applyFill="1" applyBorder="1" applyAlignment="1">
      <alignment horizontal="right"/>
    </xf>
    <xf numFmtId="31" fontId="131" fillId="0" borderId="1" xfId="19" applyNumberFormat="1" applyFont="1" applyFill="1" applyBorder="1" applyAlignment="1" applyProtection="1">
      <protection locked="0"/>
    </xf>
    <xf numFmtId="183" fontId="131" fillId="0" borderId="1" xfId="19" applyNumberFormat="1" applyFont="1" applyFill="1" applyBorder="1" applyAlignment="1" applyProtection="1">
      <protection locked="0"/>
    </xf>
    <xf numFmtId="195" fontId="131" fillId="0" borderId="1" xfId="19" applyFont="1" applyFill="1" applyBorder="1" applyAlignment="1">
      <alignment horizontal="right"/>
    </xf>
    <xf numFmtId="49" fontId="46" fillId="0" borderId="44" xfId="0" applyNumberFormat="1" applyFont="1" applyFill="1" applyBorder="1" applyAlignment="1" applyProtection="1">
      <alignment horizontal="center" vertical="center" wrapText="1"/>
      <protection locked="0"/>
    </xf>
    <xf numFmtId="0" fontId="56" fillId="6" borderId="1" xfId="1" applyNumberFormat="1" applyFont="1" applyFill="1" applyBorder="1" applyAlignment="1" applyProtection="1">
      <alignment horizontal="center"/>
    </xf>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61"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13" xfId="1" applyNumberFormat="1" applyFont="1" applyFill="1" applyBorder="1" applyAlignment="1" applyProtection="1">
      <alignment horizontal="right" vertical="center"/>
    </xf>
    <xf numFmtId="0" fontId="55" fillId="6" borderId="1" xfId="1" applyNumberFormat="1" applyFont="1" applyFill="1" applyBorder="1" applyAlignment="1" applyProtection="1"/>
    <xf numFmtId="0" fontId="61" fillId="6" borderId="1" xfId="1" applyNumberFormat="1" applyFont="1" applyFill="1" applyBorder="1" applyAlignment="1" applyProtection="1"/>
    <xf numFmtId="0" fontId="56" fillId="6" borderId="1" xfId="0" applyNumberFormat="1" applyFont="1" applyFill="1" applyBorder="1" applyAlignment="1" applyProtection="1">
      <alignment horizontal="lef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0"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0" fillId="6" borderId="9" xfId="0" applyNumberFormat="1" applyFont="1" applyFill="1" applyBorder="1" applyAlignment="1" applyProtection="1">
      <alignment horizontal="center" vertical="center"/>
    </xf>
    <xf numFmtId="0" fontId="100"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0" fillId="6" borderId="1"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82" fillId="22" borderId="1" xfId="21" applyFont="1" applyFill="1" applyBorder="1" applyAlignment="1">
      <alignment horizontal="center"/>
    </xf>
    <xf numFmtId="0" fontId="276" fillId="22" borderId="1" xfId="21" applyFont="1" applyFill="1" applyBorder="1" applyAlignment="1">
      <alignment horizontal="center"/>
    </xf>
    <xf numFmtId="178" fontId="82" fillId="22" borderId="1" xfId="21" applyNumberFormat="1" applyFont="1" applyFill="1" applyBorder="1" applyAlignment="1">
      <alignment horizontal="center"/>
    </xf>
    <xf numFmtId="31" fontId="82" fillId="22" borderId="1" xfId="21" applyNumberFormat="1" applyFont="1" applyFill="1" applyBorder="1" applyAlignment="1">
      <alignment horizontal="center"/>
    </xf>
    <xf numFmtId="0" fontId="178" fillId="22" borderId="1" xfId="21" applyFont="1" applyFill="1" applyBorder="1" applyAlignment="1">
      <alignment horizontal="center"/>
    </xf>
    <xf numFmtId="31" fontId="178" fillId="22" borderId="1" xfId="21" applyNumberFormat="1" applyFont="1" applyFill="1" applyBorder="1" applyAlignment="1">
      <alignment horizontal="center"/>
    </xf>
    <xf numFmtId="0" fontId="21" fillId="0" borderId="0" xfId="21" applyFont="1" applyFill="1" applyBorder="1" applyAlignment="1">
      <alignment horizontal="left"/>
    </xf>
    <xf numFmtId="0" fontId="82" fillId="22" borderId="13" xfId="21" applyFont="1" applyFill="1" applyBorder="1" applyAlignment="1">
      <alignment horizontal="center"/>
    </xf>
    <xf numFmtId="178" fontId="82" fillId="22" borderId="13" xfId="21" applyNumberFormat="1" applyFont="1" applyFill="1" applyBorder="1" applyAlignment="1">
      <alignment horizontal="center"/>
    </xf>
    <xf numFmtId="31" fontId="82" fillId="22" borderId="13" xfId="21" applyNumberFormat="1" applyFont="1" applyFill="1" applyBorder="1" applyAlignment="1">
      <alignment horizontal="center"/>
    </xf>
    <xf numFmtId="0" fontId="178" fillId="22" borderId="13" xfId="21" applyFont="1" applyFill="1" applyBorder="1" applyAlignment="1">
      <alignment horizontal="center"/>
    </xf>
    <xf numFmtId="31" fontId="178" fillId="22" borderId="13" xfId="21" applyNumberFormat="1" applyFont="1" applyFill="1" applyBorder="1" applyAlignment="1">
      <alignment horizontal="center"/>
    </xf>
    <xf numFmtId="0" fontId="21" fillId="23" borderId="1" xfId="21" applyFont="1" applyFill="1" applyBorder="1" applyAlignment="1">
      <alignment horizontal="left"/>
    </xf>
    <xf numFmtId="0" fontId="21" fillId="23" borderId="1" xfId="21" applyFont="1" applyFill="1" applyBorder="1" applyAlignment="1">
      <alignment horizontal="right"/>
    </xf>
    <xf numFmtId="178" fontId="186" fillId="23" borderId="1" xfId="21" applyNumberFormat="1" applyFont="1" applyFill="1" applyBorder="1" applyAlignment="1" applyProtection="1">
      <alignment horizontal="left"/>
      <protection locked="0"/>
    </xf>
    <xf numFmtId="31" fontId="21" fillId="23" borderId="1" xfId="21" applyNumberFormat="1" applyFont="1" applyFill="1" applyBorder="1" applyAlignment="1">
      <alignment horizontal="left"/>
    </xf>
    <xf numFmtId="0" fontId="21" fillId="23" borderId="1" xfId="21" applyFont="1" applyFill="1" applyBorder="1" applyAlignment="1">
      <alignment horizontal="center"/>
    </xf>
    <xf numFmtId="31" fontId="21" fillId="23" borderId="1" xfId="21" applyNumberFormat="1" applyFont="1" applyFill="1" applyBorder="1" applyAlignment="1"/>
    <xf numFmtId="0" fontId="186" fillId="23" borderId="1" xfId="21" applyFont="1" applyFill="1" applyBorder="1" applyAlignment="1">
      <alignment horizontal="left"/>
    </xf>
    <xf numFmtId="31" fontId="186" fillId="23" borderId="1" xfId="21" applyNumberFormat="1" applyFont="1" applyFill="1" applyBorder="1" applyAlignment="1">
      <alignment horizontal="left"/>
    </xf>
    <xf numFmtId="31" fontId="21" fillId="23" borderId="1" xfId="21" applyNumberFormat="1" applyFont="1" applyFill="1" applyBorder="1" applyAlignment="1" applyProtection="1">
      <alignment horizontal="center"/>
      <protection locked="0"/>
    </xf>
    <xf numFmtId="49" fontId="21" fillId="23" borderId="1" xfId="21" applyNumberFormat="1" applyFont="1" applyFill="1" applyBorder="1" applyAlignment="1">
      <alignment horizontal="left"/>
    </xf>
    <xf numFmtId="49" fontId="186" fillId="23" borderId="1" xfId="21" applyNumberFormat="1" applyFont="1" applyFill="1" applyBorder="1" applyAlignment="1">
      <alignment horizontal="left"/>
    </xf>
    <xf numFmtId="0" fontId="186" fillId="23" borderId="1" xfId="21" applyFont="1" applyFill="1" applyBorder="1" applyAlignment="1">
      <alignment horizontal="right"/>
    </xf>
    <xf numFmtId="0" fontId="186" fillId="23" borderId="1" xfId="21" applyFont="1" applyFill="1" applyBorder="1" applyAlignment="1">
      <alignment horizontal="center"/>
    </xf>
    <xf numFmtId="31" fontId="186" fillId="23" borderId="1" xfId="21" applyNumberFormat="1" applyFont="1" applyFill="1" applyBorder="1" applyAlignment="1"/>
    <xf numFmtId="0" fontId="186" fillId="0" borderId="0" xfId="21" applyFont="1" applyFill="1" applyBorder="1" applyAlignment="1">
      <alignment horizontal="left"/>
    </xf>
    <xf numFmtId="0" fontId="1" fillId="0" borderId="0" xfId="21">
      <alignment vertical="center"/>
    </xf>
    <xf numFmtId="0" fontId="49" fillId="0" borderId="3" xfId="0" applyNumberFormat="1" applyFont="1" applyFill="1" applyBorder="1" applyProtection="1">
      <alignment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232"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70"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0"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53" fillId="2" borderId="3" xfId="0" applyNumberFormat="1" applyFont="1" applyFill="1" applyBorder="1" applyAlignment="1" applyProtection="1">
      <alignment horizontal="center" vertical="center" wrapText="1"/>
      <protection locked="0"/>
    </xf>
    <xf numFmtId="0" fontId="130"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3" fillId="0" borderId="3" xfId="0" applyNumberFormat="1" applyFont="1" applyFill="1" applyBorder="1" applyAlignment="1" applyProtection="1">
      <alignment horizontal="center" vertical="center" wrapText="1"/>
      <protection locked="0"/>
    </xf>
    <xf numFmtId="0" fontId="53" fillId="9" borderId="23"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8" borderId="68" xfId="0" applyNumberFormat="1" applyFont="1" applyFill="1" applyBorder="1" applyAlignment="1" applyProtection="1">
      <alignment horizontal="left" vertical="center" wrapText="1"/>
      <protection locked="0"/>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46" fillId="6" borderId="57"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46" fillId="6" borderId="15" xfId="0" applyNumberFormat="1" applyFont="1" applyFill="1" applyBorder="1" applyAlignment="1" applyProtection="1">
      <alignment horizontal="center" vertical="center" wrapText="1"/>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46" fillId="6" borderId="74" xfId="0" applyNumberFormat="1" applyFont="1" applyFill="1" applyBorder="1" applyAlignment="1" applyProtection="1">
      <alignment horizontal="center" vertical="center" wrapText="1"/>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96"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3" fillId="6" borderId="78"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0"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0" xfId="0" applyNumberFormat="1" applyFont="1" applyFill="1" applyAlignment="1" applyProtection="1">
      <alignment horizontal="center" vertical="center"/>
      <protection locked="0"/>
    </xf>
    <xf numFmtId="0" fontId="71" fillId="6" borderId="14" xfId="0" applyNumberFormat="1" applyFont="1" applyFill="1" applyBorder="1" applyAlignment="1" applyProtection="1">
      <alignment vertical="center" wrapText="1"/>
    </xf>
    <xf numFmtId="0" fontId="130" fillId="0" borderId="4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96"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195" fontId="188" fillId="0" borderId="0" xfId="5" applyFont="1" applyAlignment="1" applyProtection="1">
      <alignment horizontal="left" vertical="top" wrapText="1"/>
    </xf>
    <xf numFmtId="195" fontId="47" fillId="0" borderId="13" xfId="7" applyFont="1" applyFill="1" applyBorder="1" applyAlignment="1" applyProtection="1">
      <alignment horizontal="left" vertical="center" wrapText="1"/>
    </xf>
    <xf numFmtId="195" fontId="47" fillId="0" borderId="15" xfId="7" applyFont="1" applyFill="1" applyBorder="1" applyAlignment="1" applyProtection="1">
      <alignment horizontal="left" vertical="center" wrapText="1"/>
    </xf>
    <xf numFmtId="195" fontId="47" fillId="0" borderId="77" xfId="7" applyFont="1" applyFill="1" applyBorder="1" applyAlignment="1" applyProtection="1">
      <alignment horizontal="left" vertical="center" wrapText="1"/>
    </xf>
    <xf numFmtId="195" fontId="198" fillId="0" borderId="87" xfId="7" applyFont="1" applyBorder="1" applyAlignment="1" applyProtection="1">
      <alignment horizontal="center" vertical="center"/>
    </xf>
    <xf numFmtId="195" fontId="132" fillId="0" borderId="0" xfId="7" applyFont="1" applyAlignment="1" applyProtection="1">
      <alignment horizontal="left" vertical="center" wrapText="1"/>
    </xf>
    <xf numFmtId="195" fontId="198" fillId="0" borderId="0" xfId="7" applyFont="1" applyAlignment="1" applyProtection="1">
      <alignment horizontal="center" vertical="center"/>
    </xf>
    <xf numFmtId="195" fontId="47" fillId="0" borderId="2" xfId="7" applyFont="1" applyFill="1" applyBorder="1" applyAlignment="1" applyProtection="1">
      <alignment horizontal="left" vertical="center" wrapText="1"/>
    </xf>
    <xf numFmtId="195" fontId="47" fillId="0" borderId="13" xfId="7" applyFont="1" applyFill="1" applyBorder="1" applyAlignment="1" applyProtection="1">
      <alignment vertical="center" wrapText="1"/>
    </xf>
    <xf numFmtId="195" fontId="47" fillId="0" borderId="15" xfId="7" applyFont="1" applyFill="1" applyBorder="1" applyAlignment="1" applyProtection="1">
      <alignment vertical="center" wrapText="1"/>
    </xf>
    <xf numFmtId="195" fontId="47" fillId="0" borderId="2" xfId="7" applyFont="1" applyFill="1" applyBorder="1" applyAlignment="1" applyProtection="1">
      <alignment vertical="center" wrapText="1"/>
    </xf>
    <xf numFmtId="195" fontId="63" fillId="0" borderId="78" xfId="0" applyFont="1" applyFill="1" applyBorder="1" applyAlignment="1" applyProtection="1">
      <alignment horizontal="center" vertical="center" wrapText="1"/>
    </xf>
    <xf numFmtId="195" fontId="49" fillId="0" borderId="0" xfId="0" applyFont="1" applyFill="1" applyBorder="1" applyAlignment="1" applyProtection="1">
      <alignment horizontal="left" vertical="center"/>
    </xf>
    <xf numFmtId="195" fontId="47" fillId="0" borderId="1" xfId="0"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63" fillId="0" borderId="5" xfId="0" applyFont="1" applyFill="1" applyBorder="1" applyAlignment="1" applyProtection="1">
      <alignment horizontal="center" vertical="center" wrapText="1"/>
    </xf>
    <xf numFmtId="195" fontId="63" fillId="0" borderId="54" xfId="0" applyFont="1" applyFill="1" applyBorder="1" applyAlignment="1" applyProtection="1">
      <alignment horizontal="center" vertical="center" wrapText="1"/>
    </xf>
    <xf numFmtId="195" fontId="63" fillId="0" borderId="3" xfId="0" applyFont="1" applyFill="1" applyBorder="1" applyAlignment="1" applyProtection="1">
      <alignment horizontal="center" vertical="center" wrapText="1"/>
    </xf>
    <xf numFmtId="195" fontId="207" fillId="0" borderId="0" xfId="0" applyFont="1" applyFill="1" applyBorder="1" applyAlignment="1" applyProtection="1">
      <alignment horizontal="center" vertical="center"/>
    </xf>
    <xf numFmtId="195" fontId="63" fillId="0" borderId="44" xfId="0" applyFont="1" applyFill="1" applyBorder="1" applyAlignment="1" applyProtection="1">
      <alignment horizontal="center" vertical="center" wrapText="1"/>
    </xf>
    <xf numFmtId="195" fontId="127" fillId="0" borderId="0" xfId="0" applyFont="1" applyBorder="1" applyAlignment="1" applyProtection="1">
      <alignment horizontal="left" vertical="center" wrapText="1"/>
    </xf>
    <xf numFmtId="195" fontId="202" fillId="0" borderId="0" xfId="0" applyNumberFormat="1" applyFont="1" applyAlignment="1" applyProtection="1">
      <alignment horizontal="right" vertical="center"/>
      <protection locked="0"/>
    </xf>
    <xf numFmtId="195" fontId="215" fillId="0" borderId="0" xfId="0" applyFont="1" applyBorder="1" applyAlignment="1" applyProtection="1">
      <alignment horizontal="left" vertical="center" wrapText="1"/>
      <protection locked="0"/>
    </xf>
    <xf numFmtId="195" fontId="100" fillId="0" borderId="0" xfId="0" applyFont="1" applyAlignment="1" applyProtection="1">
      <alignment vertical="center" wrapText="1"/>
    </xf>
    <xf numFmtId="195" fontId="168" fillId="0" borderId="0" xfId="0" applyFont="1" applyAlignment="1" applyProtection="1">
      <alignment vertical="center" wrapText="1"/>
      <protection locked="0"/>
    </xf>
    <xf numFmtId="195" fontId="126" fillId="0" borderId="0" xfId="0" applyFont="1" applyBorder="1" applyAlignment="1" applyProtection="1">
      <alignment horizontal="left" vertical="center" wrapText="1"/>
    </xf>
    <xf numFmtId="195" fontId="198" fillId="0" borderId="0" xfId="0" applyFont="1" applyBorder="1" applyAlignment="1" applyProtection="1">
      <alignment horizontal="left" vertical="center"/>
    </xf>
    <xf numFmtId="195" fontId="198" fillId="0" borderId="0" xfId="0" applyFont="1" applyBorder="1" applyAlignment="1" applyProtection="1">
      <alignment horizontal="justify" vertical="center" wrapText="1"/>
    </xf>
    <xf numFmtId="195" fontId="63" fillId="0" borderId="0" xfId="0" applyFont="1" applyBorder="1" applyAlignment="1" applyProtection="1">
      <alignment horizontal="left" vertical="center" wrapText="1"/>
    </xf>
    <xf numFmtId="195" fontId="219" fillId="0" borderId="5" xfId="0" applyFont="1" applyBorder="1" applyAlignment="1" applyProtection="1">
      <alignment horizontal="left" vertical="center"/>
    </xf>
    <xf numFmtId="195" fontId="97" fillId="0" borderId="3" xfId="0" applyFont="1" applyBorder="1" applyAlignment="1" applyProtection="1">
      <alignment horizontal="left" vertical="center"/>
    </xf>
    <xf numFmtId="195" fontId="97" fillId="0" borderId="5" xfId="0" applyFont="1" applyBorder="1" applyAlignment="1" applyProtection="1">
      <alignment horizontal="left" vertical="center"/>
    </xf>
    <xf numFmtId="195" fontId="97" fillId="0" borderId="1" xfId="0" applyFont="1" applyBorder="1" applyAlignment="1" applyProtection="1">
      <alignment horizontal="left" vertical="center"/>
    </xf>
    <xf numFmtId="195" fontId="97" fillId="9" borderId="1" xfId="0" applyFont="1" applyFill="1" applyBorder="1" applyAlignment="1" applyProtection="1">
      <alignment horizontal="left" vertical="center"/>
    </xf>
    <xf numFmtId="195" fontId="97" fillId="5" borderId="13" xfId="0" applyFont="1" applyFill="1" applyBorder="1" applyAlignment="1" applyProtection="1">
      <alignment horizontal="left" vertical="center"/>
    </xf>
    <xf numFmtId="195" fontId="97" fillId="5" borderId="15" xfId="0" applyFont="1" applyFill="1" applyBorder="1" applyAlignment="1" applyProtection="1">
      <alignment horizontal="left" vertical="center"/>
    </xf>
    <xf numFmtId="195" fontId="97" fillId="5" borderId="2" xfId="0" applyFont="1" applyFill="1" applyBorder="1" applyAlignment="1" applyProtection="1">
      <alignment horizontal="left" vertical="center"/>
    </xf>
    <xf numFmtId="195" fontId="119" fillId="5" borderId="1" xfId="5" applyFont="1" applyFill="1" applyBorder="1" applyAlignment="1">
      <alignment horizontal="left" vertical="center"/>
    </xf>
    <xf numFmtId="195" fontId="120" fillId="0" borderId="1" xfId="5" applyFont="1" applyBorder="1" applyAlignment="1">
      <alignment horizontal="left" vertical="center"/>
    </xf>
    <xf numFmtId="195" fontId="120" fillId="0" borderId="156" xfId="5" applyFont="1" applyBorder="1" applyAlignment="1">
      <alignment horizontal="left" vertical="center"/>
    </xf>
    <xf numFmtId="195" fontId="97" fillId="6" borderId="0" xfId="0" applyFont="1" applyFill="1" applyBorder="1" applyAlignment="1" applyProtection="1">
      <alignment horizontal="center" vertical="center" wrapText="1"/>
    </xf>
    <xf numFmtId="195" fontId="248" fillId="6" borderId="60" xfId="0" applyNumberFormat="1" applyFont="1" applyFill="1" applyBorder="1" applyAlignment="1" applyProtection="1">
      <alignment horizontal="left" vertical="center"/>
    </xf>
    <xf numFmtId="195" fontId="49" fillId="6" borderId="1" xfId="0" applyFont="1" applyFill="1" applyBorder="1" applyAlignment="1" applyProtection="1">
      <alignment horizontal="center" vertical="center" wrapText="1"/>
    </xf>
    <xf numFmtId="195" fontId="49" fillId="6" borderId="15" xfId="0" applyFont="1" applyFill="1" applyBorder="1" applyAlignment="1" applyProtection="1">
      <alignment horizontal="left" vertical="center"/>
    </xf>
    <xf numFmtId="195" fontId="49" fillId="6" borderId="2" xfId="0" applyFont="1" applyFill="1" applyBorder="1" applyAlignment="1" applyProtection="1">
      <alignment horizontal="left" vertical="center"/>
    </xf>
    <xf numFmtId="195" fontId="49" fillId="0" borderId="5" xfId="0" applyFont="1" applyBorder="1" applyAlignment="1" applyProtection="1">
      <alignment horizontal="left" vertical="center" wrapText="1"/>
      <protection locked="0"/>
    </xf>
    <xf numFmtId="195" fontId="49" fillId="0" borderId="3" xfId="0" applyFont="1" applyBorder="1" applyAlignment="1" applyProtection="1">
      <alignment horizontal="left" vertical="center" wrapText="1"/>
      <protection locked="0"/>
    </xf>
    <xf numFmtId="195" fontId="49" fillId="6" borderId="22" xfId="0" applyFont="1" applyFill="1" applyBorder="1" applyAlignment="1" applyProtection="1">
      <alignment horizontal="left" vertical="center"/>
    </xf>
    <xf numFmtId="195" fontId="49" fillId="6" borderId="35" xfId="0" applyFont="1" applyFill="1" applyBorder="1" applyAlignment="1" applyProtection="1">
      <alignment horizontal="left" vertical="center"/>
    </xf>
    <xf numFmtId="195" fontId="49" fillId="6" borderId="1" xfId="0" applyNumberFormat="1" applyFont="1" applyFill="1" applyBorder="1" applyAlignment="1" applyProtection="1">
      <alignment horizontal="center" vertical="center" wrapText="1"/>
    </xf>
    <xf numFmtId="195" fontId="49" fillId="6" borderId="34" xfId="0" applyFont="1" applyFill="1" applyBorder="1" applyAlignment="1" applyProtection="1">
      <alignment horizontal="left" vertical="center" wrapText="1"/>
    </xf>
    <xf numFmtId="195" fontId="49" fillId="6" borderId="64" xfId="0" applyFont="1" applyFill="1" applyBorder="1" applyAlignment="1" applyProtection="1">
      <alignment horizontal="left" vertical="center" wrapText="1"/>
    </xf>
    <xf numFmtId="195" fontId="49" fillId="6" borderId="65" xfId="0" applyFont="1" applyFill="1" applyBorder="1" applyAlignment="1" applyProtection="1">
      <alignment horizontal="left" vertical="center" wrapText="1"/>
    </xf>
    <xf numFmtId="195" fontId="49" fillId="16" borderId="13" xfId="0" applyFont="1" applyFill="1" applyBorder="1" applyAlignment="1" applyProtection="1">
      <alignment horizontal="center" vertical="center" wrapText="1"/>
    </xf>
    <xf numFmtId="195" fontId="49" fillId="16" borderId="103"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wrapText="1"/>
    </xf>
    <xf numFmtId="195" fontId="49" fillId="6" borderId="6" xfId="0" applyFont="1" applyFill="1" applyBorder="1" applyAlignment="1" applyProtection="1">
      <alignment vertical="center"/>
    </xf>
    <xf numFmtId="195" fontId="49" fillId="6" borderId="10" xfId="0" applyFont="1" applyFill="1" applyBorder="1" applyAlignment="1" applyProtection="1">
      <alignment vertical="center"/>
    </xf>
    <xf numFmtId="195" fontId="49" fillId="6" borderId="51" xfId="0" applyFont="1" applyFill="1" applyBorder="1" applyAlignment="1" applyProtection="1">
      <alignment vertical="center"/>
    </xf>
    <xf numFmtId="195"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195" fontId="170" fillId="0" borderId="5" xfId="0" applyNumberFormat="1" applyFont="1" applyBorder="1" applyAlignment="1" applyProtection="1">
      <alignment horizontal="left" vertical="center"/>
      <protection locked="0"/>
    </xf>
    <xf numFmtId="195" fontId="170" fillId="0" borderId="54" xfId="0" applyNumberFormat="1" applyFont="1" applyBorder="1" applyAlignment="1" applyProtection="1">
      <alignment horizontal="left" vertical="center"/>
      <protection locked="0"/>
    </xf>
    <xf numFmtId="195"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195" fontId="46" fillId="6" borderId="6" xfId="0" applyFont="1" applyFill="1" applyBorder="1" applyAlignment="1" applyProtection="1">
      <alignment horizontal="center" vertical="center"/>
    </xf>
    <xf numFmtId="195" fontId="46" fillId="6" borderId="9" xfId="0" applyFont="1" applyFill="1" applyBorder="1" applyAlignment="1" applyProtection="1">
      <alignment horizontal="center" vertical="center"/>
    </xf>
    <xf numFmtId="195" fontId="46" fillId="6" borderId="10" xfId="0" applyFont="1" applyFill="1" applyBorder="1" applyAlignment="1" applyProtection="1">
      <alignment horizontal="center" vertical="center"/>
    </xf>
    <xf numFmtId="195" fontId="48" fillId="6" borderId="40" xfId="0" applyFont="1" applyFill="1" applyBorder="1" applyAlignment="1" applyProtection="1">
      <alignment horizontal="center" vertical="center"/>
    </xf>
    <xf numFmtId="195" fontId="48" fillId="6" borderId="17" xfId="0" applyFont="1" applyFill="1" applyBorder="1" applyAlignment="1" applyProtection="1">
      <alignment horizontal="center" vertical="center"/>
    </xf>
    <xf numFmtId="195" fontId="48" fillId="6" borderId="62" xfId="0" applyFont="1" applyFill="1" applyBorder="1" applyAlignment="1" applyProtection="1">
      <alignment horizontal="center" vertical="center"/>
    </xf>
    <xf numFmtId="195" fontId="46" fillId="6" borderId="51" xfId="0" applyFont="1" applyFill="1" applyBorder="1" applyAlignment="1" applyProtection="1">
      <alignment horizontal="center" vertical="center"/>
    </xf>
    <xf numFmtId="195" fontId="46" fillId="6" borderId="20" xfId="0" applyFont="1" applyFill="1" applyBorder="1" applyAlignment="1" applyProtection="1">
      <alignment horizontal="center" vertical="center"/>
    </xf>
    <xf numFmtId="195" fontId="46" fillId="6" borderId="30" xfId="0"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13" xfId="0" applyFont="1" applyFill="1" applyBorder="1" applyAlignment="1" applyProtection="1">
      <alignment horizontal="center" vertical="center"/>
    </xf>
    <xf numFmtId="195" fontId="48" fillId="6" borderId="51" xfId="0" applyFont="1" applyFill="1" applyBorder="1" applyAlignment="1" applyProtection="1">
      <alignment horizontal="center" vertical="center"/>
    </xf>
    <xf numFmtId="195" fontId="48" fillId="6" borderId="20" xfId="0" applyFont="1" applyFill="1" applyBorder="1" applyAlignment="1" applyProtection="1">
      <alignment horizontal="center" vertical="center"/>
    </xf>
    <xf numFmtId="195" fontId="48" fillId="6" borderId="30" xfId="0"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95" fontId="71" fillId="6" borderId="105" xfId="0" applyFont="1" applyFill="1" applyBorder="1" applyAlignment="1" applyProtection="1">
      <alignment vertical="center"/>
    </xf>
    <xf numFmtId="195" fontId="71" fillId="6" borderId="101" xfId="0" applyFont="1" applyFill="1" applyBorder="1" applyAlignment="1" applyProtection="1">
      <alignment vertical="center"/>
    </xf>
    <xf numFmtId="195" fontId="49" fillId="6" borderId="54" xfId="0"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195" fontId="54" fillId="6" borderId="51" xfId="0" applyFont="1" applyFill="1" applyBorder="1" applyAlignment="1" applyProtection="1">
      <alignment horizontal="center" vertical="center" wrapText="1"/>
    </xf>
    <xf numFmtId="195" fontId="54" fillId="6" borderId="20" xfId="0" applyFont="1" applyFill="1" applyBorder="1" applyAlignment="1" applyProtection="1">
      <alignment horizontal="center" vertical="center" wrapText="1"/>
    </xf>
    <xf numFmtId="195" fontId="54" fillId="6" borderId="21" xfId="0" applyFont="1" applyFill="1" applyBorder="1" applyAlignment="1" applyProtection="1">
      <alignment horizontal="center" vertical="center" wrapText="1"/>
    </xf>
    <xf numFmtId="195" fontId="54" fillId="6" borderId="46" xfId="0" applyFont="1" applyFill="1" applyBorder="1" applyAlignment="1" applyProtection="1">
      <alignment horizontal="left" vertical="center" wrapText="1"/>
    </xf>
    <xf numFmtId="195" fontId="54" fillId="6" borderId="36" xfId="0" applyFont="1" applyFill="1" applyBorder="1" applyAlignment="1" applyProtection="1">
      <alignment horizontal="left" vertical="center" wrapText="1"/>
    </xf>
    <xf numFmtId="195" fontId="54" fillId="6" borderId="22" xfId="0" applyFont="1" applyFill="1" applyBorder="1" applyAlignment="1" applyProtection="1">
      <alignment horizontal="left" vertical="center" wrapText="1"/>
    </xf>
    <xf numFmtId="195" fontId="48" fillId="6" borderId="40" xfId="0" applyFont="1" applyFill="1" applyBorder="1" applyAlignment="1" applyProtection="1">
      <alignment horizontal="left" vertical="center" wrapText="1"/>
    </xf>
    <xf numFmtId="195"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95" fontId="48" fillId="6" borderId="21" xfId="0" applyFont="1" applyFill="1" applyBorder="1" applyAlignment="1" applyProtection="1">
      <alignment horizontal="center" vertical="center"/>
    </xf>
    <xf numFmtId="195" fontId="54" fillId="6" borderId="47" xfId="0"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NumberFormat="1" applyFont="1" applyFill="1" applyBorder="1" applyAlignment="1" applyProtection="1">
      <alignment horizontal="left" vertical="center" wrapText="1"/>
    </xf>
    <xf numFmtId="0" fontId="131" fillId="6" borderId="0" xfId="0" applyNumberFormat="1" applyFont="1" applyFill="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3" xfId="0" applyFont="1" applyFill="1" applyBorder="1" applyAlignment="1" applyProtection="1">
      <alignment horizontal="left" vertical="center" wrapText="1"/>
    </xf>
    <xf numFmtId="195" fontId="48" fillId="6" borderId="40" xfId="0" applyFont="1" applyFill="1" applyBorder="1" applyAlignment="1" applyProtection="1">
      <alignment horizontal="center" vertical="center" wrapText="1"/>
    </xf>
    <xf numFmtId="195" fontId="48" fillId="6" borderId="14" xfId="0" applyFont="1" applyFill="1" applyBorder="1" applyAlignment="1" applyProtection="1">
      <alignment horizontal="center" vertical="center" wrapText="1"/>
    </xf>
    <xf numFmtId="195" fontId="48" fillId="6" borderId="12" xfId="0" applyFont="1" applyFill="1" applyBorder="1" applyAlignment="1" applyProtection="1">
      <alignment horizontal="center" vertical="center" wrapText="1"/>
    </xf>
    <xf numFmtId="195" fontId="56" fillId="6" borderId="6" xfId="0" applyFont="1" applyFill="1" applyBorder="1" applyAlignment="1" applyProtection="1">
      <alignment horizontal="left" vertical="center" wrapText="1"/>
    </xf>
    <xf numFmtId="195" fontId="56" fillId="6" borderId="9"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102" fillId="6" borderId="63" xfId="0" applyFont="1" applyFill="1" applyBorder="1" applyAlignment="1" applyProtection="1">
      <alignment horizontal="center" vertical="center"/>
    </xf>
    <xf numFmtId="195" fontId="102" fillId="6" borderId="64" xfId="0" applyFont="1" applyFill="1" applyBorder="1" applyAlignment="1" applyProtection="1">
      <alignment horizontal="center" vertical="center"/>
    </xf>
    <xf numFmtId="195" fontId="102" fillId="6" borderId="65" xfId="0"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195" fontId="49" fillId="6" borderId="69" xfId="0" applyFont="1" applyFill="1" applyBorder="1" applyAlignment="1" applyProtection="1">
      <alignment horizontal="center" vertical="center"/>
    </xf>
    <xf numFmtId="195" fontId="49" fillId="6" borderId="60" xfId="0"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95" fontId="48" fillId="6" borderId="23" xfId="0" applyFont="1" applyFill="1" applyBorder="1" applyAlignment="1" applyProtection="1">
      <alignment horizontal="left" vertical="center"/>
    </xf>
    <xf numFmtId="195" fontId="48" fillId="6" borderId="1"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xf>
    <xf numFmtId="195" fontId="48" fillId="6" borderId="1" xfId="0" applyFont="1" applyFill="1" applyBorder="1" applyAlignment="1" applyProtection="1">
      <alignment horizontal="left" vertical="center" wrapText="1"/>
    </xf>
    <xf numFmtId="195" fontId="127" fillId="6" borderId="23" xfId="0" applyFont="1" applyFill="1" applyBorder="1" applyAlignment="1" applyProtection="1">
      <alignment horizontal="left" vertical="center"/>
    </xf>
    <xf numFmtId="195" fontId="127" fillId="6" borderId="25" xfId="0" applyFont="1" applyFill="1" applyBorder="1" applyAlignment="1" applyProtection="1">
      <alignment horizontal="left" vertical="center"/>
    </xf>
    <xf numFmtId="195" fontId="49" fillId="6" borderId="19" xfId="0" applyFont="1" applyFill="1" applyBorder="1" applyAlignment="1" applyProtection="1">
      <alignment horizontal="left" vertical="center" wrapText="1"/>
    </xf>
    <xf numFmtId="195" fontId="46" fillId="5" borderId="13" xfId="0" applyFont="1" applyFill="1" applyBorder="1" applyAlignment="1" applyProtection="1">
      <alignment horizontal="left" vertical="center" wrapText="1"/>
      <protection locked="0"/>
    </xf>
    <xf numFmtId="195" fontId="46" fillId="5" borderId="2" xfId="0" applyFont="1" applyFill="1" applyBorder="1" applyAlignment="1" applyProtection="1">
      <alignment horizontal="left" vertical="center" wrapText="1"/>
      <protection locked="0"/>
    </xf>
    <xf numFmtId="195" fontId="49" fillId="6" borderId="48" xfId="0" applyFont="1" applyFill="1" applyBorder="1" applyAlignment="1" applyProtection="1">
      <alignment horizontal="left" vertical="center" wrapText="1"/>
    </xf>
    <xf numFmtId="195" fontId="56" fillId="6" borderId="18" xfId="0" applyFont="1" applyFill="1" applyBorder="1" applyAlignment="1" applyProtection="1">
      <alignment horizontal="center" vertical="center" wrapText="1"/>
    </xf>
    <xf numFmtId="195" fontId="56" fillId="6" borderId="0" xfId="0" applyFont="1" applyFill="1" applyBorder="1" applyAlignment="1" applyProtection="1">
      <alignment horizontal="center" vertical="center" wrapText="1"/>
    </xf>
    <xf numFmtId="195" fontId="46" fillId="6" borderId="5"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wrapText="1"/>
    </xf>
    <xf numFmtId="195" fontId="46" fillId="6" borderId="3" xfId="0" applyFont="1" applyFill="1" applyBorder="1" applyAlignment="1" applyProtection="1">
      <alignment horizontal="left" vertical="center" wrapText="1"/>
    </xf>
    <xf numFmtId="195" fontId="46" fillId="5" borderId="1" xfId="0" applyFont="1" applyFill="1" applyBorder="1" applyAlignment="1" applyProtection="1">
      <alignment horizontal="left" vertical="center" wrapText="1"/>
      <protection locked="0"/>
    </xf>
    <xf numFmtId="195" fontId="48" fillId="6" borderId="5" xfId="0" applyFont="1" applyFill="1" applyBorder="1" applyAlignment="1" applyProtection="1">
      <alignment horizontal="center" vertical="center"/>
    </xf>
    <xf numFmtId="195" fontId="48" fillId="6" borderId="54" xfId="0" applyFont="1" applyFill="1" applyBorder="1" applyAlignment="1" applyProtection="1">
      <alignment horizontal="center" vertical="center"/>
    </xf>
    <xf numFmtId="195" fontId="48" fillId="6" borderId="3" xfId="0" applyFont="1" applyFill="1" applyBorder="1" applyAlignment="1" applyProtection="1">
      <alignment horizontal="center" vertical="center"/>
    </xf>
    <xf numFmtId="195" fontId="49" fillId="6" borderId="36" xfId="0" applyFont="1" applyFill="1" applyBorder="1" applyAlignment="1" applyProtection="1">
      <alignment horizontal="left" vertical="center"/>
    </xf>
    <xf numFmtId="195" fontId="46" fillId="5" borderId="5" xfId="0" applyFont="1" applyFill="1" applyBorder="1" applyAlignment="1" applyProtection="1">
      <alignment horizontal="left" vertical="center" wrapText="1"/>
      <protection locked="0"/>
    </xf>
    <xf numFmtId="195" fontId="46"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left" vertical="center" wrapText="1"/>
    </xf>
    <xf numFmtId="195" fontId="101" fillId="6" borderId="1" xfId="0" applyFont="1" applyFill="1" applyBorder="1" applyAlignment="1" applyProtection="1">
      <alignment horizontal="left" vertical="center" wrapText="1"/>
    </xf>
    <xf numFmtId="195" fontId="101" fillId="6" borderId="13" xfId="0" applyFont="1" applyFill="1" applyBorder="1" applyAlignment="1" applyProtection="1">
      <alignment horizontal="left" vertical="center" wrapText="1"/>
    </xf>
    <xf numFmtId="195" fontId="101" fillId="6" borderId="2" xfId="0" applyFont="1" applyFill="1" applyBorder="1" applyAlignment="1" applyProtection="1">
      <alignment horizontal="left" vertical="center" wrapText="1"/>
    </xf>
    <xf numFmtId="195" fontId="49" fillId="6" borderId="25" xfId="0" applyFont="1" applyFill="1" applyBorder="1" applyAlignment="1" applyProtection="1">
      <alignment horizontal="left" vertical="center" wrapText="1"/>
    </xf>
    <xf numFmtId="195" fontId="49" fillId="6" borderId="32" xfId="0" applyFont="1" applyFill="1" applyBorder="1" applyAlignment="1" applyProtection="1">
      <alignment horizontal="left" vertical="center" wrapText="1"/>
    </xf>
    <xf numFmtId="195" fontId="49" fillId="6" borderId="61" xfId="0" applyFont="1" applyFill="1" applyBorder="1" applyAlignment="1" applyProtection="1">
      <alignment horizontal="left" vertical="center"/>
    </xf>
    <xf numFmtId="195" fontId="49" fillId="6" borderId="53" xfId="0" applyFont="1" applyFill="1" applyBorder="1" applyAlignment="1" applyProtection="1">
      <alignment horizontal="left" vertical="center"/>
    </xf>
    <xf numFmtId="195" fontId="49" fillId="6" borderId="8" xfId="0" applyFont="1" applyFill="1" applyBorder="1" applyAlignment="1" applyProtection="1">
      <alignment horizontal="left" vertical="center"/>
    </xf>
    <xf numFmtId="195" fontId="106" fillId="6" borderId="106" xfId="0" applyFont="1" applyFill="1" applyBorder="1" applyProtection="1">
      <alignment vertical="center"/>
    </xf>
    <xf numFmtId="195" fontId="106" fillId="6" borderId="107" xfId="0" applyFont="1" applyFill="1" applyBorder="1" applyProtection="1">
      <alignment vertical="center"/>
    </xf>
    <xf numFmtId="195" fontId="48" fillId="6" borderId="23" xfId="0" applyFont="1" applyFill="1" applyBorder="1" applyAlignment="1" applyProtection="1">
      <alignment horizontal="left" vertical="center" wrapText="1"/>
    </xf>
    <xf numFmtId="195" fontId="48" fillId="6" borderId="25" xfId="0" applyFont="1" applyFill="1" applyBorder="1" applyAlignment="1" applyProtection="1">
      <alignment horizontal="left" vertical="center" wrapText="1"/>
    </xf>
    <xf numFmtId="195" fontId="48" fillId="6" borderId="32" xfId="0" applyFont="1" applyFill="1" applyBorder="1" applyAlignment="1" applyProtection="1">
      <alignment horizontal="left" vertical="center" wrapText="1"/>
    </xf>
    <xf numFmtId="195" fontId="48" fillId="6" borderId="5" xfId="0" applyFont="1" applyFill="1" applyBorder="1" applyAlignment="1" applyProtection="1">
      <alignment horizontal="left" vertical="center" wrapText="1"/>
    </xf>
    <xf numFmtId="195" fontId="48" fillId="6" borderId="54" xfId="0" applyFont="1" applyFill="1" applyBorder="1" applyAlignment="1" applyProtection="1">
      <alignment horizontal="left" vertical="center" wrapText="1"/>
    </xf>
    <xf numFmtId="195" fontId="48" fillId="6" borderId="3"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wrapText="1"/>
      <protection locked="0"/>
    </xf>
    <xf numFmtId="195" fontId="48"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protection locked="0"/>
    </xf>
    <xf numFmtId="195" fontId="128" fillId="6" borderId="1" xfId="0" applyNumberFormat="1"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xf>
    <xf numFmtId="195" fontId="48" fillId="6" borderId="3"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9" fillId="6" borderId="54" xfId="0" applyFont="1" applyFill="1" applyBorder="1" applyAlignment="1" applyProtection="1">
      <alignment horizontal="left" vertical="center"/>
    </xf>
    <xf numFmtId="195" fontId="166" fillId="6" borderId="1" xfId="0" applyFont="1" applyFill="1" applyBorder="1" applyAlignment="1">
      <alignment horizontal="left" vertical="center" wrapText="1"/>
    </xf>
    <xf numFmtId="195"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95" fontId="55" fillId="6" borderId="61" xfId="0" applyFont="1" applyFill="1" applyBorder="1" applyAlignment="1" applyProtection="1">
      <alignment horizontal="left" vertical="center"/>
    </xf>
    <xf numFmtId="195" fontId="55" fillId="6" borderId="53" xfId="0" applyFont="1" applyFill="1" applyBorder="1" applyAlignment="1" applyProtection="1">
      <alignment horizontal="left" vertical="center"/>
    </xf>
    <xf numFmtId="195" fontId="55" fillId="6" borderId="8" xfId="0" applyFont="1" applyFill="1" applyBorder="1" applyAlignment="1" applyProtection="1">
      <alignment horizontal="left" vertical="center"/>
    </xf>
    <xf numFmtId="195" fontId="115" fillId="6" borderId="34" xfId="0" applyFont="1" applyFill="1" applyBorder="1" applyAlignment="1" applyProtection="1">
      <alignment horizontal="left" vertical="center" wrapText="1"/>
    </xf>
    <xf numFmtId="195" fontId="115" fillId="6" borderId="65" xfId="0" applyFont="1" applyFill="1" applyBorder="1" applyAlignment="1" applyProtection="1">
      <alignment horizontal="left" vertical="center" wrapText="1"/>
    </xf>
    <xf numFmtId="195" fontId="49" fillId="6" borderId="13" xfId="0" applyFont="1" applyFill="1" applyBorder="1" applyAlignment="1" applyProtection="1">
      <alignment vertical="top" wrapText="1"/>
    </xf>
    <xf numFmtId="195" fontId="49" fillId="6" borderId="15" xfId="0" applyFont="1" applyFill="1" applyBorder="1" applyAlignment="1" applyProtection="1">
      <alignment vertical="top" wrapText="1"/>
    </xf>
    <xf numFmtId="195" fontId="49" fillId="6" borderId="2" xfId="0" applyFont="1" applyFill="1" applyBorder="1" applyAlignment="1" applyProtection="1">
      <alignment vertical="top" wrapText="1"/>
    </xf>
    <xf numFmtId="195" fontId="56" fillId="6" borderId="23" xfId="4" applyFont="1" applyFill="1" applyBorder="1" applyAlignment="1" applyProtection="1">
      <alignment horizontal="left" vertical="center" wrapText="1"/>
      <protection locked="0"/>
    </xf>
    <xf numFmtId="195" fontId="56" fillId="6" borderId="13" xfId="4" applyFont="1" applyFill="1" applyBorder="1" applyAlignment="1" applyProtection="1">
      <alignment horizontal="left" vertical="center" wrapText="1"/>
      <protection locked="0"/>
    </xf>
    <xf numFmtId="195" fontId="56" fillId="6" borderId="15" xfId="4" applyFont="1" applyFill="1" applyBorder="1" applyAlignment="1" applyProtection="1">
      <alignment horizontal="left" vertical="center" wrapText="1"/>
      <protection locked="0"/>
    </xf>
    <xf numFmtId="195" fontId="56" fillId="6" borderId="2" xfId="4" applyFont="1" applyFill="1" applyBorder="1" applyAlignment="1" applyProtection="1">
      <alignment horizontal="left" vertical="center" wrapText="1"/>
      <protection locked="0"/>
    </xf>
    <xf numFmtId="195" fontId="104" fillId="6" borderId="11" xfId="4" applyFont="1" applyFill="1" applyBorder="1" applyAlignment="1" applyProtection="1">
      <alignment horizontal="left" vertical="center"/>
      <protection locked="0"/>
    </xf>
    <xf numFmtId="195" fontId="104" fillId="6" borderId="41" xfId="4" applyFont="1" applyFill="1" applyBorder="1" applyAlignment="1" applyProtection="1">
      <alignment horizontal="left" vertical="center"/>
      <protection locked="0"/>
    </xf>
    <xf numFmtId="195" fontId="56" fillId="19" borderId="69" xfId="4" applyFont="1" applyFill="1" applyBorder="1" applyAlignment="1" applyProtection="1">
      <alignment vertical="center"/>
      <protection locked="0"/>
    </xf>
    <xf numFmtId="195" fontId="56" fillId="19" borderId="7" xfId="4" applyFont="1" applyFill="1" applyBorder="1" applyAlignment="1" applyProtection="1">
      <alignment vertical="center"/>
      <protection locked="0"/>
    </xf>
    <xf numFmtId="195" fontId="56" fillId="6" borderId="37" xfId="4" applyFont="1" applyFill="1" applyBorder="1" applyAlignment="1" applyProtection="1">
      <alignment horizontal="left" vertical="center"/>
      <protection locked="0"/>
    </xf>
    <xf numFmtId="195" fontId="56" fillId="6" borderId="3" xfId="4" applyFont="1" applyFill="1" applyBorder="1" applyAlignment="1" applyProtection="1">
      <alignment horizontal="left" vertical="center"/>
      <protection locked="0"/>
    </xf>
    <xf numFmtId="195" fontId="55" fillId="6" borderId="5" xfId="4" applyFont="1" applyFill="1" applyBorder="1" applyAlignment="1">
      <alignment horizontal="left" vertical="center"/>
    </xf>
    <xf numFmtId="195" fontId="55" fillId="6" borderId="3" xfId="4" applyFont="1" applyFill="1" applyBorder="1" applyAlignment="1">
      <alignment horizontal="left" vertical="center"/>
    </xf>
    <xf numFmtId="195" fontId="56" fillId="6" borderId="33" xfId="4" applyFont="1" applyFill="1" applyBorder="1" applyAlignment="1">
      <alignment horizontal="left" vertical="center"/>
    </xf>
    <xf numFmtId="195" fontId="56" fillId="6" borderId="66" xfId="4" applyFont="1" applyFill="1" applyBorder="1" applyAlignment="1">
      <alignment horizontal="left" vertical="center"/>
    </xf>
    <xf numFmtId="195" fontId="104" fillId="6" borderId="63" xfId="4" applyFont="1" applyFill="1" applyBorder="1" applyAlignment="1">
      <alignment horizontal="left" vertical="center"/>
    </xf>
    <xf numFmtId="195" fontId="104" fillId="6" borderId="64" xfId="4" applyFont="1" applyFill="1" applyBorder="1" applyAlignment="1">
      <alignment horizontal="left" vertical="center"/>
    </xf>
    <xf numFmtId="195" fontId="104" fillId="6" borderId="70" xfId="4" applyFont="1" applyFill="1" applyBorder="1" applyAlignment="1">
      <alignment horizontal="left" vertical="center"/>
    </xf>
    <xf numFmtId="195" fontId="56" fillId="6" borderId="5" xfId="4" applyFont="1" applyFill="1" applyBorder="1" applyAlignment="1">
      <alignment horizontal="left" vertical="center"/>
    </xf>
    <xf numFmtId="195" fontId="56" fillId="6" borderId="3" xfId="4" applyFont="1" applyFill="1" applyBorder="1" applyAlignment="1">
      <alignment horizontal="left" vertical="center"/>
    </xf>
    <xf numFmtId="195" fontId="206" fillId="6" borderId="5" xfId="0" applyFont="1" applyFill="1" applyBorder="1" applyAlignment="1">
      <alignment horizontal="center" vertical="center"/>
    </xf>
    <xf numFmtId="195" fontId="206" fillId="6" borderId="3" xfId="0" applyFont="1" applyFill="1" applyBorder="1" applyAlignment="1">
      <alignment horizontal="center" vertical="center"/>
    </xf>
    <xf numFmtId="195" fontId="53" fillId="6" borderId="5" xfId="0" applyFont="1" applyFill="1" applyBorder="1" applyAlignment="1" applyProtection="1">
      <alignment horizontal="center" vertical="center" wrapText="1"/>
    </xf>
    <xf numFmtId="195" fontId="53" fillId="6" borderId="3" xfId="0" applyFont="1" applyFill="1" applyBorder="1" applyAlignment="1" applyProtection="1">
      <alignment horizontal="center" vertical="center" wrapText="1"/>
    </xf>
    <xf numFmtId="195" fontId="52" fillId="18" borderId="1" xfId="0" applyNumberFormat="1" applyFont="1" applyFill="1" applyBorder="1" applyAlignment="1" applyProtection="1">
      <alignment horizontal="center" vertical="center"/>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13"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wrapText="1"/>
    </xf>
    <xf numFmtId="195" fontId="53" fillId="6" borderId="11" xfId="0" applyFont="1" applyFill="1" applyBorder="1" applyAlignment="1" applyProtection="1">
      <alignment horizontal="center" vertical="center" textRotation="255" wrapText="1"/>
    </xf>
    <xf numFmtId="195" fontId="53" fillId="6" borderId="14" xfId="0" applyFont="1" applyFill="1" applyBorder="1" applyAlignment="1" applyProtection="1">
      <alignment horizontal="center" vertical="center" textRotation="255" wrapText="1"/>
    </xf>
    <xf numFmtId="195" fontId="53" fillId="6" borderId="41" xfId="0" applyFont="1" applyFill="1" applyBorder="1" applyAlignment="1" applyProtection="1">
      <alignment horizontal="center" vertical="center" textRotation="255" wrapText="1"/>
    </xf>
    <xf numFmtId="195" fontId="53" fillId="6" borderId="15" xfId="0" applyFont="1" applyFill="1" applyBorder="1" applyAlignment="1" applyProtection="1">
      <alignment horizontal="center" vertical="center" textRotation="255" wrapText="1"/>
    </xf>
    <xf numFmtId="195" fontId="53" fillId="6" borderId="2" xfId="0" applyFont="1" applyFill="1" applyBorder="1" applyAlignment="1" applyProtection="1">
      <alignment horizontal="center" vertical="center" textRotation="255" wrapText="1"/>
    </xf>
    <xf numFmtId="195" fontId="53" fillId="6" borderId="11" xfId="0" applyFont="1" applyFill="1" applyBorder="1" applyAlignment="1" applyProtection="1">
      <alignment horizontal="center" vertical="center" wrapText="1"/>
    </xf>
    <xf numFmtId="195" fontId="53" fillId="6" borderId="14" xfId="0" applyFont="1" applyFill="1" applyBorder="1" applyAlignment="1" applyProtection="1">
      <alignment horizontal="center" vertical="center" wrapText="1"/>
    </xf>
    <xf numFmtId="195" fontId="53" fillId="6" borderId="23" xfId="0" applyFont="1" applyFill="1" applyBorder="1" applyAlignment="1" applyProtection="1">
      <alignment horizontal="center" vertical="center" wrapText="1"/>
    </xf>
    <xf numFmtId="195" fontId="46" fillId="6" borderId="1" xfId="0" applyFont="1" applyFill="1" applyBorder="1" applyAlignment="1" applyProtection="1">
      <alignment horizontal="center" vertical="center" wrapText="1"/>
    </xf>
    <xf numFmtId="195" fontId="53" fillId="6" borderId="13" xfId="0" applyFont="1" applyFill="1" applyBorder="1" applyAlignment="1" applyProtection="1">
      <alignment horizontal="center" vertical="center"/>
    </xf>
    <xf numFmtId="195" fontId="53" fillId="6" borderId="15" xfId="0" applyFont="1" applyFill="1" applyBorder="1" applyAlignment="1" applyProtection="1">
      <alignment horizontal="center" vertical="center"/>
    </xf>
    <xf numFmtId="195" fontId="53" fillId="6" borderId="2" xfId="0"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wrapText="1"/>
    </xf>
    <xf numFmtId="195" fontId="53" fillId="6" borderId="22" xfId="0" applyFont="1" applyFill="1" applyBorder="1" applyAlignment="1" applyProtection="1">
      <alignment horizontal="center" vertical="center" wrapText="1"/>
    </xf>
    <xf numFmtId="195" fontId="53" fillId="6" borderId="58" xfId="0" applyFont="1" applyFill="1" applyBorder="1" applyAlignment="1" applyProtection="1">
      <alignment horizontal="center" vertical="center" wrapText="1"/>
    </xf>
    <xf numFmtId="195" fontId="53" fillId="6" borderId="35"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wrapText="1"/>
    </xf>
    <xf numFmtId="195" fontId="53" fillId="6" borderId="7" xfId="0"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xf>
    <xf numFmtId="195" fontId="53" fillId="6" borderId="22" xfId="0" applyFont="1" applyFill="1" applyBorder="1" applyAlignment="1" applyProtection="1">
      <alignment horizontal="center" vertical="center"/>
    </xf>
    <xf numFmtId="195" fontId="53" fillId="6" borderId="58" xfId="0" applyFont="1" applyFill="1" applyBorder="1" applyAlignment="1" applyProtection="1">
      <alignment horizontal="center" vertical="center"/>
    </xf>
    <xf numFmtId="195" fontId="53" fillId="6" borderId="35" xfId="0" applyFont="1" applyFill="1" applyBorder="1" applyAlignment="1" applyProtection="1">
      <alignment horizontal="center" vertical="center"/>
    </xf>
    <xf numFmtId="195" fontId="53" fillId="6" borderId="4" xfId="0" applyFont="1" applyFill="1" applyBorder="1" applyAlignment="1" applyProtection="1">
      <alignment horizontal="center" vertical="center"/>
    </xf>
    <xf numFmtId="195" fontId="53" fillId="6" borderId="7"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0" fontId="168" fillId="0" borderId="11" xfId="0" applyNumberFormat="1" applyFont="1" applyFill="1" applyBorder="1" applyAlignment="1" applyProtection="1">
      <alignment horizontal="center" vertical="center" wrapText="1"/>
      <protection locked="0"/>
    </xf>
    <xf numFmtId="0" fontId="168" fillId="0" borderId="61" xfId="0" applyNumberFormat="1" applyFont="1" applyFill="1" applyBorder="1" applyAlignment="1" applyProtection="1">
      <alignment horizontal="center" vertical="center" wrapText="1"/>
      <protection locked="0"/>
    </xf>
    <xf numFmtId="0" fontId="168" fillId="0" borderId="23" xfId="0" applyNumberFormat="1" applyFont="1" applyFill="1" applyBorder="1" applyAlignment="1" applyProtection="1">
      <alignment horizontal="center" vertical="center" wrapText="1"/>
      <protection locked="0"/>
    </xf>
    <xf numFmtId="0" fontId="168" fillId="0" borderId="24" xfId="0" applyNumberFormat="1" applyFont="1" applyFill="1" applyBorder="1" applyAlignment="1" applyProtection="1">
      <alignment horizontal="center" vertical="center" wrapText="1"/>
      <protection locked="0"/>
    </xf>
    <xf numFmtId="195" fontId="46" fillId="6" borderId="5"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46" fillId="6" borderId="54" xfId="0" applyFont="1" applyFill="1" applyBorder="1" applyAlignment="1" applyProtection="1">
      <alignment horizontal="center" vertical="center"/>
    </xf>
    <xf numFmtId="0" fontId="210" fillId="0" borderId="23" xfId="0" applyNumberFormat="1" applyFont="1" applyFill="1" applyBorder="1" applyAlignment="1" applyProtection="1">
      <alignment horizontal="center" vertical="center" wrapText="1"/>
      <protection locked="0"/>
    </xf>
    <xf numFmtId="0" fontId="168" fillId="0" borderId="22" xfId="0" applyNumberFormat="1" applyFont="1" applyFill="1" applyBorder="1" applyAlignment="1" applyProtection="1">
      <alignment horizontal="center" vertical="center" wrapText="1"/>
      <protection locked="0"/>
    </xf>
    <xf numFmtId="0" fontId="168" fillId="0" borderId="46" xfId="0" applyNumberFormat="1" applyFont="1" applyFill="1" applyBorder="1" applyAlignment="1" applyProtection="1">
      <alignment horizontal="center" vertical="center" wrapText="1"/>
      <protection locked="0"/>
    </xf>
    <xf numFmtId="0" fontId="210" fillId="0" borderId="3" xfId="0" applyNumberFormat="1" applyFont="1" applyFill="1" applyBorder="1" applyAlignment="1" applyProtection="1">
      <alignment horizontal="center" vertical="center" wrapText="1"/>
      <protection locked="0"/>
    </xf>
    <xf numFmtId="0" fontId="168" fillId="0" borderId="5" xfId="0" applyNumberFormat="1" applyFont="1" applyFill="1" applyBorder="1" applyAlignment="1" applyProtection="1">
      <alignment horizontal="center" vertical="center" wrapText="1"/>
      <protection locked="0"/>
    </xf>
    <xf numFmtId="195" fontId="82" fillId="22" borderId="5" xfId="19" applyFont="1" applyFill="1" applyBorder="1" applyAlignment="1" applyProtection="1">
      <alignment horizontal="center"/>
      <protection locked="0"/>
    </xf>
    <xf numFmtId="195" fontId="82" fillId="22" borderId="3" xfId="19" applyFont="1" applyFill="1" applyBorder="1" applyAlignment="1" applyProtection="1">
      <alignment horizontal="center"/>
      <protection locked="0"/>
    </xf>
    <xf numFmtId="195" fontId="53" fillId="6" borderId="6" xfId="0" applyFont="1" applyFill="1" applyBorder="1" applyAlignment="1" applyProtection="1">
      <alignment horizontal="center" vertical="center" wrapText="1"/>
    </xf>
    <xf numFmtId="195" fontId="53" fillId="6" borderId="10" xfId="0" applyFont="1" applyFill="1" applyBorder="1" applyAlignment="1" applyProtection="1">
      <alignment horizontal="center" vertical="center" wrapText="1"/>
    </xf>
    <xf numFmtId="195" fontId="53" fillId="6" borderId="30" xfId="0" applyFont="1" applyFill="1" applyBorder="1" applyAlignment="1" applyProtection="1">
      <alignment horizontal="center" vertical="center" wrapText="1"/>
    </xf>
    <xf numFmtId="195" fontId="53" fillId="6" borderId="28" xfId="0" applyFont="1" applyFill="1" applyBorder="1" applyAlignment="1" applyProtection="1">
      <alignment horizontal="center" vertical="center" wrapText="1"/>
    </xf>
    <xf numFmtId="195" fontId="168" fillId="0" borderId="11" xfId="0" applyFont="1" applyFill="1" applyBorder="1" applyAlignment="1" applyProtection="1">
      <alignment horizontal="center" vertical="center" wrapText="1"/>
      <protection locked="0"/>
    </xf>
    <xf numFmtId="195" fontId="168" fillId="0" borderId="61" xfId="0" applyFont="1" applyFill="1" applyBorder="1" applyAlignment="1" applyProtection="1">
      <alignment horizontal="center" vertical="center" wrapText="1"/>
      <protection locked="0"/>
    </xf>
    <xf numFmtId="195" fontId="168" fillId="0" borderId="23" xfId="0" applyFont="1" applyFill="1" applyBorder="1" applyAlignment="1" applyProtection="1">
      <alignment horizontal="center" vertical="center" wrapText="1"/>
      <protection locked="0"/>
    </xf>
    <xf numFmtId="195" fontId="168" fillId="0" borderId="24" xfId="0" applyFont="1" applyFill="1" applyBorder="1" applyAlignment="1" applyProtection="1">
      <alignment horizontal="center" vertical="center" wrapText="1"/>
      <protection locked="0"/>
    </xf>
    <xf numFmtId="195" fontId="168" fillId="0" borderId="22" xfId="0" applyFont="1" applyFill="1" applyBorder="1" applyAlignment="1" applyProtection="1">
      <alignment horizontal="center" vertical="center" wrapText="1"/>
      <protection locked="0"/>
    </xf>
    <xf numFmtId="195" fontId="168" fillId="0" borderId="46" xfId="0" applyFont="1" applyFill="1" applyBorder="1" applyAlignment="1" applyProtection="1">
      <alignment horizontal="center" vertical="center" wrapText="1"/>
      <protection locked="0"/>
    </xf>
    <xf numFmtId="195" fontId="168" fillId="0" borderId="3" xfId="0" applyFont="1" applyFill="1" applyBorder="1" applyAlignment="1" applyProtection="1">
      <alignment horizontal="center" vertical="center" wrapText="1"/>
      <protection locked="0"/>
    </xf>
    <xf numFmtId="195" fontId="168" fillId="0" borderId="5" xfId="0" applyFont="1" applyFill="1" applyBorder="1" applyAlignment="1" applyProtection="1">
      <alignment horizontal="center" vertical="center" wrapText="1"/>
      <protection locked="0"/>
    </xf>
    <xf numFmtId="195" fontId="53" fillId="6" borderId="38" xfId="0" applyFont="1" applyFill="1" applyBorder="1" applyAlignment="1" applyProtection="1">
      <alignment horizontal="center" vertical="center" wrapText="1"/>
    </xf>
    <xf numFmtId="195" fontId="53" fillId="6" borderId="66" xfId="0" applyFont="1" applyFill="1" applyBorder="1" applyAlignment="1" applyProtection="1">
      <alignment horizontal="center" vertical="center" wrapText="1"/>
    </xf>
    <xf numFmtId="195" fontId="52" fillId="6" borderId="32" xfId="0" applyNumberFormat="1" applyFont="1" applyFill="1" applyBorder="1" applyAlignment="1" applyProtection="1">
      <alignment horizontal="center" vertical="center"/>
    </xf>
    <xf numFmtId="195" fontId="53" fillId="6" borderId="62" xfId="0" applyFont="1" applyFill="1" applyBorder="1" applyAlignment="1" applyProtection="1">
      <alignment horizontal="center" vertical="center"/>
    </xf>
    <xf numFmtId="195" fontId="53" fillId="6" borderId="53" xfId="0" applyFont="1" applyFill="1" applyBorder="1" applyAlignment="1" applyProtection="1">
      <alignment horizontal="center" vertical="center"/>
    </xf>
    <xf numFmtId="195" fontId="53" fillId="6" borderId="8" xfId="0" applyFont="1" applyFill="1" applyBorder="1" applyAlignment="1" applyProtection="1">
      <alignment horizontal="center" vertical="center"/>
    </xf>
    <xf numFmtId="195" fontId="53" fillId="6" borderId="16" xfId="0" applyFont="1" applyFill="1" applyBorder="1" applyAlignment="1" applyProtection="1">
      <alignment horizontal="center" vertical="center" wrapText="1"/>
    </xf>
    <xf numFmtId="195" fontId="53" fillId="6" borderId="39" xfId="0" applyFont="1" applyFill="1" applyBorder="1" applyAlignment="1" applyProtection="1">
      <alignment horizontal="center" vertical="center" wrapText="1"/>
    </xf>
    <xf numFmtId="195" fontId="53" fillId="6" borderId="18" xfId="0" applyFont="1" applyFill="1" applyBorder="1" applyAlignment="1" applyProtection="1">
      <alignment horizontal="center" vertical="center" wrapText="1"/>
    </xf>
    <xf numFmtId="195" fontId="53" fillId="6" borderId="69" xfId="0" applyFont="1" applyFill="1" applyBorder="1" applyAlignment="1" applyProtection="1">
      <alignment horizontal="center" vertical="center" wrapText="1"/>
    </xf>
    <xf numFmtId="195" fontId="53" fillId="6" borderId="29" xfId="0" applyFont="1" applyFill="1" applyBorder="1" applyAlignment="1" applyProtection="1">
      <alignment horizontal="center" vertical="center"/>
    </xf>
    <xf numFmtId="195" fontId="53" fillId="6" borderId="39" xfId="0"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46" fillId="6" borderId="37" xfId="0" applyFont="1" applyFill="1" applyBorder="1" applyAlignment="1" applyProtection="1">
      <alignment horizontal="center" vertical="center"/>
    </xf>
    <xf numFmtId="195" fontId="53" fillId="6" borderId="17" xfId="0" applyFont="1" applyFill="1" applyBorder="1" applyAlignment="1" applyProtection="1">
      <alignment horizontal="center" vertical="center"/>
    </xf>
    <xf numFmtId="195" fontId="53" fillId="6" borderId="13" xfId="0" applyFont="1" applyFill="1" applyBorder="1" applyAlignment="1" applyProtection="1">
      <alignment horizontal="center" vertical="center" textRotation="255" wrapText="1"/>
    </xf>
    <xf numFmtId="195"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wrapText="1"/>
    </xf>
    <xf numFmtId="195" fontId="53" fillId="0" borderId="11" xfId="0" applyFont="1" applyFill="1" applyBorder="1" applyAlignment="1" applyProtection="1">
      <alignment horizontal="center" vertical="center" wrapText="1"/>
      <protection locked="0"/>
    </xf>
    <xf numFmtId="195" fontId="53" fillId="0" borderId="61" xfId="0" applyFont="1" applyFill="1" applyBorder="1" applyAlignment="1" applyProtection="1">
      <alignment horizontal="center" vertical="center" wrapText="1"/>
      <protection locked="0"/>
    </xf>
    <xf numFmtId="195" fontId="53" fillId="0" borderId="22" xfId="0" applyFont="1" applyFill="1" applyBorder="1" applyAlignment="1" applyProtection="1">
      <alignment horizontal="center" vertical="center" wrapText="1"/>
      <protection locked="0"/>
    </xf>
    <xf numFmtId="195" fontId="53" fillId="0" borderId="46" xfId="0"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49" fillId="6" borderId="75" xfId="0" applyFont="1" applyFill="1" applyBorder="1" applyAlignment="1" applyProtection="1">
      <alignment horizontal="center" vertical="center"/>
      <protection locked="0"/>
    </xf>
    <xf numFmtId="195" fontId="49" fillId="6" borderId="47" xfId="0" applyFont="1" applyFill="1" applyBorder="1" applyAlignment="1" applyProtection="1">
      <alignment horizontal="center" vertical="center"/>
      <protection locked="0"/>
    </xf>
    <xf numFmtId="195" fontId="49" fillId="6" borderId="73" xfId="0" applyFont="1" applyFill="1" applyBorder="1" applyAlignment="1" applyProtection="1">
      <alignment horizontal="center" vertical="center"/>
      <protection locked="0"/>
    </xf>
    <xf numFmtId="195" fontId="101" fillId="6" borderId="13" xfId="0" applyNumberFormat="1" applyFont="1" applyFill="1" applyBorder="1" applyAlignment="1" applyProtection="1">
      <alignment horizontal="left" vertical="center"/>
    </xf>
    <xf numFmtId="195" fontId="101" fillId="6" borderId="15" xfId="0" applyNumberFormat="1" applyFont="1" applyFill="1" applyBorder="1" applyAlignment="1" applyProtection="1">
      <alignment horizontal="left" vertical="center"/>
    </xf>
    <xf numFmtId="195" fontId="101" fillId="6" borderId="2"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6" borderId="54"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center" vertical="center" wrapText="1"/>
      <protection locked="0"/>
    </xf>
    <xf numFmtId="195" fontId="59" fillId="6" borderId="5" xfId="0" applyFont="1" applyFill="1" applyBorder="1" applyAlignment="1" applyProtection="1">
      <alignment horizontal="center" vertical="center" wrapText="1"/>
    </xf>
    <xf numFmtId="195" fontId="59" fillId="6" borderId="54" xfId="0" applyFont="1" applyFill="1" applyBorder="1" applyAlignment="1" applyProtection="1">
      <alignment horizontal="center" vertical="center" wrapText="1"/>
    </xf>
    <xf numFmtId="195" fontId="59" fillId="6" borderId="0" xfId="0" applyFont="1" applyFill="1" applyBorder="1" applyAlignment="1" applyProtection="1">
      <alignment horizontal="center" vertical="center" wrapText="1"/>
    </xf>
    <xf numFmtId="195"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5" fontId="104" fillId="6" borderId="0" xfId="0" applyNumberFormat="1" applyFont="1" applyFill="1" applyAlignment="1" applyProtection="1">
      <alignment horizontal="left" vertical="center"/>
    </xf>
    <xf numFmtId="195" fontId="101" fillId="6" borderId="1" xfId="0" applyNumberFormat="1" applyFont="1" applyFill="1" applyBorder="1" applyAlignment="1" applyProtection="1">
      <alignment horizontal="left" vertical="center"/>
    </xf>
    <xf numFmtId="195" fontId="141" fillId="6" borderId="13" xfId="0" applyFont="1" applyFill="1" applyBorder="1" applyAlignment="1" applyProtection="1">
      <alignment vertical="center" wrapText="1"/>
    </xf>
    <xf numFmtId="195" fontId="141" fillId="6" borderId="15" xfId="0" applyFont="1" applyFill="1" applyBorder="1" applyAlignment="1" applyProtection="1">
      <alignment vertical="center" wrapText="1"/>
    </xf>
    <xf numFmtId="195" fontId="55" fillId="6" borderId="58" xfId="0" applyFont="1" applyFill="1" applyBorder="1" applyAlignment="1" applyProtection="1">
      <alignment horizontal="center" vertical="center" wrapText="1"/>
    </xf>
    <xf numFmtId="195" fontId="55" fillId="6" borderId="35" xfId="0" applyFont="1" applyFill="1" applyBorder="1" applyAlignment="1" applyProtection="1">
      <alignment horizontal="center" vertical="center" wrapText="1"/>
    </xf>
    <xf numFmtId="195" fontId="109" fillId="6" borderId="1" xfId="0" applyNumberFormat="1" applyFont="1" applyFill="1" applyBorder="1" applyAlignment="1" applyProtection="1">
      <alignment horizontal="left" vertical="center"/>
    </xf>
    <xf numFmtId="195" fontId="109" fillId="6" borderId="13" xfId="0" applyNumberFormat="1" applyFont="1" applyFill="1" applyBorder="1" applyAlignment="1" applyProtection="1">
      <alignment horizontal="left" vertical="center"/>
    </xf>
    <xf numFmtId="195" fontId="109" fillId="6" borderId="2" xfId="0" applyNumberFormat="1" applyFont="1" applyFill="1" applyBorder="1" applyAlignment="1" applyProtection="1">
      <alignment horizontal="left" vertical="center"/>
    </xf>
    <xf numFmtId="195" fontId="109" fillId="6" borderId="15" xfId="0" applyNumberFormat="1" applyFont="1" applyFill="1" applyBorder="1" applyAlignment="1" applyProtection="1">
      <alignment horizontal="left" vertical="center"/>
    </xf>
    <xf numFmtId="195" fontId="109" fillId="6" borderId="17" xfId="0" applyNumberFormat="1" applyFont="1" applyFill="1" applyBorder="1" applyAlignment="1" applyProtection="1">
      <alignment horizontal="left" vertical="center"/>
    </xf>
    <xf numFmtId="195" fontId="109" fillId="6" borderId="74" xfId="0" applyNumberFormat="1" applyFont="1" applyFill="1" applyBorder="1" applyAlignment="1" applyProtection="1">
      <alignment horizontal="left" vertical="center"/>
    </xf>
    <xf numFmtId="195" fontId="109" fillId="6" borderId="40" xfId="0" applyNumberFormat="1" applyFont="1" applyFill="1" applyBorder="1" applyAlignment="1" applyProtection="1">
      <alignment horizontal="left" vertical="center"/>
    </xf>
    <xf numFmtId="195" fontId="109" fillId="6" borderId="14" xfId="0" applyNumberFormat="1" applyFont="1" applyFill="1" applyBorder="1" applyAlignment="1" applyProtection="1">
      <alignment horizontal="left" vertical="center"/>
    </xf>
    <xf numFmtId="195" fontId="109" fillId="6" borderId="12" xfId="0" applyNumberFormat="1" applyFont="1" applyFill="1" applyBorder="1" applyAlignment="1" applyProtection="1">
      <alignment horizontal="left" vertical="center"/>
    </xf>
    <xf numFmtId="195" fontId="109" fillId="6" borderId="6" xfId="0" applyNumberFormat="1" applyFont="1" applyFill="1" applyBorder="1" applyAlignment="1" applyProtection="1">
      <alignment horizontal="left" vertical="center"/>
    </xf>
    <xf numFmtId="195" fontId="109" fillId="6" borderId="23" xfId="0" applyNumberFormat="1" applyFont="1" applyFill="1" applyBorder="1" applyAlignment="1" applyProtection="1">
      <alignment horizontal="left" vertical="center"/>
    </xf>
    <xf numFmtId="195" fontId="109" fillId="6" borderId="25" xfId="0" applyNumberFormat="1" applyFont="1" applyFill="1" applyBorder="1" applyAlignment="1" applyProtection="1">
      <alignment horizontal="left" vertical="center"/>
    </xf>
    <xf numFmtId="195" fontId="256" fillId="6" borderId="6" xfId="0" applyNumberFormat="1" applyFont="1" applyFill="1" applyBorder="1" applyAlignment="1" applyProtection="1">
      <alignment horizontal="left" vertical="center" wrapText="1"/>
    </xf>
    <xf numFmtId="195" fontId="256" fillId="6" borderId="25" xfId="0" applyNumberFormat="1" applyFont="1" applyFill="1" applyBorder="1" applyAlignment="1" applyProtection="1">
      <alignment horizontal="left" vertical="center" wrapText="1"/>
    </xf>
    <xf numFmtId="195" fontId="256" fillId="6" borderId="0" xfId="0" applyNumberFormat="1" applyFont="1" applyFill="1" applyAlignment="1" applyProtection="1">
      <alignment horizontal="center" vertical="center"/>
    </xf>
    <xf numFmtId="195" fontId="256" fillId="6" borderId="56" xfId="0" applyNumberFormat="1" applyFont="1" applyFill="1" applyBorder="1" applyAlignment="1" applyProtection="1">
      <alignment horizontal="center" vertical="center"/>
    </xf>
    <xf numFmtId="195" fontId="123" fillId="6" borderId="0" xfId="0" applyFont="1" applyFill="1" applyAlignment="1" applyProtection="1">
      <alignment horizontal="left" vertical="center"/>
    </xf>
    <xf numFmtId="195" fontId="265" fillId="0" borderId="0" xfId="0" applyNumberFormat="1" applyFont="1" applyFill="1" applyAlignment="1">
      <alignment horizontal="center" vertical="center"/>
    </xf>
    <xf numFmtId="195" fontId="265" fillId="0" borderId="35" xfId="0" applyNumberFormat="1" applyFont="1" applyFill="1" applyBorder="1" applyAlignment="1">
      <alignment horizontal="center" vertical="center"/>
    </xf>
    <xf numFmtId="195" fontId="138" fillId="0" borderId="0" xfId="9" applyNumberFormat="1" applyFont="1" applyAlignment="1" applyProtection="1">
      <alignment horizontal="left" vertical="center"/>
    </xf>
    <xf numFmtId="195" fontId="104" fillId="0" borderId="0" xfId="9" applyNumberFormat="1" applyFont="1" applyAlignment="1" applyProtection="1">
      <alignment horizontal="left" vertical="center"/>
    </xf>
    <xf numFmtId="195" fontId="145" fillId="11" borderId="131"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95" fontId="145" fillId="11" borderId="127" xfId="9" applyFont="1" applyFill="1" applyBorder="1" applyAlignment="1" applyProtection="1">
      <alignment horizontal="left" vertical="center" wrapText="1"/>
    </xf>
    <xf numFmtId="195" fontId="138" fillId="0" borderId="0" xfId="9" applyFont="1" applyAlignment="1">
      <alignment horizontal="left" vertical="center"/>
    </xf>
    <xf numFmtId="195" fontId="104" fillId="0" borderId="0" xfId="9" applyFont="1" applyAlignment="1">
      <alignment horizontal="left" vertical="center"/>
    </xf>
    <xf numFmtId="195" fontId="143" fillId="0" borderId="0" xfId="9" applyFont="1" applyAlignment="1">
      <alignment horizontal="left" vertical="center"/>
    </xf>
    <xf numFmtId="195" fontId="145" fillId="11" borderId="122" xfId="9" applyFont="1" applyFill="1" applyBorder="1" applyAlignment="1" applyProtection="1">
      <alignment horizontal="left" vertical="center" wrapText="1"/>
    </xf>
    <xf numFmtId="195" fontId="101" fillId="11" borderId="131" xfId="9" applyFont="1" applyFill="1" applyBorder="1" applyAlignment="1" applyProtection="1">
      <alignment horizontal="left" vertical="center" wrapText="1"/>
    </xf>
    <xf numFmtId="195" fontId="101" fillId="11" borderId="125" xfId="9" applyFont="1" applyFill="1" applyBorder="1" applyAlignment="1" applyProtection="1">
      <alignment horizontal="left" vertical="center" wrapText="1"/>
    </xf>
    <xf numFmtId="195" fontId="101" fillId="11" borderId="127" xfId="9" applyFont="1" applyFill="1" applyBorder="1" applyAlignment="1" applyProtection="1">
      <alignment horizontal="left" vertical="center" wrapText="1"/>
    </xf>
    <xf numFmtId="195" fontId="145" fillId="11" borderId="153" xfId="9" applyFont="1" applyFill="1" applyBorder="1" applyAlignment="1" applyProtection="1">
      <alignment horizontal="left" vertical="center" wrapText="1"/>
    </xf>
    <xf numFmtId="195" fontId="60" fillId="26" borderId="48" xfId="0" applyNumberFormat="1" applyFont="1" applyFill="1" applyBorder="1" applyAlignment="1" applyProtection="1">
      <alignment horizontal="center" vertical="center" wrapText="1"/>
      <protection locked="0"/>
    </xf>
    <xf numFmtId="195" fontId="60" fillId="26" borderId="72" xfId="0" applyNumberFormat="1" applyFont="1" applyFill="1" applyBorder="1" applyAlignment="1" applyProtection="1">
      <alignment horizontal="center" vertical="center" wrapText="1"/>
      <protection locked="0"/>
    </xf>
  </cellXfs>
  <cellStyles count="22">
    <cellStyle name="百分比" xfId="17" builtinId="5"/>
    <cellStyle name="百分比 2" xfId="14"/>
    <cellStyle name="常规" xfId="0" builtinId="0"/>
    <cellStyle name="常规 10" xfId="19"/>
    <cellStyle name="常规 11" xfId="18"/>
    <cellStyle name="常规 12" xfId="21"/>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2" xfId="20"/>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solid">
          <fgColor rgb="FFFFFF00"/>
          <bgColor rgb="FF00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1246</xdr:row>
      <xdr:rowOff>0</xdr:rowOff>
    </xdr:from>
    <xdr:to>
      <xdr:col>8</xdr:col>
      <xdr:colOff>370657</xdr:colOff>
      <xdr:row>1311</xdr:row>
      <xdr:rowOff>174141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34200"/>
          <a:ext cx="6542857" cy="8952381"/>
        </a:xfrm>
        <a:prstGeom prst="rect">
          <a:avLst/>
        </a:prstGeom>
      </xdr:spPr>
    </xdr:pic>
    <xdr:clientData/>
  </xdr:twoCellAnchor>
  <xdr:twoCellAnchor editAs="oneCell">
    <xdr:from>
      <xdr:col>0</xdr:col>
      <xdr:colOff>0</xdr:colOff>
      <xdr:row>1312</xdr:row>
      <xdr:rowOff>0</xdr:rowOff>
    </xdr:from>
    <xdr:to>
      <xdr:col>12</xdr:col>
      <xdr:colOff>494238</xdr:colOff>
      <xdr:row>1331</xdr:row>
      <xdr:rowOff>106232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895320"/>
          <a:ext cx="8495238" cy="3580952"/>
        </a:xfrm>
        <a:prstGeom prst="rect">
          <a:avLst/>
        </a:prstGeom>
      </xdr:spPr>
    </xdr:pic>
    <xdr:clientData/>
  </xdr:twoCellAnchor>
  <xdr:twoCellAnchor editAs="oneCell">
    <xdr:from>
      <xdr:col>0</xdr:col>
      <xdr:colOff>0</xdr:colOff>
      <xdr:row>1332</xdr:row>
      <xdr:rowOff>0</xdr:rowOff>
    </xdr:from>
    <xdr:to>
      <xdr:col>13</xdr:col>
      <xdr:colOff>551305</xdr:colOff>
      <xdr:row>1353</xdr:row>
      <xdr:rowOff>169044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552920"/>
          <a:ext cx="9161905" cy="4009524"/>
        </a:xfrm>
        <a:prstGeom prst="rect">
          <a:avLst/>
        </a:prstGeom>
      </xdr:spPr>
    </xdr:pic>
    <xdr:clientData/>
  </xdr:twoCellAnchor>
  <xdr:twoCellAnchor editAs="oneCell">
    <xdr:from>
      <xdr:col>0</xdr:col>
      <xdr:colOff>0</xdr:colOff>
      <xdr:row>1353</xdr:row>
      <xdr:rowOff>30480</xdr:rowOff>
    </xdr:from>
    <xdr:to>
      <xdr:col>58</xdr:col>
      <xdr:colOff>255686</xdr:colOff>
      <xdr:row>1360</xdr:row>
      <xdr:rowOff>74130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3423880"/>
          <a:ext cx="11914286" cy="1323810"/>
        </a:xfrm>
        <a:prstGeom prst="rect">
          <a:avLst/>
        </a:prstGeom>
      </xdr:spPr>
    </xdr:pic>
    <xdr:clientData/>
  </xdr:twoCellAnchor>
  <xdr:twoCellAnchor editAs="oneCell">
    <xdr:from>
      <xdr:col>0</xdr:col>
      <xdr:colOff>0</xdr:colOff>
      <xdr:row>1361</xdr:row>
      <xdr:rowOff>0</xdr:rowOff>
    </xdr:from>
    <xdr:to>
      <xdr:col>17</xdr:col>
      <xdr:colOff>46390</xdr:colOff>
      <xdr:row>1377</xdr:row>
      <xdr:rowOff>83444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856440"/>
          <a:ext cx="9876190" cy="3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1" customWidth="1"/>
    <col min="2" max="2" width="81" style="1198" customWidth="1"/>
    <col min="3" max="16384" width="9" style="1196"/>
  </cols>
  <sheetData>
    <row r="1" spans="1:2" s="1184" customFormat="1" ht="16.2" thickBot="1">
      <c r="A1" s="1183" t="s">
        <v>521</v>
      </c>
      <c r="B1" s="1182" t="s">
        <v>600</v>
      </c>
    </row>
    <row r="2" spans="1:2" s="1187" customFormat="1" ht="16.2" thickTop="1">
      <c r="A2" s="1185" t="s">
        <v>522</v>
      </c>
      <c r="B2" s="1186" t="str">
        <f>'预评函-封皮'!B37:I37</f>
        <v>北京市房地产市场价值预评估</v>
      </c>
    </row>
    <row r="3" spans="1:2" s="1190" customFormat="1">
      <c r="A3" s="1188" t="s">
        <v>523</v>
      </c>
      <c r="B3" s="1189">
        <f>'预评函-封皮'!B40</f>
        <v>0</v>
      </c>
    </row>
    <row r="4" spans="1:2" s="1190" customFormat="1">
      <c r="A4" s="1188" t="s">
        <v>524</v>
      </c>
      <c r="B4" s="1189" t="str">
        <f>'预评函-封皮'!B46</f>
        <v>（注册号：0)、（注册号：0)</v>
      </c>
    </row>
    <row r="5" spans="1:2" s="1184" customFormat="1" ht="16.2" thickBot="1">
      <c r="A5" s="1191" t="s">
        <v>525</v>
      </c>
      <c r="B5" s="1192" t="str">
        <f>'预评函-封皮'!B49</f>
        <v>康正预评字号</v>
      </c>
    </row>
    <row r="6" spans="1:2" s="1187" customFormat="1" ht="16.2" thickTop="1">
      <c r="A6" s="1185" t="s">
        <v>526</v>
      </c>
      <c r="B6" s="1186" t="str">
        <f>'预评函-1'!A4</f>
        <v>受贵公司委托，我公司对北京市房地产市场价值进行了预评估。</v>
      </c>
    </row>
    <row r="7" spans="1:2" s="1190" customFormat="1">
      <c r="A7" s="1188" t="s">
        <v>566</v>
      </c>
      <c r="B7" s="1189" t="str">
        <f>'预评函-1'!A7</f>
        <v>估价对象为北京市房地产，为所有。根据《国有土地使用证》[]，估价对象（分摊）出让国有建设用地使用权面积为0平方米，建筑面积为88.78平方米。</v>
      </c>
    </row>
    <row r="8" spans="1:2" s="1190" customFormat="1">
      <c r="A8" s="1188" t="s">
        <v>567</v>
      </c>
      <c r="B8" s="1189" t="str">
        <f>'预评函-1'!A8</f>
        <v>估价对象简述。项目推广名，项目类型（用途），估价对象分布，各用途面积明细情况：XX用途建筑面积XX平方米，XX用途建筑面积XX平方米，……。复杂面积清单需设‘附表’列示：抵押物清单详见附表</v>
      </c>
    </row>
    <row r="9" spans="1:2" s="1190" customFormat="1">
      <c r="A9" s="1188" t="s">
        <v>568</v>
      </c>
      <c r="B9" s="1189" t="str">
        <f>'预评函-1'!A10</f>
        <v>估价对象为北京市房地产,属开发建设的，该项目尚在开发建设中。根据《国有土地使用证》[]，估价对象（分摊）出让国有建设用地使用权面积为0平方米，规划建筑面积为88.78平方米。</v>
      </c>
    </row>
    <row r="10" spans="1:2" s="1190" customFormat="1">
      <c r="A10" s="1188" t="s">
        <v>569</v>
      </c>
      <c r="B10" s="1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0" customFormat="1">
      <c r="A11" s="1188" t="s">
        <v>527</v>
      </c>
      <c r="B11" s="1189" t="str">
        <f>'预评函-1'!A13</f>
        <v>为估价委托人了解估价对象房地产市场价值提供参考依据。</v>
      </c>
    </row>
    <row r="12" spans="1:2" s="1190" customFormat="1">
      <c r="A12" s="1188" t="s">
        <v>528</v>
      </c>
      <c r="B12" s="1189" t="str">
        <f>'预评函-1'!A15</f>
        <v>2003年10月23日</v>
      </c>
    </row>
    <row r="13" spans="1:2" s="1190" customFormat="1">
      <c r="A13" s="1188" t="s">
        <v>529</v>
      </c>
      <c r="B13" s="1189" t="str">
        <f>'预评函-1'!A18</f>
        <v>本次估价的“房地产价值”是指在正常市场情况下，在价值时点2003年10月23日，估价对象规划用途为，土地取得方式为出让，出让国有建设用地使用权剩余土地使用年限为，假定未设立法定优先受偿款下的房地产市场价值。</v>
      </c>
    </row>
    <row r="14" spans="1:2" s="1190" customFormat="1">
      <c r="A14" s="1188" t="s">
        <v>530</v>
      </c>
      <c r="B14" s="11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0" customFormat="1">
      <c r="A15" s="1188" t="s">
        <v>531</v>
      </c>
      <c r="B15" s="1189" t="str">
        <f>'预评函-1'!A20</f>
        <v>——</v>
      </c>
    </row>
    <row r="16" spans="1:2" s="1190" customFormat="1">
      <c r="A16" s="1188" t="s">
        <v>532</v>
      </c>
      <c r="B16" s="1189" t="str">
        <f>'预评函-1'!A21</f>
        <v>——</v>
      </c>
    </row>
    <row r="17" spans="1:2" s="1190" customFormat="1">
      <c r="A17" s="1188" t="s">
        <v>533</v>
      </c>
      <c r="B17" s="1189" t="str">
        <f>'预评函-1'!A22</f>
        <v>——</v>
      </c>
    </row>
    <row r="18" spans="1:2" s="1184" customFormat="1" ht="16.2" thickBot="1">
      <c r="A18" s="1191" t="s">
        <v>534</v>
      </c>
      <c r="B18" s="1192" t="str">
        <f>'预评函-1'!A24</f>
        <v>本次评估采用的主估价方法为成本法和比较法。</v>
      </c>
    </row>
    <row r="19" spans="1:2" s="1187" customFormat="1" ht="16.2" thickTop="1">
      <c r="A19" s="1185" t="s">
        <v>535</v>
      </c>
      <c r="B19" s="11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0" customFormat="1">
      <c r="A20" s="1188" t="s">
        <v>536</v>
      </c>
      <c r="B20" s="1189" t="e">
        <f ca="1">'预评函-2'!D5</f>
        <v>#REF!</v>
      </c>
    </row>
    <row r="21" spans="1:2" s="1190" customFormat="1">
      <c r="A21" s="1188" t="s">
        <v>537</v>
      </c>
      <c r="B21" s="1189" t="e">
        <f ca="1">'预评函-2'!D7</f>
        <v>#REF!</v>
      </c>
    </row>
    <row r="22" spans="1:2" s="1190" customFormat="1">
      <c r="A22" s="1188" t="s">
        <v>538</v>
      </c>
      <c r="B22" s="1189" t="e">
        <f ca="1">'预评函-2'!D6</f>
        <v>#REF!</v>
      </c>
    </row>
    <row r="23" spans="1:2" s="1190" customFormat="1">
      <c r="A23" s="1188" t="s">
        <v>589</v>
      </c>
      <c r="B23" s="1189" t="str">
        <f>'预评函-2'!B8</f>
        <v>2.估价师知悉的法定优先受偿款</v>
      </c>
    </row>
    <row r="24" spans="1:2" s="1190" customFormat="1">
      <c r="A24" s="1188" t="s">
        <v>595</v>
      </c>
      <c r="B24" s="1189">
        <f>'预评函-2'!D8</f>
        <v>0</v>
      </c>
    </row>
    <row r="25" spans="1:2" s="1190" customFormat="1">
      <c r="A25" s="1188" t="s">
        <v>539</v>
      </c>
      <c r="B25" s="1189" t="str">
        <f>'预评函-2'!D9</f>
        <v>零元整</v>
      </c>
    </row>
    <row r="26" spans="1:2" s="1190" customFormat="1">
      <c r="A26" s="1188" t="s">
        <v>540</v>
      </c>
      <c r="B26" s="1189">
        <f>'预评函-2'!D10</f>
        <v>0</v>
      </c>
    </row>
    <row r="27" spans="1:2" s="1190" customFormat="1">
      <c r="A27" s="1188" t="s">
        <v>541</v>
      </c>
      <c r="B27" s="1189">
        <f>'预评函-2'!D11</f>
        <v>0</v>
      </c>
    </row>
    <row r="28" spans="1:2" s="1190" customFormat="1">
      <c r="A28" s="1188" t="s">
        <v>542</v>
      </c>
      <c r="B28" s="1189">
        <f>'预评函-2'!D12</f>
        <v>0</v>
      </c>
    </row>
    <row r="29" spans="1:2" s="1190" customFormat="1">
      <c r="A29" s="1188" t="s">
        <v>593</v>
      </c>
      <c r="B29" s="1189" t="str">
        <f>'预评函-2'!B13</f>
        <v>3.房地产抵押价值</v>
      </c>
    </row>
    <row r="30" spans="1:2" s="1190" customFormat="1">
      <c r="A30" s="1188" t="s">
        <v>594</v>
      </c>
      <c r="B30" s="1189" t="e">
        <f ca="1">'预评函-2'!D13</f>
        <v>#REF!</v>
      </c>
    </row>
    <row r="31" spans="1:2" s="1190" customFormat="1">
      <c r="A31" s="1188" t="s">
        <v>576</v>
      </c>
      <c r="B31" s="1189" t="e">
        <f ca="1">'预评函-2'!D15</f>
        <v>#REF!</v>
      </c>
    </row>
    <row r="32" spans="1:2" s="1190" customFormat="1">
      <c r="A32" s="1188" t="s">
        <v>543</v>
      </c>
      <c r="B32" s="1189" t="e">
        <f ca="1">'预评函-2'!D14</f>
        <v>#REF!</v>
      </c>
    </row>
    <row r="33" spans="1:2" s="1190" customFormat="1">
      <c r="A33" s="1188" t="s">
        <v>578</v>
      </c>
      <c r="B33" s="1189" t="str">
        <f>'预评函-2'!B16</f>
        <v>——</v>
      </c>
    </row>
    <row r="34" spans="1:2" s="1190" customFormat="1">
      <c r="A34" s="1188" t="s">
        <v>596</v>
      </c>
      <c r="B34" s="1189" t="str">
        <f>'预评函-2'!D16</f>
        <v>——</v>
      </c>
    </row>
    <row r="35" spans="1:2" s="1190" customFormat="1">
      <c r="A35" s="1188" t="s">
        <v>577</v>
      </c>
      <c r="B35" s="1189" t="str">
        <f>'预评函-2'!D18</f>
        <v>——</v>
      </c>
    </row>
    <row r="36" spans="1:2" s="1190" customFormat="1">
      <c r="A36" s="1188" t="s">
        <v>544</v>
      </c>
      <c r="B36" s="1189" t="e">
        <f>'预评函-2'!D17</f>
        <v>#VALUE!</v>
      </c>
    </row>
    <row r="37" spans="1:2" s="1190" customFormat="1">
      <c r="A37" s="1188" t="s">
        <v>579</v>
      </c>
      <c r="B37" s="1189" t="str">
        <f>'预评函-2'!B19</f>
        <v>——</v>
      </c>
    </row>
    <row r="38" spans="1:2" s="1190" customFormat="1">
      <c r="A38" s="1188" t="s">
        <v>597</v>
      </c>
      <c r="B38" s="1189" t="str">
        <f>'预评函-2'!D19</f>
        <v>——</v>
      </c>
    </row>
    <row r="39" spans="1:2" s="1190" customFormat="1">
      <c r="A39" s="1188" t="s">
        <v>545</v>
      </c>
      <c r="B39" s="1189" t="str">
        <f>'预评函-2'!D21</f>
        <v>——</v>
      </c>
    </row>
    <row r="40" spans="1:2" s="1190" customFormat="1">
      <c r="A40" s="1188" t="s">
        <v>546</v>
      </c>
      <c r="B40" s="1189" t="e">
        <f>'预评函-2'!D20</f>
        <v>#VALUE!</v>
      </c>
    </row>
    <row r="41" spans="1:2" s="1190" customFormat="1">
      <c r="A41" s="1188" t="s">
        <v>592</v>
      </c>
      <c r="B41" s="1189" t="str">
        <f>'预评函-3'!A4</f>
        <v>北京市房地产</v>
      </c>
    </row>
    <row r="42" spans="1:2" s="1190" customFormat="1" ht="31.2">
      <c r="A42" s="1188" t="s">
        <v>590</v>
      </c>
      <c r="B42" s="1189" t="str">
        <f>'预评函-3'!B2</f>
        <v>建筑面积</v>
      </c>
    </row>
    <row r="43" spans="1:2" s="1190" customFormat="1">
      <c r="A43" s="1188" t="s">
        <v>591</v>
      </c>
      <c r="B43" s="1189">
        <f>'预评函-3'!B4</f>
        <v>88.78</v>
      </c>
    </row>
    <row r="44" spans="1:2" s="1190" customFormat="1" ht="31.2">
      <c r="A44" s="1188" t="s">
        <v>575</v>
      </c>
      <c r="B44" s="1189" t="str">
        <f>'预评函-3'!C2</f>
        <v>(分摊)土地面积</v>
      </c>
    </row>
    <row r="45" spans="1:2" s="1190" customFormat="1">
      <c r="A45" s="1188" t="s">
        <v>547</v>
      </c>
      <c r="B45" s="1189">
        <f>'预评函-3'!C4</f>
        <v>0</v>
      </c>
    </row>
    <row r="46" spans="1:2" s="1190" customFormat="1">
      <c r="A46" s="1188" t="s">
        <v>573</v>
      </c>
      <c r="B46" s="1189" t="str">
        <f>'预评函-3'!D2</f>
        <v>出让国有建设用地使用权价值</v>
      </c>
    </row>
    <row r="47" spans="1:2" s="1190" customFormat="1">
      <c r="A47" s="1188" t="s">
        <v>548</v>
      </c>
      <c r="B47" s="1189" t="e">
        <f ca="1">'预评函-3'!D4</f>
        <v>#REF!</v>
      </c>
    </row>
    <row r="48" spans="1:2" s="1190" customFormat="1">
      <c r="A48" s="1188" t="s">
        <v>549</v>
      </c>
      <c r="B48" s="1189" t="e">
        <f ca="1">'预评函-3'!E4</f>
        <v>#REF!</v>
      </c>
    </row>
    <row r="49" spans="1:2" s="1190" customFormat="1">
      <c r="A49" s="1188" t="s">
        <v>550</v>
      </c>
      <c r="B49" s="1189" t="e">
        <f ca="1">'预评函-3'!D5</f>
        <v>#REF!</v>
      </c>
    </row>
    <row r="50" spans="1:2" s="1190" customFormat="1">
      <c r="A50" s="1188" t="s">
        <v>574</v>
      </c>
      <c r="B50" s="1189" t="str">
        <f>'预评函-3'!F2</f>
        <v>在建建筑物价值</v>
      </c>
    </row>
    <row r="51" spans="1:2" s="1190" customFormat="1">
      <c r="A51" s="1188" t="s">
        <v>551</v>
      </c>
      <c r="B51" s="1189" t="e">
        <f ca="1">'预评函-3'!F4</f>
        <v>#REF!</v>
      </c>
    </row>
    <row r="52" spans="1:2" s="1190" customFormat="1">
      <c r="A52" s="1188" t="s">
        <v>552</v>
      </c>
      <c r="B52" s="1189" t="e">
        <f ca="1">'预评函-3'!G4</f>
        <v>#REF!</v>
      </c>
    </row>
    <row r="53" spans="1:2" s="1190" customFormat="1">
      <c r="A53" s="1188" t="s">
        <v>580</v>
      </c>
      <c r="B53" s="1189" t="e">
        <f ca="1">'预评函-3'!F5</f>
        <v>#REF!</v>
      </c>
    </row>
    <row r="54" spans="1:2" s="1190" customFormat="1">
      <c r="A54" s="1188" t="s">
        <v>598</v>
      </c>
      <c r="B54" s="1189" t="str">
        <f>'预评函-3'!A8</f>
        <v/>
      </c>
    </row>
    <row r="55" spans="1:2" s="1190" customFormat="1">
      <c r="A55" s="1188" t="s">
        <v>581</v>
      </c>
      <c r="B55" s="1189" t="str">
        <f>'预评函-3'!A10</f>
        <v/>
      </c>
    </row>
    <row r="56" spans="1:2" s="1190" customFormat="1">
      <c r="A56" s="1188" t="s">
        <v>582</v>
      </c>
      <c r="B56" s="1189" t="str">
        <f>'预评函-3'!A12</f>
        <v/>
      </c>
    </row>
    <row r="57" spans="1:2" s="1184" customFormat="1" ht="16.2" thickBot="1">
      <c r="A57" s="1191" t="s">
        <v>599</v>
      </c>
      <c r="B57" s="1192" t="str">
        <f>'预评函-3'!A6</f>
        <v/>
      </c>
    </row>
    <row r="58" spans="1:2" s="1187" customFormat="1" ht="16.2" thickTop="1">
      <c r="A58" s="1185" t="s">
        <v>553</v>
      </c>
      <c r="B58" s="1186" t="str">
        <f>'预评函-4'!A12</f>
        <v>2.本次评估设定估价对象房地产权属无争议，未被查封或者以其他形式限制其房地产权利，未设定抵押权等他项权利，不涉及第三方权利义务。</v>
      </c>
    </row>
    <row r="59" spans="1:2" s="1190" customFormat="1">
      <c r="A59" s="1188" t="s">
        <v>554</v>
      </c>
      <c r="B59" s="1189" t="str">
        <f>'预评函-4'!A13</f>
        <v>——</v>
      </c>
    </row>
    <row r="60" spans="1:2" s="1190" customFormat="1">
      <c r="A60" s="1188" t="s">
        <v>555</v>
      </c>
      <c r="B60" s="1189" t="str">
        <f>'预评函-4'!A14</f>
        <v>——</v>
      </c>
    </row>
    <row r="61" spans="1:2" s="1190" customFormat="1">
      <c r="A61" s="1188" t="s">
        <v>556</v>
      </c>
      <c r="B61" s="1189" t="str">
        <f>'预评函-4'!A15</f>
        <v>——</v>
      </c>
    </row>
    <row r="62" spans="1:2" s="1190" customFormat="1">
      <c r="A62" s="1188" t="s">
        <v>557</v>
      </c>
      <c r="B62" s="1189" t="str">
        <f>'预评函-4'!A16</f>
        <v>（2）根据《工程款支付情况说明》，截至价值时点，估价对象不存在应付未付工程款项。（只要没有施工方盖章的，均“设定”进行表述）</v>
      </c>
    </row>
    <row r="63" spans="1:2" s="1190" customFormat="1">
      <c r="A63" s="1188" t="s">
        <v>558</v>
      </c>
      <c r="B63" s="1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0" customFormat="1">
      <c r="A64" s="1188" t="s">
        <v>570</v>
      </c>
      <c r="B64" s="1189" t="str">
        <f>'预评函-4'!A18</f>
        <v>——</v>
      </c>
    </row>
    <row r="65" spans="1:2" s="1190" customFormat="1">
      <c r="A65" s="1188" t="s">
        <v>559</v>
      </c>
      <c r="B65" s="11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0" customFormat="1">
      <c r="A66" s="1188" t="s">
        <v>560</v>
      </c>
      <c r="B66" s="118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0" customFormat="1">
      <c r="A67" s="1188" t="s">
        <v>571</v>
      </c>
      <c r="B67" s="118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0" customFormat="1">
      <c r="A68" s="1188" t="s">
        <v>572</v>
      </c>
      <c r="B68" s="1189" t="str">
        <f>'预评函-4'!A22</f>
        <v>8.其他需特殊说明事项：无（注意调整序号）</v>
      </c>
    </row>
    <row r="69" spans="1:2" s="1184" customFormat="1" ht="16.2" thickBot="1">
      <c r="A69" s="1191" t="s">
        <v>561</v>
      </c>
      <c r="B69" s="1193">
        <f>'预评函-4'!C31</f>
        <v>42551</v>
      </c>
    </row>
    <row r="70" spans="1:2" ht="16.2" thickTop="1">
      <c r="A70" s="1194" t="s">
        <v>562</v>
      </c>
      <c r="B70" s="1195">
        <f>'预评函-4'!A4</f>
        <v>0</v>
      </c>
    </row>
    <row r="71" spans="1:2">
      <c r="A71" s="1188" t="s">
        <v>563</v>
      </c>
      <c r="B71" s="1189">
        <f>'预评函-4'!B4</f>
        <v>0</v>
      </c>
    </row>
    <row r="72" spans="1:2">
      <c r="A72" s="1188" t="s">
        <v>564</v>
      </c>
      <c r="B72" s="1197">
        <f>'预评函-4'!A5</f>
        <v>0</v>
      </c>
    </row>
    <row r="73" spans="1:2" s="1184" customFormat="1" ht="16.2" thickBot="1">
      <c r="A73" s="1191" t="s">
        <v>565</v>
      </c>
      <c r="B73" s="1192">
        <f>'预评函-4'!B5</f>
        <v>0</v>
      </c>
    </row>
    <row r="74" spans="1:2" ht="16.2" thickTop="1">
      <c r="A74" s="1181" t="s">
        <v>601</v>
      </c>
      <c r="B74" s="119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43" customWidth="1"/>
    <col min="2" max="2" width="23.21875" style="1494" customWidth="1"/>
    <col min="3" max="3" width="13" style="1538" customWidth="1"/>
    <col min="4" max="4" width="5.77734375" style="1535" customWidth="1"/>
    <col min="5" max="5" width="7.109375" style="1535" customWidth="1"/>
    <col min="6" max="6" width="10.6640625" style="1535" customWidth="1"/>
    <col min="7" max="7" width="7.44140625" style="1535" customWidth="1"/>
    <col min="8" max="8" width="11.88671875" style="1538" customWidth="1"/>
    <col min="9" max="9" width="11.6640625" style="1538" customWidth="1"/>
    <col min="10" max="10" width="9" style="1538" customWidth="1"/>
    <col min="11" max="19" width="9" style="1535" customWidth="1"/>
    <col min="20" max="23" width="9" style="1538" customWidth="1"/>
    <col min="24" max="24" width="21.109375" style="1494" customWidth="1"/>
    <col min="25" max="16384" width="9" style="1494"/>
  </cols>
  <sheetData>
    <row r="1" spans="1:23" s="1532" customFormat="1" ht="43.2">
      <c r="A1" s="1526" t="s">
        <v>44</v>
      </c>
      <c r="B1" s="1527" t="s">
        <v>977</v>
      </c>
      <c r="C1" s="1528" t="s">
        <v>314</v>
      </c>
      <c r="D1" s="1530" t="s">
        <v>3353</v>
      </c>
      <c r="E1" s="1529" t="s">
        <v>978</v>
      </c>
      <c r="F1" s="1529" t="s">
        <v>979</v>
      </c>
      <c r="G1" s="1529" t="s">
        <v>980</v>
      </c>
      <c r="H1" s="1529" t="s">
        <v>981</v>
      </c>
      <c r="I1" s="1529" t="s">
        <v>982</v>
      </c>
      <c r="J1" s="1529" t="s">
        <v>983</v>
      </c>
      <c r="K1" s="1529" t="s">
        <v>984</v>
      </c>
      <c r="L1" s="1529" t="s">
        <v>985</v>
      </c>
      <c r="M1" s="1529" t="s">
        <v>986</v>
      </c>
      <c r="N1" s="1529" t="s">
        <v>987</v>
      </c>
      <c r="O1" s="1529" t="s">
        <v>988</v>
      </c>
      <c r="P1" s="1530" t="s">
        <v>309</v>
      </c>
      <c r="Q1" s="1530" t="s">
        <v>447</v>
      </c>
      <c r="R1" s="1529" t="s">
        <v>441</v>
      </c>
      <c r="S1" s="1529" t="s">
        <v>989</v>
      </c>
      <c r="T1" s="1531" t="s">
        <v>990</v>
      </c>
      <c r="U1" s="1529" t="s">
        <v>991</v>
      </c>
      <c r="V1" s="1529" t="s">
        <v>992</v>
      </c>
      <c r="W1" s="1529" t="s">
        <v>311</v>
      </c>
    </row>
    <row r="2" spans="1:23">
      <c r="A2" s="1533" t="s">
        <v>19</v>
      </c>
      <c r="B2" s="1533" t="s">
        <v>993</v>
      </c>
      <c r="C2" s="1534" t="s">
        <v>315</v>
      </c>
      <c r="D2" s="1535" t="s">
        <v>994</v>
      </c>
      <c r="E2" s="1535" t="s">
        <v>995</v>
      </c>
      <c r="F2" s="1535" t="s">
        <v>996</v>
      </c>
      <c r="G2" s="1535">
        <v>20</v>
      </c>
      <c r="H2" s="1535" t="s">
        <v>996</v>
      </c>
      <c r="I2" s="1535" t="s">
        <v>3339</v>
      </c>
      <c r="J2" s="1535" t="s">
        <v>997</v>
      </c>
      <c r="K2" s="1535" t="s">
        <v>998</v>
      </c>
      <c r="L2" s="1535" t="s">
        <v>998</v>
      </c>
      <c r="M2" s="1535" t="s">
        <v>998</v>
      </c>
      <c r="N2" s="1535" t="s">
        <v>998</v>
      </c>
      <c r="O2" s="1535" t="s">
        <v>998</v>
      </c>
      <c r="P2" s="1535" t="s">
        <v>998</v>
      </c>
      <c r="Q2" s="1535" t="s">
        <v>998</v>
      </c>
      <c r="R2" s="1535" t="s">
        <v>443</v>
      </c>
      <c r="S2" s="1535" t="s">
        <v>998</v>
      </c>
      <c r="T2" s="1535" t="s">
        <v>999</v>
      </c>
      <c r="U2" s="1535" t="s">
        <v>998</v>
      </c>
      <c r="V2" s="1535" t="s">
        <v>1000</v>
      </c>
      <c r="W2" s="1535" t="s">
        <v>998</v>
      </c>
    </row>
    <row r="3" spans="1:23">
      <c r="A3" s="1533" t="s">
        <v>1001</v>
      </c>
      <c r="B3" s="1536" t="s">
        <v>448</v>
      </c>
      <c r="C3" s="1537" t="s">
        <v>316</v>
      </c>
      <c r="D3" s="1535" t="s">
        <v>1002</v>
      </c>
      <c r="E3" s="1535" t="s">
        <v>13</v>
      </c>
      <c r="F3" s="1535" t="s">
        <v>1003</v>
      </c>
      <c r="G3" s="1535">
        <v>40</v>
      </c>
      <c r="H3" s="1535" t="s">
        <v>1003</v>
      </c>
      <c r="I3" s="1535" t="s">
        <v>3340</v>
      </c>
      <c r="J3" s="1535" t="s">
        <v>1004</v>
      </c>
      <c r="K3" s="1535" t="s">
        <v>1005</v>
      </c>
      <c r="L3" s="1535" t="s">
        <v>1005</v>
      </c>
      <c r="M3" s="1535" t="s">
        <v>1005</v>
      </c>
      <c r="N3" s="1535" t="s">
        <v>1005</v>
      </c>
      <c r="O3" s="1535" t="s">
        <v>1005</v>
      </c>
      <c r="P3" s="1535" t="s">
        <v>1005</v>
      </c>
      <c r="Q3" s="1535" t="s">
        <v>1005</v>
      </c>
      <c r="R3" s="1535" t="s">
        <v>442</v>
      </c>
      <c r="S3" s="1535" t="s">
        <v>1005</v>
      </c>
      <c r="T3" s="1535" t="s">
        <v>1006</v>
      </c>
      <c r="U3" s="1535" t="s">
        <v>1005</v>
      </c>
      <c r="V3" s="1535" t="s">
        <v>1007</v>
      </c>
      <c r="W3" s="1535" t="s">
        <v>1005</v>
      </c>
    </row>
    <row r="4" spans="1:23">
      <c r="A4" s="1533" t="s">
        <v>1008</v>
      </c>
      <c r="B4" s="1533" t="s">
        <v>1009</v>
      </c>
      <c r="C4" s="1534" t="s">
        <v>317</v>
      </c>
      <c r="D4" s="1535" t="s">
        <v>389</v>
      </c>
      <c r="E4" s="1535" t="s">
        <v>1010</v>
      </c>
      <c r="F4" s="1535" t="s">
        <v>1011</v>
      </c>
      <c r="G4" s="1535">
        <v>50</v>
      </c>
      <c r="H4" s="1535" t="s">
        <v>1011</v>
      </c>
      <c r="I4" s="1535" t="s">
        <v>3341</v>
      </c>
      <c r="K4" s="1535" t="s">
        <v>1012</v>
      </c>
      <c r="L4" s="1535" t="s">
        <v>1012</v>
      </c>
      <c r="M4" s="1535" t="s">
        <v>1012</v>
      </c>
      <c r="N4" s="1535" t="s">
        <v>1012</v>
      </c>
      <c r="O4" s="1535" t="s">
        <v>1012</v>
      </c>
      <c r="P4" s="1535" t="s">
        <v>1012</v>
      </c>
      <c r="Q4" s="1535" t="s">
        <v>1012</v>
      </c>
      <c r="R4" s="1535" t="s">
        <v>444</v>
      </c>
      <c r="S4" s="1535" t="s">
        <v>1012</v>
      </c>
      <c r="T4" s="1535" t="s">
        <v>1013</v>
      </c>
      <c r="U4" s="1535" t="s">
        <v>1012</v>
      </c>
      <c r="W4" s="1535" t="s">
        <v>1012</v>
      </c>
    </row>
    <row r="5" spans="1:23">
      <c r="A5" s="1533" t="s">
        <v>1014</v>
      </c>
      <c r="B5" s="1533" t="s">
        <v>1015</v>
      </c>
      <c r="C5" s="1534" t="s">
        <v>318</v>
      </c>
      <c r="F5" s="1535" t="s">
        <v>1016</v>
      </c>
      <c r="G5" s="1535">
        <v>70</v>
      </c>
      <c r="H5" s="1535" t="s">
        <v>1017</v>
      </c>
      <c r="I5" s="1535" t="s">
        <v>3342</v>
      </c>
      <c r="K5" s="1535" t="s">
        <v>1018</v>
      </c>
      <c r="L5" s="1535" t="s">
        <v>1018</v>
      </c>
      <c r="M5" s="1535" t="s">
        <v>1018</v>
      </c>
      <c r="N5" s="1535" t="s">
        <v>1018</v>
      </c>
      <c r="O5" s="1535" t="s">
        <v>1018</v>
      </c>
      <c r="P5" s="1535" t="s">
        <v>1018</v>
      </c>
      <c r="Q5" s="1535" t="s">
        <v>1018</v>
      </c>
      <c r="R5" s="1535" t="s">
        <v>445</v>
      </c>
      <c r="S5" s="1535" t="s">
        <v>1018</v>
      </c>
      <c r="T5" s="1535" t="s">
        <v>1019</v>
      </c>
      <c r="U5" s="1535" t="s">
        <v>1018</v>
      </c>
      <c r="W5" s="1535" t="s">
        <v>1018</v>
      </c>
    </row>
    <row r="6" spans="1:23">
      <c r="A6" s="1533" t="s">
        <v>1020</v>
      </c>
      <c r="B6" s="1536" t="s">
        <v>449</v>
      </c>
      <c r="C6" s="1539" t="s">
        <v>24</v>
      </c>
      <c r="F6" s="1535" t="s">
        <v>1017</v>
      </c>
      <c r="H6" s="1535" t="s">
        <v>1021</v>
      </c>
      <c r="I6" s="1535" t="s">
        <v>3343</v>
      </c>
      <c r="K6" s="1535" t="s">
        <v>1022</v>
      </c>
      <c r="L6" s="1535" t="s">
        <v>1022</v>
      </c>
      <c r="M6" s="1535" t="s">
        <v>1022</v>
      </c>
      <c r="N6" s="1535" t="s">
        <v>1022</v>
      </c>
      <c r="O6" s="1535" t="s">
        <v>1022</v>
      </c>
      <c r="P6" s="1535" t="s">
        <v>1022</v>
      </c>
      <c r="Q6" s="1535" t="s">
        <v>1022</v>
      </c>
      <c r="R6" s="1535" t="s">
        <v>446</v>
      </c>
      <c r="S6" s="1535" t="s">
        <v>1022</v>
      </c>
      <c r="T6" s="1535"/>
      <c r="U6" s="1535" t="s">
        <v>1022</v>
      </c>
      <c r="W6" s="1535" t="s">
        <v>1022</v>
      </c>
    </row>
    <row r="7" spans="1:23">
      <c r="A7" s="1533" t="s">
        <v>1023</v>
      </c>
      <c r="B7" s="1536" t="s">
        <v>450</v>
      </c>
      <c r="C7" s="1534" t="s">
        <v>25</v>
      </c>
      <c r="F7" s="1535" t="s">
        <v>1024</v>
      </c>
      <c r="H7" s="1535" t="s">
        <v>1025</v>
      </c>
      <c r="I7" s="1535" t="s">
        <v>3344</v>
      </c>
    </row>
    <row r="8" spans="1:23">
      <c r="A8" s="1533" t="s">
        <v>1026</v>
      </c>
      <c r="B8" s="1533" t="s">
        <v>1027</v>
      </c>
      <c r="C8" s="1534" t="s">
        <v>319</v>
      </c>
      <c r="F8" s="1535" t="s">
        <v>1028</v>
      </c>
      <c r="H8" s="1535" t="s">
        <v>2579</v>
      </c>
      <c r="I8" s="1535" t="s">
        <v>3345</v>
      </c>
    </row>
    <row r="9" spans="1:23">
      <c r="A9" s="1533" t="s">
        <v>1029</v>
      </c>
      <c r="B9" s="1533" t="s">
        <v>1030</v>
      </c>
      <c r="C9" s="1534" t="s">
        <v>320</v>
      </c>
      <c r="F9" s="1535" t="s">
        <v>1031</v>
      </c>
      <c r="H9" s="1535"/>
      <c r="I9" s="1538" t="s">
        <v>3346</v>
      </c>
    </row>
    <row r="10" spans="1:23">
      <c r="A10" s="1533" t="s">
        <v>1032</v>
      </c>
      <c r="B10" s="1533" t="s">
        <v>1033</v>
      </c>
      <c r="C10" s="1534" t="s">
        <v>321</v>
      </c>
      <c r="F10" s="1535" t="s">
        <v>2580</v>
      </c>
      <c r="I10" s="1538" t="s">
        <v>3347</v>
      </c>
    </row>
    <row r="11" spans="1:23">
      <c r="A11" s="1533" t="s">
        <v>1034</v>
      </c>
      <c r="B11" s="1533" t="s">
        <v>1035</v>
      </c>
      <c r="C11" s="1534" t="s">
        <v>322</v>
      </c>
      <c r="F11" s="1535" t="s">
        <v>13</v>
      </c>
      <c r="I11" s="1538" t="s">
        <v>3348</v>
      </c>
    </row>
    <row r="12" spans="1:23">
      <c r="A12" s="1533" t="s">
        <v>1036</v>
      </c>
      <c r="B12" s="1533" t="s">
        <v>1037</v>
      </c>
      <c r="C12" s="1534" t="s">
        <v>323</v>
      </c>
      <c r="I12" s="1538" t="s">
        <v>3349</v>
      </c>
    </row>
    <row r="13" spans="1:23">
      <c r="A13" s="1533" t="s">
        <v>1038</v>
      </c>
      <c r="B13" s="1533" t="s">
        <v>1039</v>
      </c>
      <c r="C13" s="1534" t="s">
        <v>324</v>
      </c>
      <c r="I13" s="1538" t="s">
        <v>3350</v>
      </c>
    </row>
    <row r="14" spans="1:23">
      <c r="A14" s="1533" t="s">
        <v>1040</v>
      </c>
      <c r="B14" s="1533" t="s">
        <v>1041</v>
      </c>
      <c r="C14" s="1535" t="s">
        <v>13</v>
      </c>
      <c r="I14" s="1538" t="s">
        <v>3351</v>
      </c>
    </row>
    <row r="15" spans="1:23">
      <c r="A15" s="1533" t="s">
        <v>1042</v>
      </c>
      <c r="B15" s="1533" t="s">
        <v>1043</v>
      </c>
      <c r="C15" s="1534"/>
      <c r="I15" s="1538" t="s">
        <v>3352</v>
      </c>
    </row>
    <row r="16" spans="1:23">
      <c r="A16" s="1533" t="s">
        <v>1044</v>
      </c>
      <c r="B16" s="1533" t="s">
        <v>312</v>
      </c>
      <c r="C16" s="1534"/>
    </row>
    <row r="17" spans="1:3">
      <c r="A17" s="1533" t="s">
        <v>1045</v>
      </c>
      <c r="B17" s="1533" t="s">
        <v>2293</v>
      </c>
      <c r="C17" s="1534"/>
    </row>
    <row r="18" spans="1:3">
      <c r="A18" s="1533" t="s">
        <v>1046</v>
      </c>
      <c r="B18" s="1533" t="s">
        <v>2435</v>
      </c>
      <c r="C18" s="1534"/>
    </row>
    <row r="19" spans="1:3">
      <c r="A19" s="1533" t="s">
        <v>1047</v>
      </c>
      <c r="B19" s="1533" t="s">
        <v>313</v>
      </c>
      <c r="C19" s="1534"/>
    </row>
    <row r="20" spans="1:3">
      <c r="A20" s="1533" t="s">
        <v>1048</v>
      </c>
      <c r="B20" s="1533" t="s">
        <v>313</v>
      </c>
      <c r="C20" s="1534"/>
    </row>
    <row r="21" spans="1:3">
      <c r="A21" s="1533" t="s">
        <v>1049</v>
      </c>
      <c r="B21" s="1533" t="s">
        <v>313</v>
      </c>
      <c r="C21" s="1534"/>
    </row>
    <row r="22" spans="1:3">
      <c r="A22" s="1533" t="s">
        <v>1050</v>
      </c>
      <c r="B22" s="1533" t="s">
        <v>313</v>
      </c>
      <c r="C22" s="1534"/>
    </row>
    <row r="23" spans="1:3">
      <c r="A23" s="1533" t="s">
        <v>1051</v>
      </c>
      <c r="B23" s="1533" t="s">
        <v>313</v>
      </c>
      <c r="C23" s="1534"/>
    </row>
    <row r="24" spans="1:3">
      <c r="A24" s="1533" t="s">
        <v>1052</v>
      </c>
      <c r="B24" s="1533" t="s">
        <v>313</v>
      </c>
      <c r="C24" s="1534"/>
    </row>
    <row r="25" spans="1:3">
      <c r="A25" s="1533" t="s">
        <v>1053</v>
      </c>
      <c r="B25" s="1533" t="s">
        <v>313</v>
      </c>
      <c r="C25" s="1534"/>
    </row>
    <row r="26" spans="1:3">
      <c r="A26" s="1533" t="s">
        <v>1054</v>
      </c>
      <c r="B26" s="1533" t="s">
        <v>313</v>
      </c>
      <c r="C26" s="1534"/>
    </row>
    <row r="27" spans="1:3">
      <c r="A27" s="1533" t="s">
        <v>313</v>
      </c>
      <c r="B27" s="1533" t="s">
        <v>313</v>
      </c>
      <c r="C27" s="1534"/>
    </row>
    <row r="28" spans="1:3">
      <c r="A28" s="1533" t="s">
        <v>313</v>
      </c>
      <c r="B28" s="1533" t="s">
        <v>313</v>
      </c>
      <c r="C28" s="1534"/>
    </row>
    <row r="29" spans="1:3">
      <c r="A29" s="1533" t="s">
        <v>313</v>
      </c>
      <c r="B29" s="1533" t="s">
        <v>313</v>
      </c>
      <c r="C29" s="1534"/>
    </row>
    <row r="30" spans="1:3">
      <c r="A30" s="1533" t="s">
        <v>313</v>
      </c>
      <c r="B30" s="1533" t="s">
        <v>313</v>
      </c>
      <c r="C30" s="1534"/>
    </row>
    <row r="31" spans="1:3">
      <c r="A31" s="1533" t="s">
        <v>313</v>
      </c>
      <c r="B31" s="1533" t="s">
        <v>313</v>
      </c>
      <c r="C31" s="1534"/>
    </row>
    <row r="32" spans="1:3">
      <c r="A32" s="1533" t="s">
        <v>313</v>
      </c>
      <c r="B32" s="1533" t="s">
        <v>313</v>
      </c>
      <c r="C32" s="1534"/>
    </row>
    <row r="33" spans="1:3">
      <c r="A33" s="1533" t="s">
        <v>313</v>
      </c>
      <c r="B33" s="1533" t="s">
        <v>313</v>
      </c>
      <c r="C33" s="1534"/>
    </row>
    <row r="34" spans="1:3">
      <c r="A34" s="1533" t="s">
        <v>313</v>
      </c>
      <c r="B34" s="1533" t="s">
        <v>313</v>
      </c>
      <c r="C34" s="1534"/>
    </row>
    <row r="35" spans="1:3">
      <c r="A35" s="1533" t="s">
        <v>313</v>
      </c>
      <c r="B35" s="1533" t="s">
        <v>313</v>
      </c>
      <c r="C35" s="1534"/>
    </row>
    <row r="36" spans="1:3">
      <c r="A36" s="1533" t="s">
        <v>313</v>
      </c>
      <c r="B36" s="1533" t="s">
        <v>313</v>
      </c>
      <c r="C36" s="1534"/>
    </row>
    <row r="37" spans="1:3">
      <c r="A37" s="1533" t="s">
        <v>313</v>
      </c>
      <c r="B37" s="1533" t="s">
        <v>313</v>
      </c>
      <c r="C37" s="1534"/>
    </row>
    <row r="38" spans="1:3">
      <c r="A38" s="1533" t="s">
        <v>313</v>
      </c>
      <c r="B38" s="1533" t="s">
        <v>313</v>
      </c>
      <c r="C38" s="1534"/>
    </row>
    <row r="39" spans="1:3">
      <c r="A39" s="1533" t="s">
        <v>313</v>
      </c>
      <c r="B39" s="1533" t="s">
        <v>313</v>
      </c>
      <c r="C39" s="1534"/>
    </row>
    <row r="40" spans="1:3">
      <c r="A40" s="1533" t="s">
        <v>313</v>
      </c>
      <c r="B40" s="1533" t="s">
        <v>313</v>
      </c>
      <c r="C40" s="1534"/>
    </row>
    <row r="41" spans="1:3">
      <c r="A41" s="1533" t="s">
        <v>313</v>
      </c>
      <c r="B41" s="1533" t="s">
        <v>313</v>
      </c>
      <c r="C41" s="1534"/>
    </row>
    <row r="42" spans="1:3">
      <c r="A42" s="1533" t="s">
        <v>313</v>
      </c>
      <c r="B42" s="1533" t="s">
        <v>313</v>
      </c>
      <c r="C42" s="1534"/>
    </row>
    <row r="43" spans="1:3">
      <c r="A43" s="1533" t="s">
        <v>313</v>
      </c>
      <c r="B43" s="1533" t="s">
        <v>313</v>
      </c>
      <c r="C43" s="1534"/>
    </row>
    <row r="44" spans="1:3">
      <c r="A44" s="1533" t="s">
        <v>313</v>
      </c>
      <c r="B44" s="1533" t="s">
        <v>313</v>
      </c>
      <c r="C44" s="1534"/>
    </row>
    <row r="45" spans="1:3">
      <c r="A45" s="1533" t="s">
        <v>313</v>
      </c>
      <c r="B45" s="1533" t="s">
        <v>313</v>
      </c>
      <c r="C45" s="1534"/>
    </row>
    <row r="46" spans="1:3">
      <c r="A46" s="1533" t="s">
        <v>313</v>
      </c>
      <c r="B46" s="1533" t="s">
        <v>313</v>
      </c>
      <c r="C46" s="1534"/>
    </row>
    <row r="47" spans="1:3">
      <c r="A47" s="1533" t="s">
        <v>313</v>
      </c>
      <c r="B47" s="1533" t="s">
        <v>313</v>
      </c>
      <c r="C47" s="1534"/>
    </row>
    <row r="48" spans="1:3">
      <c r="A48" s="1533" t="s">
        <v>313</v>
      </c>
      <c r="B48" s="1533" t="s">
        <v>313</v>
      </c>
      <c r="C48" s="1534"/>
    </row>
    <row r="49" spans="1:4">
      <c r="A49" s="1533" t="s">
        <v>313</v>
      </c>
      <c r="B49" s="1533" t="s">
        <v>313</v>
      </c>
      <c r="C49" s="1534"/>
    </row>
    <row r="50" spans="1:4">
      <c r="A50" s="1533" t="s">
        <v>313</v>
      </c>
      <c r="B50" s="1533" t="s">
        <v>313</v>
      </c>
      <c r="C50" s="1534"/>
    </row>
    <row r="51" spans="1:4">
      <c r="A51" s="1540" t="s">
        <v>378</v>
      </c>
      <c r="B51" s="1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1" t="s">
        <v>586</v>
      </c>
    </row>
    <row r="52" spans="1:4">
      <c r="A52" s="1540" t="s">
        <v>379</v>
      </c>
      <c r="B52" s="1540" t="s">
        <v>380</v>
      </c>
      <c r="C52" s="1538" t="s">
        <v>381</v>
      </c>
      <c r="D52" s="1538" t="s">
        <v>382</v>
      </c>
    </row>
    <row r="53" spans="1:4">
      <c r="A53" s="3990" t="s">
        <v>383</v>
      </c>
      <c r="B53" s="1541" t="s">
        <v>384</v>
      </c>
      <c r="C53" s="1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90"/>
      <c r="B54" s="1541" t="s">
        <v>385</v>
      </c>
      <c r="C54" s="1538" t="s">
        <v>583</v>
      </c>
    </row>
    <row r="55" spans="1:4">
      <c r="A55" s="3990"/>
      <c r="B55" s="1541" t="s">
        <v>386</v>
      </c>
      <c r="C55" s="1538" t="s">
        <v>584</v>
      </c>
    </row>
    <row r="56" spans="1:4">
      <c r="A56" s="3990"/>
      <c r="B56" s="1541" t="s">
        <v>387</v>
      </c>
      <c r="C56" s="1538" t="s">
        <v>588</v>
      </c>
    </row>
    <row r="57" spans="1:4">
      <c r="A57" s="3990"/>
      <c r="B57" s="1541" t="s">
        <v>388</v>
      </c>
      <c r="C57" s="1538" t="s">
        <v>585</v>
      </c>
    </row>
    <row r="58" spans="1:4">
      <c r="A58" s="1542"/>
      <c r="B58" s="1538"/>
    </row>
    <row r="59" spans="1:4">
      <c r="A59" s="1542"/>
      <c r="B59" s="1538"/>
    </row>
    <row r="60" spans="1:4">
      <c r="A60" s="1542"/>
      <c r="B60" s="1538"/>
    </row>
    <row r="61" spans="1:4">
      <c r="A61" s="1542"/>
      <c r="B61" s="1538"/>
    </row>
    <row r="62" spans="1:4">
      <c r="A62" s="1542"/>
      <c r="B62" s="1538"/>
    </row>
    <row r="63" spans="1:4">
      <c r="A63" s="1542"/>
      <c r="B63" s="1538"/>
    </row>
    <row r="64" spans="1:4">
      <c r="A64" s="1542"/>
      <c r="B64" s="1538"/>
    </row>
    <row r="65" spans="1:2">
      <c r="A65" s="1542"/>
      <c r="B65" s="1538"/>
    </row>
    <row r="66" spans="1:2">
      <c r="A66" s="1542"/>
      <c r="B66" s="1538"/>
    </row>
    <row r="67" spans="1:2">
      <c r="A67" s="1542"/>
      <c r="B67" s="1538"/>
    </row>
    <row r="68" spans="1:2">
      <c r="A68" s="1542"/>
      <c r="B68" s="1538"/>
    </row>
    <row r="69" spans="1:2">
      <c r="A69" s="1542"/>
      <c r="B69" s="1538"/>
    </row>
    <row r="70" spans="1:2">
      <c r="A70" s="1542"/>
      <c r="B70" s="1538"/>
    </row>
    <row r="71" spans="1:2">
      <c r="A71" s="1542"/>
      <c r="B71" s="1538"/>
    </row>
    <row r="72" spans="1:2">
      <c r="A72" s="1542"/>
      <c r="B72" s="1538"/>
    </row>
    <row r="73" spans="1:2">
      <c r="A73" s="1542"/>
      <c r="B73" s="1538"/>
    </row>
    <row r="74" spans="1:2">
      <c r="A74" s="1542"/>
      <c r="B74" s="1538"/>
    </row>
    <row r="75" spans="1:2">
      <c r="A75" s="1542"/>
      <c r="B75" s="1538"/>
    </row>
    <row r="76" spans="1:2">
      <c r="A76" s="1542"/>
      <c r="B76" s="1538"/>
    </row>
    <row r="77" spans="1:2">
      <c r="A77" s="1542"/>
      <c r="B77" s="1538"/>
    </row>
    <row r="78" spans="1:2">
      <c r="A78" s="1542"/>
      <c r="B78" s="1538"/>
    </row>
    <row r="79" spans="1:2">
      <c r="A79" s="1542"/>
      <c r="B79" s="1538"/>
    </row>
    <row r="80" spans="1:2">
      <c r="A80" s="1542"/>
      <c r="B80" s="1538"/>
    </row>
    <row r="81" spans="1:2">
      <c r="A81" s="1542"/>
      <c r="B81" s="1538"/>
    </row>
    <row r="82" spans="1:2">
      <c r="A82" s="1542"/>
      <c r="B82" s="1538"/>
    </row>
    <row r="83" spans="1:2">
      <c r="A83" s="1542"/>
      <c r="B83" s="1538"/>
    </row>
    <row r="84" spans="1:2">
      <c r="A84" s="1542"/>
      <c r="B84" s="1538"/>
    </row>
    <row r="85" spans="1:2">
      <c r="A85" s="1542"/>
      <c r="B85" s="1538"/>
    </row>
    <row r="86" spans="1:2">
      <c r="A86" s="1542"/>
      <c r="B86" s="1538"/>
    </row>
    <row r="87" spans="1:2">
      <c r="A87" s="1542"/>
      <c r="B87" s="1538"/>
    </row>
    <row r="88" spans="1:2">
      <c r="A88" s="1542"/>
      <c r="B88" s="1538"/>
    </row>
    <row r="89" spans="1:2">
      <c r="A89" s="1542"/>
      <c r="B89" s="1538"/>
    </row>
    <row r="90" spans="1:2">
      <c r="A90" s="1542"/>
      <c r="B90" s="1538"/>
    </row>
    <row r="91" spans="1:2">
      <c r="A91" s="1542"/>
      <c r="B91" s="1538"/>
    </row>
    <row r="92" spans="1:2">
      <c r="A92" s="1542"/>
      <c r="B92" s="1538"/>
    </row>
    <row r="93" spans="1:2">
      <c r="A93" s="1542"/>
      <c r="B93" s="1538"/>
    </row>
    <row r="94" spans="1:2">
      <c r="A94" s="1542"/>
      <c r="B94" s="1538"/>
    </row>
    <row r="95" spans="1:2">
      <c r="A95" s="1542"/>
      <c r="B95" s="1538"/>
    </row>
    <row r="96" spans="1:2">
      <c r="A96" s="1542"/>
      <c r="B96" s="1538"/>
    </row>
    <row r="97" spans="1:2">
      <c r="A97" s="1542"/>
      <c r="B97" s="1538"/>
    </row>
    <row r="98" spans="1:2">
      <c r="A98" s="1542"/>
      <c r="B98" s="1538"/>
    </row>
    <row r="99" spans="1:2">
      <c r="A99" s="1542"/>
      <c r="B99" s="1538"/>
    </row>
    <row r="100" spans="1:2">
      <c r="A100" s="1542"/>
      <c r="B100" s="1538"/>
    </row>
    <row r="101" spans="1:2">
      <c r="A101" s="1542"/>
      <c r="B101" s="1538"/>
    </row>
    <row r="102" spans="1:2">
      <c r="A102" s="1542"/>
      <c r="B102" s="1538"/>
    </row>
    <row r="103" spans="1:2">
      <c r="A103" s="1542"/>
      <c r="B103" s="1538"/>
    </row>
    <row r="104" spans="1:2">
      <c r="A104" s="1542"/>
      <c r="B104" s="1538"/>
    </row>
    <row r="105" spans="1:2">
      <c r="A105" s="1542"/>
      <c r="B105" s="1538"/>
    </row>
    <row r="106" spans="1:2">
      <c r="A106" s="1542"/>
      <c r="B106" s="1538"/>
    </row>
    <row r="107" spans="1:2">
      <c r="A107" s="1542"/>
      <c r="B107" s="1538"/>
    </row>
    <row r="108" spans="1:2">
      <c r="A108" s="1542"/>
      <c r="B108" s="1538"/>
    </row>
    <row r="109" spans="1:2">
      <c r="A109" s="1542"/>
      <c r="B109" s="1538"/>
    </row>
    <row r="110" spans="1:2">
      <c r="A110" s="1542"/>
      <c r="B110" s="1538"/>
    </row>
    <row r="111" spans="1:2">
      <c r="A111" s="1542"/>
      <c r="B111" s="1538"/>
    </row>
    <row r="112" spans="1:2">
      <c r="A112" s="1542"/>
      <c r="B112" s="1538"/>
    </row>
    <row r="113" spans="1:2">
      <c r="A113" s="1542"/>
      <c r="B113" s="1538"/>
    </row>
    <row r="114" spans="1:2">
      <c r="A114" s="1542"/>
      <c r="B114" s="1538"/>
    </row>
    <row r="115" spans="1:2">
      <c r="A115" s="1542"/>
      <c r="B115" s="1538"/>
    </row>
    <row r="116" spans="1:2">
      <c r="A116" s="1542"/>
      <c r="B116" s="1538"/>
    </row>
    <row r="117" spans="1:2">
      <c r="A117" s="1542"/>
      <c r="B117" s="1538"/>
    </row>
    <row r="118" spans="1:2">
      <c r="A118" s="1542"/>
      <c r="B118" s="1538"/>
    </row>
    <row r="119" spans="1:2">
      <c r="A119" s="1542"/>
      <c r="B119" s="1538"/>
    </row>
    <row r="120" spans="1:2">
      <c r="A120" s="1542"/>
      <c r="B120" s="1538"/>
    </row>
    <row r="121" spans="1:2">
      <c r="A121" s="1542"/>
      <c r="B121" s="1538"/>
    </row>
    <row r="122" spans="1:2">
      <c r="A122" s="1542"/>
      <c r="B122" s="1538"/>
    </row>
    <row r="123" spans="1:2">
      <c r="A123" s="1542"/>
      <c r="B123" s="1538"/>
    </row>
    <row r="124" spans="1:2">
      <c r="A124" s="1542"/>
      <c r="B124" s="1538"/>
    </row>
    <row r="125" spans="1:2">
      <c r="A125" s="1542"/>
      <c r="B125" s="1538"/>
    </row>
    <row r="126" spans="1:2">
      <c r="A126" s="1542"/>
      <c r="B126" s="1538"/>
    </row>
    <row r="127" spans="1:2">
      <c r="A127" s="1542"/>
      <c r="B127" s="1538"/>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87"/>
    <col min="8" max="8" width="5.44140625" style="2987" customWidth="1"/>
    <col min="9" max="13" width="9.44140625" style="3029" customWidth="1"/>
    <col min="14" max="18" width="9.44140625" style="2987" customWidth="1"/>
    <col min="19" max="16384" width="15.21875" style="2987"/>
  </cols>
  <sheetData>
    <row r="1" spans="1:18">
      <c r="A1" s="2984" t="s">
        <v>2502</v>
      </c>
      <c r="B1" s="2985"/>
      <c r="C1" s="2985"/>
      <c r="D1" s="2985"/>
      <c r="E1" s="2985"/>
      <c r="F1" s="2986"/>
      <c r="I1" s="3408" t="s">
        <v>2595</v>
      </c>
      <c r="J1" s="3197"/>
      <c r="K1" s="3197"/>
      <c r="L1" s="3197"/>
      <c r="M1" s="3197"/>
      <c r="N1" s="3409"/>
      <c r="O1" s="3409"/>
      <c r="P1" s="3409"/>
      <c r="Q1" s="3409"/>
      <c r="R1" s="3409"/>
    </row>
    <row r="2" spans="1:18">
      <c r="A2" s="2988"/>
      <c r="B2" s="2989"/>
      <c r="C2" s="2989"/>
      <c r="D2" s="2989"/>
      <c r="E2" s="2989"/>
      <c r="F2" s="2990"/>
      <c r="I2" s="3991" t="s">
        <v>2582</v>
      </c>
      <c r="J2" s="3991"/>
      <c r="K2" s="3991"/>
      <c r="L2" s="3991"/>
      <c r="M2" s="3991"/>
      <c r="N2" s="3991"/>
      <c r="O2" s="3991"/>
      <c r="P2" s="3991"/>
      <c r="Q2" s="3991"/>
      <c r="R2" s="3991"/>
    </row>
    <row r="3" spans="1:18">
      <c r="A3" s="2991" t="s">
        <v>2503</v>
      </c>
      <c r="B3" s="2992">
        <f>项目基本情况!D3</f>
        <v>37917</v>
      </c>
      <c r="C3" s="2994"/>
      <c r="D3" s="2994"/>
      <c r="E3" s="2994"/>
      <c r="F3" s="2990"/>
      <c r="I3" s="3410"/>
      <c r="J3" s="3410" t="s">
        <v>2586</v>
      </c>
      <c r="K3" s="3410" t="s">
        <v>2587</v>
      </c>
      <c r="L3" s="3410" t="s">
        <v>2588</v>
      </c>
      <c r="M3" s="3410" t="s">
        <v>2589</v>
      </c>
      <c r="N3" s="3411" t="s">
        <v>2590</v>
      </c>
      <c r="O3" s="3411" t="s">
        <v>2591</v>
      </c>
      <c r="P3" s="3411" t="s">
        <v>2592</v>
      </c>
      <c r="Q3" s="3411" t="s">
        <v>2593</v>
      </c>
      <c r="R3" s="3411" t="s">
        <v>2594</v>
      </c>
    </row>
    <row r="4" spans="1:18">
      <c r="A4" s="2991" t="s">
        <v>2504</v>
      </c>
      <c r="B4" s="2994" t="s">
        <v>2505</v>
      </c>
      <c r="C4" s="2994" t="s">
        <v>2506</v>
      </c>
      <c r="D4" s="2994" t="s">
        <v>2507</v>
      </c>
      <c r="E4" s="2994" t="s">
        <v>2508</v>
      </c>
      <c r="F4" s="2990"/>
      <c r="I4" s="3410" t="s">
        <v>2583</v>
      </c>
      <c r="J4" s="3410">
        <v>80</v>
      </c>
      <c r="K4" s="3410">
        <v>70</v>
      </c>
      <c r="L4" s="3410">
        <v>20</v>
      </c>
      <c r="M4" s="3410">
        <v>30</v>
      </c>
      <c r="N4" s="2994">
        <v>45</v>
      </c>
      <c r="O4" s="2994">
        <v>60</v>
      </c>
      <c r="P4" s="2994">
        <v>50</v>
      </c>
      <c r="Q4" s="2994">
        <v>20</v>
      </c>
      <c r="R4" s="2994">
        <v>375</v>
      </c>
    </row>
    <row r="5" spans="1:18">
      <c r="A5" s="2995">
        <v>40</v>
      </c>
      <c r="B5" s="2992">
        <v>46375</v>
      </c>
      <c r="C5" s="2994">
        <f>ROUNDDOWN(MIN((B5-B3)/365,A5),2)</f>
        <v>23.17</v>
      </c>
      <c r="D5" s="2996">
        <f>IF(ISERROR(ROUND(POWER(1+E5,A5-C5)*(POWER(1+E5,C5)-1)/(POWER(1+E5,A5)-1),3)),0,ROUND(POWER(1+E5,A5-C5)*(POWER(1+E5,C5)-1)/(POWER(1+E5,A5)-1),4))</f>
        <v>0.754</v>
      </c>
      <c r="E5" s="2997">
        <v>0.04</v>
      </c>
      <c r="F5" s="2990"/>
      <c r="I5" s="3410" t="s">
        <v>2584</v>
      </c>
      <c r="J5" s="3410">
        <v>70</v>
      </c>
      <c r="K5" s="3410">
        <v>60</v>
      </c>
      <c r="L5" s="3410">
        <v>15</v>
      </c>
      <c r="M5" s="3410">
        <v>25</v>
      </c>
      <c r="N5" s="2994">
        <v>40</v>
      </c>
      <c r="O5" s="2994">
        <v>50</v>
      </c>
      <c r="P5" s="2994">
        <v>40</v>
      </c>
      <c r="Q5" s="2994">
        <v>15</v>
      </c>
      <c r="R5" s="2994">
        <v>315</v>
      </c>
    </row>
    <row r="6" spans="1:18">
      <c r="A6" s="2995">
        <v>50</v>
      </c>
      <c r="B6" s="2992">
        <v>50028</v>
      </c>
      <c r="C6" s="2994">
        <f>ROUNDDOWN(MIN((B6-B3)/365,A6),2)</f>
        <v>33.18</v>
      </c>
      <c r="D6" s="2996">
        <f>IF(ISERROR(ROUND(POWER(1+E6,A6-C6)*(POWER(1+E6,C6)-1)/(POWER(1+E6,A6)-1),3)),0,ROUND(POWER(1+E6,A6-C6)*(POWER(1+E6,C6)-1)/(POWER(1+E6,A6)-1),4))</f>
        <v>0.84699999999999998</v>
      </c>
      <c r="E6" s="2997">
        <v>0.04</v>
      </c>
      <c r="F6" s="2990"/>
      <c r="I6" s="3410" t="s">
        <v>2585</v>
      </c>
      <c r="J6" s="3410">
        <v>60</v>
      </c>
      <c r="K6" s="3410">
        <v>50</v>
      </c>
      <c r="L6" s="3410">
        <v>10</v>
      </c>
      <c r="M6" s="3410">
        <v>20</v>
      </c>
      <c r="N6" s="2994">
        <v>35</v>
      </c>
      <c r="O6" s="2994">
        <v>40</v>
      </c>
      <c r="P6" s="2994">
        <v>30</v>
      </c>
      <c r="Q6" s="2994">
        <v>10</v>
      </c>
      <c r="R6" s="2994">
        <v>255</v>
      </c>
    </row>
    <row r="7" spans="1:18">
      <c r="A7" s="2995">
        <v>70</v>
      </c>
      <c r="B7" s="2992">
        <v>57333</v>
      </c>
      <c r="C7" s="2994">
        <f>ROUNDDOWN(MIN((B7-B3)/365,A7),2)</f>
        <v>53.19</v>
      </c>
      <c r="D7" s="2996">
        <f>IF(ISERROR(ROUND(POWER(1+E7,A7-C7)*(POWER(1+E7,C7)-1)/(POWER(1+E7,A7)-1),3)),0,ROUND(POWER(1+E7,A7-C7)*(POWER(1+E7,C7)-1)/(POWER(1+E7,A7)-1),4))</f>
        <v>0.93589999999999995</v>
      </c>
      <c r="E7" s="2997">
        <v>0.04</v>
      </c>
      <c r="F7" s="2990"/>
    </row>
    <row r="8" spans="1:18">
      <c r="A8" s="2988"/>
      <c r="B8" s="2989"/>
      <c r="C8" s="2989"/>
      <c r="D8" s="2989"/>
      <c r="E8" s="2989"/>
      <c r="F8" s="2990"/>
    </row>
    <row r="9" spans="1:18">
      <c r="A9" s="2991" t="s">
        <v>2509</v>
      </c>
      <c r="B9" s="2994"/>
      <c r="C9" s="2994"/>
      <c r="D9" s="2994"/>
      <c r="E9" s="2994"/>
      <c r="F9" s="2998"/>
    </row>
    <row r="10" spans="1:18">
      <c r="A10" s="2991" t="s">
        <v>2510</v>
      </c>
      <c r="B10" s="2994"/>
      <c r="C10" s="2994"/>
      <c r="D10" s="2994" t="s">
        <v>2508</v>
      </c>
      <c r="E10" s="2994"/>
      <c r="F10" s="2998" t="s">
        <v>2507</v>
      </c>
    </row>
    <row r="11" spans="1:18">
      <c r="A11" s="2991" t="s">
        <v>2511</v>
      </c>
      <c r="B11" s="2999">
        <v>70</v>
      </c>
      <c r="C11" s="2994" t="s">
        <v>2512</v>
      </c>
      <c r="D11" s="3000">
        <v>4.4999999999999998E-2</v>
      </c>
      <c r="E11" s="2994" t="s">
        <v>2513</v>
      </c>
      <c r="F11" s="3001">
        <f>ROUND(1-(1/(POWER(1+D11,B11))),4)</f>
        <v>0.95409999999999995</v>
      </c>
    </row>
    <row r="12" spans="1:18">
      <c r="A12" s="2991" t="s">
        <v>2514</v>
      </c>
      <c r="B12" s="2999">
        <v>40</v>
      </c>
      <c r="C12" s="2994" t="s">
        <v>2515</v>
      </c>
      <c r="D12" s="3000">
        <v>4.4999999999999998E-2</v>
      </c>
      <c r="E12" s="2994" t="s">
        <v>2516</v>
      </c>
      <c r="F12" s="3001">
        <f>ROUND(1-(1/(POWER(1+D12,B12))),4)</f>
        <v>0.82809999999999995</v>
      </c>
    </row>
    <row r="13" spans="1:18">
      <c r="A13" s="2991" t="s">
        <v>2517</v>
      </c>
      <c r="B13" s="2994"/>
      <c r="C13" s="2994"/>
      <c r="D13" s="2989"/>
      <c r="E13" s="2989"/>
      <c r="F13" s="2990"/>
    </row>
    <row r="14" spans="1:18">
      <c r="A14" s="2991" t="s">
        <v>2518</v>
      </c>
      <c r="B14" s="2999">
        <v>5000</v>
      </c>
      <c r="C14" s="2993"/>
      <c r="D14" s="2989"/>
      <c r="E14" s="2989"/>
      <c r="F14" s="2990"/>
    </row>
    <row r="15" spans="1:18">
      <c r="A15" s="2991" t="s">
        <v>2519</v>
      </c>
      <c r="B15" s="2994">
        <f>ROUND(B14*F12/F11,2)</f>
        <v>4339.6899999999996</v>
      </c>
      <c r="C15" s="2994">
        <f>ROUND(F12/F11,4)</f>
        <v>0.8679</v>
      </c>
      <c r="D15" s="2989"/>
      <c r="E15" s="2989"/>
      <c r="F15" s="2990"/>
    </row>
    <row r="16" spans="1:18">
      <c r="A16" s="2991" t="s">
        <v>2520</v>
      </c>
      <c r="B16" s="2994"/>
      <c r="C16" s="2994"/>
      <c r="D16" s="2989"/>
      <c r="E16" s="2989"/>
      <c r="F16" s="2990"/>
    </row>
    <row r="17" spans="1:13">
      <c r="A17" s="2991" t="s">
        <v>2519</v>
      </c>
      <c r="B17" s="3000">
        <v>4810</v>
      </c>
      <c r="C17" s="2993"/>
      <c r="D17" s="2989"/>
      <c r="E17" s="2989"/>
      <c r="F17" s="2990"/>
    </row>
    <row r="18" spans="1:13" ht="15" thickBot="1">
      <c r="A18" s="3002" t="s">
        <v>2518</v>
      </c>
      <c r="B18" s="3003">
        <f>ROUND(B17*F11/F12,2)</f>
        <v>5541.87</v>
      </c>
      <c r="C18" s="3003">
        <f>ROUND(F11/F12,4)</f>
        <v>1.1521999999999999</v>
      </c>
      <c r="D18" s="3004"/>
      <c r="E18" s="3004"/>
      <c r="F18" s="3005"/>
    </row>
    <row r="19" spans="1:13" ht="15" thickBot="1"/>
    <row r="20" spans="1:13" s="3040" customFormat="1" ht="15" thickTop="1">
      <c r="A20" s="3037" t="s">
        <v>2521</v>
      </c>
      <c r="B20" s="3038"/>
      <c r="C20" s="3038"/>
      <c r="D20" s="3038"/>
      <c r="E20" s="3038"/>
      <c r="F20" s="3038"/>
      <c r="G20" s="3039"/>
      <c r="I20" s="3041" t="s">
        <v>2566</v>
      </c>
      <c r="J20" s="3041" t="s">
        <v>2571</v>
      </c>
      <c r="K20" s="3041"/>
      <c r="L20" s="3041"/>
      <c r="M20" s="3041"/>
    </row>
    <row r="21" spans="1:13">
      <c r="A21" s="3006"/>
      <c r="B21" s="3007" t="s">
        <v>2522</v>
      </c>
      <c r="C21" s="3007" t="s">
        <v>2523</v>
      </c>
      <c r="D21" s="3007" t="s">
        <v>2524</v>
      </c>
      <c r="E21" s="3007" t="s">
        <v>2525</v>
      </c>
      <c r="F21" s="3007" t="s">
        <v>2526</v>
      </c>
      <c r="G21" s="3008" t="s">
        <v>2527</v>
      </c>
      <c r="I21" s="3029">
        <v>5</v>
      </c>
      <c r="J21" s="3029">
        <v>54.2</v>
      </c>
    </row>
    <row r="22" spans="1:13">
      <c r="A22" s="3006" t="s">
        <v>2528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2529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2569</v>
      </c>
      <c r="M23" s="3029" t="s">
        <v>2570</v>
      </c>
    </row>
    <row r="24" spans="1:13">
      <c r="A24" s="3006" t="s">
        <v>2530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2568</v>
      </c>
      <c r="M24" s="3029">
        <v>10</v>
      </c>
    </row>
    <row r="25" spans="1:13">
      <c r="A25" s="3006" t="s">
        <v>2531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2572</v>
      </c>
      <c r="M25" s="3029">
        <v>8</v>
      </c>
    </row>
    <row r="26" spans="1:13">
      <c r="A26" s="3011"/>
      <c r="B26" s="3012"/>
      <c r="C26" s="3012"/>
      <c r="D26" s="3012"/>
      <c r="E26" s="3012"/>
      <c r="F26" s="3012"/>
      <c r="G26" s="3013"/>
      <c r="I26" s="3029">
        <v>30</v>
      </c>
      <c r="J26" s="3029">
        <v>90.5</v>
      </c>
      <c r="K26" s="3029">
        <f t="shared" si="2"/>
        <v>4.2000000000000028</v>
      </c>
      <c r="L26" s="3029" t="s">
        <v>2573</v>
      </c>
      <c r="M26" s="3029">
        <v>5</v>
      </c>
    </row>
    <row r="27" spans="1:13">
      <c r="A27" s="3011" t="s">
        <v>2532</v>
      </c>
      <c r="B27" s="3012"/>
      <c r="C27" s="3012"/>
      <c r="D27" s="3012"/>
      <c r="E27" s="3012"/>
      <c r="F27" s="3012"/>
      <c r="G27" s="3013"/>
      <c r="I27" s="3029">
        <v>35</v>
      </c>
      <c r="J27" s="3029">
        <v>93.8</v>
      </c>
      <c r="K27" s="3029">
        <f t="shared" si="2"/>
        <v>3.2999999999999972</v>
      </c>
      <c r="L27" s="3029" t="s">
        <v>2574</v>
      </c>
      <c r="M27" s="3029">
        <v>3</v>
      </c>
    </row>
    <row r="28" spans="1:13">
      <c r="A28" s="3011" t="s">
        <v>2533</v>
      </c>
      <c r="B28" s="3012"/>
      <c r="C28" s="3012"/>
      <c r="D28" s="3012"/>
      <c r="E28" s="3012"/>
      <c r="F28" s="3012"/>
      <c r="G28" s="3013"/>
      <c r="I28" s="3029">
        <v>40</v>
      </c>
      <c r="J28" s="3029">
        <v>96.4</v>
      </c>
      <c r="K28" s="3029">
        <f t="shared" si="2"/>
        <v>2.6000000000000085</v>
      </c>
      <c r="L28" s="3029" t="s">
        <v>2575</v>
      </c>
      <c r="M28" s="3029">
        <v>2</v>
      </c>
    </row>
    <row r="29" spans="1:13">
      <c r="A29" s="3011" t="s">
        <v>2534</v>
      </c>
      <c r="B29" s="3012"/>
      <c r="C29" s="3012"/>
      <c r="D29" s="3012"/>
      <c r="E29" s="3012"/>
      <c r="F29" s="3012"/>
      <c r="G29" s="3013"/>
      <c r="I29" s="3029">
        <v>45</v>
      </c>
      <c r="J29" s="3029">
        <v>98.4</v>
      </c>
      <c r="K29" s="3029">
        <f t="shared" si="2"/>
        <v>2</v>
      </c>
    </row>
    <row r="30" spans="1:13">
      <c r="A30" s="3011" t="s">
        <v>2535</v>
      </c>
      <c r="B30" s="3012"/>
      <c r="C30" s="3012"/>
      <c r="D30" s="3012"/>
      <c r="E30" s="3012"/>
      <c r="F30" s="3012"/>
      <c r="G30" s="3013"/>
      <c r="I30" s="3029">
        <v>50</v>
      </c>
      <c r="J30" s="3029">
        <v>100</v>
      </c>
      <c r="K30" s="3029">
        <f t="shared" si="2"/>
        <v>1.5999999999999943</v>
      </c>
    </row>
    <row r="31" spans="1:13">
      <c r="A31" s="3011" t="s">
        <v>2536</v>
      </c>
      <c r="B31" s="3012"/>
      <c r="C31" s="3012"/>
      <c r="D31" s="3012"/>
      <c r="E31" s="3012"/>
      <c r="F31" s="3012"/>
      <c r="G31" s="3013"/>
      <c r="I31" s="3029" t="s">
        <v>2567</v>
      </c>
    </row>
    <row r="32" spans="1:13">
      <c r="A32" s="3011" t="s">
        <v>2537</v>
      </c>
      <c r="B32" s="3012"/>
      <c r="C32" s="3012"/>
      <c r="D32" s="3012"/>
      <c r="E32" s="3012"/>
      <c r="F32" s="3012"/>
      <c r="G32" s="3013"/>
    </row>
    <row r="33" spans="1:13">
      <c r="A33" s="3011" t="s">
        <v>2538</v>
      </c>
      <c r="B33" s="3012"/>
      <c r="C33" s="3012"/>
      <c r="D33" s="3012"/>
      <c r="E33" s="3012"/>
      <c r="F33" s="3012"/>
      <c r="G33" s="3013"/>
      <c r="I33" s="3029" t="s">
        <v>2566</v>
      </c>
      <c r="J33" s="3029" t="s">
        <v>2576</v>
      </c>
    </row>
    <row r="34" spans="1:13">
      <c r="A34" s="3011" t="s">
        <v>2539</v>
      </c>
      <c r="B34" s="3012"/>
      <c r="C34" s="3012"/>
      <c r="D34" s="3012"/>
      <c r="E34" s="3012"/>
      <c r="F34" s="3012"/>
      <c r="G34" s="3013"/>
      <c r="I34" s="3029">
        <v>5</v>
      </c>
      <c r="J34" s="3029">
        <v>55.1</v>
      </c>
    </row>
    <row r="35" spans="1:13">
      <c r="A35" s="3011" t="s">
        <v>2540</v>
      </c>
      <c r="B35" s="3012"/>
      <c r="C35" s="3012"/>
      <c r="D35" s="3012"/>
      <c r="E35" s="3012"/>
      <c r="F35" s="3012"/>
      <c r="G35" s="3013"/>
      <c r="I35" s="3029">
        <v>10</v>
      </c>
      <c r="J35" s="3029">
        <v>67</v>
      </c>
      <c r="K35" s="3029">
        <f>J35-J34</f>
        <v>11.899999999999999</v>
      </c>
    </row>
    <row r="36" spans="1:13">
      <c r="A36" s="3011" t="s">
        <v>2541</v>
      </c>
      <c r="B36" s="3012"/>
      <c r="C36" s="3012"/>
      <c r="D36" s="3012"/>
      <c r="E36" s="3012"/>
      <c r="F36" s="3012"/>
      <c r="G36" s="3013"/>
      <c r="I36" s="3029">
        <v>15</v>
      </c>
      <c r="J36" s="3029">
        <v>76.3</v>
      </c>
      <c r="K36" s="3029">
        <f t="shared" ref="K36:K41" si="3">J36-J35</f>
        <v>9.2999999999999972</v>
      </c>
      <c r="L36" s="3029" t="s">
        <v>2569</v>
      </c>
      <c r="M36" s="3029" t="s">
        <v>2570</v>
      </c>
    </row>
    <row r="37" spans="1:13">
      <c r="A37" s="3011" t="s">
        <v>2542</v>
      </c>
      <c r="B37" s="3012"/>
      <c r="C37" s="3012"/>
      <c r="D37" s="3012"/>
      <c r="E37" s="3012"/>
      <c r="F37" s="3012"/>
      <c r="G37" s="3013"/>
      <c r="I37" s="3029">
        <v>20</v>
      </c>
      <c r="J37" s="3029">
        <v>83.6</v>
      </c>
      <c r="K37" s="3029">
        <f t="shared" si="3"/>
        <v>7.2999999999999972</v>
      </c>
      <c r="L37" s="3029" t="s">
        <v>2568</v>
      </c>
      <c r="M37" s="3029">
        <v>10</v>
      </c>
    </row>
    <row r="38" spans="1:13">
      <c r="A38" s="3011" t="s">
        <v>2543</v>
      </c>
      <c r="B38" s="3012"/>
      <c r="C38" s="3012"/>
      <c r="D38" s="3012"/>
      <c r="E38" s="3012"/>
      <c r="F38" s="3012"/>
      <c r="G38" s="3013"/>
      <c r="I38" s="3029">
        <v>25</v>
      </c>
      <c r="J38" s="3029">
        <v>89.3</v>
      </c>
      <c r="K38" s="3029">
        <f t="shared" si="3"/>
        <v>5.7000000000000028</v>
      </c>
      <c r="L38" s="3029" t="s">
        <v>2572</v>
      </c>
      <c r="M38" s="3029">
        <v>8</v>
      </c>
    </row>
    <row r="39" spans="1:13">
      <c r="A39" s="3011"/>
      <c r="B39" s="3012"/>
      <c r="C39" s="3012"/>
      <c r="D39" s="3012"/>
      <c r="E39" s="3012"/>
      <c r="F39" s="3012"/>
      <c r="G39" s="3013"/>
      <c r="I39" s="3029">
        <v>30</v>
      </c>
      <c r="J39" s="3029">
        <v>93.8</v>
      </c>
      <c r="K39" s="3029">
        <f t="shared" si="3"/>
        <v>4.5</v>
      </c>
      <c r="L39" s="3029" t="s">
        <v>2573</v>
      </c>
      <c r="M39" s="3029">
        <v>6</v>
      </c>
    </row>
    <row r="40" spans="1:13">
      <c r="A40" s="3014" t="s">
        <v>2544</v>
      </c>
      <c r="B40" s="3015"/>
      <c r="C40" s="3015"/>
      <c r="D40" s="3015"/>
      <c r="E40" s="3015"/>
      <c r="F40" s="3015"/>
      <c r="G40" s="3016"/>
      <c r="I40" s="3029">
        <v>35</v>
      </c>
      <c r="J40" s="3029">
        <v>97.2</v>
      </c>
      <c r="K40" s="3029">
        <f t="shared" si="3"/>
        <v>3.4000000000000057</v>
      </c>
      <c r="L40" s="3029" t="s">
        <v>2574</v>
      </c>
      <c r="M40" s="3029">
        <v>3</v>
      </c>
    </row>
    <row r="41" spans="1:13">
      <c r="A41" s="3017" t="s">
        <v>2545</v>
      </c>
      <c r="B41" s="3018" t="s">
        <v>2546</v>
      </c>
      <c r="C41" s="3019" t="s">
        <v>2547</v>
      </c>
      <c r="D41" s="3019" t="s">
        <v>2548</v>
      </c>
      <c r="E41" s="3020"/>
      <c r="F41" s="3021"/>
      <c r="G41" s="3022"/>
      <c r="I41" s="3029">
        <v>40</v>
      </c>
      <c r="J41" s="3029">
        <v>100</v>
      </c>
      <c r="K41" s="3029">
        <f t="shared" si="3"/>
        <v>2.7999999999999972</v>
      </c>
    </row>
    <row r="42" spans="1:13">
      <c r="A42" s="3017" t="s">
        <v>2549</v>
      </c>
      <c r="B42" s="3018" t="s">
        <v>2550</v>
      </c>
      <c r="C42" s="3019" t="s">
        <v>2551</v>
      </c>
      <c r="D42" s="3023" t="s">
        <v>2552</v>
      </c>
      <c r="E42" s="3015" t="s">
        <v>2553</v>
      </c>
      <c r="F42" s="3015"/>
      <c r="G42" s="3016"/>
    </row>
    <row r="43" spans="1:13">
      <c r="A43" s="3017" t="s">
        <v>2554</v>
      </c>
      <c r="B43" s="3018" t="s">
        <v>2555</v>
      </c>
      <c r="C43" s="3019" t="s">
        <v>2556</v>
      </c>
      <c r="D43" s="3019" t="s">
        <v>2557</v>
      </c>
      <c r="E43" s="3020" t="s">
        <v>2558</v>
      </c>
      <c r="F43" s="3021"/>
      <c r="G43" s="3022"/>
      <c r="I43" s="3029" t="s">
        <v>2566</v>
      </c>
      <c r="J43" s="3029" t="s">
        <v>2577</v>
      </c>
    </row>
    <row r="44" spans="1:13">
      <c r="A44" s="3017" t="s">
        <v>2559</v>
      </c>
      <c r="B44" s="3018" t="s">
        <v>2560</v>
      </c>
      <c r="C44" s="3019" t="s">
        <v>2561</v>
      </c>
      <c r="D44" s="3023">
        <v>0.5</v>
      </c>
      <c r="E44" s="3020" t="s">
        <v>2562</v>
      </c>
      <c r="F44" s="3021"/>
      <c r="G44" s="3022"/>
      <c r="I44" s="3029">
        <v>30</v>
      </c>
      <c r="J44" s="3029">
        <v>81.7</v>
      </c>
    </row>
    <row r="45" spans="1:13" ht="15" thickBot="1">
      <c r="A45" s="3024" t="s">
        <v>2563</v>
      </c>
      <c r="B45" s="3025" t="s">
        <v>2550</v>
      </c>
      <c r="C45" s="3026" t="s">
        <v>2550</v>
      </c>
      <c r="D45" s="3026" t="s">
        <v>2564</v>
      </c>
      <c r="E45" s="3027" t="s">
        <v>2565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3.2"/>
  <cols>
    <col min="1" max="1" width="16.88671875" style="1732" customWidth="1"/>
    <col min="2" max="2" width="10" style="1732" customWidth="1"/>
    <col min="3" max="3" width="11.44140625" style="1732" customWidth="1"/>
    <col min="4" max="4" width="10" style="1732" customWidth="1"/>
    <col min="5" max="5" width="12.6640625" style="1732" customWidth="1"/>
    <col min="6" max="6" width="10" style="1732" customWidth="1"/>
    <col min="7" max="7" width="10.77734375" style="1732" customWidth="1"/>
    <col min="8" max="8" width="10" style="1732" customWidth="1"/>
    <col min="9" max="9" width="11.109375" style="1566" customWidth="1"/>
    <col min="10" max="10" width="10" style="1730" customWidth="1"/>
    <col min="11" max="11" width="10" style="2599" customWidth="1"/>
    <col min="12" max="13" width="10" style="2600" customWidth="1"/>
    <col min="14" max="14" width="10" style="1730" customWidth="1"/>
    <col min="15" max="15" width="10" style="9" customWidth="1"/>
    <col min="16" max="17" width="10" style="1730"/>
    <col min="18" max="18" width="10" style="1730" customWidth="1"/>
    <col min="19" max="30" width="10" style="1730"/>
    <col min="31" max="16384" width="10" style="1732"/>
  </cols>
  <sheetData>
    <row r="1" spans="1:30" ht="13.8" thickBot="1">
      <c r="A1" s="2338" t="s">
        <v>2168</v>
      </c>
      <c r="B1" s="4000" t="str">
        <f>IF(B10="北京市","北京市",C10)&amp;F10&amp;IF(结果表!G1="在建","出让国有建设用地使用权及在建建筑物",IF(结果表!G1="土地","出让国有建设用地使用权",))&amp;B9&amp;"预评估"</f>
        <v>北京市房地产市场价值预评估</v>
      </c>
      <c r="C1" s="4001"/>
      <c r="D1" s="4001"/>
      <c r="E1" s="4001"/>
      <c r="F1" s="4001"/>
      <c r="G1" s="4001"/>
      <c r="H1" s="4001"/>
      <c r="I1" s="4002"/>
      <c r="J1" s="2442"/>
      <c r="K1" s="2340"/>
      <c r="L1" s="2341"/>
      <c r="M1" s="2341"/>
      <c r="N1" s="2342"/>
      <c r="O1" s="1563"/>
      <c r="P1" s="2342"/>
      <c r="Q1" s="2342"/>
      <c r="R1" s="2342"/>
      <c r="S1" s="1669" t="str">
        <f>IF(B10="北京市","北京市",C10)&amp;F10&amp;IF(结果表!G1="在建","出让国有建设用地使用权及在建建筑物房地产抵押价值",IF(结果表!G1="土地","出让国有建设用地使用权抵押价值",B9))</f>
        <v>北京市房地产市场价值</v>
      </c>
      <c r="T1" s="1732"/>
      <c r="U1" s="1732"/>
      <c r="V1" s="1732"/>
      <c r="W1" s="1732"/>
      <c r="X1" s="1732"/>
      <c r="Y1" s="1732"/>
      <c r="Z1" s="1732"/>
      <c r="AA1" s="1732"/>
      <c r="AB1" s="1732"/>
    </row>
    <row r="2" spans="1:30">
      <c r="A2" s="2339" t="s">
        <v>2169</v>
      </c>
      <c r="B2" s="2343"/>
      <c r="C2" s="2344"/>
      <c r="D2" s="2641"/>
      <c r="E2" s="2633"/>
      <c r="F2" s="2633"/>
      <c r="G2" s="2634"/>
      <c r="H2" s="2634"/>
      <c r="I2" s="2634"/>
      <c r="J2" s="2442"/>
      <c r="K2" s="2340"/>
      <c r="L2" s="2341"/>
      <c r="M2" s="2341"/>
      <c r="N2" s="2342"/>
      <c r="O2" s="1563"/>
      <c r="P2" s="2342"/>
      <c r="Q2" s="2342"/>
      <c r="R2" s="2342"/>
      <c r="S2" s="1669" t="str">
        <f>IF(B10="北京市","北京市",C10)&amp;F10&amp;IF(结果表!G1="在建","出让国有建设用地使用权及在建建筑物房地产",IF(结果表!G1="土地","出让国有建设用地使用权","房地产"))</f>
        <v>北京市房地产</v>
      </c>
      <c r="T2" s="1732"/>
      <c r="U2" s="1732"/>
      <c r="V2" s="1732"/>
      <c r="W2" s="1732"/>
      <c r="X2" s="1732"/>
      <c r="Y2" s="1732"/>
      <c r="Z2" s="1732"/>
      <c r="AA2" s="1732"/>
      <c r="AB2" s="1732"/>
    </row>
    <row r="3" spans="1:30">
      <c r="A3" s="297" t="s">
        <v>2170</v>
      </c>
      <c r="B3" s="2345"/>
      <c r="C3" s="2346" t="s">
        <v>2171</v>
      </c>
      <c r="D3" s="2345">
        <v>37917</v>
      </c>
      <c r="E3" s="2634"/>
      <c r="F3" s="2634"/>
      <c r="G3" s="2634"/>
      <c r="H3" s="2634"/>
      <c r="I3" s="2634"/>
      <c r="J3" s="2442"/>
      <c r="K3" s="2340"/>
      <c r="L3" s="2341"/>
      <c r="M3" s="2341"/>
      <c r="N3" s="2342"/>
      <c r="O3" s="1563"/>
      <c r="P3" s="2342"/>
      <c r="Q3" s="2342"/>
      <c r="R3" s="2342"/>
      <c r="S3" s="1669"/>
      <c r="T3" s="1732"/>
      <c r="U3" s="1732"/>
      <c r="V3" s="1732"/>
      <c r="W3" s="1732"/>
      <c r="X3" s="1732"/>
      <c r="Y3" s="1732"/>
      <c r="Z3" s="1732"/>
      <c r="AA3" s="1732"/>
      <c r="AB3" s="1732"/>
    </row>
    <row r="4" spans="1:30" ht="13.8" thickBot="1">
      <c r="A4" s="1080" t="s">
        <v>2172</v>
      </c>
      <c r="B4" s="2347"/>
      <c r="C4" s="2348">
        <f>SUMIF(注册房地产估价师,B4,估价师及机构信息!B3:B24)</f>
        <v>0</v>
      </c>
      <c r="D4" s="2347"/>
      <c r="E4" s="2349">
        <f>SUMIF(注册房地产估价师,D4,估价师及机构信息!B3:B24)</f>
        <v>0</v>
      </c>
      <c r="F4" s="2347"/>
      <c r="G4" s="2349">
        <f>SUMIF(注册房地产估价师,F4,估价师及机构信息!B3:B24)</f>
        <v>0</v>
      </c>
      <c r="H4" s="2347"/>
      <c r="I4" s="2349">
        <f>SUMIF(注册房地产估价师,H4,估价师及机构信息!B3:B24)</f>
        <v>0</v>
      </c>
      <c r="J4" s="2410"/>
      <c r="K4" s="2350" t="str">
        <f>CONCATENATE(B4,"（注册号：",C4,")、",D4,"（注册号：",E4,")")</f>
        <v>（注册号：0)、（注册号：0)</v>
      </c>
      <c r="L4" s="2341"/>
      <c r="M4" s="2341"/>
      <c r="N4" s="2342"/>
      <c r="O4" s="1563"/>
      <c r="P4" s="2342"/>
      <c r="Q4" s="2342"/>
      <c r="R4" s="2342"/>
      <c r="S4" s="1669"/>
      <c r="T4" s="1732"/>
      <c r="U4" s="1732"/>
      <c r="V4" s="1732"/>
      <c r="W4" s="1732"/>
      <c r="X4" s="1732"/>
      <c r="Y4" s="1732"/>
      <c r="Z4" s="1732"/>
      <c r="AA4" s="1732"/>
      <c r="AB4" s="1732"/>
    </row>
    <row r="5" spans="1:30" ht="13.8" thickTop="1">
      <c r="A5" s="2351" t="s">
        <v>2173</v>
      </c>
      <c r="B5" s="2352"/>
      <c r="C5" s="2353"/>
      <c r="D5" s="2354"/>
      <c r="E5" s="2635"/>
      <c r="F5" s="2635"/>
      <c r="G5" s="2635"/>
      <c r="H5" s="2635"/>
      <c r="I5" s="2635"/>
      <c r="J5" s="2410"/>
      <c r="K5" s="2350" t="str">
        <f>IF(F4="——","",IF(H4="——",F4&amp;"（注册号："&amp;G4&amp;")",CONCATENATE(F4,"（注册号：",G4,")、",H4,"（注册号：",I4,")")))</f>
        <v>（注册号：0)、（注册号：0)</v>
      </c>
      <c r="L5" s="2341"/>
      <c r="M5" s="2341"/>
      <c r="N5" s="2342"/>
      <c r="O5" s="1563"/>
      <c r="P5" s="2342"/>
      <c r="Q5" s="2342"/>
      <c r="R5" s="2342"/>
      <c r="S5" s="1732"/>
      <c r="T5" s="1732"/>
      <c r="U5" s="1732"/>
      <c r="V5" s="1732"/>
      <c r="W5" s="1732"/>
      <c r="X5" s="1732"/>
      <c r="Y5" s="1732"/>
      <c r="Z5" s="1732"/>
      <c r="AA5" s="1732"/>
      <c r="AB5" s="1732"/>
    </row>
    <row r="6" spans="1:30">
      <c r="A6" s="2355" t="s">
        <v>2174</v>
      </c>
      <c r="B6" s="2356"/>
      <c r="C6" s="2357"/>
      <c r="D6" s="2358"/>
      <c r="E6" s="2633"/>
      <c r="F6" s="2635"/>
      <c r="G6" s="2635"/>
      <c r="H6" s="2635"/>
      <c r="I6" s="2635"/>
      <c r="J6" s="2410"/>
      <c r="K6" s="2586" t="str">
        <f>IF(COUNTIF(B6,"*上海银行*"),"上海银行","")</f>
        <v/>
      </c>
      <c r="L6" s="2584"/>
      <c r="M6" s="2584"/>
      <c r="N6" s="2410"/>
      <c r="O6" s="2421"/>
      <c r="P6" s="2410"/>
      <c r="Q6" s="2410"/>
      <c r="R6" s="2410"/>
    </row>
    <row r="7" spans="1:30">
      <c r="A7" s="2355" t="s">
        <v>2175</v>
      </c>
      <c r="B7" s="2359"/>
      <c r="C7" s="2357"/>
      <c r="D7" s="2358"/>
      <c r="E7" s="2633"/>
      <c r="F7" s="2635"/>
      <c r="G7" s="2635"/>
      <c r="H7" s="2635"/>
      <c r="I7" s="2635"/>
      <c r="J7" s="2410"/>
      <c r="K7" s="2587"/>
      <c r="L7" s="2584"/>
      <c r="M7" s="2584"/>
      <c r="N7" s="2410"/>
      <c r="O7" s="2421"/>
      <c r="P7" s="2410"/>
      <c r="Q7" s="2410"/>
      <c r="R7" s="2410"/>
    </row>
    <row r="8" spans="1:30">
      <c r="A8" s="2360" t="s">
        <v>2176</v>
      </c>
      <c r="B8" s="2361" t="s">
        <v>3385</v>
      </c>
      <c r="C8" s="2362"/>
      <c r="D8" s="4003" t="s">
        <v>2177</v>
      </c>
      <c r="E8" s="2363"/>
      <c r="F8" s="2364"/>
      <c r="G8" s="2634"/>
      <c r="H8" s="2634"/>
      <c r="I8" s="2634"/>
      <c r="J8" s="2410"/>
      <c r="K8" s="2585"/>
      <c r="L8" s="2584"/>
      <c r="M8" s="2584"/>
      <c r="N8" s="2410"/>
      <c r="O8" s="2421"/>
      <c r="P8" s="2410"/>
      <c r="Q8" s="2410"/>
      <c r="R8" s="2410"/>
    </row>
    <row r="9" spans="1:30" ht="13.8" thickBot="1">
      <c r="A9" s="2365" t="s">
        <v>2178</v>
      </c>
      <c r="B9" s="2366" t="s">
        <v>3386</v>
      </c>
      <c r="C9" s="2367"/>
      <c r="D9" s="4004"/>
      <c r="E9" s="2366"/>
      <c r="F9" s="2368"/>
      <c r="G9" s="2636"/>
      <c r="H9" s="2636"/>
      <c r="I9" s="2636"/>
      <c r="J9" s="2410"/>
      <c r="K9" s="2587"/>
      <c r="L9" s="2584"/>
      <c r="M9" s="2584"/>
      <c r="N9" s="2410"/>
      <c r="O9" s="2421"/>
      <c r="P9" s="2410"/>
      <c r="Q9" s="2410"/>
      <c r="R9" s="2410"/>
    </row>
    <row r="10" spans="1:30" ht="48.6" thickTop="1">
      <c r="A10" s="2369" t="s">
        <v>2179</v>
      </c>
      <c r="B10" s="2370" t="s">
        <v>3387</v>
      </c>
      <c r="C10" s="3421" t="s">
        <v>11802</v>
      </c>
      <c r="D10" s="2354"/>
      <c r="E10" s="2371" t="s">
        <v>2180</v>
      </c>
      <c r="F10" s="2637"/>
      <c r="G10" s="2638"/>
      <c r="H10" s="2639"/>
      <c r="I10" s="2640"/>
      <c r="J10" s="2410"/>
      <c r="K10" s="2587"/>
      <c r="L10" s="2584"/>
      <c r="M10" s="2584"/>
      <c r="N10" s="2410"/>
      <c r="O10" s="2421"/>
      <c r="P10" s="2410"/>
      <c r="Q10" s="2410"/>
      <c r="R10" s="2410"/>
    </row>
    <row r="11" spans="1:30">
      <c r="A11" s="2372" t="s">
        <v>2181</v>
      </c>
      <c r="B11" s="2373" t="s">
        <v>3388</v>
      </c>
      <c r="C11" s="2374"/>
      <c r="D11" s="2375"/>
      <c r="E11" s="2342"/>
      <c r="F11" s="2342"/>
      <c r="G11" s="2342"/>
      <c r="H11" s="2342"/>
      <c r="I11" s="2342"/>
      <c r="J11" s="3032"/>
      <c r="K11" s="3031"/>
      <c r="L11" s="2584"/>
      <c r="M11" s="2584"/>
      <c r="N11" s="2410"/>
      <c r="O11" s="2421"/>
      <c r="P11" s="2410"/>
      <c r="Q11" s="2410"/>
      <c r="R11" s="2410"/>
    </row>
    <row r="12" spans="1:30">
      <c r="A12" s="2376" t="s">
        <v>2182</v>
      </c>
      <c r="B12" s="318" t="s">
        <v>2183</v>
      </c>
      <c r="C12" s="2377" t="s">
        <v>2184</v>
      </c>
      <c r="D12" s="2377" t="s">
        <v>2185</v>
      </c>
      <c r="E12" s="2377" t="s">
        <v>2186</v>
      </c>
      <c r="F12" s="2377" t="s">
        <v>2187</v>
      </c>
      <c r="G12" s="2377" t="s">
        <v>2188</v>
      </c>
      <c r="H12" s="2377" t="s">
        <v>2189</v>
      </c>
      <c r="I12" s="3030" t="s">
        <v>2578</v>
      </c>
      <c r="J12" s="3033"/>
      <c r="K12" s="2584"/>
      <c r="L12" s="2584"/>
      <c r="M12" s="2410"/>
      <c r="N12" s="2421"/>
      <c r="O12" s="2410"/>
      <c r="P12" s="2410"/>
      <c r="Q12" s="2410"/>
      <c r="AD12" s="1732"/>
    </row>
    <row r="13" spans="1:30">
      <c r="A13" s="3394" t="s">
        <v>3334</v>
      </c>
      <c r="B13" s="2378" t="s">
        <v>2190</v>
      </c>
      <c r="C13" s="846">
        <v>67165</v>
      </c>
      <c r="D13" s="846"/>
      <c r="E13" s="846"/>
      <c r="F13" s="846"/>
      <c r="G13" s="846"/>
      <c r="H13" s="846"/>
      <c r="I13" s="846"/>
      <c r="J13" s="3033"/>
      <c r="K13" s="2584"/>
      <c r="L13" s="2584"/>
      <c r="M13" s="2410"/>
      <c r="N13" s="2421"/>
      <c r="O13" s="2410"/>
      <c r="P13" s="2410"/>
      <c r="Q13" s="2410"/>
      <c r="AD13" s="1732"/>
    </row>
    <row r="14" spans="1:30">
      <c r="A14" s="1071"/>
      <c r="B14" s="2378" t="s">
        <v>2191</v>
      </c>
      <c r="C14" s="2379">
        <v>70</v>
      </c>
      <c r="D14" s="2379"/>
      <c r="E14" s="2379"/>
      <c r="F14" s="2379"/>
      <c r="G14" s="2379"/>
      <c r="H14" s="2379"/>
      <c r="I14" s="2379"/>
      <c r="J14" s="3034"/>
      <c r="K14" s="2584"/>
      <c r="L14" s="2584"/>
      <c r="M14" s="2410"/>
      <c r="N14" s="2421"/>
      <c r="O14" s="2410"/>
      <c r="P14" s="2410"/>
      <c r="Q14" s="2410"/>
      <c r="AD14" s="1732"/>
    </row>
    <row r="15" spans="1:30">
      <c r="A15" s="315"/>
      <c r="B15" s="2380" t="s">
        <v>2192</v>
      </c>
      <c r="C15" s="2381">
        <f>IF(A13="出让",IF(C13="","",ROUNDDOWN(MIN((C13-$D$3)/365,C14),2)),C14)</f>
        <v>70</v>
      </c>
      <c r="D15" s="2381" t="str">
        <f>IF(A13="出让",IF(D13="","",ROUNDDOWN(MIN((D13-$D$3)/365,D14),2)),D14)</f>
        <v/>
      </c>
      <c r="E15" s="2381" t="str">
        <f>IF(A13="出让",IF(E13="","",ROUNDDOWN(MIN((E13-$D$3)/365,E14),2)),E14)</f>
        <v/>
      </c>
      <c r="F15" s="2381" t="str">
        <f>IF(A13="出让",IF(F13="","",ROUNDDOWN(MIN((F13-$D$3)/365,F14),2)),F14)</f>
        <v/>
      </c>
      <c r="G15" s="2381" t="str">
        <f>IF(A13="出让",IF(G13="","",ROUNDDOWN(MIN((G13-$D$3)/365,G14),2)),G14)</f>
        <v/>
      </c>
      <c r="H15" s="2381" t="str">
        <f>IF(A13="出让",IF(H13="","",ROUNDDOWN(MIN((H13-$D$3)/365,H14),2)),H14)</f>
        <v/>
      </c>
      <c r="I15" s="2381" t="str">
        <f>IF(A13="出让",IF(I13="","",ROUNDDOWN(MIN((I13-$D$3)/365,I14),2)),I14)</f>
        <v/>
      </c>
      <c r="J15" s="3035"/>
      <c r="K15" s="2422"/>
      <c r="L15" s="2422"/>
      <c r="M15" s="2480"/>
      <c r="N15" s="2422"/>
      <c r="O15" s="2480"/>
      <c r="P15" s="2410"/>
      <c r="Q15" s="2410"/>
      <c r="AD15" s="1732"/>
    </row>
    <row r="16" spans="1:30">
      <c r="A16" s="2371" t="s">
        <v>2193</v>
      </c>
      <c r="B16" s="4010"/>
      <c r="C16" s="4011"/>
      <c r="D16" s="4012"/>
      <c r="E16" s="2384" t="s">
        <v>2194</v>
      </c>
      <c r="F16" s="4013"/>
      <c r="G16" s="4014"/>
      <c r="H16" s="4014"/>
      <c r="I16" s="4015"/>
      <c r="J16" s="2410"/>
      <c r="K16" s="2588"/>
      <c r="L16" s="2422"/>
      <c r="M16" s="2422"/>
      <c r="N16" s="2480"/>
      <c r="O16" s="2422"/>
      <c r="P16" s="2480"/>
      <c r="Q16" s="2410"/>
      <c r="R16" s="2410"/>
    </row>
    <row r="17" spans="1:28">
      <c r="A17" s="308" t="s">
        <v>2195</v>
      </c>
      <c r="B17" s="297" t="s">
        <v>2196</v>
      </c>
      <c r="C17" s="8">
        <f>'数据-汇总表'!E3</f>
        <v>88.78</v>
      </c>
      <c r="D17" s="2294" t="s">
        <v>2197</v>
      </c>
      <c r="E17" s="4016" t="s">
        <v>2198</v>
      </c>
      <c r="F17" s="4017"/>
      <c r="G17" s="4017"/>
      <c r="H17" s="4017"/>
      <c r="I17" s="4018"/>
      <c r="J17" s="2410"/>
      <c r="K17" s="2589"/>
      <c r="L17" s="2422"/>
      <c r="M17" s="2422"/>
      <c r="N17" s="2480"/>
      <c r="O17" s="2422"/>
      <c r="P17" s="2480"/>
      <c r="Q17" s="2410"/>
      <c r="R17" s="2410"/>
      <c r="S17" s="2410"/>
      <c r="T17" s="2410"/>
      <c r="U17" s="2410"/>
      <c r="V17" s="2410"/>
    </row>
    <row r="18" spans="1:28" ht="24.6" thickBot="1">
      <c r="A18" s="2385" t="s">
        <v>2199</v>
      </c>
      <c r="B18" s="1080" t="s">
        <v>2200</v>
      </c>
      <c r="C18" s="2386">
        <f>'数据-汇总表'!D3</f>
        <v>0</v>
      </c>
      <c r="D18" s="1082" t="s">
        <v>2201</v>
      </c>
      <c r="E18" s="4019" t="s">
        <v>2202</v>
      </c>
      <c r="F18" s="4020"/>
      <c r="G18" s="4020"/>
      <c r="H18" s="4020"/>
      <c r="I18" s="4021"/>
      <c r="J18" s="2410"/>
      <c r="K18" s="2589"/>
      <c r="L18" s="2422"/>
      <c r="M18" s="2422"/>
      <c r="N18" s="2480"/>
      <c r="O18" s="2422"/>
      <c r="P18" s="2480"/>
      <c r="Q18" s="2410"/>
      <c r="R18" s="2410"/>
      <c r="S18" s="2410"/>
      <c r="T18" s="2410"/>
      <c r="U18" s="2410"/>
      <c r="V18" s="2410"/>
    </row>
    <row r="19" spans="1:28" ht="37.200000000000003" thickTop="1" thickBot="1">
      <c r="A19" s="322" t="s">
        <v>1055</v>
      </c>
      <c r="B19" s="302" t="s">
        <v>2203</v>
      </c>
      <c r="C19" s="1550"/>
      <c r="D19" s="1551" t="s">
        <v>2204</v>
      </c>
      <c r="E19" s="1552"/>
      <c r="F19" s="1553" t="str">
        <f>IF(AND(C19="是",E19="否"),"是否提供他项权证或相关说明","")</f>
        <v/>
      </c>
      <c r="G19" s="1554"/>
      <c r="H19" s="2635"/>
      <c r="I19" s="2635"/>
      <c r="J19" s="2410"/>
      <c r="K19" s="2587"/>
      <c r="L19" s="2584"/>
      <c r="M19" s="2584"/>
      <c r="N19" s="2480"/>
      <c r="O19" s="2422"/>
      <c r="P19" s="2480"/>
      <c r="Q19" s="2410"/>
      <c r="R19" s="2410"/>
      <c r="S19" s="2410"/>
      <c r="T19" s="2410"/>
      <c r="U19" s="2410"/>
      <c r="V19" s="2410"/>
    </row>
    <row r="20" spans="1:28">
      <c r="A20" s="2603" t="s">
        <v>2205</v>
      </c>
      <c r="B20" s="4006" t="s">
        <v>2206</v>
      </c>
      <c r="C20" s="4007"/>
      <c r="D20" s="4008" t="s">
        <v>2207</v>
      </c>
      <c r="E20" s="4009"/>
      <c r="F20" s="2618" t="s">
        <v>1056</v>
      </c>
      <c r="G20" s="2635"/>
      <c r="H20" s="2635"/>
      <c r="I20" s="2635"/>
      <c r="J20" s="2410"/>
      <c r="K20" s="4005" t="s">
        <v>2208</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1"/>
      <c r="N20" s="2383"/>
      <c r="O20" s="2382"/>
      <c r="P20" s="2383"/>
      <c r="Q20" s="2342"/>
      <c r="R20" s="2342"/>
      <c r="S20" s="2342"/>
      <c r="T20" s="2342"/>
      <c r="U20" s="2342"/>
      <c r="V20" s="2342"/>
      <c r="W20" s="1732"/>
      <c r="X20" s="1732"/>
      <c r="Y20" s="1732"/>
      <c r="Z20" s="1732"/>
      <c r="AA20" s="1732"/>
      <c r="AB20" s="1732"/>
    </row>
    <row r="21" spans="1:28" ht="36.6" thickBot="1">
      <c r="A21" s="2603"/>
      <c r="B21" s="2604" t="s">
        <v>2209</v>
      </c>
      <c r="C21" s="2605" t="s">
        <v>1057</v>
      </c>
      <c r="D21" s="1555" t="s">
        <v>2210</v>
      </c>
      <c r="E21" s="2606" t="s">
        <v>1057</v>
      </c>
      <c r="F21" s="2619"/>
      <c r="G21" s="2635"/>
      <c r="H21" s="2635"/>
      <c r="I21" s="2635"/>
      <c r="J21" s="2410"/>
      <c r="K21" s="4005"/>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1"/>
      <c r="N21" s="2383"/>
      <c r="O21" s="2382"/>
      <c r="P21" s="2383"/>
      <c r="Q21" s="2342"/>
      <c r="R21" s="2342"/>
      <c r="S21" s="2342"/>
      <c r="T21" s="2342"/>
      <c r="U21" s="2342"/>
      <c r="V21" s="2342"/>
      <c r="W21" s="1732"/>
      <c r="X21" s="1732"/>
      <c r="Y21" s="1732"/>
      <c r="Z21" s="1732"/>
      <c r="AA21" s="1732"/>
      <c r="AB21" s="1732"/>
    </row>
    <row r="22" spans="1:28" ht="36.6" thickBot="1">
      <c r="A22" s="2603"/>
      <c r="B22" s="2607" t="s">
        <v>2211</v>
      </c>
      <c r="C22" s="2605" t="s">
        <v>1058</v>
      </c>
      <c r="D22" s="2634"/>
      <c r="E22" s="2634"/>
      <c r="F22" s="2634"/>
      <c r="G22" s="2635"/>
      <c r="H22" s="2635"/>
      <c r="I22" s="2635"/>
      <c r="J22" s="2410"/>
      <c r="K22" s="4005"/>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1"/>
      <c r="N22" s="2383"/>
      <c r="O22" s="2382"/>
      <c r="P22" s="2383"/>
      <c r="Q22" s="2342"/>
      <c r="R22" s="2342"/>
      <c r="S22" s="2342"/>
      <c r="T22" s="2342"/>
      <c r="U22" s="2342"/>
      <c r="V22" s="2342"/>
      <c r="W22" s="1732"/>
      <c r="X22" s="1732"/>
      <c r="Y22" s="1732"/>
      <c r="Z22" s="1732"/>
      <c r="AA22" s="1732"/>
      <c r="AB22" s="1732"/>
    </row>
    <row r="23" spans="1:28">
      <c r="A23" s="2608" t="s">
        <v>2212</v>
      </c>
      <c r="B23" s="2473" t="s">
        <v>2213</v>
      </c>
      <c r="C23" s="2609"/>
      <c r="D23" s="2610" t="s">
        <v>2213</v>
      </c>
      <c r="E23" s="2611"/>
      <c r="F23" s="2634"/>
      <c r="G23" s="2635"/>
      <c r="H23" s="2635"/>
      <c r="I23" s="2635"/>
      <c r="J23" s="2410"/>
      <c r="K23" s="2590"/>
      <c r="L23" s="2446"/>
      <c r="M23" s="2584"/>
      <c r="N23" s="2480"/>
      <c r="O23" s="2422"/>
      <c r="P23" s="2480"/>
      <c r="Q23" s="2410"/>
      <c r="R23" s="2410"/>
      <c r="S23" s="2410"/>
      <c r="T23" s="2410"/>
      <c r="U23" s="2410"/>
      <c r="V23" s="2410"/>
    </row>
    <row r="24" spans="1:28">
      <c r="A24" s="2608"/>
      <c r="B24" s="2473" t="s">
        <v>1059</v>
      </c>
      <c r="C24" s="2612"/>
      <c r="D24" s="2608" t="s">
        <v>1059</v>
      </c>
      <c r="E24" s="2613"/>
      <c r="F24" s="2634"/>
      <c r="G24" s="2635"/>
      <c r="H24" s="2635"/>
      <c r="I24" s="2635"/>
      <c r="J24" s="2410"/>
      <c r="K24" s="2590"/>
      <c r="L24" s="2446"/>
      <c r="M24" s="2584"/>
      <c r="N24" s="2480"/>
      <c r="O24" s="2422"/>
      <c r="P24" s="2480"/>
      <c r="Q24" s="2410"/>
      <c r="R24" s="2410"/>
      <c r="S24" s="2410"/>
      <c r="T24" s="2410"/>
      <c r="U24" s="2410"/>
      <c r="V24" s="2410"/>
    </row>
    <row r="25" spans="1:28">
      <c r="A25" s="2608"/>
      <c r="B25" s="2473" t="s">
        <v>1060</v>
      </c>
      <c r="C25" s="2612"/>
      <c r="D25" s="2608" t="s">
        <v>1060</v>
      </c>
      <c r="E25" s="2613"/>
      <c r="F25" s="2634"/>
      <c r="G25" s="2635"/>
      <c r="H25" s="2635"/>
      <c r="I25" s="2635"/>
      <c r="J25" s="2410"/>
      <c r="K25" s="2587"/>
      <c r="L25" s="2584"/>
      <c r="M25" s="2584"/>
      <c r="N25" s="2480"/>
      <c r="O25" s="2422"/>
      <c r="P25" s="2480"/>
      <c r="Q25" s="2410"/>
      <c r="R25" s="2410"/>
      <c r="S25" s="2410"/>
      <c r="T25" s="2410"/>
      <c r="U25" s="2410"/>
      <c r="V25" s="2410"/>
    </row>
    <row r="26" spans="1:28" ht="13.8" thickBot="1">
      <c r="A26" s="2614"/>
      <c r="B26" s="2615" t="s">
        <v>1061</v>
      </c>
      <c r="C26" s="2616"/>
      <c r="D26" s="2614" t="s">
        <v>1061</v>
      </c>
      <c r="E26" s="2617"/>
      <c r="F26" s="2636"/>
      <c r="G26" s="2636"/>
      <c r="H26" s="2636"/>
      <c r="I26" s="2636"/>
      <c r="J26" s="2410"/>
      <c r="K26" s="2587"/>
      <c r="L26" s="2584"/>
      <c r="M26" s="2584"/>
      <c r="N26" s="2480"/>
      <c r="O26" s="2422"/>
      <c r="P26" s="2480"/>
      <c r="Q26" s="2410"/>
      <c r="R26" s="2410"/>
      <c r="S26" s="2410"/>
      <c r="T26" s="2410"/>
      <c r="U26" s="2410"/>
      <c r="V26" s="2410"/>
    </row>
    <row r="27" spans="1:28" ht="13.8" thickTop="1">
      <c r="A27" s="3993" t="s">
        <v>2214</v>
      </c>
      <c r="B27" s="315" t="s">
        <v>2215</v>
      </c>
      <c r="C27" s="2387"/>
      <c r="D27" s="2388"/>
      <c r="E27" s="2635"/>
      <c r="F27" s="2635"/>
      <c r="G27" s="2635"/>
      <c r="H27" s="2635"/>
      <c r="I27" s="2635"/>
      <c r="J27" s="2410"/>
      <c r="K27" s="2588"/>
      <c r="L27" s="2422"/>
      <c r="M27" s="2422"/>
      <c r="N27" s="2480"/>
      <c r="O27" s="2422"/>
      <c r="P27" s="2480"/>
      <c r="Q27" s="2410"/>
      <c r="R27" s="2410"/>
      <c r="S27" s="2410"/>
      <c r="T27" s="2410"/>
      <c r="U27" s="2410"/>
      <c r="V27" s="2410"/>
    </row>
    <row r="28" spans="1:28">
      <c r="A28" s="3993"/>
      <c r="B28" s="297" t="s">
        <v>2216</v>
      </c>
      <c r="C28" s="2389"/>
      <c r="D28" s="2390"/>
      <c r="E28" s="2635"/>
      <c r="F28" s="2635"/>
      <c r="G28" s="2635"/>
      <c r="H28" s="2635"/>
      <c r="I28" s="2635"/>
      <c r="J28" s="2410"/>
      <c r="K28" s="2587"/>
      <c r="L28" s="2584"/>
      <c r="M28" s="2584"/>
      <c r="N28" s="2410"/>
      <c r="O28" s="2421"/>
      <c r="P28" s="2410"/>
      <c r="Q28" s="2410"/>
      <c r="R28" s="2410"/>
      <c r="S28" s="2410"/>
      <c r="T28" s="2410"/>
      <c r="U28" s="2410"/>
      <c r="V28" s="2410"/>
    </row>
    <row r="29" spans="1:28">
      <c r="A29" s="3993"/>
      <c r="B29" s="297" t="s">
        <v>2217</v>
      </c>
      <c r="C29" s="2391"/>
      <c r="D29" s="2392"/>
      <c r="E29" s="2635"/>
      <c r="F29" s="2635"/>
      <c r="G29" s="2635"/>
      <c r="H29" s="2635"/>
      <c r="I29" s="2635"/>
      <c r="J29" s="2410"/>
      <c r="K29" s="2587"/>
      <c r="L29" s="2584"/>
      <c r="M29" s="2584"/>
      <c r="N29" s="2410"/>
      <c r="O29" s="2421"/>
      <c r="P29" s="2410"/>
      <c r="Q29" s="2410"/>
      <c r="R29" s="2410"/>
      <c r="S29" s="2410"/>
      <c r="T29" s="2410"/>
      <c r="U29" s="2410"/>
      <c r="V29" s="2410"/>
    </row>
    <row r="30" spans="1:28">
      <c r="A30" s="3994"/>
      <c r="B30" s="297" t="s">
        <v>2218</v>
      </c>
      <c r="C30" s="3995"/>
      <c r="D30" s="3996"/>
      <c r="E30" s="2635"/>
      <c r="F30" s="2635"/>
      <c r="G30" s="2635"/>
      <c r="H30" s="2635"/>
      <c r="I30" s="2635"/>
      <c r="J30" s="2410"/>
      <c r="K30" s="2587"/>
      <c r="L30" s="2584"/>
      <c r="M30" s="2584"/>
      <c r="N30" s="2410"/>
      <c r="O30" s="2421"/>
      <c r="P30" s="2410"/>
      <c r="Q30" s="2410"/>
      <c r="R30" s="2410"/>
      <c r="S30" s="2410"/>
      <c r="T30" s="2410"/>
      <c r="U30" s="2410"/>
      <c r="V30" s="2410"/>
    </row>
    <row r="31" spans="1:28">
      <c r="A31" s="3997" t="s">
        <v>2219</v>
      </c>
      <c r="B31" s="2393"/>
      <c r="C31" s="2295" t="str">
        <f>IF(B31="现房","成新及维护状况正常否",IF(B31="在建","工程状态是否正常",IF(B31="土地","是否闲置","-")))</f>
        <v>-</v>
      </c>
      <c r="D31" s="1360"/>
      <c r="E31" s="2394"/>
      <c r="F31" s="2635"/>
      <c r="G31" s="2635"/>
      <c r="H31" s="2635"/>
      <c r="I31" s="2635"/>
      <c r="J31" s="2410"/>
      <c r="K31" s="2586"/>
      <c r="L31" s="2584"/>
      <c r="M31" s="2584"/>
      <c r="N31" s="2410"/>
      <c r="O31" s="2421"/>
      <c r="P31" s="2410"/>
      <c r="Q31" s="2410"/>
      <c r="R31" s="2410"/>
      <c r="S31" s="2410"/>
      <c r="T31" s="2410"/>
      <c r="U31" s="2410"/>
      <c r="V31" s="2410"/>
    </row>
    <row r="32" spans="1:28">
      <c r="A32" s="3998"/>
      <c r="B32" s="2393"/>
      <c r="C32" s="2295" t="str">
        <f>IF(B32="现房","成新及维护状况是否正常",IF(B32="在建","工程状态是否正常",IF(B32="土地","是否闲置","-")))</f>
        <v>-</v>
      </c>
      <c r="D32" s="1360"/>
      <c r="E32" s="2394"/>
      <c r="F32" s="2635"/>
      <c r="G32" s="2635"/>
      <c r="H32" s="2635"/>
      <c r="I32" s="2635"/>
      <c r="J32" s="2410"/>
      <c r="K32" s="2587"/>
      <c r="L32" s="2584"/>
      <c r="M32" s="2584"/>
      <c r="N32" s="2410"/>
      <c r="O32" s="2421"/>
      <c r="P32" s="2410"/>
      <c r="Q32" s="2410"/>
      <c r="R32" s="2410"/>
      <c r="S32" s="2410"/>
      <c r="T32" s="2410"/>
      <c r="U32" s="2410"/>
      <c r="V32" s="2410"/>
    </row>
    <row r="33" spans="1:30">
      <c r="A33" s="3998"/>
      <c r="B33" s="2396"/>
      <c r="C33" s="1577" t="str">
        <f>IF(B33="现房","成新及维护状况是否正常",IF(B33="在建","工程状态是否正常",IF(B33="土地","是否闲置","-")))</f>
        <v>-</v>
      </c>
      <c r="D33" s="1352"/>
      <c r="E33" s="2397"/>
      <c r="F33" s="2635"/>
      <c r="G33" s="2635"/>
      <c r="H33" s="2635"/>
      <c r="I33" s="2635"/>
      <c r="J33" s="2410"/>
      <c r="K33" s="2587"/>
      <c r="L33" s="2584"/>
      <c r="M33" s="2584"/>
      <c r="N33" s="2410"/>
      <c r="O33" s="2421"/>
      <c r="P33" s="2410"/>
      <c r="Q33" s="2410"/>
      <c r="R33" s="2410"/>
      <c r="S33" s="2410"/>
      <c r="T33" s="2410"/>
      <c r="U33" s="2410"/>
      <c r="V33" s="2410"/>
    </row>
    <row r="34" spans="1:30">
      <c r="A34" s="297" t="s">
        <v>2220</v>
      </c>
      <c r="B34" s="1998"/>
      <c r="C34" s="1998"/>
      <c r="D34" s="1998"/>
      <c r="E34" s="1998"/>
      <c r="F34" s="1998"/>
      <c r="G34" s="1998"/>
      <c r="H34" s="1998"/>
      <c r="I34" s="2635"/>
      <c r="J34" s="2410"/>
      <c r="K34" s="2398">
        <f>COUNTIF(B34:H34,"——")</f>
        <v>0</v>
      </c>
      <c r="L34" s="318" t="s">
        <v>2221</v>
      </c>
      <c r="M34" s="318" t="s">
        <v>2222</v>
      </c>
      <c r="N34" s="318" t="s">
        <v>2223</v>
      </c>
      <c r="O34" s="318" t="s">
        <v>2224</v>
      </c>
      <c r="P34" s="318" t="s">
        <v>2225</v>
      </c>
      <c r="Q34" s="318" t="s">
        <v>2226</v>
      </c>
      <c r="R34" s="318" t="s">
        <v>2227</v>
      </c>
      <c r="S34" s="3992" t="s">
        <v>2228</v>
      </c>
      <c r="T34" s="2399" t="str">
        <f>NUMBERSTRING(7-K34,1)&amp;"通"</f>
        <v>七通</v>
      </c>
      <c r="U34" s="2410"/>
      <c r="V34" s="2410"/>
    </row>
    <row r="35" spans="1:30" ht="66">
      <c r="A35" s="2400"/>
      <c r="B35" s="3999" t="s">
        <v>2229</v>
      </c>
      <c r="C35" s="3999"/>
      <c r="D35" s="3999"/>
      <c r="E35" s="3999"/>
      <c r="F35" s="656" t="str">
        <f>C10</f>
        <v>北京市海淀区西三环北路74号院C座2层4号</v>
      </c>
      <c r="G35" s="2635"/>
      <c r="H35" s="2635"/>
      <c r="I35" s="2635"/>
      <c r="J35" s="2410"/>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992"/>
      <c r="T35" s="324" t="str">
        <f>IF(T34="一通",L35,IF(T34="二通",M35,IF(T34="三通",N35,IF(T34="四通",O35,IF(T34="五通",P35,IF(T34="六通",Q35,R35))))))</f>
        <v>、、、、、、</v>
      </c>
      <c r="U35" s="2410"/>
      <c r="V35" s="2410"/>
    </row>
    <row r="36" spans="1:30">
      <c r="A36" s="2401"/>
      <c r="B36" s="656" t="s">
        <v>2185</v>
      </c>
      <c r="C36" s="656" t="s">
        <v>2186</v>
      </c>
      <c r="D36" s="656" t="s">
        <v>2184</v>
      </c>
      <c r="E36" s="656" t="s">
        <v>2189</v>
      </c>
      <c r="F36" s="3036" t="s">
        <v>2581</v>
      </c>
      <c r="G36" s="2635"/>
      <c r="H36" s="2635"/>
      <c r="I36" s="2635"/>
      <c r="J36" s="2410"/>
      <c r="K36" s="2587"/>
      <c r="L36" s="2584"/>
      <c r="M36" s="2584"/>
      <c r="N36" s="2410"/>
      <c r="O36" s="2421"/>
      <c r="P36" s="2410"/>
      <c r="Q36" s="2410"/>
      <c r="R36" s="2410"/>
      <c r="S36" s="2410"/>
      <c r="T36" s="2410"/>
      <c r="U36" s="2410"/>
      <c r="V36" s="2410"/>
    </row>
    <row r="37" spans="1:30">
      <c r="A37" s="2601" t="s">
        <v>2230</v>
      </c>
      <c r="B37" s="2402"/>
      <c r="C37" s="2402"/>
      <c r="D37" s="2402"/>
      <c r="E37" s="2402"/>
      <c r="F37" s="2402"/>
      <c r="G37" s="2635"/>
      <c r="H37" s="2635"/>
      <c r="I37" s="2635"/>
      <c r="J37" s="2410"/>
      <c r="K37" s="2587"/>
      <c r="L37" s="2584"/>
      <c r="M37" s="2584"/>
      <c r="N37" s="2410"/>
      <c r="O37" s="2421"/>
      <c r="P37" s="2410"/>
      <c r="Q37" s="2410"/>
      <c r="R37" s="2410"/>
      <c r="S37" s="2410"/>
      <c r="T37" s="2410"/>
      <c r="U37" s="2410"/>
      <c r="V37" s="2410"/>
    </row>
    <row r="38" spans="1:30" ht="13.8" thickBot="1">
      <c r="A38" s="2602" t="s">
        <v>2231</v>
      </c>
      <c r="B38" s="2403"/>
      <c r="C38" s="2403"/>
      <c r="D38" s="2403"/>
      <c r="E38" s="2403"/>
      <c r="F38" s="2403"/>
      <c r="G38" s="2636"/>
      <c r="H38" s="2636"/>
      <c r="I38" s="2636"/>
      <c r="J38" s="2410"/>
      <c r="K38" s="2587"/>
      <c r="L38" s="2584"/>
      <c r="M38" s="2584"/>
      <c r="N38" s="2410"/>
      <c r="O38" s="2421"/>
      <c r="P38" s="2410"/>
      <c r="Q38" s="2410"/>
      <c r="R38" s="2410"/>
      <c r="S38" s="2410"/>
      <c r="T38" s="2410"/>
      <c r="U38" s="2410"/>
      <c r="V38" s="2410"/>
    </row>
    <row r="39" spans="1:30" s="2406" customFormat="1" ht="14.4" thickTop="1" thickBot="1">
      <c r="A39" s="2404" t="s">
        <v>2232</v>
      </c>
      <c r="B39" s="2405"/>
      <c r="C39" s="2405"/>
      <c r="D39" s="2405"/>
      <c r="E39" s="2405"/>
      <c r="F39" s="2405"/>
      <c r="G39" s="2405"/>
      <c r="H39" s="2405"/>
      <c r="I39" s="2405"/>
      <c r="J39" s="2593"/>
      <c r="K39" s="2594"/>
      <c r="L39" s="2593"/>
      <c r="M39" s="2593"/>
      <c r="N39" s="2593"/>
      <c r="O39" s="2595"/>
      <c r="P39" s="2593"/>
      <c r="Q39" s="2593"/>
      <c r="R39" s="2593"/>
      <c r="S39" s="2593"/>
      <c r="T39" s="2593"/>
      <c r="U39" s="2593"/>
      <c r="V39" s="2593"/>
      <c r="W39" s="2596"/>
      <c r="X39" s="2596"/>
      <c r="Y39" s="2596"/>
      <c r="Z39" s="2596"/>
      <c r="AA39" s="2596"/>
      <c r="AB39" s="2596"/>
      <c r="AC39" s="2596"/>
      <c r="AD39" s="2596"/>
    </row>
    <row r="40" spans="1:30">
      <c r="A40" s="2342"/>
      <c r="B40" s="2342"/>
      <c r="C40" s="2342"/>
      <c r="D40" s="2342"/>
      <c r="E40" s="2342"/>
      <c r="F40" s="2342"/>
      <c r="G40" s="2342"/>
      <c r="H40" s="2342"/>
      <c r="I40" s="1565"/>
      <c r="J40" s="2480"/>
      <c r="K40" s="2586"/>
      <c r="L40" s="2422"/>
      <c r="M40" s="2422"/>
      <c r="N40" s="2480"/>
      <c r="O40" s="2422"/>
      <c r="P40" s="2410"/>
      <c r="Q40" s="2410"/>
      <c r="R40" s="2410"/>
      <c r="S40" s="2410"/>
      <c r="T40" s="2410"/>
      <c r="U40" s="2410"/>
      <c r="V40" s="2410"/>
    </row>
    <row r="41" spans="1:30">
      <c r="A41" s="2407" t="s">
        <v>2233</v>
      </c>
      <c r="B41" s="1741"/>
      <c r="C41" s="1360"/>
      <c r="D41" s="2342"/>
      <c r="E41" s="2342"/>
      <c r="F41" s="2342"/>
      <c r="G41" s="2342"/>
      <c r="H41" s="2342"/>
      <c r="I41" s="1563"/>
      <c r="J41" s="2410"/>
      <c r="K41" s="2587"/>
      <c r="L41" s="2584"/>
      <c r="M41" s="2584"/>
      <c r="N41" s="2410"/>
      <c r="O41" s="2421"/>
      <c r="P41" s="2410"/>
      <c r="Q41" s="2410"/>
      <c r="R41" s="2410"/>
      <c r="S41" s="2410"/>
      <c r="T41" s="2410"/>
      <c r="U41" s="2410"/>
      <c r="V41" s="2410"/>
    </row>
    <row r="42" spans="1:30" ht="25.2">
      <c r="A42" s="318" t="s">
        <v>2234</v>
      </c>
      <c r="B42" s="8" t="s">
        <v>2235</v>
      </c>
      <c r="C42" s="8" t="s">
        <v>2236</v>
      </c>
      <c r="D42" s="8" t="s">
        <v>2237</v>
      </c>
      <c r="E42" s="8" t="s">
        <v>2238</v>
      </c>
      <c r="F42" s="8" t="s">
        <v>2239</v>
      </c>
      <c r="G42" s="8" t="s">
        <v>2240</v>
      </c>
      <c r="H42" s="8" t="s">
        <v>2241</v>
      </c>
      <c r="I42" s="8" t="s">
        <v>2242</v>
      </c>
      <c r="J42" s="2597" t="s">
        <v>2243</v>
      </c>
      <c r="K42" s="2598" t="s">
        <v>2244</v>
      </c>
      <c r="L42" s="2598" t="s">
        <v>2245</v>
      </c>
      <c r="M42" s="2598" t="s">
        <v>2246</v>
      </c>
      <c r="N42" s="2591" t="s">
        <v>2247</v>
      </c>
      <c r="O42" s="2591" t="s">
        <v>2248</v>
      </c>
      <c r="P42" s="2591" t="s">
        <v>2249</v>
      </c>
      <c r="Q42" s="2592" t="s">
        <v>2250</v>
      </c>
      <c r="R42" s="2592" t="s">
        <v>2251</v>
      </c>
      <c r="S42" s="2410"/>
      <c r="T42" s="2410"/>
      <c r="U42" s="2410"/>
      <c r="V42" s="2410"/>
    </row>
    <row r="43" spans="1:30" s="1730" customFormat="1">
      <c r="A43" s="1557"/>
      <c r="B43" s="1041"/>
      <c r="C43" s="1041"/>
      <c r="D43" s="1041"/>
      <c r="E43" s="1041"/>
      <c r="F43" s="1041"/>
      <c r="G43" s="1041"/>
      <c r="H43" s="1041"/>
      <c r="I43" s="1041"/>
      <c r="J43" s="2408"/>
      <c r="K43" s="2409"/>
      <c r="L43" s="2409"/>
      <c r="M43" s="1041"/>
      <c r="N43" s="1041"/>
      <c r="O43" s="1041"/>
      <c r="P43" s="1041"/>
      <c r="Q43" s="1041"/>
      <c r="R43" s="1041"/>
      <c r="S43" s="2410"/>
      <c r="T43" s="2410"/>
      <c r="U43" s="2410"/>
      <c r="V43" s="2410"/>
    </row>
    <row r="44" spans="1:30" s="1730" customFormat="1">
      <c r="A44" s="1557"/>
      <c r="B44" s="1557"/>
      <c r="C44" s="1041"/>
      <c r="D44" s="1041"/>
      <c r="E44" s="1041"/>
      <c r="F44" s="1041"/>
      <c r="G44" s="1041"/>
      <c r="H44" s="1041"/>
      <c r="I44" s="1041"/>
      <c r="J44" s="2408"/>
      <c r="K44" s="2409"/>
      <c r="L44" s="2409"/>
      <c r="M44" s="1041"/>
      <c r="N44" s="1041"/>
      <c r="O44" s="1041"/>
      <c r="P44" s="1041"/>
      <c r="Q44" s="1041"/>
      <c r="R44" s="1041"/>
      <c r="S44" s="2410"/>
      <c r="T44" s="2410"/>
      <c r="U44" s="2410"/>
      <c r="V44" s="2410"/>
    </row>
    <row r="45" spans="1:30" s="1730" customFormat="1">
      <c r="A45" s="1557"/>
      <c r="B45" s="1557"/>
      <c r="C45" s="1041"/>
      <c r="D45" s="1041"/>
      <c r="E45" s="1041"/>
      <c r="F45" s="1041"/>
      <c r="G45" s="1041"/>
      <c r="H45" s="1041"/>
      <c r="I45" s="1041"/>
      <c r="J45" s="2408"/>
      <c r="K45" s="2409"/>
      <c r="L45" s="2409"/>
      <c r="M45" s="1041"/>
      <c r="N45" s="1041"/>
      <c r="O45" s="1041"/>
      <c r="P45" s="1041"/>
      <c r="Q45" s="1041"/>
      <c r="R45" s="1041"/>
      <c r="S45" s="2410"/>
      <c r="T45" s="2410"/>
      <c r="U45" s="2410"/>
      <c r="V45" s="2410"/>
    </row>
    <row r="46" spans="1:30" s="1730" customFormat="1">
      <c r="A46" s="1557"/>
      <c r="B46" s="1557"/>
      <c r="C46" s="1041"/>
      <c r="D46" s="1041"/>
      <c r="E46" s="1041"/>
      <c r="F46" s="1041"/>
      <c r="G46" s="1041"/>
      <c r="H46" s="1041"/>
      <c r="I46" s="1041"/>
      <c r="J46" s="2408"/>
      <c r="K46" s="2409"/>
      <c r="L46" s="2409"/>
      <c r="M46" s="1041"/>
      <c r="N46" s="1041"/>
      <c r="O46" s="1041"/>
      <c r="P46" s="1041"/>
      <c r="Q46" s="1041"/>
      <c r="R46" s="1041"/>
      <c r="S46" s="2410"/>
      <c r="T46" s="2410"/>
      <c r="U46" s="2410"/>
      <c r="V46" s="2410"/>
    </row>
    <row r="47" spans="1:30" s="1730" customFormat="1">
      <c r="A47" s="1557"/>
      <c r="B47" s="1557"/>
      <c r="C47" s="1041"/>
      <c r="D47" s="1041"/>
      <c r="E47" s="1041"/>
      <c r="F47" s="1041"/>
      <c r="G47" s="1041"/>
      <c r="H47" s="1041"/>
      <c r="I47" s="1041"/>
      <c r="J47" s="2408"/>
      <c r="K47" s="2409"/>
      <c r="L47" s="2409"/>
      <c r="M47" s="1041"/>
      <c r="N47" s="1041"/>
      <c r="O47" s="1041"/>
      <c r="P47" s="1041"/>
      <c r="Q47" s="1041"/>
      <c r="R47" s="1041"/>
      <c r="S47" s="2410"/>
      <c r="T47" s="2410"/>
      <c r="U47" s="2410"/>
      <c r="V47" s="2410"/>
    </row>
    <row r="48" spans="1:30" s="1730" customFormat="1">
      <c r="A48" s="1557"/>
      <c r="B48" s="1557"/>
      <c r="C48" s="1041"/>
      <c r="D48" s="1041"/>
      <c r="E48" s="1041"/>
      <c r="F48" s="1041"/>
      <c r="G48" s="1041"/>
      <c r="H48" s="1041"/>
      <c r="I48" s="1041"/>
      <c r="J48" s="2408"/>
      <c r="K48" s="2409"/>
      <c r="L48" s="2409"/>
      <c r="M48" s="1041"/>
      <c r="N48" s="1041"/>
      <c r="O48" s="1041"/>
      <c r="P48" s="1041"/>
      <c r="Q48" s="1041"/>
      <c r="R48" s="1041"/>
      <c r="S48" s="2410"/>
      <c r="T48" s="2410"/>
      <c r="U48" s="2410"/>
      <c r="V48" s="2410"/>
    </row>
    <row r="49" spans="1:22" s="1730" customFormat="1">
      <c r="A49" s="1557"/>
      <c r="B49" s="1557"/>
      <c r="C49" s="1041"/>
      <c r="D49" s="1041"/>
      <c r="E49" s="1041"/>
      <c r="F49" s="1041"/>
      <c r="G49" s="1041"/>
      <c r="H49" s="1041"/>
      <c r="I49" s="1041"/>
      <c r="J49" s="2408"/>
      <c r="K49" s="2409"/>
      <c r="L49" s="2409"/>
      <c r="M49" s="1041"/>
      <c r="N49" s="1041"/>
      <c r="O49" s="1041"/>
      <c r="P49" s="1041"/>
      <c r="Q49" s="1041"/>
      <c r="R49" s="1041"/>
      <c r="S49" s="2410"/>
      <c r="T49" s="2410"/>
      <c r="U49" s="2410"/>
      <c r="V49" s="2410"/>
    </row>
    <row r="50" spans="1:22" s="1730" customFormat="1">
      <c r="A50" s="1557"/>
      <c r="B50" s="1557"/>
      <c r="C50" s="1041"/>
      <c r="D50" s="1041"/>
      <c r="E50" s="1041"/>
      <c r="F50" s="1041"/>
      <c r="G50" s="1041"/>
      <c r="H50" s="1041"/>
      <c r="I50" s="1041"/>
      <c r="J50" s="2408"/>
      <c r="K50" s="2409"/>
      <c r="L50" s="2409"/>
      <c r="M50" s="1041"/>
      <c r="N50" s="1041"/>
      <c r="O50" s="1041"/>
      <c r="P50" s="1041"/>
      <c r="Q50" s="1041"/>
      <c r="R50" s="1041"/>
      <c r="S50" s="2410"/>
      <c r="T50" s="2410"/>
      <c r="U50" s="2410"/>
      <c r="V50" s="2410"/>
    </row>
    <row r="51" spans="1:22" s="1730" customFormat="1">
      <c r="A51" s="1557"/>
      <c r="B51" s="1557"/>
      <c r="C51" s="1041"/>
      <c r="D51" s="1041"/>
      <c r="E51" s="1041"/>
      <c r="F51" s="1041"/>
      <c r="G51" s="1041"/>
      <c r="H51" s="1041"/>
      <c r="I51" s="1041"/>
      <c r="J51" s="2408"/>
      <c r="K51" s="2409"/>
      <c r="L51" s="2409"/>
      <c r="M51" s="1041"/>
      <c r="N51" s="1041"/>
      <c r="O51" s="1041"/>
      <c r="P51" s="1041"/>
      <c r="Q51" s="1041"/>
      <c r="R51" s="1041"/>
    </row>
    <row r="52" spans="1:22" s="1730" customFormat="1">
      <c r="A52" s="1557"/>
      <c r="B52" s="1557"/>
      <c r="C52" s="1557"/>
      <c r="D52" s="1557"/>
      <c r="E52" s="1557"/>
      <c r="F52" s="1041"/>
      <c r="G52" s="1557"/>
      <c r="H52" s="1557"/>
      <c r="I52" s="1557"/>
      <c r="J52" s="2411"/>
      <c r="K52" s="2409"/>
      <c r="L52" s="2409"/>
      <c r="M52" s="2409"/>
      <c r="N52" s="1557"/>
      <c r="O52" s="1557"/>
      <c r="P52" s="1557"/>
      <c r="Q52" s="1557"/>
      <c r="R52" s="1557"/>
    </row>
    <row r="53" spans="1:22" s="1730" customFormat="1">
      <c r="A53" s="1557"/>
      <c r="B53" s="1557"/>
      <c r="C53" s="1557"/>
      <c r="D53" s="1557"/>
      <c r="E53" s="1557"/>
      <c r="F53" s="1041"/>
      <c r="G53" s="1557"/>
      <c r="H53" s="1557"/>
      <c r="I53" s="1557"/>
      <c r="J53" s="2411"/>
      <c r="K53" s="2409"/>
      <c r="L53" s="2409"/>
      <c r="M53" s="2409"/>
      <c r="N53" s="1557"/>
      <c r="O53" s="1557"/>
      <c r="P53" s="1557"/>
      <c r="Q53" s="1557"/>
      <c r="R53" s="1557"/>
    </row>
    <row r="54" spans="1:22" s="1730" customFormat="1">
      <c r="A54" s="1557"/>
      <c r="B54" s="1557"/>
      <c r="C54" s="1557"/>
      <c r="D54" s="1557"/>
      <c r="E54" s="1557"/>
      <c r="F54" s="1041"/>
      <c r="G54" s="1557"/>
      <c r="H54" s="1557"/>
      <c r="I54" s="1557"/>
      <c r="J54" s="2411"/>
      <c r="K54" s="2409"/>
      <c r="L54" s="2409"/>
      <c r="M54" s="2409"/>
      <c r="N54" s="1557"/>
      <c r="O54" s="1557"/>
      <c r="P54" s="1557"/>
      <c r="Q54" s="1557"/>
      <c r="R54" s="1557"/>
    </row>
    <row r="55" spans="1:22" s="1730" customFormat="1">
      <c r="A55" s="1557"/>
      <c r="B55" s="1557"/>
      <c r="C55" s="1557"/>
      <c r="D55" s="1557"/>
      <c r="E55" s="1557"/>
      <c r="F55" s="1041"/>
      <c r="G55" s="1557"/>
      <c r="H55" s="1557"/>
      <c r="I55" s="1557"/>
      <c r="J55" s="2411"/>
      <c r="K55" s="2409"/>
      <c r="L55" s="2409"/>
      <c r="M55" s="2409"/>
      <c r="N55" s="1557"/>
      <c r="O55" s="1557"/>
      <c r="P55" s="1557"/>
      <c r="Q55" s="1557"/>
      <c r="R55" s="1557"/>
    </row>
    <row r="56" spans="1:22" s="1730" customFormat="1">
      <c r="A56" s="1557"/>
      <c r="B56" s="1557"/>
      <c r="C56" s="1557"/>
      <c r="D56" s="1557"/>
      <c r="E56" s="1557"/>
      <c r="F56" s="1041"/>
      <c r="G56" s="1557"/>
      <c r="H56" s="1557"/>
      <c r="I56" s="1557"/>
      <c r="J56" s="2411"/>
      <c r="K56" s="2409"/>
      <c r="L56" s="2409"/>
      <c r="M56" s="2409"/>
      <c r="N56" s="1557"/>
      <c r="O56" s="1557"/>
      <c r="P56" s="1557"/>
      <c r="Q56" s="1557"/>
      <c r="R56" s="15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8671875" defaultRowHeight="13.8"/>
  <cols>
    <col min="1" max="1" width="10.6640625" style="1560" customWidth="1"/>
    <col min="2" max="2" width="11" style="1560" customWidth="1"/>
    <col min="3" max="3" width="10.33203125" style="1560" customWidth="1"/>
    <col min="4" max="4" width="9.109375" style="1560" customWidth="1"/>
    <col min="5" max="6" width="10" style="1621" customWidth="1"/>
    <col min="7" max="8" width="10" style="1560" customWidth="1"/>
    <col min="9" max="9" width="10.6640625" style="1560" customWidth="1"/>
    <col min="10" max="10" width="9.44140625" style="1560" customWidth="1"/>
    <col min="11" max="11" width="11" style="1560" customWidth="1"/>
    <col min="12" max="14" width="9.44140625" style="1560" customWidth="1"/>
    <col min="15" max="15" width="9.88671875" style="1560" customWidth="1"/>
    <col min="16" max="16" width="9.77734375" style="1560" customWidth="1"/>
    <col min="17" max="17" width="9.33203125" style="1560" customWidth="1"/>
    <col min="18" max="18" width="9.21875" style="1560" customWidth="1"/>
    <col min="19" max="19" width="10.88671875" style="1560" customWidth="1"/>
    <col min="20" max="21" width="10.77734375" style="1560" customWidth="1"/>
    <col min="22" max="22" width="10.88671875" style="1560" customWidth="1"/>
    <col min="23" max="27" width="10.77734375" style="1560" customWidth="1"/>
    <col min="28" max="28" width="10.88671875" style="1560" customWidth="1"/>
    <col min="29" max="29" width="11" style="1560" bestFit="1" customWidth="1"/>
    <col min="30" max="30" width="10" style="1560" bestFit="1" customWidth="1"/>
    <col min="31" max="31" width="9.77734375" style="1560" customWidth="1"/>
    <col min="32" max="46" width="9.44140625" style="1560" customWidth="1"/>
    <col min="47" max="47" width="18.109375" style="1560" customWidth="1"/>
    <col min="48" max="50" width="9.77734375" style="1560" customWidth="1"/>
    <col min="51" max="55" width="10.44140625" style="1560" bestFit="1" customWidth="1"/>
    <col min="56" max="56" width="9.44140625" style="1560" bestFit="1" customWidth="1"/>
    <col min="57" max="63" width="9.109375" style="1560" bestFit="1" customWidth="1"/>
    <col min="64" max="64" width="9.44140625" style="1560" bestFit="1" customWidth="1"/>
    <col min="65" max="65" width="9.109375" style="1560" bestFit="1" customWidth="1"/>
    <col min="66" max="66" width="9.44140625" style="1560" bestFit="1" customWidth="1"/>
    <col min="67" max="69" width="9.109375" style="1560" bestFit="1" customWidth="1"/>
    <col min="70" max="70" width="9.44140625" style="1560" bestFit="1" customWidth="1"/>
    <col min="71" max="71" width="9" style="1560" customWidth="1"/>
    <col min="72" max="72" width="9.109375" style="1560" bestFit="1" customWidth="1"/>
    <col min="73" max="16384" width="8.88671875" style="1560"/>
  </cols>
  <sheetData>
    <row r="1" spans="1:72" ht="21">
      <c r="A1" s="1561" t="s">
        <v>1062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1545"/>
      <c r="AO1" s="1545"/>
      <c r="AP1" s="1545"/>
      <c r="AQ1" s="1545"/>
      <c r="AR1" s="1545"/>
      <c r="AS1" s="1545"/>
      <c r="AT1" s="1545"/>
      <c r="AU1" s="1545"/>
      <c r="AV1" s="1562" t="s">
        <v>1063</v>
      </c>
      <c r="AW1" s="1545"/>
      <c r="AX1" s="1545"/>
      <c r="AY1" s="1545"/>
      <c r="AZ1" s="1545"/>
      <c r="BA1" s="1545"/>
      <c r="BB1" s="1545"/>
      <c r="BC1" s="1545"/>
      <c r="BD1" s="1545"/>
      <c r="BE1" s="1545"/>
      <c r="BF1" s="1545"/>
      <c r="BG1" s="1545"/>
      <c r="BH1" s="1545"/>
      <c r="BI1" s="1545"/>
      <c r="BJ1" s="1545"/>
      <c r="BK1" s="1545"/>
      <c r="BL1" s="1545"/>
      <c r="BM1" s="1545"/>
      <c r="BN1" s="1545"/>
      <c r="BO1" s="1545"/>
      <c r="BP1" s="1545"/>
      <c r="BQ1" s="1545"/>
      <c r="BR1" s="1545"/>
      <c r="BS1" s="1545"/>
      <c r="BT1" s="1545"/>
    </row>
    <row r="2" spans="1:72" s="1566" customFormat="1" ht="24">
      <c r="A2" s="8" t="s">
        <v>1064</v>
      </c>
      <c r="B2" s="8" t="s">
        <v>1065</v>
      </c>
      <c r="C2" s="8" t="s">
        <v>1066</v>
      </c>
      <c r="D2" s="1563"/>
      <c r="E2" s="1564"/>
      <c r="F2" s="1565"/>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63"/>
      <c r="AR2" s="1563"/>
      <c r="AS2" s="1563"/>
      <c r="AT2" s="1563"/>
      <c r="AU2" s="1563"/>
      <c r="AV2" s="1563"/>
      <c r="AW2" s="1563"/>
      <c r="AX2" s="1563"/>
      <c r="AY2" s="1038" t="s">
        <v>1067</v>
      </c>
      <c r="AZ2" s="1039" t="s">
        <v>1068</v>
      </c>
      <c r="BA2" s="8" t="s">
        <v>1069</v>
      </c>
      <c r="BB2" s="1563"/>
      <c r="BC2" s="1563"/>
      <c r="BD2" s="1563"/>
      <c r="BE2" s="1563"/>
      <c r="BF2" s="1563"/>
      <c r="BG2" s="1563"/>
      <c r="BH2" s="1563"/>
      <c r="BI2" s="1563"/>
      <c r="BJ2" s="1563"/>
      <c r="BK2" s="1563"/>
      <c r="BL2" s="1563"/>
      <c r="BM2" s="1563"/>
      <c r="BN2" s="1563"/>
      <c r="BO2" s="1563"/>
      <c r="BP2" s="1563"/>
      <c r="BQ2" s="1563"/>
      <c r="BR2" s="1563"/>
      <c r="BS2" s="1563"/>
      <c r="BT2" s="1563"/>
    </row>
    <row r="3" spans="1:72" s="1566" customFormat="1" ht="13.2">
      <c r="A3" s="10"/>
      <c r="B3" s="11">
        <f>IF(C3="否",G5-AT5,G5)</f>
        <v>88.78</v>
      </c>
      <c r="C3" s="1567" t="s">
        <v>1070</v>
      </c>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c r="AK3" s="1563"/>
      <c r="AL3" s="1563"/>
      <c r="AM3" s="1563"/>
      <c r="AN3" s="1563"/>
      <c r="AO3" s="1563"/>
      <c r="AP3" s="1563"/>
      <c r="AQ3" s="1563"/>
      <c r="AR3" s="1563"/>
      <c r="AS3" s="1563"/>
      <c r="AT3" s="1563"/>
      <c r="AU3" s="1563"/>
      <c r="AV3" s="1563"/>
      <c r="AW3" s="1563"/>
      <c r="AX3" s="1563"/>
      <c r="AY3" s="1040"/>
      <c r="AZ3" s="1041"/>
      <c r="BA3" s="1042"/>
      <c r="BB3" s="1563"/>
      <c r="BC3" s="1563"/>
      <c r="BD3" s="1563"/>
      <c r="BE3" s="1563"/>
      <c r="BF3" s="1563"/>
      <c r="BG3" s="1563"/>
      <c r="BH3" s="1563"/>
      <c r="BI3" s="1563"/>
      <c r="BJ3" s="1563"/>
      <c r="BK3" s="1563"/>
      <c r="BL3" s="1563"/>
      <c r="BM3" s="1563"/>
      <c r="BN3" s="1563"/>
      <c r="BO3" s="1563"/>
      <c r="BP3" s="1563"/>
      <c r="BQ3" s="1563"/>
      <c r="BR3" s="1563"/>
      <c r="BS3" s="1563"/>
      <c r="BT3" s="1563"/>
    </row>
    <row r="4" spans="1:72" s="1572" customFormat="1" thickBot="1">
      <c r="A4" s="1568"/>
      <c r="B4" s="1569"/>
      <c r="C4" s="1570"/>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c r="AE4" s="1563"/>
      <c r="AF4" s="1563"/>
      <c r="AG4" s="1563"/>
      <c r="AH4" s="1563"/>
      <c r="AI4" s="1563"/>
      <c r="AJ4" s="1563"/>
      <c r="AK4" s="1563"/>
      <c r="AL4" s="1563"/>
      <c r="AM4" s="1563"/>
      <c r="AN4" s="1563"/>
      <c r="AO4" s="1563"/>
      <c r="AP4" s="1563"/>
      <c r="AQ4" s="1563"/>
      <c r="AR4" s="1563"/>
      <c r="AS4" s="1563"/>
      <c r="AT4" s="1563"/>
      <c r="AU4" s="1563"/>
      <c r="AV4" s="1563"/>
      <c r="AW4" s="1563"/>
      <c r="AX4" s="1563"/>
      <c r="AY4" s="1563"/>
      <c r="AZ4" s="1563"/>
      <c r="BA4" s="1571"/>
      <c r="BB4" s="1563"/>
      <c r="BC4" s="1563"/>
      <c r="BD4" s="1563"/>
      <c r="BE4" s="1563"/>
      <c r="BF4" s="1563"/>
      <c r="BG4" s="1563"/>
      <c r="BH4" s="1563"/>
      <c r="BI4" s="1563"/>
      <c r="BJ4" s="1563"/>
      <c r="BK4" s="1563"/>
      <c r="BL4" s="1563"/>
      <c r="BM4" s="1563"/>
      <c r="BN4" s="1563"/>
      <c r="BO4" s="1563"/>
      <c r="BP4" s="1563"/>
      <c r="BQ4" s="1563"/>
      <c r="BR4" s="1563"/>
      <c r="BS4" s="1563"/>
      <c r="BT4" s="1563"/>
    </row>
    <row r="5" spans="1:72" s="1566" customFormat="1" ht="13.2">
      <c r="A5" s="12" t="s">
        <v>1071</v>
      </c>
      <c r="B5" s="1334"/>
      <c r="C5" s="1334"/>
      <c r="D5" s="1336"/>
      <c r="E5" s="13" t="s">
        <v>0</v>
      </c>
      <c r="F5" s="13">
        <f>SUM(F13:F587)</f>
        <v>0</v>
      </c>
      <c r="G5" s="13">
        <f>SUM(G13:G587)</f>
        <v>88.78</v>
      </c>
      <c r="H5" s="13">
        <f t="shared" ref="H5:AT5" si="0">SUM(H13:H656)</f>
        <v>88.78</v>
      </c>
      <c r="I5" s="13">
        <f t="shared" si="0"/>
        <v>88.78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3"/>
      <c r="AV5" s="12" t="s">
        <v>1071</v>
      </c>
      <c r="AW5" s="1334"/>
      <c r="AX5" s="1334"/>
      <c r="AY5" s="14" t="s">
        <v>2</v>
      </c>
      <c r="AZ5" s="15">
        <f t="shared" ref="AZ5:BT5" si="1">SUM(AZ13:AZ656)</f>
        <v>88.78</v>
      </c>
      <c r="BA5" s="15">
        <f t="shared" si="1"/>
        <v>88.78</v>
      </c>
      <c r="BB5" s="15">
        <f t="shared" si="1"/>
        <v>88.78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6" customFormat="1" ht="13.2">
      <c r="A6" s="12" t="s">
        <v>1072</v>
      </c>
      <c r="B6" s="1573"/>
      <c r="C6" s="1573"/>
      <c r="D6" s="15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5"/>
      <c r="AV6" s="12" t="s">
        <v>1072</v>
      </c>
      <c r="AW6" s="1573"/>
      <c r="AX6" s="15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6" customFormat="1" ht="25.2">
      <c r="A7" s="1556" t="s">
        <v>1073</v>
      </c>
      <c r="B7" s="1556" t="s">
        <v>1074</v>
      </c>
      <c r="C7" s="1556" t="s">
        <v>1075</v>
      </c>
      <c r="D7" s="1556" t="s">
        <v>1076</v>
      </c>
      <c r="E7" s="1556" t="s">
        <v>1077</v>
      </c>
      <c r="F7" s="1556" t="s">
        <v>1078</v>
      </c>
      <c r="G7" s="1577" t="s">
        <v>1079</v>
      </c>
      <c r="H7" s="1578"/>
      <c r="I7" s="1578"/>
      <c r="J7" s="1578"/>
      <c r="K7" s="1578"/>
      <c r="L7" s="1578"/>
      <c r="M7" s="1578"/>
      <c r="N7" s="1578"/>
      <c r="O7" s="1578"/>
      <c r="P7" s="1578"/>
      <c r="Q7" s="1578"/>
      <c r="R7" s="1578"/>
      <c r="S7" s="1578"/>
      <c r="T7" s="1578"/>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c r="AT7" s="1336"/>
      <c r="AU7" s="1578" t="s">
        <v>1080</v>
      </c>
      <c r="AV7" s="20" t="s">
        <v>1081</v>
      </c>
      <c r="AW7" s="1565" t="s">
        <v>1082</v>
      </c>
      <c r="AX7" s="20" t="s">
        <v>1075</v>
      </c>
      <c r="AY7" s="1334" t="s">
        <v>1083</v>
      </c>
      <c r="AZ7" s="1579"/>
      <c r="BA7" s="1578"/>
      <c r="BB7" s="1578"/>
      <c r="BC7" s="1578"/>
      <c r="BD7" s="1578"/>
      <c r="BE7" s="1578"/>
      <c r="BF7" s="1578"/>
      <c r="BG7" s="1578"/>
      <c r="BH7" s="1578"/>
      <c r="BI7" s="1578"/>
      <c r="BJ7" s="1578"/>
      <c r="BK7" s="1578"/>
      <c r="BL7" s="1578"/>
      <c r="BM7" s="1578"/>
      <c r="BN7" s="1578"/>
      <c r="BO7" s="1578"/>
      <c r="BP7" s="1578"/>
      <c r="BQ7" s="1578"/>
      <c r="BR7" s="1578"/>
      <c r="BS7" s="1578"/>
      <c r="BT7" s="1580"/>
    </row>
    <row r="8" spans="1:72" s="1588" customFormat="1" ht="24">
      <c r="A8" s="1581"/>
      <c r="B8" s="1581"/>
      <c r="C8" s="1581"/>
      <c r="D8" s="1581"/>
      <c r="E8" s="1581"/>
      <c r="F8" s="1581"/>
      <c r="G8" s="1582" t="s">
        <v>1084</v>
      </c>
      <c r="H8" s="1583" t="s">
        <v>1085</v>
      </c>
      <c r="I8" s="1584"/>
      <c r="J8" s="1347"/>
      <c r="K8" s="1347"/>
      <c r="L8" s="1347"/>
      <c r="M8" s="1347"/>
      <c r="N8" s="1347"/>
      <c r="O8" s="1347"/>
      <c r="P8" s="1347"/>
      <c r="Q8" s="1347"/>
      <c r="R8" s="1347"/>
      <c r="S8" s="1347"/>
      <c r="T8" s="1347"/>
      <c r="U8" s="1347"/>
      <c r="V8" s="1585"/>
      <c r="W8" s="1347"/>
      <c r="X8" s="1347"/>
      <c r="Y8" s="1347"/>
      <c r="Z8" s="1347"/>
      <c r="AA8" s="1585"/>
      <c r="AB8" s="1586"/>
      <c r="AC8" s="799" t="s">
        <v>1086</v>
      </c>
      <c r="AD8" s="1587"/>
      <c r="AE8" s="1579"/>
      <c r="AF8" s="1347"/>
      <c r="AG8" s="1347"/>
      <c r="AH8" s="1347"/>
      <c r="AI8" s="1347"/>
      <c r="AJ8" s="1347"/>
      <c r="AK8" s="1347"/>
      <c r="AL8" s="1347"/>
      <c r="AM8" s="1347"/>
      <c r="AN8" s="1347"/>
      <c r="AO8" s="1347"/>
      <c r="AP8" s="1347"/>
      <c r="AQ8" s="1347"/>
      <c r="AR8" s="1347"/>
      <c r="AS8" s="1347"/>
      <c r="AT8" s="1060" t="s">
        <v>1087</v>
      </c>
      <c r="AU8" s="1581" t="s">
        <v>1088</v>
      </c>
      <c r="AV8" s="1060"/>
      <c r="AW8" s="1564"/>
      <c r="AX8" s="1060"/>
      <c r="AY8" s="1565" t="s">
        <v>1089</v>
      </c>
      <c r="AZ8" s="1346" t="s">
        <v>1090</v>
      </c>
      <c r="BA8" s="1347"/>
      <c r="BB8" s="1347"/>
      <c r="BC8" s="1347"/>
      <c r="BD8" s="1347"/>
      <c r="BE8" s="1347"/>
      <c r="BF8" s="1347"/>
      <c r="BG8" s="1347"/>
      <c r="BH8" s="1347"/>
      <c r="BI8" s="1347"/>
      <c r="BJ8" s="1347"/>
      <c r="BK8" s="1347"/>
      <c r="BL8" s="1347"/>
      <c r="BM8" s="1347"/>
      <c r="BN8" s="1347"/>
      <c r="BO8" s="1347"/>
      <c r="BP8" s="1347"/>
      <c r="BQ8" s="1347"/>
      <c r="BR8" s="1347"/>
      <c r="BS8" s="1347"/>
      <c r="BT8" s="23"/>
    </row>
    <row r="9" spans="1:72" s="1588" customFormat="1" ht="13.2">
      <c r="A9" s="1581"/>
      <c r="B9" s="1581"/>
      <c r="C9" s="1581"/>
      <c r="D9" s="1581"/>
      <c r="E9" s="1581"/>
      <c r="F9" s="1581"/>
      <c r="G9" s="1060"/>
      <c r="H9" s="1589" t="s">
        <v>1091</v>
      </c>
      <c r="I9" s="1590" t="s">
        <v>3389</v>
      </c>
      <c r="J9" s="799"/>
      <c r="K9" s="1590"/>
      <c r="L9" s="799"/>
      <c r="M9" s="1590"/>
      <c r="N9" s="799"/>
      <c r="O9" s="1590"/>
      <c r="P9" s="799"/>
      <c r="Q9" s="1590"/>
      <c r="R9" s="799"/>
      <c r="S9" s="1590"/>
      <c r="T9" s="799"/>
      <c r="U9" s="1590"/>
      <c r="V9" s="799"/>
      <c r="W9" s="1590"/>
      <c r="X9" s="1591"/>
      <c r="Y9" s="1590"/>
      <c r="Z9" s="799"/>
      <c r="AA9" s="1590"/>
      <c r="AB9" s="799"/>
      <c r="AC9" s="1582"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2"/>
      <c r="AT9" s="1581"/>
      <c r="AU9" s="1581" t="s">
        <v>1094</v>
      </c>
      <c r="AV9" s="1060"/>
      <c r="AW9" s="1564"/>
      <c r="AX9" s="1060"/>
      <c r="AY9" s="25"/>
      <c r="AZ9" s="25" t="s">
        <v>1084</v>
      </c>
      <c r="BA9" s="1593" t="s">
        <v>1095</v>
      </c>
      <c r="BB9" s="1594"/>
      <c r="BC9" s="1078"/>
      <c r="BD9" s="1078"/>
      <c r="BE9" s="1078"/>
      <c r="BF9" s="1078"/>
      <c r="BG9" s="1078"/>
      <c r="BH9" s="1078"/>
      <c r="BI9" s="1078"/>
      <c r="BJ9" s="1078"/>
      <c r="BK9" s="1595"/>
      <c r="BL9" s="12" t="s">
        <v>1096</v>
      </c>
      <c r="BM9" s="1347"/>
      <c r="BN9" s="1584"/>
      <c r="BO9" s="1347"/>
      <c r="BP9" s="1347"/>
      <c r="BQ9" s="1347"/>
      <c r="BR9" s="1347"/>
      <c r="BS9" s="1347"/>
      <c r="BT9" s="23"/>
    </row>
    <row r="10" spans="1:72" s="1588" customFormat="1" ht="13.2">
      <c r="A10" s="1581"/>
      <c r="B10" s="1581"/>
      <c r="C10" s="1581"/>
      <c r="D10" s="1581"/>
      <c r="E10" s="1581"/>
      <c r="F10" s="1581"/>
      <c r="G10" s="1060"/>
      <c r="H10" s="25"/>
      <c r="I10" s="1590" t="s">
        <v>3390</v>
      </c>
      <c r="J10" s="799"/>
      <c r="K10" s="1596"/>
      <c r="L10" s="799"/>
      <c r="M10" s="1596"/>
      <c r="N10" s="799"/>
      <c r="O10" s="1596"/>
      <c r="P10" s="799"/>
      <c r="Q10" s="1596"/>
      <c r="R10" s="799"/>
      <c r="S10" s="1596"/>
      <c r="T10" s="799"/>
      <c r="U10" s="1596"/>
      <c r="V10" s="799"/>
      <c r="W10" s="1596"/>
      <c r="X10" s="799"/>
      <c r="Y10" s="1596"/>
      <c r="Z10" s="799"/>
      <c r="AA10" s="1596"/>
      <c r="AB10" s="799"/>
      <c r="AC10" s="1060"/>
      <c r="AD10" s="12" t="s">
        <v>1097</v>
      </c>
      <c r="AE10" s="1597"/>
      <c r="AF10" s="12" t="s">
        <v>1097</v>
      </c>
      <c r="AG10" s="1597"/>
      <c r="AH10" s="12" t="s">
        <v>1098</v>
      </c>
      <c r="AI10" s="1597"/>
      <c r="AJ10" s="12" t="s">
        <v>1098</v>
      </c>
      <c r="AK10" s="1597"/>
      <c r="AL10" s="12" t="s">
        <v>1099</v>
      </c>
      <c r="AM10" s="1066"/>
      <c r="AN10" s="12" t="s">
        <v>1099</v>
      </c>
      <c r="AO10" s="1066"/>
      <c r="AP10" s="12" t="s">
        <v>1100</v>
      </c>
      <c r="AQ10" s="1066"/>
      <c r="AR10" s="12" t="s">
        <v>1100</v>
      </c>
      <c r="AS10" s="1066"/>
      <c r="AT10" s="1581"/>
      <c r="AU10" s="1581"/>
      <c r="AV10" s="1060"/>
      <c r="AW10" s="1564"/>
      <c r="AX10" s="1060"/>
      <c r="AY10" s="25"/>
      <c r="AZ10" s="25"/>
      <c r="BA10" s="1598" t="s">
        <v>1091</v>
      </c>
      <c r="BB10" s="1599" t="str">
        <f>I9</f>
        <v>地上</v>
      </c>
      <c r="BC10" s="26">
        <f>K9</f>
        <v>0</v>
      </c>
      <c r="BD10" s="26">
        <f>M9</f>
        <v>0</v>
      </c>
      <c r="BE10" s="26">
        <f>O9</f>
        <v>0</v>
      </c>
      <c r="BF10" s="26">
        <f>Q9</f>
        <v>0</v>
      </c>
      <c r="BG10" s="26">
        <f>S9</f>
        <v>0</v>
      </c>
      <c r="BH10" s="26">
        <f>U9</f>
        <v>0</v>
      </c>
      <c r="BI10" s="26">
        <f>W9</f>
        <v>0</v>
      </c>
      <c r="BJ10" s="26">
        <f>Y9</f>
        <v>0</v>
      </c>
      <c r="BK10" s="26">
        <f>AA9</f>
        <v>0</v>
      </c>
      <c r="BL10" s="22" t="s">
        <v>1091</v>
      </c>
      <c r="BM10" s="1346" t="str">
        <f>AD9</f>
        <v>地上</v>
      </c>
      <c r="BN10" s="26" t="str">
        <f>AF9</f>
        <v>地下</v>
      </c>
      <c r="BO10" s="1346" t="str">
        <f>AH9</f>
        <v>地上</v>
      </c>
      <c r="BP10" s="26" t="str">
        <f>AJ9</f>
        <v>地下</v>
      </c>
      <c r="BQ10" s="1346" t="str">
        <f>AL9</f>
        <v>地上</v>
      </c>
      <c r="BR10" s="26" t="str">
        <f>AN9</f>
        <v>地下</v>
      </c>
      <c r="BS10" s="1346" t="str">
        <f>AP9</f>
        <v>地上</v>
      </c>
      <c r="BT10" s="1600" t="str">
        <f>AR9</f>
        <v>地下</v>
      </c>
    </row>
    <row r="11" spans="1:72" s="1588" customFormat="1" ht="13.2">
      <c r="A11" s="1581"/>
      <c r="B11" s="1581"/>
      <c r="C11" s="1581"/>
      <c r="D11" s="1581"/>
      <c r="E11" s="1581"/>
      <c r="F11" s="1581"/>
      <c r="G11" s="1060"/>
      <c r="H11" s="1598"/>
      <c r="I11" s="1601"/>
      <c r="J11" s="1602"/>
      <c r="K11" s="1601"/>
      <c r="L11" s="1602"/>
      <c r="M11" s="1601"/>
      <c r="N11" s="1602"/>
      <c r="O11" s="1601"/>
      <c r="P11" s="1602"/>
      <c r="Q11" s="1601"/>
      <c r="R11" s="1602"/>
      <c r="S11" s="1601"/>
      <c r="T11" s="1602"/>
      <c r="U11" s="1601"/>
      <c r="V11" s="1602"/>
      <c r="W11" s="1601"/>
      <c r="X11" s="1602"/>
      <c r="Y11" s="1601"/>
      <c r="Z11" s="1602"/>
      <c r="AA11" s="1601"/>
      <c r="AB11" s="1602"/>
      <c r="AC11" s="1060"/>
      <c r="AD11" s="1603" t="s">
        <v>1101</v>
      </c>
      <c r="AE11" s="1348"/>
      <c r="AF11" s="1603" t="s">
        <v>1101</v>
      </c>
      <c r="AG11" s="1348"/>
      <c r="AH11" s="1603" t="s">
        <v>1102</v>
      </c>
      <c r="AI11" s="1604"/>
      <c r="AJ11" s="1603" t="s">
        <v>1102</v>
      </c>
      <c r="AK11" s="1348"/>
      <c r="AL11" s="1346"/>
      <c r="AM11" s="1348"/>
      <c r="AN11" s="1346"/>
      <c r="AO11" s="1348"/>
      <c r="AP11" s="1346"/>
      <c r="AQ11" s="1348"/>
      <c r="AR11" s="1346"/>
      <c r="AS11" s="1348"/>
      <c r="AT11" s="1564"/>
      <c r="AU11" s="1581"/>
      <c r="AV11" s="1060"/>
      <c r="AW11" s="1564"/>
      <c r="AX11" s="1060"/>
      <c r="AY11" s="25"/>
      <c r="AZ11" s="25"/>
      <c r="BA11" s="25"/>
      <c r="BB11" s="1586" t="str">
        <f>I10</f>
        <v>住宅</v>
      </c>
      <c r="BC11" s="1586">
        <f>K10</f>
        <v>0</v>
      </c>
      <c r="BD11" s="1586">
        <f>M10</f>
        <v>0</v>
      </c>
      <c r="BE11" s="1586">
        <f>O10</f>
        <v>0</v>
      </c>
      <c r="BF11" s="1586">
        <f>Q10</f>
        <v>0</v>
      </c>
      <c r="BG11" s="1586">
        <f>S10</f>
        <v>0</v>
      </c>
      <c r="BH11" s="1586">
        <f>U10</f>
        <v>0</v>
      </c>
      <c r="BI11" s="1586">
        <f>W10</f>
        <v>0</v>
      </c>
      <c r="BJ11" s="1586">
        <f>Y10</f>
        <v>0</v>
      </c>
      <c r="BK11" s="1586">
        <f>AA10</f>
        <v>0</v>
      </c>
      <c r="BL11" s="1060"/>
      <c r="BM11" s="1346" t="str">
        <f>AD10</f>
        <v>公共配套设施</v>
      </c>
      <c r="BN11" s="1346" t="str">
        <f>AF10</f>
        <v>公共配套设施</v>
      </c>
      <c r="BO11" s="21" t="str">
        <f>AH10</f>
        <v>物业管理用房</v>
      </c>
      <c r="BP11" s="21" t="str">
        <f>AJ10</f>
        <v>物业管理用房</v>
      </c>
      <c r="BQ11" s="21" t="str">
        <f>AL10</f>
        <v>设备及其他</v>
      </c>
      <c r="BR11" s="21" t="str">
        <f>AN10</f>
        <v>设备及其他</v>
      </c>
      <c r="BS11" s="22" t="str">
        <f>AP10</f>
        <v>未注明</v>
      </c>
      <c r="BT11" s="1605" t="str">
        <f>AR10</f>
        <v>未注明</v>
      </c>
    </row>
    <row r="12" spans="1:72" s="1566" customFormat="1" ht="13.2">
      <c r="A12" s="1606"/>
      <c r="B12" s="1606"/>
      <c r="C12" s="1606"/>
      <c r="D12" s="1606"/>
      <c r="E12" s="1606"/>
      <c r="F12" s="1606"/>
      <c r="G12" s="27"/>
      <c r="H12" s="1607"/>
      <c r="I12" s="133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3" t="s">
        <v>1104</v>
      </c>
      <c r="W12" s="8" t="s">
        <v>1103</v>
      </c>
      <c r="X12" s="8" t="s">
        <v>1104</v>
      </c>
      <c r="Y12" s="8" t="s">
        <v>1103</v>
      </c>
      <c r="Z12" s="8" t="s">
        <v>1104</v>
      </c>
      <c r="AA12" s="8" t="s">
        <v>1103</v>
      </c>
      <c r="AB12" s="8" t="s">
        <v>1104</v>
      </c>
      <c r="AC12" s="1608"/>
      <c r="AD12" s="133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6" t="s">
        <v>1104</v>
      </c>
      <c r="AT12" s="1609"/>
      <c r="AU12" s="1606"/>
      <c r="AV12" s="28"/>
      <c r="AW12" s="1565"/>
      <c r="AX12" s="28"/>
      <c r="AY12" s="1610"/>
      <c r="AZ12" s="25"/>
      <c r="BA12" s="1598"/>
      <c r="BB12" s="21">
        <f>I11</f>
        <v>0</v>
      </c>
      <c r="BC12" s="1611">
        <f>K11</f>
        <v>0</v>
      </c>
      <c r="BD12" s="1611">
        <f>M11</f>
        <v>0</v>
      </c>
      <c r="BE12" s="1586">
        <f>O11</f>
        <v>0</v>
      </c>
      <c r="BF12" s="1586">
        <f>Q11</f>
        <v>0</v>
      </c>
      <c r="BG12" s="1586">
        <f>S11</f>
        <v>0</v>
      </c>
      <c r="BH12" s="1586">
        <f>U11</f>
        <v>0</v>
      </c>
      <c r="BI12" s="1586">
        <f>W11</f>
        <v>0</v>
      </c>
      <c r="BJ12" s="1586">
        <f>Y11</f>
        <v>0</v>
      </c>
      <c r="BK12" s="1586">
        <f>AA11</f>
        <v>0</v>
      </c>
      <c r="BL12" s="1060"/>
      <c r="BM12" s="1346" t="str">
        <f>AD11</f>
        <v>（住宅）</v>
      </c>
      <c r="BN12" s="1346" t="str">
        <f>AF11</f>
        <v>（住宅）</v>
      </c>
      <c r="BO12" s="21" t="str">
        <f>AH11</f>
        <v>（住宅、计出让金）</v>
      </c>
      <c r="BP12" s="21" t="str">
        <f>AJ11</f>
        <v>（住宅、计出让金）</v>
      </c>
      <c r="BQ12" s="21">
        <f>AL11</f>
        <v>0</v>
      </c>
      <c r="BR12" s="21">
        <f>AN11</f>
        <v>0</v>
      </c>
      <c r="BS12" s="22">
        <f>AP11</f>
        <v>0</v>
      </c>
      <c r="BT12" s="1605">
        <f>AR11</f>
        <v>0</v>
      </c>
    </row>
    <row r="13" spans="1:72" s="1566" customFormat="1" ht="13.2">
      <c r="A13" s="1041"/>
      <c r="B13" s="1041"/>
      <c r="C13" s="1041"/>
      <c r="D13" s="1612" t="s">
        <v>3392</v>
      </c>
      <c r="E13" s="13">
        <f>IF($C$3="是",ROUND($A$3*G13/$B$3,2),ROUND($A$3*(G13-AT13)/$B$3,2))</f>
        <v>0</v>
      </c>
      <c r="F13" s="29"/>
      <c r="G13" s="30">
        <f>H13+AC13+AT13</f>
        <v>88.78</v>
      </c>
      <c r="H13" s="17">
        <f>SUMIF(I$12:AB$12,"总值",I13:AB13)</f>
        <v>88.78</v>
      </c>
      <c r="I13" s="1613">
        <v>88.78</v>
      </c>
      <c r="J13" s="1613"/>
      <c r="K13" s="1613"/>
      <c r="L13" s="1613"/>
      <c r="M13" s="1613"/>
      <c r="N13" s="1613"/>
      <c r="O13" s="1613"/>
      <c r="P13" s="1613"/>
      <c r="Q13" s="1613"/>
      <c r="R13" s="1613"/>
      <c r="S13" s="1613"/>
      <c r="T13" s="1613"/>
      <c r="U13" s="1613"/>
      <c r="V13" s="1613"/>
      <c r="W13" s="1613"/>
      <c r="X13" s="1613"/>
      <c r="Y13" s="1613"/>
      <c r="Z13" s="1613"/>
      <c r="AA13" s="1613"/>
      <c r="AB13" s="1613"/>
      <c r="AC13" s="13">
        <f>SUMIF(AD$12:AS$12,"总值",AD13:AS13)</f>
        <v>0</v>
      </c>
      <c r="AD13" s="1614"/>
      <c r="AE13" s="1614"/>
      <c r="AF13" s="1614"/>
      <c r="AG13" s="1614"/>
      <c r="AH13" s="1614"/>
      <c r="AI13" s="1614"/>
      <c r="AJ13" s="1614"/>
      <c r="AK13" s="1614"/>
      <c r="AL13" s="1614"/>
      <c r="AM13" s="1614"/>
      <c r="AN13" s="1614"/>
      <c r="AO13" s="1614"/>
      <c r="AP13" s="1614"/>
      <c r="AQ13" s="1614"/>
      <c r="AR13" s="1614"/>
      <c r="AS13" s="1614"/>
      <c r="AT13" s="1615"/>
      <c r="AU13" s="1616"/>
      <c r="AV13" s="8">
        <f t="shared" ref="AV13:AX17" si="6">A13</f>
        <v>0</v>
      </c>
      <c r="AW13" s="8">
        <f t="shared" si="6"/>
        <v>0</v>
      </c>
      <c r="AX13" s="8">
        <f t="shared" si="6"/>
        <v>0</v>
      </c>
      <c r="AY13" s="1336">
        <f>ROUND($AY$6*AZ13/$AZ$5,2)</f>
        <v>0</v>
      </c>
      <c r="AZ13" s="13">
        <f>BA13+BL13</f>
        <v>88.78</v>
      </c>
      <c r="BA13" s="13">
        <f>SUM(BB13:BK13)</f>
        <v>88.78</v>
      </c>
      <c r="BB13" s="13">
        <f>IF($D13="是",I13-J13,0)</f>
        <v>88.78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6" customFormat="1" ht="13.2">
      <c r="A14" s="1041"/>
      <c r="B14" s="1041"/>
      <c r="C14" s="1557"/>
      <c r="D14" s="1612"/>
      <c r="E14" s="13">
        <f>IF($C$3="是",ROUND($A$3*G14/$B$3,2),ROUND($A$3*(G14-AT14)/$B$3,2))</f>
        <v>0</v>
      </c>
      <c r="F14" s="29"/>
      <c r="G14" s="30">
        <f>H14+AC14+AT14</f>
        <v>0</v>
      </c>
      <c r="H14" s="17">
        <f>SUMIF(I$12:AB$12,"总值",I14:AB14)</f>
        <v>0</v>
      </c>
      <c r="I14" s="1613"/>
      <c r="J14" s="1613"/>
      <c r="K14" s="1613"/>
      <c r="L14" s="1613"/>
      <c r="M14" s="1613"/>
      <c r="N14" s="1613"/>
      <c r="O14" s="1613"/>
      <c r="P14" s="1613"/>
      <c r="Q14" s="1613"/>
      <c r="R14" s="1613"/>
      <c r="S14" s="1613"/>
      <c r="T14" s="1613"/>
      <c r="U14" s="1613"/>
      <c r="V14" s="1613"/>
      <c r="W14" s="1613"/>
      <c r="X14" s="1613"/>
      <c r="Y14" s="1613"/>
      <c r="Z14" s="1613"/>
      <c r="AA14" s="1613"/>
      <c r="AB14" s="1613"/>
      <c r="AC14" s="13">
        <f>SUMIF(AD$12:AS$12,"总值",AD14:AS14)</f>
        <v>0</v>
      </c>
      <c r="AD14" s="1614"/>
      <c r="AE14" s="1614"/>
      <c r="AF14" s="1614"/>
      <c r="AG14" s="1614"/>
      <c r="AH14" s="1614"/>
      <c r="AI14" s="1614"/>
      <c r="AJ14" s="1614"/>
      <c r="AK14" s="1614"/>
      <c r="AL14" s="1614"/>
      <c r="AM14" s="1614"/>
      <c r="AN14" s="1614"/>
      <c r="AO14" s="1614"/>
      <c r="AP14" s="1614"/>
      <c r="AQ14" s="1614"/>
      <c r="AR14" s="1614"/>
      <c r="AS14" s="1614"/>
      <c r="AT14" s="1615"/>
      <c r="AU14" s="1616"/>
      <c r="AV14" s="8">
        <f t="shared" si="6"/>
        <v>0</v>
      </c>
      <c r="AW14" s="8">
        <f t="shared" si="6"/>
        <v>0</v>
      </c>
      <c r="AX14" s="8">
        <f t="shared" si="6"/>
        <v>0</v>
      </c>
      <c r="AY14" s="133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6" customFormat="1" ht="13.2">
      <c r="A15" s="1041"/>
      <c r="B15" s="1041"/>
      <c r="C15" s="1557"/>
      <c r="D15" s="1612"/>
      <c r="E15" s="13">
        <f>IF($C$3="是",ROUND($A$3*G15/$B$3,2),ROUND($A$3*(G15-AT15)/$B$3,2))</f>
        <v>0</v>
      </c>
      <c r="F15" s="29"/>
      <c r="G15" s="30">
        <f>H15+AC15+AT15</f>
        <v>0</v>
      </c>
      <c r="H15" s="17">
        <f>SUMIF(I$12:AB$12,"总值",I15:AB15)</f>
        <v>0</v>
      </c>
      <c r="I15" s="1613"/>
      <c r="J15" s="1613"/>
      <c r="K15" s="1613"/>
      <c r="L15" s="1613"/>
      <c r="M15" s="1613"/>
      <c r="N15" s="1613"/>
      <c r="O15" s="1613"/>
      <c r="P15" s="1613"/>
      <c r="Q15" s="1613"/>
      <c r="R15" s="1613"/>
      <c r="S15" s="1613"/>
      <c r="T15" s="1613"/>
      <c r="U15" s="1613"/>
      <c r="V15" s="1613"/>
      <c r="W15" s="1613"/>
      <c r="X15" s="1613"/>
      <c r="Y15" s="1613"/>
      <c r="Z15" s="1613"/>
      <c r="AA15" s="1613"/>
      <c r="AB15" s="1613"/>
      <c r="AC15" s="13">
        <f>SUMIF(AD$12:AS$12,"总值",AD15:AS15)</f>
        <v>0</v>
      </c>
      <c r="AD15" s="1614"/>
      <c r="AE15" s="1614"/>
      <c r="AF15" s="1614"/>
      <c r="AG15" s="1614"/>
      <c r="AH15" s="1614"/>
      <c r="AI15" s="1614"/>
      <c r="AJ15" s="1614"/>
      <c r="AK15" s="1614"/>
      <c r="AL15" s="1614"/>
      <c r="AM15" s="1614"/>
      <c r="AN15" s="1614"/>
      <c r="AO15" s="1614"/>
      <c r="AP15" s="1614"/>
      <c r="AQ15" s="1614"/>
      <c r="AR15" s="1614"/>
      <c r="AS15" s="1614"/>
      <c r="AT15" s="1615"/>
      <c r="AU15" s="1616"/>
      <c r="AV15" s="8">
        <f t="shared" si="6"/>
        <v>0</v>
      </c>
      <c r="AW15" s="8">
        <f t="shared" si="6"/>
        <v>0</v>
      </c>
      <c r="AX15" s="8">
        <f t="shared" si="6"/>
        <v>0</v>
      </c>
      <c r="AY15" s="133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6" customFormat="1" ht="13.2">
      <c r="A16" s="1041"/>
      <c r="B16" s="1041"/>
      <c r="C16" s="1557"/>
      <c r="D16" s="1612"/>
      <c r="E16" s="13">
        <f>IF($C$3="是",ROUND($A$3*G16/$B$3,2),ROUND($A$3*(G16-AT16)/$B$3,2))</f>
        <v>0</v>
      </c>
      <c r="F16" s="29"/>
      <c r="G16" s="30">
        <f>H16+AC16+AT16</f>
        <v>0</v>
      </c>
      <c r="H16" s="17">
        <f>SUMIF(I$12:AB$12,"总值",I16:AB16)</f>
        <v>0</v>
      </c>
      <c r="I16" s="1613"/>
      <c r="J16" s="1613"/>
      <c r="K16" s="1613"/>
      <c r="L16" s="1613"/>
      <c r="M16" s="1613"/>
      <c r="N16" s="1613"/>
      <c r="O16" s="1613"/>
      <c r="P16" s="1613"/>
      <c r="Q16" s="1613"/>
      <c r="R16" s="1613"/>
      <c r="S16" s="1613"/>
      <c r="T16" s="1613"/>
      <c r="U16" s="1613"/>
      <c r="V16" s="1613"/>
      <c r="W16" s="1613"/>
      <c r="X16" s="1613"/>
      <c r="Y16" s="1613"/>
      <c r="Z16" s="1613"/>
      <c r="AA16" s="1613"/>
      <c r="AB16" s="1613"/>
      <c r="AC16" s="13">
        <f>SUMIF(AD$12:AS$12,"总值",AD16:AS16)</f>
        <v>0</v>
      </c>
      <c r="AD16" s="1614"/>
      <c r="AE16" s="1614"/>
      <c r="AF16" s="1614"/>
      <c r="AG16" s="1614"/>
      <c r="AH16" s="1614"/>
      <c r="AI16" s="1614"/>
      <c r="AJ16" s="1614"/>
      <c r="AK16" s="1614"/>
      <c r="AL16" s="1614"/>
      <c r="AM16" s="1614"/>
      <c r="AN16" s="1614"/>
      <c r="AO16" s="1614"/>
      <c r="AP16" s="1614"/>
      <c r="AQ16" s="1614"/>
      <c r="AR16" s="1614"/>
      <c r="AS16" s="1614"/>
      <c r="AT16" s="1615"/>
      <c r="AU16" s="1616"/>
      <c r="AV16" s="8">
        <f t="shared" si="6"/>
        <v>0</v>
      </c>
      <c r="AW16" s="8">
        <f t="shared" si="6"/>
        <v>0</v>
      </c>
      <c r="AX16" s="8">
        <f t="shared" si="6"/>
        <v>0</v>
      </c>
      <c r="AY16" s="133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6" customFormat="1" ht="13.2">
      <c r="A17" s="1041"/>
      <c r="B17" s="1041"/>
      <c r="C17" s="1557"/>
      <c r="D17" s="1612"/>
      <c r="E17" s="13">
        <f>IF($C$3="是",ROUND($A$3*G17/$B$3,2),ROUND($A$3*(G17-AT17)/$B$3,2))</f>
        <v>0</v>
      </c>
      <c r="F17" s="29"/>
      <c r="G17" s="30">
        <f>H17+AC17+AT17</f>
        <v>0</v>
      </c>
      <c r="H17" s="17">
        <f>SUMIF(I$12:AB$12,"总值",I17:AB17)</f>
        <v>0</v>
      </c>
      <c r="I17" s="1613"/>
      <c r="J17" s="1613"/>
      <c r="K17" s="1613"/>
      <c r="L17" s="1613"/>
      <c r="M17" s="1613"/>
      <c r="N17" s="1613"/>
      <c r="O17" s="1613"/>
      <c r="P17" s="1613"/>
      <c r="Q17" s="1613"/>
      <c r="R17" s="1613"/>
      <c r="S17" s="1613"/>
      <c r="T17" s="1613"/>
      <c r="U17" s="1613"/>
      <c r="V17" s="1613"/>
      <c r="W17" s="1613"/>
      <c r="X17" s="1613"/>
      <c r="Y17" s="1613"/>
      <c r="Z17" s="1613"/>
      <c r="AA17" s="1613"/>
      <c r="AB17" s="1613"/>
      <c r="AC17" s="13">
        <f>SUMIF(AD$12:AS$12,"总值",AD17:AS17)</f>
        <v>0</v>
      </c>
      <c r="AD17" s="1614"/>
      <c r="AE17" s="1614"/>
      <c r="AF17" s="1614"/>
      <c r="AG17" s="1614"/>
      <c r="AH17" s="1614"/>
      <c r="AI17" s="1614"/>
      <c r="AJ17" s="1614"/>
      <c r="AK17" s="1614"/>
      <c r="AL17" s="1614"/>
      <c r="AM17" s="1614"/>
      <c r="AN17" s="1614"/>
      <c r="AO17" s="1614"/>
      <c r="AP17" s="1614"/>
      <c r="AQ17" s="1614"/>
      <c r="AR17" s="1614"/>
      <c r="AS17" s="1614"/>
      <c r="AT17" s="1615"/>
      <c r="AU17" s="1616"/>
      <c r="AV17" s="8">
        <f t="shared" si="6"/>
        <v>0</v>
      </c>
      <c r="AW17" s="8">
        <f t="shared" si="6"/>
        <v>0</v>
      </c>
      <c r="AX17" s="8">
        <f t="shared" si="6"/>
        <v>0</v>
      </c>
      <c r="AY17" s="133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8"/>
      <c r="AV18" s="1330">
        <f t="shared" ref="AV18:AV112" si="11">A18</f>
        <v>0</v>
      </c>
      <c r="AW18" s="1330">
        <f t="shared" ref="AW18:AW112" si="12">B18</f>
        <v>0</v>
      </c>
      <c r="AX18" s="133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8"/>
      <c r="AV19" s="1330">
        <f t="shared" si="11"/>
        <v>0</v>
      </c>
      <c r="AW19" s="1330">
        <f t="shared" si="12"/>
        <v>0</v>
      </c>
      <c r="AX19" s="133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8"/>
      <c r="AV20" s="1330">
        <f t="shared" si="11"/>
        <v>0</v>
      </c>
      <c r="AW20" s="1330">
        <f t="shared" si="12"/>
        <v>0</v>
      </c>
      <c r="AX20" s="133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8"/>
      <c r="AV21" s="1330">
        <f t="shared" si="11"/>
        <v>0</v>
      </c>
      <c r="AW21" s="1330">
        <f t="shared" si="12"/>
        <v>0</v>
      </c>
      <c r="AX21" s="133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8"/>
      <c r="AV22" s="1330">
        <f t="shared" si="11"/>
        <v>0</v>
      </c>
      <c r="AW22" s="1330">
        <f t="shared" si="12"/>
        <v>0</v>
      </c>
      <c r="AX22" s="133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8"/>
      <c r="AV23" s="1330">
        <f t="shared" si="11"/>
        <v>0</v>
      </c>
      <c r="AW23" s="1330">
        <f t="shared" si="12"/>
        <v>0</v>
      </c>
      <c r="AX23" s="133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8"/>
      <c r="AV24" s="1330">
        <f t="shared" si="11"/>
        <v>0</v>
      </c>
      <c r="AW24" s="1330">
        <f t="shared" si="12"/>
        <v>0</v>
      </c>
      <c r="AX24" s="133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8"/>
      <c r="AV25" s="1330">
        <f t="shared" si="11"/>
        <v>0</v>
      </c>
      <c r="AW25" s="1330">
        <f t="shared" si="12"/>
        <v>0</v>
      </c>
      <c r="AX25" s="133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8"/>
      <c r="AV26" s="1330">
        <f t="shared" si="11"/>
        <v>0</v>
      </c>
      <c r="AW26" s="1330">
        <f t="shared" si="12"/>
        <v>0</v>
      </c>
      <c r="AX26" s="133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8"/>
      <c r="AV27" s="1330">
        <f t="shared" si="11"/>
        <v>0</v>
      </c>
      <c r="AW27" s="1330">
        <f t="shared" si="12"/>
        <v>0</v>
      </c>
      <c r="AX27" s="133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8"/>
      <c r="AV28" s="1330">
        <f t="shared" si="11"/>
        <v>0</v>
      </c>
      <c r="AW28" s="1330">
        <f t="shared" si="12"/>
        <v>0</v>
      </c>
      <c r="AX28" s="133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8"/>
      <c r="AV29" s="1330">
        <f t="shared" si="11"/>
        <v>0</v>
      </c>
      <c r="AW29" s="1330">
        <f t="shared" si="12"/>
        <v>0</v>
      </c>
      <c r="AX29" s="133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8"/>
      <c r="AV30" s="1330">
        <f t="shared" si="11"/>
        <v>0</v>
      </c>
      <c r="AW30" s="1330">
        <f t="shared" si="12"/>
        <v>0</v>
      </c>
      <c r="AX30" s="133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8"/>
      <c r="AV31" s="1330">
        <f t="shared" si="11"/>
        <v>0</v>
      </c>
      <c r="AW31" s="1330">
        <f t="shared" si="12"/>
        <v>0</v>
      </c>
      <c r="AX31" s="133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8"/>
      <c r="AV32" s="1330">
        <f t="shared" si="11"/>
        <v>0</v>
      </c>
      <c r="AW32" s="1330">
        <f t="shared" si="12"/>
        <v>0</v>
      </c>
      <c r="AX32" s="133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8"/>
      <c r="AV33" s="1330">
        <f t="shared" si="11"/>
        <v>0</v>
      </c>
      <c r="AW33" s="1330">
        <f t="shared" si="12"/>
        <v>0</v>
      </c>
      <c r="AX33" s="133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8"/>
      <c r="AV34" s="1330">
        <f t="shared" si="11"/>
        <v>0</v>
      </c>
      <c r="AW34" s="1330">
        <f t="shared" si="12"/>
        <v>0</v>
      </c>
      <c r="AX34" s="133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8"/>
      <c r="AV35" s="1330">
        <f t="shared" si="11"/>
        <v>0</v>
      </c>
      <c r="AW35" s="1330">
        <f t="shared" si="12"/>
        <v>0</v>
      </c>
      <c r="AX35" s="133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8"/>
      <c r="AV36" s="1330">
        <f t="shared" si="11"/>
        <v>0</v>
      </c>
      <c r="AW36" s="1330">
        <f t="shared" si="12"/>
        <v>0</v>
      </c>
      <c r="AX36" s="133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8"/>
      <c r="AV37" s="1330">
        <f t="shared" si="11"/>
        <v>0</v>
      </c>
      <c r="AW37" s="1330">
        <f t="shared" si="12"/>
        <v>0</v>
      </c>
      <c r="AX37" s="133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8"/>
      <c r="AV38" s="1330">
        <f t="shared" si="11"/>
        <v>0</v>
      </c>
      <c r="AW38" s="1330">
        <f t="shared" si="12"/>
        <v>0</v>
      </c>
      <c r="AX38" s="133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8"/>
      <c r="AV39" s="1330">
        <f t="shared" si="11"/>
        <v>0</v>
      </c>
      <c r="AW39" s="1330">
        <f t="shared" si="12"/>
        <v>0</v>
      </c>
      <c r="AX39" s="133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8"/>
      <c r="AV40" s="1330">
        <f t="shared" si="11"/>
        <v>0</v>
      </c>
      <c r="AW40" s="1330">
        <f t="shared" si="12"/>
        <v>0</v>
      </c>
      <c r="AX40" s="133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8"/>
      <c r="AV41" s="1330">
        <f t="shared" si="11"/>
        <v>0</v>
      </c>
      <c r="AW41" s="1330">
        <f t="shared" si="12"/>
        <v>0</v>
      </c>
      <c r="AX41" s="133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8"/>
      <c r="AV42" s="1330">
        <f t="shared" si="11"/>
        <v>0</v>
      </c>
      <c r="AW42" s="1330">
        <f t="shared" si="12"/>
        <v>0</v>
      </c>
      <c r="AX42" s="133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8"/>
      <c r="AV43" s="1330">
        <f t="shared" si="11"/>
        <v>0</v>
      </c>
      <c r="AW43" s="1330">
        <f t="shared" si="12"/>
        <v>0</v>
      </c>
      <c r="AX43" s="133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8"/>
      <c r="AV44" s="1330">
        <f t="shared" si="11"/>
        <v>0</v>
      </c>
      <c r="AW44" s="1330">
        <f t="shared" si="12"/>
        <v>0</v>
      </c>
      <c r="AX44" s="133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8"/>
      <c r="AV45" s="1330">
        <f t="shared" si="11"/>
        <v>0</v>
      </c>
      <c r="AW45" s="1330">
        <f t="shared" si="12"/>
        <v>0</v>
      </c>
      <c r="AX45" s="133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8"/>
      <c r="AV46" s="1330">
        <f t="shared" si="11"/>
        <v>0</v>
      </c>
      <c r="AW46" s="1330">
        <f t="shared" si="12"/>
        <v>0</v>
      </c>
      <c r="AX46" s="133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8"/>
      <c r="AV47" s="1330">
        <f t="shared" si="11"/>
        <v>0</v>
      </c>
      <c r="AW47" s="1330">
        <f t="shared" si="12"/>
        <v>0</v>
      </c>
      <c r="AX47" s="133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8"/>
      <c r="AV48" s="1330">
        <f t="shared" si="11"/>
        <v>0</v>
      </c>
      <c r="AW48" s="1330">
        <f t="shared" si="12"/>
        <v>0</v>
      </c>
      <c r="AX48" s="133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8"/>
      <c r="AV49" s="1330">
        <f t="shared" si="11"/>
        <v>0</v>
      </c>
      <c r="AW49" s="1330">
        <f t="shared" si="12"/>
        <v>0</v>
      </c>
      <c r="AX49" s="133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8"/>
      <c r="AV50" s="1330">
        <f t="shared" si="11"/>
        <v>0</v>
      </c>
      <c r="AW50" s="1330">
        <f t="shared" si="12"/>
        <v>0</v>
      </c>
      <c r="AX50" s="133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8"/>
      <c r="AV51" s="1330">
        <f t="shared" si="11"/>
        <v>0</v>
      </c>
      <c r="AW51" s="1330">
        <f t="shared" si="12"/>
        <v>0</v>
      </c>
      <c r="AX51" s="133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8"/>
      <c r="AV52" s="1330">
        <f t="shared" si="11"/>
        <v>0</v>
      </c>
      <c r="AW52" s="1330">
        <f t="shared" si="12"/>
        <v>0</v>
      </c>
      <c r="AX52" s="133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8"/>
      <c r="AV53" s="1330">
        <f t="shared" si="11"/>
        <v>0</v>
      </c>
      <c r="AW53" s="1330">
        <f t="shared" si="12"/>
        <v>0</v>
      </c>
      <c r="AX53" s="133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8"/>
      <c r="AV54" s="1330">
        <f t="shared" si="11"/>
        <v>0</v>
      </c>
      <c r="AW54" s="1330">
        <f t="shared" si="12"/>
        <v>0</v>
      </c>
      <c r="AX54" s="133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8"/>
      <c r="AV55" s="1330">
        <f t="shared" si="11"/>
        <v>0</v>
      </c>
      <c r="AW55" s="1330">
        <f t="shared" si="12"/>
        <v>0</v>
      </c>
      <c r="AX55" s="133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8"/>
      <c r="AV56" s="1330">
        <f t="shared" si="11"/>
        <v>0</v>
      </c>
      <c r="AW56" s="1330">
        <f t="shared" si="12"/>
        <v>0</v>
      </c>
      <c r="AX56" s="133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8"/>
      <c r="AV57" s="1330">
        <f t="shared" si="11"/>
        <v>0</v>
      </c>
      <c r="AW57" s="1330">
        <f t="shared" si="12"/>
        <v>0</v>
      </c>
      <c r="AX57" s="133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8"/>
      <c r="AV58" s="1330">
        <f t="shared" si="11"/>
        <v>0</v>
      </c>
      <c r="AW58" s="1330">
        <f t="shared" si="12"/>
        <v>0</v>
      </c>
      <c r="AX58" s="133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8"/>
      <c r="AV59" s="1330">
        <f t="shared" si="11"/>
        <v>0</v>
      </c>
      <c r="AW59" s="1330">
        <f t="shared" si="12"/>
        <v>0</v>
      </c>
      <c r="AX59" s="133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8"/>
      <c r="AV60" s="1330">
        <f t="shared" si="11"/>
        <v>0</v>
      </c>
      <c r="AW60" s="1330">
        <f t="shared" si="12"/>
        <v>0</v>
      </c>
      <c r="AX60" s="133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8"/>
      <c r="AV61" s="1330">
        <f t="shared" si="11"/>
        <v>0</v>
      </c>
      <c r="AW61" s="1330">
        <f t="shared" si="12"/>
        <v>0</v>
      </c>
      <c r="AX61" s="133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8"/>
      <c r="AV62" s="1330">
        <f t="shared" si="11"/>
        <v>0</v>
      </c>
      <c r="AW62" s="1330">
        <f t="shared" si="12"/>
        <v>0</v>
      </c>
      <c r="AX62" s="133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8"/>
      <c r="AV63" s="1330">
        <f t="shared" si="11"/>
        <v>0</v>
      </c>
      <c r="AW63" s="1330">
        <f t="shared" si="12"/>
        <v>0</v>
      </c>
      <c r="AX63" s="133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8"/>
      <c r="AV64" s="1330">
        <f t="shared" si="11"/>
        <v>0</v>
      </c>
      <c r="AW64" s="1330">
        <f t="shared" si="12"/>
        <v>0</v>
      </c>
      <c r="AX64" s="133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8"/>
      <c r="AV65" s="1330">
        <f t="shared" si="11"/>
        <v>0</v>
      </c>
      <c r="AW65" s="1330">
        <f t="shared" si="12"/>
        <v>0</v>
      </c>
      <c r="AX65" s="133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8"/>
      <c r="AV66" s="1330">
        <f t="shared" si="11"/>
        <v>0</v>
      </c>
      <c r="AW66" s="1330">
        <f t="shared" si="12"/>
        <v>0</v>
      </c>
      <c r="AX66" s="133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8"/>
      <c r="AV67" s="1330">
        <f t="shared" si="11"/>
        <v>0</v>
      </c>
      <c r="AW67" s="1330">
        <f t="shared" si="12"/>
        <v>0</v>
      </c>
      <c r="AX67" s="133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8"/>
      <c r="AV68" s="1330">
        <f t="shared" si="11"/>
        <v>0</v>
      </c>
      <c r="AW68" s="1330">
        <f t="shared" si="12"/>
        <v>0</v>
      </c>
      <c r="AX68" s="133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8"/>
      <c r="AV69" s="1330">
        <f t="shared" si="11"/>
        <v>0</v>
      </c>
      <c r="AW69" s="1330">
        <f t="shared" si="12"/>
        <v>0</v>
      </c>
      <c r="AX69" s="133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8"/>
      <c r="AV70" s="1330">
        <f t="shared" si="11"/>
        <v>0</v>
      </c>
      <c r="AW70" s="1330">
        <f t="shared" si="12"/>
        <v>0</v>
      </c>
      <c r="AX70" s="133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8"/>
      <c r="AV71" s="1330">
        <f t="shared" si="11"/>
        <v>0</v>
      </c>
      <c r="AW71" s="1330">
        <f t="shared" si="12"/>
        <v>0</v>
      </c>
      <c r="AX71" s="133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8"/>
      <c r="AV72" s="1330">
        <f t="shared" si="11"/>
        <v>0</v>
      </c>
      <c r="AW72" s="1330">
        <f t="shared" si="12"/>
        <v>0</v>
      </c>
      <c r="AX72" s="133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8"/>
      <c r="AV73" s="1330">
        <f t="shared" si="11"/>
        <v>0</v>
      </c>
      <c r="AW73" s="1330">
        <f t="shared" si="12"/>
        <v>0</v>
      </c>
      <c r="AX73" s="133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8"/>
      <c r="AV74" s="1330">
        <f t="shared" si="11"/>
        <v>0</v>
      </c>
      <c r="AW74" s="1330">
        <f t="shared" si="12"/>
        <v>0</v>
      </c>
      <c r="AX74" s="133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8"/>
      <c r="AV75" s="1330">
        <f t="shared" si="11"/>
        <v>0</v>
      </c>
      <c r="AW75" s="1330">
        <f t="shared" si="12"/>
        <v>0</v>
      </c>
      <c r="AX75" s="133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8"/>
      <c r="AV76" s="1330">
        <f t="shared" si="11"/>
        <v>0</v>
      </c>
      <c r="AW76" s="1330">
        <f t="shared" si="12"/>
        <v>0</v>
      </c>
      <c r="AX76" s="133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8"/>
      <c r="AV77" s="1330">
        <f t="shared" si="11"/>
        <v>0</v>
      </c>
      <c r="AW77" s="1330">
        <f t="shared" si="12"/>
        <v>0</v>
      </c>
      <c r="AX77" s="133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8"/>
      <c r="AV78" s="1330">
        <f t="shared" si="11"/>
        <v>0</v>
      </c>
      <c r="AW78" s="1330">
        <f t="shared" si="12"/>
        <v>0</v>
      </c>
      <c r="AX78" s="133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8"/>
      <c r="AV79" s="1330">
        <f t="shared" si="11"/>
        <v>0</v>
      </c>
      <c r="AW79" s="1330">
        <f t="shared" si="12"/>
        <v>0</v>
      </c>
      <c r="AX79" s="133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8"/>
      <c r="AV80" s="1330">
        <f t="shared" si="11"/>
        <v>0</v>
      </c>
      <c r="AW80" s="1330">
        <f t="shared" si="12"/>
        <v>0</v>
      </c>
      <c r="AX80" s="133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8"/>
      <c r="AV81" s="1330">
        <f t="shared" si="11"/>
        <v>0</v>
      </c>
      <c r="AW81" s="1330">
        <f t="shared" si="12"/>
        <v>0</v>
      </c>
      <c r="AX81" s="133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8"/>
      <c r="AV82" s="1330">
        <f t="shared" si="11"/>
        <v>0</v>
      </c>
      <c r="AW82" s="1330">
        <f t="shared" si="12"/>
        <v>0</v>
      </c>
      <c r="AX82" s="133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8"/>
      <c r="AV83" s="1330">
        <f t="shared" si="11"/>
        <v>0</v>
      </c>
      <c r="AW83" s="1330">
        <f t="shared" si="12"/>
        <v>0</v>
      </c>
      <c r="AX83" s="133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8"/>
      <c r="AV84" s="1330">
        <f t="shared" si="11"/>
        <v>0</v>
      </c>
      <c r="AW84" s="1330">
        <f t="shared" si="12"/>
        <v>0</v>
      </c>
      <c r="AX84" s="133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8"/>
      <c r="AV85" s="1330">
        <f t="shared" si="11"/>
        <v>0</v>
      </c>
      <c r="AW85" s="1330">
        <f t="shared" si="12"/>
        <v>0</v>
      </c>
      <c r="AX85" s="133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8"/>
      <c r="AV86" s="1330">
        <f t="shared" si="11"/>
        <v>0</v>
      </c>
      <c r="AW86" s="1330">
        <f t="shared" si="12"/>
        <v>0</v>
      </c>
      <c r="AX86" s="133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8"/>
      <c r="AV87" s="1330">
        <f t="shared" si="11"/>
        <v>0</v>
      </c>
      <c r="AW87" s="1330">
        <f t="shared" si="12"/>
        <v>0</v>
      </c>
      <c r="AX87" s="133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8"/>
      <c r="AV88" s="1330">
        <f t="shared" si="11"/>
        <v>0</v>
      </c>
      <c r="AW88" s="1330">
        <f t="shared" si="12"/>
        <v>0</v>
      </c>
      <c r="AX88" s="133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8"/>
      <c r="AV89" s="1330">
        <f t="shared" si="11"/>
        <v>0</v>
      </c>
      <c r="AW89" s="1330">
        <f t="shared" si="12"/>
        <v>0</v>
      </c>
      <c r="AX89" s="133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8"/>
      <c r="AV90" s="1330">
        <f t="shared" si="11"/>
        <v>0</v>
      </c>
      <c r="AW90" s="1330">
        <f t="shared" si="12"/>
        <v>0</v>
      </c>
      <c r="AX90" s="133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8"/>
      <c r="AV91" s="1330">
        <f t="shared" si="11"/>
        <v>0</v>
      </c>
      <c r="AW91" s="1330">
        <f t="shared" si="12"/>
        <v>0</v>
      </c>
      <c r="AX91" s="133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8"/>
      <c r="AV92" s="1330">
        <f t="shared" si="11"/>
        <v>0</v>
      </c>
      <c r="AW92" s="1330">
        <f t="shared" si="12"/>
        <v>0</v>
      </c>
      <c r="AX92" s="133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8"/>
      <c r="AV93" s="1330">
        <f t="shared" si="11"/>
        <v>0</v>
      </c>
      <c r="AW93" s="1330">
        <f t="shared" si="12"/>
        <v>0</v>
      </c>
      <c r="AX93" s="133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8"/>
      <c r="AV94" s="1330">
        <f t="shared" si="11"/>
        <v>0</v>
      </c>
      <c r="AW94" s="1330">
        <f t="shared" si="12"/>
        <v>0</v>
      </c>
      <c r="AX94" s="133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8"/>
      <c r="AV95" s="1330">
        <f t="shared" si="11"/>
        <v>0</v>
      </c>
      <c r="AW95" s="1330">
        <f t="shared" si="12"/>
        <v>0</v>
      </c>
      <c r="AX95" s="133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8"/>
      <c r="AV96" s="1330">
        <f t="shared" si="11"/>
        <v>0</v>
      </c>
      <c r="AW96" s="1330">
        <f t="shared" si="12"/>
        <v>0</v>
      </c>
      <c r="AX96" s="133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8"/>
      <c r="AV97" s="1330">
        <f t="shared" si="11"/>
        <v>0</v>
      </c>
      <c r="AW97" s="1330">
        <f t="shared" si="12"/>
        <v>0</v>
      </c>
      <c r="AX97" s="133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8"/>
      <c r="AV98" s="1330">
        <f t="shared" si="11"/>
        <v>0</v>
      </c>
      <c r="AW98" s="1330">
        <f t="shared" si="12"/>
        <v>0</v>
      </c>
      <c r="AX98" s="133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8"/>
      <c r="AV99" s="1330">
        <f t="shared" si="11"/>
        <v>0</v>
      </c>
      <c r="AW99" s="1330">
        <f t="shared" si="12"/>
        <v>0</v>
      </c>
      <c r="AX99" s="133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8"/>
      <c r="AV100" s="1330">
        <f t="shared" si="11"/>
        <v>0</v>
      </c>
      <c r="AW100" s="1330">
        <f t="shared" si="12"/>
        <v>0</v>
      </c>
      <c r="AX100" s="133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8"/>
      <c r="AV101" s="1330">
        <f t="shared" si="11"/>
        <v>0</v>
      </c>
      <c r="AW101" s="1330">
        <f t="shared" si="12"/>
        <v>0</v>
      </c>
      <c r="AX101" s="133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8"/>
      <c r="AV102" s="1330">
        <f t="shared" si="11"/>
        <v>0</v>
      </c>
      <c r="AW102" s="1330">
        <f t="shared" si="12"/>
        <v>0</v>
      </c>
      <c r="AX102" s="133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8"/>
      <c r="AV103" s="1330">
        <f t="shared" si="11"/>
        <v>0</v>
      </c>
      <c r="AW103" s="1330">
        <f t="shared" si="12"/>
        <v>0</v>
      </c>
      <c r="AX103" s="133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8"/>
      <c r="AV104" s="1330">
        <f t="shared" si="11"/>
        <v>0</v>
      </c>
      <c r="AW104" s="1330">
        <f t="shared" si="12"/>
        <v>0</v>
      </c>
      <c r="AX104" s="133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8"/>
      <c r="AV105" s="1330">
        <f t="shared" si="11"/>
        <v>0</v>
      </c>
      <c r="AW105" s="1330">
        <f t="shared" si="12"/>
        <v>0</v>
      </c>
      <c r="AX105" s="133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8"/>
      <c r="AV106" s="1330">
        <f t="shared" si="11"/>
        <v>0</v>
      </c>
      <c r="AW106" s="1330">
        <f t="shared" si="12"/>
        <v>0</v>
      </c>
      <c r="AX106" s="133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8"/>
      <c r="AV107" s="1330">
        <f t="shared" si="11"/>
        <v>0</v>
      </c>
      <c r="AW107" s="1330">
        <f t="shared" si="12"/>
        <v>0</v>
      </c>
      <c r="AX107" s="133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8"/>
      <c r="AV108" s="1330">
        <f t="shared" si="11"/>
        <v>0</v>
      </c>
      <c r="AW108" s="1330">
        <f t="shared" si="12"/>
        <v>0</v>
      </c>
      <c r="AX108" s="133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8"/>
      <c r="AV109" s="1330">
        <f t="shared" si="11"/>
        <v>0</v>
      </c>
      <c r="AW109" s="1330">
        <f t="shared" si="12"/>
        <v>0</v>
      </c>
      <c r="AX109" s="133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8"/>
      <c r="AV110" s="1330">
        <f t="shared" si="11"/>
        <v>0</v>
      </c>
      <c r="AW110" s="1330">
        <f t="shared" si="12"/>
        <v>0</v>
      </c>
      <c r="AX110" s="133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8"/>
      <c r="AV111" s="1330">
        <f t="shared" si="11"/>
        <v>0</v>
      </c>
      <c r="AW111" s="1330">
        <f t="shared" si="12"/>
        <v>0</v>
      </c>
      <c r="AX111" s="133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8"/>
      <c r="AV112" s="1330">
        <f t="shared" si="11"/>
        <v>0</v>
      </c>
      <c r="AW112" s="1330">
        <f t="shared" si="12"/>
        <v>0</v>
      </c>
      <c r="AX112" s="133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8"/>
      <c r="AV113" s="1330">
        <f t="shared" ref="AV113:AV144" si="62">A113</f>
        <v>0</v>
      </c>
      <c r="AW113" s="1330">
        <f t="shared" ref="AW113:AW144" si="63">B113</f>
        <v>0</v>
      </c>
      <c r="AX113" s="133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8"/>
      <c r="AV114" s="1330">
        <f t="shared" si="62"/>
        <v>0</v>
      </c>
      <c r="AW114" s="1330">
        <f t="shared" si="63"/>
        <v>0</v>
      </c>
      <c r="AX114" s="133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8"/>
      <c r="AV115" s="1330">
        <f t="shared" si="62"/>
        <v>0</v>
      </c>
      <c r="AW115" s="1330">
        <f t="shared" si="63"/>
        <v>0</v>
      </c>
      <c r="AX115" s="133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8"/>
      <c r="AV116" s="1330">
        <f t="shared" si="62"/>
        <v>0</v>
      </c>
      <c r="AW116" s="1330">
        <f t="shared" si="63"/>
        <v>0</v>
      </c>
      <c r="AX116" s="133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8"/>
      <c r="AV117" s="1330">
        <f t="shared" si="62"/>
        <v>0</v>
      </c>
      <c r="AW117" s="1330">
        <f t="shared" si="63"/>
        <v>0</v>
      </c>
      <c r="AX117" s="133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8"/>
      <c r="AV118" s="1330">
        <f t="shared" si="62"/>
        <v>0</v>
      </c>
      <c r="AW118" s="1330">
        <f t="shared" si="63"/>
        <v>0</v>
      </c>
      <c r="AX118" s="133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8"/>
      <c r="AV119" s="1330">
        <f t="shared" si="62"/>
        <v>0</v>
      </c>
      <c r="AW119" s="1330">
        <f t="shared" si="63"/>
        <v>0</v>
      </c>
      <c r="AX119" s="133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8"/>
      <c r="AV120" s="1330">
        <f t="shared" si="62"/>
        <v>0</v>
      </c>
      <c r="AW120" s="1330">
        <f t="shared" si="63"/>
        <v>0</v>
      </c>
      <c r="AX120" s="133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8"/>
      <c r="AV121" s="1330">
        <f t="shared" si="62"/>
        <v>0</v>
      </c>
      <c r="AW121" s="1330">
        <f t="shared" si="63"/>
        <v>0</v>
      </c>
      <c r="AX121" s="133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8"/>
      <c r="AV122" s="1330">
        <f t="shared" si="62"/>
        <v>0</v>
      </c>
      <c r="AW122" s="1330">
        <f t="shared" si="63"/>
        <v>0</v>
      </c>
      <c r="AX122" s="133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8"/>
      <c r="AV123" s="1330">
        <f t="shared" si="62"/>
        <v>0</v>
      </c>
      <c r="AW123" s="1330">
        <f t="shared" si="63"/>
        <v>0</v>
      </c>
      <c r="AX123" s="133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8"/>
      <c r="AV124" s="1330">
        <f t="shared" si="62"/>
        <v>0</v>
      </c>
      <c r="AW124" s="1330">
        <f t="shared" si="63"/>
        <v>0</v>
      </c>
      <c r="AX124" s="133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8"/>
      <c r="AV125" s="1330">
        <f t="shared" si="62"/>
        <v>0</v>
      </c>
      <c r="AW125" s="1330">
        <f t="shared" si="63"/>
        <v>0</v>
      </c>
      <c r="AX125" s="133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8"/>
      <c r="AV126" s="1330">
        <f t="shared" si="62"/>
        <v>0</v>
      </c>
      <c r="AW126" s="1330">
        <f t="shared" si="63"/>
        <v>0</v>
      </c>
      <c r="AX126" s="133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8"/>
      <c r="AV127" s="1330">
        <f t="shared" si="62"/>
        <v>0</v>
      </c>
      <c r="AW127" s="1330">
        <f t="shared" si="63"/>
        <v>0</v>
      </c>
      <c r="AX127" s="133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8"/>
      <c r="AV128" s="1330">
        <f t="shared" si="62"/>
        <v>0</v>
      </c>
      <c r="AW128" s="1330">
        <f t="shared" si="63"/>
        <v>0</v>
      </c>
      <c r="AX128" s="133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8"/>
      <c r="AV129" s="1330">
        <f t="shared" si="62"/>
        <v>0</v>
      </c>
      <c r="AW129" s="1330">
        <f t="shared" si="63"/>
        <v>0</v>
      </c>
      <c r="AX129" s="133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8"/>
      <c r="AV130" s="1330">
        <f t="shared" si="62"/>
        <v>0</v>
      </c>
      <c r="AW130" s="1330">
        <f t="shared" si="63"/>
        <v>0</v>
      </c>
      <c r="AX130" s="133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8"/>
      <c r="AV131" s="1330">
        <f t="shared" si="62"/>
        <v>0</v>
      </c>
      <c r="AW131" s="1330">
        <f t="shared" si="63"/>
        <v>0</v>
      </c>
      <c r="AX131" s="133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8"/>
      <c r="AV132" s="1330">
        <f t="shared" si="62"/>
        <v>0</v>
      </c>
      <c r="AW132" s="1330">
        <f t="shared" si="63"/>
        <v>0</v>
      </c>
      <c r="AX132" s="133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8"/>
      <c r="AV133" s="1330">
        <f t="shared" si="62"/>
        <v>0</v>
      </c>
      <c r="AW133" s="1330">
        <f t="shared" si="63"/>
        <v>0</v>
      </c>
      <c r="AX133" s="133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8"/>
      <c r="AV134" s="1330">
        <f t="shared" si="62"/>
        <v>0</v>
      </c>
      <c r="AW134" s="1330">
        <f t="shared" si="63"/>
        <v>0</v>
      </c>
      <c r="AX134" s="133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8"/>
      <c r="AV135" s="1330">
        <f t="shared" si="62"/>
        <v>0</v>
      </c>
      <c r="AW135" s="1330">
        <f t="shared" si="63"/>
        <v>0</v>
      </c>
      <c r="AX135" s="133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8"/>
      <c r="AV136" s="1330">
        <f t="shared" si="62"/>
        <v>0</v>
      </c>
      <c r="AW136" s="1330">
        <f t="shared" si="63"/>
        <v>0</v>
      </c>
      <c r="AX136" s="133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8"/>
      <c r="AV137" s="1330">
        <f t="shared" si="62"/>
        <v>0</v>
      </c>
      <c r="AW137" s="1330">
        <f t="shared" si="63"/>
        <v>0</v>
      </c>
      <c r="AX137" s="133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8"/>
      <c r="AV138" s="1330">
        <f t="shared" si="62"/>
        <v>0</v>
      </c>
      <c r="AW138" s="1330">
        <f t="shared" si="63"/>
        <v>0</v>
      </c>
      <c r="AX138" s="133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8"/>
      <c r="AV139" s="1330">
        <f t="shared" si="62"/>
        <v>0</v>
      </c>
      <c r="AW139" s="1330">
        <f t="shared" si="63"/>
        <v>0</v>
      </c>
      <c r="AX139" s="133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8"/>
      <c r="AV140" s="1330">
        <f t="shared" si="62"/>
        <v>0</v>
      </c>
      <c r="AW140" s="1330">
        <f t="shared" si="63"/>
        <v>0</v>
      </c>
      <c r="AX140" s="133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8"/>
      <c r="AV141" s="1330">
        <f t="shared" si="62"/>
        <v>0</v>
      </c>
      <c r="AW141" s="1330">
        <f t="shared" si="63"/>
        <v>0</v>
      </c>
      <c r="AX141" s="133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8"/>
      <c r="AV142" s="1330">
        <f t="shared" si="62"/>
        <v>0</v>
      </c>
      <c r="AW142" s="1330">
        <f t="shared" si="63"/>
        <v>0</v>
      </c>
      <c r="AX142" s="133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8"/>
      <c r="AV143" s="1330">
        <f t="shared" si="62"/>
        <v>0</v>
      </c>
      <c r="AW143" s="1330">
        <f t="shared" si="63"/>
        <v>0</v>
      </c>
      <c r="AX143" s="133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8"/>
      <c r="AV144" s="1330">
        <f t="shared" si="62"/>
        <v>0</v>
      </c>
      <c r="AW144" s="1330">
        <f t="shared" si="63"/>
        <v>0</v>
      </c>
      <c r="AX144" s="133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8"/>
      <c r="AV145" s="1330">
        <f t="shared" ref="AV145:AV176" si="91">A145</f>
        <v>0</v>
      </c>
      <c r="AW145" s="1330">
        <f t="shared" ref="AW145:AW176" si="92">B145</f>
        <v>0</v>
      </c>
      <c r="AX145" s="133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8"/>
      <c r="AV146" s="1330">
        <f t="shared" si="91"/>
        <v>0</v>
      </c>
      <c r="AW146" s="1330">
        <f t="shared" si="92"/>
        <v>0</v>
      </c>
      <c r="AX146" s="133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8"/>
      <c r="AV147" s="1330">
        <f t="shared" si="91"/>
        <v>0</v>
      </c>
      <c r="AW147" s="1330">
        <f t="shared" si="92"/>
        <v>0</v>
      </c>
      <c r="AX147" s="133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8"/>
      <c r="AV148" s="1330">
        <f t="shared" si="91"/>
        <v>0</v>
      </c>
      <c r="AW148" s="1330">
        <f t="shared" si="92"/>
        <v>0</v>
      </c>
      <c r="AX148" s="133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8"/>
      <c r="AV149" s="1330">
        <f t="shared" si="91"/>
        <v>0</v>
      </c>
      <c r="AW149" s="1330">
        <f t="shared" si="92"/>
        <v>0</v>
      </c>
      <c r="AX149" s="133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8"/>
      <c r="AV150" s="1330">
        <f t="shared" si="91"/>
        <v>0</v>
      </c>
      <c r="AW150" s="1330">
        <f t="shared" si="92"/>
        <v>0</v>
      </c>
      <c r="AX150" s="133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8"/>
      <c r="AV151" s="1330">
        <f t="shared" si="91"/>
        <v>0</v>
      </c>
      <c r="AW151" s="1330">
        <f t="shared" si="92"/>
        <v>0</v>
      </c>
      <c r="AX151" s="133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8"/>
      <c r="AV152" s="1330">
        <f t="shared" si="91"/>
        <v>0</v>
      </c>
      <c r="AW152" s="1330">
        <f t="shared" si="92"/>
        <v>0</v>
      </c>
      <c r="AX152" s="133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8"/>
      <c r="AV153" s="1330">
        <f t="shared" si="91"/>
        <v>0</v>
      </c>
      <c r="AW153" s="1330">
        <f t="shared" si="92"/>
        <v>0</v>
      </c>
      <c r="AX153" s="133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8"/>
      <c r="AV154" s="1330">
        <f t="shared" si="91"/>
        <v>0</v>
      </c>
      <c r="AW154" s="1330">
        <f t="shared" si="92"/>
        <v>0</v>
      </c>
      <c r="AX154" s="133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8"/>
      <c r="AV155" s="1330">
        <f t="shared" si="91"/>
        <v>0</v>
      </c>
      <c r="AW155" s="1330">
        <f t="shared" si="92"/>
        <v>0</v>
      </c>
      <c r="AX155" s="133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8"/>
      <c r="AV156" s="1330">
        <f t="shared" si="91"/>
        <v>0</v>
      </c>
      <c r="AW156" s="1330">
        <f t="shared" si="92"/>
        <v>0</v>
      </c>
      <c r="AX156" s="133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8"/>
      <c r="AV157" s="1330">
        <f t="shared" si="91"/>
        <v>0</v>
      </c>
      <c r="AW157" s="1330">
        <f t="shared" si="92"/>
        <v>0</v>
      </c>
      <c r="AX157" s="133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8"/>
      <c r="AV158" s="1330">
        <f t="shared" si="91"/>
        <v>0</v>
      </c>
      <c r="AW158" s="1330">
        <f t="shared" si="92"/>
        <v>0</v>
      </c>
      <c r="AX158" s="133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8"/>
      <c r="AV159" s="1330">
        <f t="shared" si="91"/>
        <v>0</v>
      </c>
      <c r="AW159" s="1330">
        <f t="shared" si="92"/>
        <v>0</v>
      </c>
      <c r="AX159" s="133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8"/>
      <c r="AV160" s="1330">
        <f t="shared" si="91"/>
        <v>0</v>
      </c>
      <c r="AW160" s="1330">
        <f t="shared" si="92"/>
        <v>0</v>
      </c>
      <c r="AX160" s="133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8"/>
      <c r="AV161" s="1330">
        <f t="shared" si="91"/>
        <v>0</v>
      </c>
      <c r="AW161" s="1330">
        <f t="shared" si="92"/>
        <v>0</v>
      </c>
      <c r="AX161" s="133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8"/>
      <c r="AV162" s="1330">
        <f t="shared" si="91"/>
        <v>0</v>
      </c>
      <c r="AW162" s="1330">
        <f t="shared" si="92"/>
        <v>0</v>
      </c>
      <c r="AX162" s="133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8"/>
      <c r="AV163" s="1330">
        <f t="shared" si="91"/>
        <v>0</v>
      </c>
      <c r="AW163" s="1330">
        <f t="shared" si="92"/>
        <v>0</v>
      </c>
      <c r="AX163" s="133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8"/>
      <c r="AV164" s="1330">
        <f t="shared" si="91"/>
        <v>0</v>
      </c>
      <c r="AW164" s="1330">
        <f t="shared" si="92"/>
        <v>0</v>
      </c>
      <c r="AX164" s="133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8"/>
      <c r="AV165" s="1330">
        <f t="shared" si="91"/>
        <v>0</v>
      </c>
      <c r="AW165" s="1330">
        <f t="shared" si="92"/>
        <v>0</v>
      </c>
      <c r="AX165" s="133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8"/>
      <c r="AV166" s="1330">
        <f t="shared" si="91"/>
        <v>0</v>
      </c>
      <c r="AW166" s="1330">
        <f t="shared" si="92"/>
        <v>0</v>
      </c>
      <c r="AX166" s="133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8"/>
      <c r="AV167" s="1330">
        <f t="shared" si="91"/>
        <v>0</v>
      </c>
      <c r="AW167" s="1330">
        <f t="shared" si="92"/>
        <v>0</v>
      </c>
      <c r="AX167" s="133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8"/>
      <c r="AV168" s="1330">
        <f t="shared" si="91"/>
        <v>0</v>
      </c>
      <c r="AW168" s="1330">
        <f t="shared" si="92"/>
        <v>0</v>
      </c>
      <c r="AX168" s="133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8"/>
      <c r="AV169" s="1330">
        <f t="shared" si="91"/>
        <v>0</v>
      </c>
      <c r="AW169" s="1330">
        <f t="shared" si="92"/>
        <v>0</v>
      </c>
      <c r="AX169" s="133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8"/>
      <c r="AV170" s="1330">
        <f t="shared" si="91"/>
        <v>0</v>
      </c>
      <c r="AW170" s="1330">
        <f t="shared" si="92"/>
        <v>0</v>
      </c>
      <c r="AX170" s="133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8"/>
      <c r="AV171" s="1330">
        <f t="shared" si="91"/>
        <v>0</v>
      </c>
      <c r="AW171" s="1330">
        <f t="shared" si="92"/>
        <v>0</v>
      </c>
      <c r="AX171" s="133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8"/>
      <c r="AV172" s="1330">
        <f t="shared" si="91"/>
        <v>0</v>
      </c>
      <c r="AW172" s="1330">
        <f t="shared" si="92"/>
        <v>0</v>
      </c>
      <c r="AX172" s="133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8"/>
      <c r="AV173" s="1330">
        <f t="shared" si="91"/>
        <v>0</v>
      </c>
      <c r="AW173" s="1330">
        <f t="shared" si="92"/>
        <v>0</v>
      </c>
      <c r="AX173" s="133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8"/>
      <c r="AV174" s="1330">
        <f t="shared" si="91"/>
        <v>0</v>
      </c>
      <c r="AW174" s="1330">
        <f t="shared" si="92"/>
        <v>0</v>
      </c>
      <c r="AX174" s="133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8"/>
      <c r="AV175" s="1330">
        <f t="shared" si="91"/>
        <v>0</v>
      </c>
      <c r="AW175" s="1330">
        <f t="shared" si="92"/>
        <v>0</v>
      </c>
      <c r="AX175" s="133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8"/>
      <c r="AV176" s="1330">
        <f t="shared" si="91"/>
        <v>0</v>
      </c>
      <c r="AW176" s="1330">
        <f t="shared" si="92"/>
        <v>0</v>
      </c>
      <c r="AX176" s="133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8"/>
      <c r="AV177" s="1330">
        <f t="shared" ref="AV177:AV207" si="120">A177</f>
        <v>0</v>
      </c>
      <c r="AW177" s="1330">
        <f t="shared" ref="AW177:AW207" si="121">B177</f>
        <v>0</v>
      </c>
      <c r="AX177" s="133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8"/>
      <c r="AV178" s="1330">
        <f t="shared" si="120"/>
        <v>0</v>
      </c>
      <c r="AW178" s="1330">
        <f t="shared" si="121"/>
        <v>0</v>
      </c>
      <c r="AX178" s="133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8"/>
      <c r="AV179" s="1330">
        <f t="shared" si="120"/>
        <v>0</v>
      </c>
      <c r="AW179" s="1330">
        <f t="shared" si="121"/>
        <v>0</v>
      </c>
      <c r="AX179" s="133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8"/>
      <c r="AV180" s="1330">
        <f t="shared" si="120"/>
        <v>0</v>
      </c>
      <c r="AW180" s="1330">
        <f t="shared" si="121"/>
        <v>0</v>
      </c>
      <c r="AX180" s="133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8"/>
      <c r="AV181" s="1330">
        <f t="shared" si="120"/>
        <v>0</v>
      </c>
      <c r="AW181" s="1330">
        <f t="shared" si="121"/>
        <v>0</v>
      </c>
      <c r="AX181" s="133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8"/>
      <c r="AV182" s="1330">
        <f t="shared" si="120"/>
        <v>0</v>
      </c>
      <c r="AW182" s="1330">
        <f t="shared" si="121"/>
        <v>0</v>
      </c>
      <c r="AX182" s="133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8"/>
      <c r="AV183" s="1330">
        <f t="shared" si="120"/>
        <v>0</v>
      </c>
      <c r="AW183" s="1330">
        <f t="shared" si="121"/>
        <v>0</v>
      </c>
      <c r="AX183" s="133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8"/>
      <c r="AV184" s="1330">
        <f t="shared" si="120"/>
        <v>0</v>
      </c>
      <c r="AW184" s="1330">
        <f t="shared" si="121"/>
        <v>0</v>
      </c>
      <c r="AX184" s="133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8"/>
      <c r="AV185" s="1330">
        <f t="shared" si="120"/>
        <v>0</v>
      </c>
      <c r="AW185" s="1330">
        <f t="shared" si="121"/>
        <v>0</v>
      </c>
      <c r="AX185" s="133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8"/>
      <c r="AV186" s="1330">
        <f t="shared" si="120"/>
        <v>0</v>
      </c>
      <c r="AW186" s="1330">
        <f t="shared" si="121"/>
        <v>0</v>
      </c>
      <c r="AX186" s="133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8"/>
      <c r="AV187" s="1330">
        <f t="shared" si="120"/>
        <v>0</v>
      </c>
      <c r="AW187" s="1330">
        <f t="shared" si="121"/>
        <v>0</v>
      </c>
      <c r="AX187" s="133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8"/>
      <c r="AV188" s="1330">
        <f t="shared" si="120"/>
        <v>0</v>
      </c>
      <c r="AW188" s="1330">
        <f t="shared" si="121"/>
        <v>0</v>
      </c>
      <c r="AX188" s="133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8"/>
      <c r="AV189" s="1330">
        <f t="shared" si="120"/>
        <v>0</v>
      </c>
      <c r="AW189" s="1330">
        <f t="shared" si="121"/>
        <v>0</v>
      </c>
      <c r="AX189" s="133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8"/>
      <c r="AV190" s="1330">
        <f t="shared" si="120"/>
        <v>0</v>
      </c>
      <c r="AW190" s="1330">
        <f t="shared" si="121"/>
        <v>0</v>
      </c>
      <c r="AX190" s="133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8"/>
      <c r="AV191" s="1330">
        <f t="shared" si="120"/>
        <v>0</v>
      </c>
      <c r="AW191" s="1330">
        <f t="shared" si="121"/>
        <v>0</v>
      </c>
      <c r="AX191" s="133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8"/>
      <c r="AV192" s="1330">
        <f t="shared" si="120"/>
        <v>0</v>
      </c>
      <c r="AW192" s="1330">
        <f t="shared" si="121"/>
        <v>0</v>
      </c>
      <c r="AX192" s="133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8"/>
      <c r="AV193" s="1330">
        <f t="shared" si="120"/>
        <v>0</v>
      </c>
      <c r="AW193" s="1330">
        <f t="shared" si="121"/>
        <v>0</v>
      </c>
      <c r="AX193" s="133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8"/>
      <c r="AV194" s="1330">
        <f t="shared" si="120"/>
        <v>0</v>
      </c>
      <c r="AW194" s="1330">
        <f t="shared" si="121"/>
        <v>0</v>
      </c>
      <c r="AX194" s="133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8"/>
      <c r="AV195" s="1330">
        <f t="shared" si="120"/>
        <v>0</v>
      </c>
      <c r="AW195" s="1330">
        <f t="shared" si="121"/>
        <v>0</v>
      </c>
      <c r="AX195" s="133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8"/>
      <c r="AV196" s="1330">
        <f t="shared" si="120"/>
        <v>0</v>
      </c>
      <c r="AW196" s="1330">
        <f t="shared" si="121"/>
        <v>0</v>
      </c>
      <c r="AX196" s="133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8"/>
      <c r="AV197" s="1330">
        <f t="shared" si="120"/>
        <v>0</v>
      </c>
      <c r="AW197" s="1330">
        <f t="shared" si="121"/>
        <v>0</v>
      </c>
      <c r="AX197" s="133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8"/>
      <c r="AV198" s="1330">
        <f t="shared" si="120"/>
        <v>0</v>
      </c>
      <c r="AW198" s="1330">
        <f t="shared" si="121"/>
        <v>0</v>
      </c>
      <c r="AX198" s="133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8"/>
      <c r="AV199" s="1330">
        <f t="shared" si="120"/>
        <v>0</v>
      </c>
      <c r="AW199" s="1330">
        <f t="shared" si="121"/>
        <v>0</v>
      </c>
      <c r="AX199" s="133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8"/>
      <c r="AV200" s="1330">
        <f t="shared" si="120"/>
        <v>0</v>
      </c>
      <c r="AW200" s="1330">
        <f t="shared" si="121"/>
        <v>0</v>
      </c>
      <c r="AX200" s="133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8"/>
      <c r="AV201" s="1330">
        <f t="shared" si="120"/>
        <v>0</v>
      </c>
      <c r="AW201" s="1330">
        <f t="shared" si="121"/>
        <v>0</v>
      </c>
      <c r="AX201" s="133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8"/>
      <c r="AV202" s="1330">
        <f t="shared" si="120"/>
        <v>0</v>
      </c>
      <c r="AW202" s="1330">
        <f t="shared" si="121"/>
        <v>0</v>
      </c>
      <c r="AX202" s="133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8"/>
      <c r="AV203" s="1330">
        <f t="shared" si="120"/>
        <v>0</v>
      </c>
      <c r="AW203" s="1330">
        <f t="shared" si="121"/>
        <v>0</v>
      </c>
      <c r="AX203" s="133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8"/>
      <c r="AV204" s="1330">
        <f t="shared" si="120"/>
        <v>0</v>
      </c>
      <c r="AW204" s="1330">
        <f t="shared" si="121"/>
        <v>0</v>
      </c>
      <c r="AX204" s="133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8"/>
      <c r="AV205" s="1330">
        <f t="shared" si="120"/>
        <v>0</v>
      </c>
      <c r="AW205" s="1330">
        <f t="shared" si="121"/>
        <v>0</v>
      </c>
      <c r="AX205" s="133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8"/>
      <c r="AV206" s="1330">
        <f t="shared" si="120"/>
        <v>0</v>
      </c>
      <c r="AW206" s="1330">
        <f t="shared" si="121"/>
        <v>0</v>
      </c>
      <c r="AX206" s="133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8"/>
      <c r="AV207" s="1330">
        <f t="shared" si="120"/>
        <v>0</v>
      </c>
      <c r="AW207" s="1330">
        <f t="shared" si="121"/>
        <v>0</v>
      </c>
      <c r="AX207" s="133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8"/>
      <c r="AV208" s="1330">
        <f t="shared" ref="AV208:AV302" si="127">A208</f>
        <v>0</v>
      </c>
      <c r="AW208" s="1330">
        <f t="shared" ref="AW208:AW302" si="128">B208</f>
        <v>0</v>
      </c>
      <c r="AX208" s="133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8"/>
      <c r="AV209" s="1330">
        <f t="shared" si="127"/>
        <v>0</v>
      </c>
      <c r="AW209" s="1330">
        <f t="shared" si="128"/>
        <v>0</v>
      </c>
      <c r="AX209" s="133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8"/>
      <c r="AV210" s="1330">
        <f t="shared" si="127"/>
        <v>0</v>
      </c>
      <c r="AW210" s="1330">
        <f t="shared" si="128"/>
        <v>0</v>
      </c>
      <c r="AX210" s="133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8"/>
      <c r="AV211" s="1330">
        <f t="shared" si="127"/>
        <v>0</v>
      </c>
      <c r="AW211" s="1330">
        <f t="shared" si="128"/>
        <v>0</v>
      </c>
      <c r="AX211" s="133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8"/>
      <c r="AV212" s="1330">
        <f t="shared" si="127"/>
        <v>0</v>
      </c>
      <c r="AW212" s="1330">
        <f t="shared" si="128"/>
        <v>0</v>
      </c>
      <c r="AX212" s="133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8"/>
      <c r="AV213" s="1330">
        <f t="shared" si="127"/>
        <v>0</v>
      </c>
      <c r="AW213" s="1330">
        <f t="shared" si="128"/>
        <v>0</v>
      </c>
      <c r="AX213" s="133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8"/>
      <c r="AV214" s="1330">
        <f t="shared" si="127"/>
        <v>0</v>
      </c>
      <c r="AW214" s="1330">
        <f t="shared" si="128"/>
        <v>0</v>
      </c>
      <c r="AX214" s="133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8"/>
      <c r="AV215" s="1330">
        <f t="shared" si="127"/>
        <v>0</v>
      </c>
      <c r="AW215" s="1330">
        <f t="shared" si="128"/>
        <v>0</v>
      </c>
      <c r="AX215" s="133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8"/>
      <c r="AV216" s="1330">
        <f t="shared" si="127"/>
        <v>0</v>
      </c>
      <c r="AW216" s="1330">
        <f t="shared" si="128"/>
        <v>0</v>
      </c>
      <c r="AX216" s="133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8"/>
      <c r="AV217" s="1330">
        <f t="shared" si="127"/>
        <v>0</v>
      </c>
      <c r="AW217" s="1330">
        <f t="shared" si="128"/>
        <v>0</v>
      </c>
      <c r="AX217" s="133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8"/>
      <c r="AV218" s="1330">
        <f t="shared" si="127"/>
        <v>0</v>
      </c>
      <c r="AW218" s="1330">
        <f t="shared" si="128"/>
        <v>0</v>
      </c>
      <c r="AX218" s="133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8"/>
      <c r="AV219" s="1330">
        <f t="shared" si="127"/>
        <v>0</v>
      </c>
      <c r="AW219" s="1330">
        <f t="shared" si="128"/>
        <v>0</v>
      </c>
      <c r="AX219" s="133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8"/>
      <c r="AV220" s="1330">
        <f t="shared" si="127"/>
        <v>0</v>
      </c>
      <c r="AW220" s="1330">
        <f t="shared" si="128"/>
        <v>0</v>
      </c>
      <c r="AX220" s="133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8"/>
      <c r="AV221" s="1330">
        <f t="shared" si="127"/>
        <v>0</v>
      </c>
      <c r="AW221" s="1330">
        <f t="shared" si="128"/>
        <v>0</v>
      </c>
      <c r="AX221" s="133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8"/>
      <c r="AV222" s="1330">
        <f t="shared" si="127"/>
        <v>0</v>
      </c>
      <c r="AW222" s="1330">
        <f t="shared" si="128"/>
        <v>0</v>
      </c>
      <c r="AX222" s="133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8"/>
      <c r="AV223" s="1330">
        <f t="shared" si="127"/>
        <v>0</v>
      </c>
      <c r="AW223" s="1330">
        <f t="shared" si="128"/>
        <v>0</v>
      </c>
      <c r="AX223" s="133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8"/>
      <c r="AV224" s="1330">
        <f t="shared" si="127"/>
        <v>0</v>
      </c>
      <c r="AW224" s="1330">
        <f t="shared" si="128"/>
        <v>0</v>
      </c>
      <c r="AX224" s="133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8"/>
      <c r="AV225" s="1330">
        <f t="shared" si="127"/>
        <v>0</v>
      </c>
      <c r="AW225" s="1330">
        <f t="shared" si="128"/>
        <v>0</v>
      </c>
      <c r="AX225" s="133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8"/>
      <c r="AV226" s="1330">
        <f t="shared" si="127"/>
        <v>0</v>
      </c>
      <c r="AW226" s="1330">
        <f t="shared" si="128"/>
        <v>0</v>
      </c>
      <c r="AX226" s="133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8"/>
      <c r="AV227" s="1330">
        <f t="shared" si="127"/>
        <v>0</v>
      </c>
      <c r="AW227" s="1330">
        <f t="shared" si="128"/>
        <v>0</v>
      </c>
      <c r="AX227" s="133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8"/>
      <c r="AV228" s="1330">
        <f t="shared" si="127"/>
        <v>0</v>
      </c>
      <c r="AW228" s="1330">
        <f t="shared" si="128"/>
        <v>0</v>
      </c>
      <c r="AX228" s="133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8"/>
      <c r="AV229" s="1330">
        <f t="shared" si="127"/>
        <v>0</v>
      </c>
      <c r="AW229" s="1330">
        <f t="shared" si="128"/>
        <v>0</v>
      </c>
      <c r="AX229" s="133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8"/>
      <c r="AV230" s="1330">
        <f t="shared" si="127"/>
        <v>0</v>
      </c>
      <c r="AW230" s="1330">
        <f t="shared" si="128"/>
        <v>0</v>
      </c>
      <c r="AX230" s="133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8"/>
      <c r="AV231" s="1330">
        <f t="shared" si="127"/>
        <v>0</v>
      </c>
      <c r="AW231" s="1330">
        <f t="shared" si="128"/>
        <v>0</v>
      </c>
      <c r="AX231" s="133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8"/>
      <c r="AV232" s="1330">
        <f t="shared" si="127"/>
        <v>0</v>
      </c>
      <c r="AW232" s="1330">
        <f t="shared" si="128"/>
        <v>0</v>
      </c>
      <c r="AX232" s="133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8"/>
      <c r="AV233" s="1330">
        <f t="shared" si="127"/>
        <v>0</v>
      </c>
      <c r="AW233" s="1330">
        <f t="shared" si="128"/>
        <v>0</v>
      </c>
      <c r="AX233" s="133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8"/>
      <c r="AV234" s="1330">
        <f t="shared" si="127"/>
        <v>0</v>
      </c>
      <c r="AW234" s="1330">
        <f t="shared" si="128"/>
        <v>0</v>
      </c>
      <c r="AX234" s="133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8"/>
      <c r="AV235" s="1330">
        <f t="shared" si="127"/>
        <v>0</v>
      </c>
      <c r="AW235" s="1330">
        <f t="shared" si="128"/>
        <v>0</v>
      </c>
      <c r="AX235" s="133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8"/>
      <c r="AV236" s="1330">
        <f t="shared" si="127"/>
        <v>0</v>
      </c>
      <c r="AW236" s="1330">
        <f t="shared" si="128"/>
        <v>0</v>
      </c>
      <c r="AX236" s="133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8"/>
      <c r="AV237" s="1330">
        <f t="shared" si="127"/>
        <v>0</v>
      </c>
      <c r="AW237" s="1330">
        <f t="shared" si="128"/>
        <v>0</v>
      </c>
      <c r="AX237" s="133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8"/>
      <c r="AV238" s="1330">
        <f t="shared" si="127"/>
        <v>0</v>
      </c>
      <c r="AW238" s="1330">
        <f t="shared" si="128"/>
        <v>0</v>
      </c>
      <c r="AX238" s="133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8"/>
      <c r="AV239" s="1330">
        <f t="shared" si="127"/>
        <v>0</v>
      </c>
      <c r="AW239" s="1330">
        <f t="shared" si="128"/>
        <v>0</v>
      </c>
      <c r="AX239" s="133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8"/>
      <c r="AV240" s="1330">
        <f t="shared" si="127"/>
        <v>0</v>
      </c>
      <c r="AW240" s="1330">
        <f t="shared" si="128"/>
        <v>0</v>
      </c>
      <c r="AX240" s="133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8"/>
      <c r="AV241" s="1330">
        <f t="shared" si="127"/>
        <v>0</v>
      </c>
      <c r="AW241" s="1330">
        <f t="shared" si="128"/>
        <v>0</v>
      </c>
      <c r="AX241" s="133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8"/>
      <c r="AV242" s="1330">
        <f t="shared" si="127"/>
        <v>0</v>
      </c>
      <c r="AW242" s="1330">
        <f t="shared" si="128"/>
        <v>0</v>
      </c>
      <c r="AX242" s="133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8"/>
      <c r="AV243" s="1330">
        <f t="shared" si="127"/>
        <v>0</v>
      </c>
      <c r="AW243" s="1330">
        <f t="shared" si="128"/>
        <v>0</v>
      </c>
      <c r="AX243" s="133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8"/>
      <c r="AV244" s="1330">
        <f t="shared" si="127"/>
        <v>0</v>
      </c>
      <c r="AW244" s="1330">
        <f t="shared" si="128"/>
        <v>0</v>
      </c>
      <c r="AX244" s="133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8"/>
      <c r="AV245" s="1330">
        <f t="shared" si="127"/>
        <v>0</v>
      </c>
      <c r="AW245" s="1330">
        <f t="shared" si="128"/>
        <v>0</v>
      </c>
      <c r="AX245" s="133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8"/>
      <c r="AV246" s="1330">
        <f t="shared" si="127"/>
        <v>0</v>
      </c>
      <c r="AW246" s="1330">
        <f t="shared" si="128"/>
        <v>0</v>
      </c>
      <c r="AX246" s="133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8"/>
      <c r="AV247" s="1330">
        <f t="shared" si="127"/>
        <v>0</v>
      </c>
      <c r="AW247" s="1330">
        <f t="shared" si="128"/>
        <v>0</v>
      </c>
      <c r="AX247" s="133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8"/>
      <c r="AV248" s="1330">
        <f t="shared" si="127"/>
        <v>0</v>
      </c>
      <c r="AW248" s="1330">
        <f t="shared" si="128"/>
        <v>0</v>
      </c>
      <c r="AX248" s="133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8"/>
      <c r="AV249" s="1330">
        <f t="shared" si="127"/>
        <v>0</v>
      </c>
      <c r="AW249" s="1330">
        <f t="shared" si="128"/>
        <v>0</v>
      </c>
      <c r="AX249" s="133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8"/>
      <c r="AV250" s="1330">
        <f t="shared" si="127"/>
        <v>0</v>
      </c>
      <c r="AW250" s="1330">
        <f t="shared" si="128"/>
        <v>0</v>
      </c>
      <c r="AX250" s="133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8"/>
      <c r="AV251" s="1330">
        <f t="shared" si="127"/>
        <v>0</v>
      </c>
      <c r="AW251" s="1330">
        <f t="shared" si="128"/>
        <v>0</v>
      </c>
      <c r="AX251" s="133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8"/>
      <c r="AV252" s="1330">
        <f t="shared" si="127"/>
        <v>0</v>
      </c>
      <c r="AW252" s="1330">
        <f t="shared" si="128"/>
        <v>0</v>
      </c>
      <c r="AX252" s="133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8"/>
      <c r="AV253" s="1330">
        <f t="shared" si="127"/>
        <v>0</v>
      </c>
      <c r="AW253" s="1330">
        <f t="shared" si="128"/>
        <v>0</v>
      </c>
      <c r="AX253" s="133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8"/>
      <c r="AV254" s="1330">
        <f t="shared" si="127"/>
        <v>0</v>
      </c>
      <c r="AW254" s="1330">
        <f t="shared" si="128"/>
        <v>0</v>
      </c>
      <c r="AX254" s="133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8"/>
      <c r="AV255" s="1330">
        <f t="shared" si="127"/>
        <v>0</v>
      </c>
      <c r="AW255" s="1330">
        <f t="shared" si="128"/>
        <v>0</v>
      </c>
      <c r="AX255" s="133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8"/>
      <c r="AV256" s="1330">
        <f t="shared" si="127"/>
        <v>0</v>
      </c>
      <c r="AW256" s="1330">
        <f t="shared" si="128"/>
        <v>0</v>
      </c>
      <c r="AX256" s="133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8"/>
      <c r="AV257" s="1330">
        <f t="shared" si="127"/>
        <v>0</v>
      </c>
      <c r="AW257" s="1330">
        <f t="shared" si="128"/>
        <v>0</v>
      </c>
      <c r="AX257" s="133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8"/>
      <c r="AV258" s="1330">
        <f t="shared" si="127"/>
        <v>0</v>
      </c>
      <c r="AW258" s="1330">
        <f t="shared" si="128"/>
        <v>0</v>
      </c>
      <c r="AX258" s="133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8"/>
      <c r="AV259" s="1330">
        <f t="shared" si="127"/>
        <v>0</v>
      </c>
      <c r="AW259" s="1330">
        <f t="shared" si="128"/>
        <v>0</v>
      </c>
      <c r="AX259" s="133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8"/>
      <c r="AV260" s="1330">
        <f t="shared" si="127"/>
        <v>0</v>
      </c>
      <c r="AW260" s="1330">
        <f t="shared" si="128"/>
        <v>0</v>
      </c>
      <c r="AX260" s="133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8"/>
      <c r="AV261" s="1330">
        <f t="shared" si="127"/>
        <v>0</v>
      </c>
      <c r="AW261" s="1330">
        <f t="shared" si="128"/>
        <v>0</v>
      </c>
      <c r="AX261" s="133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8"/>
      <c r="AV262" s="1330">
        <f t="shared" si="127"/>
        <v>0</v>
      </c>
      <c r="AW262" s="1330">
        <f t="shared" si="128"/>
        <v>0</v>
      </c>
      <c r="AX262" s="133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8"/>
      <c r="AV263" s="1330">
        <f t="shared" si="127"/>
        <v>0</v>
      </c>
      <c r="AW263" s="1330">
        <f t="shared" si="128"/>
        <v>0</v>
      </c>
      <c r="AX263" s="133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8"/>
      <c r="AV264" s="1330">
        <f t="shared" si="127"/>
        <v>0</v>
      </c>
      <c r="AW264" s="1330">
        <f t="shared" si="128"/>
        <v>0</v>
      </c>
      <c r="AX264" s="133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8"/>
      <c r="AV265" s="1330">
        <f t="shared" si="127"/>
        <v>0</v>
      </c>
      <c r="AW265" s="1330">
        <f t="shared" si="128"/>
        <v>0</v>
      </c>
      <c r="AX265" s="133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8"/>
      <c r="AV266" s="1330">
        <f t="shared" si="127"/>
        <v>0</v>
      </c>
      <c r="AW266" s="1330">
        <f t="shared" si="128"/>
        <v>0</v>
      </c>
      <c r="AX266" s="133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8"/>
      <c r="AV267" s="1330">
        <f t="shared" si="127"/>
        <v>0</v>
      </c>
      <c r="AW267" s="1330">
        <f t="shared" si="128"/>
        <v>0</v>
      </c>
      <c r="AX267" s="133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8"/>
      <c r="AV268" s="1330">
        <f t="shared" si="127"/>
        <v>0</v>
      </c>
      <c r="AW268" s="1330">
        <f t="shared" si="128"/>
        <v>0</v>
      </c>
      <c r="AX268" s="133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8"/>
      <c r="AV269" s="1330">
        <f t="shared" si="127"/>
        <v>0</v>
      </c>
      <c r="AW269" s="1330">
        <f t="shared" si="128"/>
        <v>0</v>
      </c>
      <c r="AX269" s="133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8"/>
      <c r="AV270" s="1330">
        <f t="shared" si="127"/>
        <v>0</v>
      </c>
      <c r="AW270" s="1330">
        <f t="shared" si="128"/>
        <v>0</v>
      </c>
      <c r="AX270" s="133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8"/>
      <c r="AV271" s="1330">
        <f t="shared" si="127"/>
        <v>0</v>
      </c>
      <c r="AW271" s="1330">
        <f t="shared" si="128"/>
        <v>0</v>
      </c>
      <c r="AX271" s="133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8"/>
      <c r="AV272" s="1330">
        <f t="shared" si="127"/>
        <v>0</v>
      </c>
      <c r="AW272" s="1330">
        <f t="shared" si="128"/>
        <v>0</v>
      </c>
      <c r="AX272" s="133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8"/>
      <c r="AV273" s="1330">
        <f t="shared" si="127"/>
        <v>0</v>
      </c>
      <c r="AW273" s="1330">
        <f t="shared" si="128"/>
        <v>0</v>
      </c>
      <c r="AX273" s="133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8"/>
      <c r="AV274" s="1330">
        <f t="shared" si="127"/>
        <v>0</v>
      </c>
      <c r="AW274" s="1330">
        <f t="shared" si="128"/>
        <v>0</v>
      </c>
      <c r="AX274" s="133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8"/>
      <c r="AV275" s="1330">
        <f t="shared" si="127"/>
        <v>0</v>
      </c>
      <c r="AW275" s="1330">
        <f t="shared" si="128"/>
        <v>0</v>
      </c>
      <c r="AX275" s="133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8"/>
      <c r="AV276" s="1330">
        <f t="shared" si="127"/>
        <v>0</v>
      </c>
      <c r="AW276" s="1330">
        <f t="shared" si="128"/>
        <v>0</v>
      </c>
      <c r="AX276" s="133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8"/>
      <c r="AV277" s="1330">
        <f t="shared" si="127"/>
        <v>0</v>
      </c>
      <c r="AW277" s="1330">
        <f t="shared" si="128"/>
        <v>0</v>
      </c>
      <c r="AX277" s="133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8"/>
      <c r="AV278" s="1330">
        <f t="shared" si="127"/>
        <v>0</v>
      </c>
      <c r="AW278" s="1330">
        <f t="shared" si="128"/>
        <v>0</v>
      </c>
      <c r="AX278" s="133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8"/>
      <c r="AV279" s="1330">
        <f t="shared" si="127"/>
        <v>0</v>
      </c>
      <c r="AW279" s="1330">
        <f t="shared" si="128"/>
        <v>0</v>
      </c>
      <c r="AX279" s="133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8"/>
      <c r="AV280" s="1330">
        <f t="shared" si="127"/>
        <v>0</v>
      </c>
      <c r="AW280" s="1330">
        <f t="shared" si="128"/>
        <v>0</v>
      </c>
      <c r="AX280" s="133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8"/>
      <c r="AV281" s="1330">
        <f t="shared" si="127"/>
        <v>0</v>
      </c>
      <c r="AW281" s="1330">
        <f t="shared" si="128"/>
        <v>0</v>
      </c>
      <c r="AX281" s="133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8"/>
      <c r="AV282" s="1330">
        <f t="shared" si="127"/>
        <v>0</v>
      </c>
      <c r="AW282" s="1330">
        <f t="shared" si="128"/>
        <v>0</v>
      </c>
      <c r="AX282" s="133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8"/>
      <c r="AV283" s="1330">
        <f t="shared" si="127"/>
        <v>0</v>
      </c>
      <c r="AW283" s="1330">
        <f t="shared" si="128"/>
        <v>0</v>
      </c>
      <c r="AX283" s="133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8"/>
      <c r="AV284" s="1330">
        <f t="shared" si="127"/>
        <v>0</v>
      </c>
      <c r="AW284" s="1330">
        <f t="shared" si="128"/>
        <v>0</v>
      </c>
      <c r="AX284" s="133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8"/>
      <c r="AV285" s="1330">
        <f t="shared" si="127"/>
        <v>0</v>
      </c>
      <c r="AW285" s="1330">
        <f t="shared" si="128"/>
        <v>0</v>
      </c>
      <c r="AX285" s="133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8"/>
      <c r="AV286" s="1330">
        <f t="shared" si="127"/>
        <v>0</v>
      </c>
      <c r="AW286" s="1330">
        <f t="shared" si="128"/>
        <v>0</v>
      </c>
      <c r="AX286" s="133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8"/>
      <c r="AV287" s="1330">
        <f t="shared" si="127"/>
        <v>0</v>
      </c>
      <c r="AW287" s="1330">
        <f t="shared" si="128"/>
        <v>0</v>
      </c>
      <c r="AX287" s="133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8"/>
      <c r="AV288" s="1330">
        <f t="shared" si="127"/>
        <v>0</v>
      </c>
      <c r="AW288" s="1330">
        <f t="shared" si="128"/>
        <v>0</v>
      </c>
      <c r="AX288" s="133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8"/>
      <c r="AV289" s="1330">
        <f t="shared" si="127"/>
        <v>0</v>
      </c>
      <c r="AW289" s="1330">
        <f t="shared" si="128"/>
        <v>0</v>
      </c>
      <c r="AX289" s="133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8"/>
      <c r="AV290" s="1330">
        <f t="shared" si="127"/>
        <v>0</v>
      </c>
      <c r="AW290" s="1330">
        <f t="shared" si="128"/>
        <v>0</v>
      </c>
      <c r="AX290" s="133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8"/>
      <c r="AV291" s="1330">
        <f t="shared" si="127"/>
        <v>0</v>
      </c>
      <c r="AW291" s="1330">
        <f t="shared" si="128"/>
        <v>0</v>
      </c>
      <c r="AX291" s="133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8"/>
      <c r="AV292" s="1330">
        <f t="shared" si="127"/>
        <v>0</v>
      </c>
      <c r="AW292" s="1330">
        <f t="shared" si="128"/>
        <v>0</v>
      </c>
      <c r="AX292" s="133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8"/>
      <c r="AV293" s="1330">
        <f t="shared" si="127"/>
        <v>0</v>
      </c>
      <c r="AW293" s="1330">
        <f t="shared" si="128"/>
        <v>0</v>
      </c>
      <c r="AX293" s="133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8"/>
      <c r="AV294" s="1330">
        <f t="shared" si="127"/>
        <v>0</v>
      </c>
      <c r="AW294" s="1330">
        <f t="shared" si="128"/>
        <v>0</v>
      </c>
      <c r="AX294" s="133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8"/>
      <c r="AV295" s="1330">
        <f t="shared" si="127"/>
        <v>0</v>
      </c>
      <c r="AW295" s="1330">
        <f t="shared" si="128"/>
        <v>0</v>
      </c>
      <c r="AX295" s="133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8"/>
      <c r="AV296" s="1330">
        <f t="shared" si="127"/>
        <v>0</v>
      </c>
      <c r="AW296" s="1330">
        <f t="shared" si="128"/>
        <v>0</v>
      </c>
      <c r="AX296" s="133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8"/>
      <c r="AV297" s="1330">
        <f t="shared" si="127"/>
        <v>0</v>
      </c>
      <c r="AW297" s="1330">
        <f t="shared" si="128"/>
        <v>0</v>
      </c>
      <c r="AX297" s="133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8"/>
      <c r="AV298" s="1330">
        <f t="shared" si="127"/>
        <v>0</v>
      </c>
      <c r="AW298" s="1330">
        <f t="shared" si="128"/>
        <v>0</v>
      </c>
      <c r="AX298" s="133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8"/>
      <c r="AV299" s="1330">
        <f t="shared" si="127"/>
        <v>0</v>
      </c>
      <c r="AW299" s="1330">
        <f t="shared" si="128"/>
        <v>0</v>
      </c>
      <c r="AX299" s="133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8"/>
      <c r="AV300" s="1330">
        <f t="shared" si="127"/>
        <v>0</v>
      </c>
      <c r="AW300" s="1330">
        <f t="shared" si="128"/>
        <v>0</v>
      </c>
      <c r="AX300" s="133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8"/>
      <c r="AV301" s="1330">
        <f t="shared" si="127"/>
        <v>0</v>
      </c>
      <c r="AW301" s="1330">
        <f t="shared" si="128"/>
        <v>0</v>
      </c>
      <c r="AX301" s="133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8"/>
      <c r="AV302" s="1330">
        <f t="shared" si="127"/>
        <v>0</v>
      </c>
      <c r="AW302" s="1330">
        <f t="shared" si="128"/>
        <v>0</v>
      </c>
      <c r="AX302" s="133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8"/>
      <c r="AV303" s="1330">
        <f t="shared" ref="AV303:AV334" si="178">A303</f>
        <v>0</v>
      </c>
      <c r="AW303" s="1330">
        <f t="shared" ref="AW303:AW334" si="179">B303</f>
        <v>0</v>
      </c>
      <c r="AX303" s="133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8"/>
      <c r="AV304" s="1330">
        <f t="shared" si="178"/>
        <v>0</v>
      </c>
      <c r="AW304" s="1330">
        <f t="shared" si="179"/>
        <v>0</v>
      </c>
      <c r="AX304" s="133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8"/>
      <c r="AV305" s="1330">
        <f t="shared" si="178"/>
        <v>0</v>
      </c>
      <c r="AW305" s="1330">
        <f t="shared" si="179"/>
        <v>0</v>
      </c>
      <c r="AX305" s="133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8"/>
      <c r="AV306" s="1330">
        <f t="shared" si="178"/>
        <v>0</v>
      </c>
      <c r="AW306" s="1330">
        <f t="shared" si="179"/>
        <v>0</v>
      </c>
      <c r="AX306" s="133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8"/>
      <c r="AV307" s="1330">
        <f t="shared" si="178"/>
        <v>0</v>
      </c>
      <c r="AW307" s="1330">
        <f t="shared" si="179"/>
        <v>0</v>
      </c>
      <c r="AX307" s="133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8"/>
      <c r="AV308" s="1330">
        <f t="shared" si="178"/>
        <v>0</v>
      </c>
      <c r="AW308" s="1330">
        <f t="shared" si="179"/>
        <v>0</v>
      </c>
      <c r="AX308" s="133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8"/>
      <c r="AV309" s="1330">
        <f t="shared" si="178"/>
        <v>0</v>
      </c>
      <c r="AW309" s="1330">
        <f t="shared" si="179"/>
        <v>0</v>
      </c>
      <c r="AX309" s="133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8"/>
      <c r="AV310" s="1330">
        <f t="shared" si="178"/>
        <v>0</v>
      </c>
      <c r="AW310" s="1330">
        <f t="shared" si="179"/>
        <v>0</v>
      </c>
      <c r="AX310" s="133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8"/>
      <c r="AV311" s="1330">
        <f t="shared" si="178"/>
        <v>0</v>
      </c>
      <c r="AW311" s="1330">
        <f t="shared" si="179"/>
        <v>0</v>
      </c>
      <c r="AX311" s="133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8"/>
      <c r="AV312" s="1330">
        <f t="shared" si="178"/>
        <v>0</v>
      </c>
      <c r="AW312" s="1330">
        <f t="shared" si="179"/>
        <v>0</v>
      </c>
      <c r="AX312" s="133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8"/>
      <c r="AV313" s="1330">
        <f t="shared" si="178"/>
        <v>0</v>
      </c>
      <c r="AW313" s="1330">
        <f t="shared" si="179"/>
        <v>0</v>
      </c>
      <c r="AX313" s="133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8"/>
      <c r="AV314" s="1330">
        <f t="shared" si="178"/>
        <v>0</v>
      </c>
      <c r="AW314" s="1330">
        <f t="shared" si="179"/>
        <v>0</v>
      </c>
      <c r="AX314" s="133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8"/>
      <c r="AV315" s="1330">
        <f t="shared" si="178"/>
        <v>0</v>
      </c>
      <c r="AW315" s="1330">
        <f t="shared" si="179"/>
        <v>0</v>
      </c>
      <c r="AX315" s="133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8"/>
      <c r="AV316" s="1330">
        <f t="shared" si="178"/>
        <v>0</v>
      </c>
      <c r="AW316" s="1330">
        <f t="shared" si="179"/>
        <v>0</v>
      </c>
      <c r="AX316" s="133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8"/>
      <c r="AV317" s="1330">
        <f t="shared" si="178"/>
        <v>0</v>
      </c>
      <c r="AW317" s="1330">
        <f t="shared" si="179"/>
        <v>0</v>
      </c>
      <c r="AX317" s="133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8"/>
      <c r="AV318" s="1330">
        <f t="shared" si="178"/>
        <v>0</v>
      </c>
      <c r="AW318" s="1330">
        <f t="shared" si="179"/>
        <v>0</v>
      </c>
      <c r="AX318" s="133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8"/>
      <c r="AV319" s="1330">
        <f t="shared" si="178"/>
        <v>0</v>
      </c>
      <c r="AW319" s="1330">
        <f t="shared" si="179"/>
        <v>0</v>
      </c>
      <c r="AX319" s="133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8"/>
      <c r="AV320" s="1330">
        <f t="shared" si="178"/>
        <v>0</v>
      </c>
      <c r="AW320" s="1330">
        <f t="shared" si="179"/>
        <v>0</v>
      </c>
      <c r="AX320" s="133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8"/>
      <c r="AV321" s="1330">
        <f t="shared" si="178"/>
        <v>0</v>
      </c>
      <c r="AW321" s="1330">
        <f t="shared" si="179"/>
        <v>0</v>
      </c>
      <c r="AX321" s="133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8"/>
      <c r="AV322" s="1330">
        <f t="shared" si="178"/>
        <v>0</v>
      </c>
      <c r="AW322" s="1330">
        <f t="shared" si="179"/>
        <v>0</v>
      </c>
      <c r="AX322" s="133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8"/>
      <c r="AV323" s="1330">
        <f t="shared" si="178"/>
        <v>0</v>
      </c>
      <c r="AW323" s="1330">
        <f t="shared" si="179"/>
        <v>0</v>
      </c>
      <c r="AX323" s="133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8"/>
      <c r="AV324" s="1330">
        <f t="shared" si="178"/>
        <v>0</v>
      </c>
      <c r="AW324" s="1330">
        <f t="shared" si="179"/>
        <v>0</v>
      </c>
      <c r="AX324" s="133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8"/>
      <c r="AV325" s="1330">
        <f t="shared" si="178"/>
        <v>0</v>
      </c>
      <c r="AW325" s="1330">
        <f t="shared" si="179"/>
        <v>0</v>
      </c>
      <c r="AX325" s="133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8"/>
      <c r="AV326" s="1330">
        <f t="shared" si="178"/>
        <v>0</v>
      </c>
      <c r="AW326" s="1330">
        <f t="shared" si="179"/>
        <v>0</v>
      </c>
      <c r="AX326" s="133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8"/>
      <c r="AV327" s="1330">
        <f t="shared" si="178"/>
        <v>0</v>
      </c>
      <c r="AW327" s="1330">
        <f t="shared" si="179"/>
        <v>0</v>
      </c>
      <c r="AX327" s="133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8"/>
      <c r="AV328" s="1330">
        <f t="shared" si="178"/>
        <v>0</v>
      </c>
      <c r="AW328" s="1330">
        <f t="shared" si="179"/>
        <v>0</v>
      </c>
      <c r="AX328" s="133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8"/>
      <c r="AV329" s="1330">
        <f t="shared" si="178"/>
        <v>0</v>
      </c>
      <c r="AW329" s="1330">
        <f t="shared" si="179"/>
        <v>0</v>
      </c>
      <c r="AX329" s="133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8"/>
      <c r="AV330" s="1330">
        <f t="shared" si="178"/>
        <v>0</v>
      </c>
      <c r="AW330" s="1330">
        <f t="shared" si="179"/>
        <v>0</v>
      </c>
      <c r="AX330" s="133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8"/>
      <c r="AV331" s="1330">
        <f t="shared" si="178"/>
        <v>0</v>
      </c>
      <c r="AW331" s="1330">
        <f t="shared" si="179"/>
        <v>0</v>
      </c>
      <c r="AX331" s="133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8"/>
      <c r="AV332" s="1330">
        <f t="shared" si="178"/>
        <v>0</v>
      </c>
      <c r="AW332" s="1330">
        <f t="shared" si="179"/>
        <v>0</v>
      </c>
      <c r="AX332" s="133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8"/>
      <c r="AV333" s="1330">
        <f t="shared" si="178"/>
        <v>0</v>
      </c>
      <c r="AW333" s="1330">
        <f t="shared" si="179"/>
        <v>0</v>
      </c>
      <c r="AX333" s="133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8"/>
      <c r="AV334" s="1330">
        <f t="shared" si="178"/>
        <v>0</v>
      </c>
      <c r="AW334" s="1330">
        <f t="shared" si="179"/>
        <v>0</v>
      </c>
      <c r="AX334" s="133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8"/>
      <c r="AV335" s="1330">
        <f t="shared" ref="AV335:AV366" si="207">A335</f>
        <v>0</v>
      </c>
      <c r="AW335" s="1330">
        <f t="shared" ref="AW335:AW366" si="208">B335</f>
        <v>0</v>
      </c>
      <c r="AX335" s="133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8"/>
      <c r="AV336" s="1330">
        <f t="shared" si="207"/>
        <v>0</v>
      </c>
      <c r="AW336" s="1330">
        <f t="shared" si="208"/>
        <v>0</v>
      </c>
      <c r="AX336" s="133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8"/>
      <c r="AV337" s="1330">
        <f t="shared" si="207"/>
        <v>0</v>
      </c>
      <c r="AW337" s="1330">
        <f t="shared" si="208"/>
        <v>0</v>
      </c>
      <c r="AX337" s="133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8"/>
      <c r="AV338" s="1330">
        <f t="shared" si="207"/>
        <v>0</v>
      </c>
      <c r="AW338" s="1330">
        <f t="shared" si="208"/>
        <v>0</v>
      </c>
      <c r="AX338" s="133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8"/>
      <c r="AV339" s="1330">
        <f t="shared" si="207"/>
        <v>0</v>
      </c>
      <c r="AW339" s="1330">
        <f t="shared" si="208"/>
        <v>0</v>
      </c>
      <c r="AX339" s="133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8"/>
      <c r="AV340" s="1330">
        <f t="shared" si="207"/>
        <v>0</v>
      </c>
      <c r="AW340" s="1330">
        <f t="shared" si="208"/>
        <v>0</v>
      </c>
      <c r="AX340" s="133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8"/>
      <c r="AV341" s="1330">
        <f t="shared" si="207"/>
        <v>0</v>
      </c>
      <c r="AW341" s="1330">
        <f t="shared" si="208"/>
        <v>0</v>
      </c>
      <c r="AX341" s="133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8"/>
      <c r="AV342" s="1330">
        <f t="shared" si="207"/>
        <v>0</v>
      </c>
      <c r="AW342" s="1330">
        <f t="shared" si="208"/>
        <v>0</v>
      </c>
      <c r="AX342" s="133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8"/>
      <c r="AV343" s="1330">
        <f t="shared" si="207"/>
        <v>0</v>
      </c>
      <c r="AW343" s="1330">
        <f t="shared" si="208"/>
        <v>0</v>
      </c>
      <c r="AX343" s="133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8"/>
      <c r="AV344" s="1330">
        <f t="shared" si="207"/>
        <v>0</v>
      </c>
      <c r="AW344" s="1330">
        <f t="shared" si="208"/>
        <v>0</v>
      </c>
      <c r="AX344" s="133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8"/>
      <c r="AV345" s="1330">
        <f t="shared" si="207"/>
        <v>0</v>
      </c>
      <c r="AW345" s="1330">
        <f t="shared" si="208"/>
        <v>0</v>
      </c>
      <c r="AX345" s="133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8"/>
      <c r="AV346" s="1330">
        <f t="shared" si="207"/>
        <v>0</v>
      </c>
      <c r="AW346" s="1330">
        <f t="shared" si="208"/>
        <v>0</v>
      </c>
      <c r="AX346" s="133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8"/>
      <c r="AV347" s="1330">
        <f t="shared" si="207"/>
        <v>0</v>
      </c>
      <c r="AW347" s="1330">
        <f t="shared" si="208"/>
        <v>0</v>
      </c>
      <c r="AX347" s="133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8"/>
      <c r="AV348" s="1330">
        <f t="shared" si="207"/>
        <v>0</v>
      </c>
      <c r="AW348" s="1330">
        <f t="shared" si="208"/>
        <v>0</v>
      </c>
      <c r="AX348" s="133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8"/>
      <c r="AV349" s="1330">
        <f t="shared" si="207"/>
        <v>0</v>
      </c>
      <c r="AW349" s="1330">
        <f t="shared" si="208"/>
        <v>0</v>
      </c>
      <c r="AX349" s="133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8"/>
      <c r="AV350" s="1330">
        <f t="shared" si="207"/>
        <v>0</v>
      </c>
      <c r="AW350" s="1330">
        <f t="shared" si="208"/>
        <v>0</v>
      </c>
      <c r="AX350" s="133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8"/>
      <c r="AV351" s="1330">
        <f t="shared" si="207"/>
        <v>0</v>
      </c>
      <c r="AW351" s="1330">
        <f t="shared" si="208"/>
        <v>0</v>
      </c>
      <c r="AX351" s="133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8"/>
      <c r="AV352" s="1330">
        <f t="shared" si="207"/>
        <v>0</v>
      </c>
      <c r="AW352" s="1330">
        <f t="shared" si="208"/>
        <v>0</v>
      </c>
      <c r="AX352" s="133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8"/>
      <c r="AV353" s="1330">
        <f t="shared" si="207"/>
        <v>0</v>
      </c>
      <c r="AW353" s="1330">
        <f t="shared" si="208"/>
        <v>0</v>
      </c>
      <c r="AX353" s="133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8"/>
      <c r="AV354" s="1330">
        <f t="shared" si="207"/>
        <v>0</v>
      </c>
      <c r="AW354" s="1330">
        <f t="shared" si="208"/>
        <v>0</v>
      </c>
      <c r="AX354" s="133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8"/>
      <c r="AV355" s="1330">
        <f t="shared" si="207"/>
        <v>0</v>
      </c>
      <c r="AW355" s="1330">
        <f t="shared" si="208"/>
        <v>0</v>
      </c>
      <c r="AX355" s="133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8"/>
      <c r="AV356" s="1330">
        <f t="shared" si="207"/>
        <v>0</v>
      </c>
      <c r="AW356" s="1330">
        <f t="shared" si="208"/>
        <v>0</v>
      </c>
      <c r="AX356" s="133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8"/>
      <c r="AV357" s="1330">
        <f t="shared" si="207"/>
        <v>0</v>
      </c>
      <c r="AW357" s="1330">
        <f t="shared" si="208"/>
        <v>0</v>
      </c>
      <c r="AX357" s="133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8"/>
      <c r="AV358" s="1330">
        <f t="shared" si="207"/>
        <v>0</v>
      </c>
      <c r="AW358" s="1330">
        <f t="shared" si="208"/>
        <v>0</v>
      </c>
      <c r="AX358" s="133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8"/>
      <c r="AV359" s="1330">
        <f t="shared" si="207"/>
        <v>0</v>
      </c>
      <c r="AW359" s="1330">
        <f t="shared" si="208"/>
        <v>0</v>
      </c>
      <c r="AX359" s="133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8"/>
      <c r="AV360" s="1330">
        <f t="shared" si="207"/>
        <v>0</v>
      </c>
      <c r="AW360" s="1330">
        <f t="shared" si="208"/>
        <v>0</v>
      </c>
      <c r="AX360" s="133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8"/>
      <c r="AV361" s="1330">
        <f t="shared" si="207"/>
        <v>0</v>
      </c>
      <c r="AW361" s="1330">
        <f t="shared" si="208"/>
        <v>0</v>
      </c>
      <c r="AX361" s="133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8"/>
      <c r="AV362" s="1330">
        <f t="shared" si="207"/>
        <v>0</v>
      </c>
      <c r="AW362" s="1330">
        <f t="shared" si="208"/>
        <v>0</v>
      </c>
      <c r="AX362" s="133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8"/>
      <c r="AV363" s="1330">
        <f t="shared" si="207"/>
        <v>0</v>
      </c>
      <c r="AW363" s="1330">
        <f t="shared" si="208"/>
        <v>0</v>
      </c>
      <c r="AX363" s="133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8"/>
      <c r="AV364" s="1330">
        <f t="shared" si="207"/>
        <v>0</v>
      </c>
      <c r="AW364" s="1330">
        <f t="shared" si="208"/>
        <v>0</v>
      </c>
      <c r="AX364" s="133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8"/>
      <c r="AV365" s="1330">
        <f t="shared" si="207"/>
        <v>0</v>
      </c>
      <c r="AW365" s="1330">
        <f t="shared" si="208"/>
        <v>0</v>
      </c>
      <c r="AX365" s="133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8"/>
      <c r="AV366" s="1330">
        <f t="shared" si="207"/>
        <v>0</v>
      </c>
      <c r="AW366" s="1330">
        <f t="shared" si="208"/>
        <v>0</v>
      </c>
      <c r="AX366" s="133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8"/>
      <c r="AV367" s="1330">
        <f t="shared" ref="AV367:AV397" si="236">A367</f>
        <v>0</v>
      </c>
      <c r="AW367" s="1330">
        <f t="shared" ref="AW367:AW397" si="237">B367</f>
        <v>0</v>
      </c>
      <c r="AX367" s="133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8"/>
      <c r="AV368" s="1330">
        <f t="shared" si="236"/>
        <v>0</v>
      </c>
      <c r="AW368" s="1330">
        <f t="shared" si="237"/>
        <v>0</v>
      </c>
      <c r="AX368" s="133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8"/>
      <c r="AV369" s="1330">
        <f t="shared" si="236"/>
        <v>0</v>
      </c>
      <c r="AW369" s="1330">
        <f t="shared" si="237"/>
        <v>0</v>
      </c>
      <c r="AX369" s="133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8"/>
      <c r="AV370" s="1330">
        <f t="shared" si="236"/>
        <v>0</v>
      </c>
      <c r="AW370" s="1330">
        <f t="shared" si="237"/>
        <v>0</v>
      </c>
      <c r="AX370" s="133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8"/>
      <c r="AV371" s="1330">
        <f t="shared" si="236"/>
        <v>0</v>
      </c>
      <c r="AW371" s="1330">
        <f t="shared" si="237"/>
        <v>0</v>
      </c>
      <c r="AX371" s="133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8"/>
      <c r="AV372" s="1330">
        <f t="shared" si="236"/>
        <v>0</v>
      </c>
      <c r="AW372" s="1330">
        <f t="shared" si="237"/>
        <v>0</v>
      </c>
      <c r="AX372" s="133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8"/>
      <c r="AV373" s="1330">
        <f t="shared" si="236"/>
        <v>0</v>
      </c>
      <c r="AW373" s="1330">
        <f t="shared" si="237"/>
        <v>0</v>
      </c>
      <c r="AX373" s="133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8"/>
      <c r="AV374" s="1330">
        <f t="shared" si="236"/>
        <v>0</v>
      </c>
      <c r="AW374" s="1330">
        <f t="shared" si="237"/>
        <v>0</v>
      </c>
      <c r="AX374" s="133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8"/>
      <c r="AV375" s="1330">
        <f t="shared" si="236"/>
        <v>0</v>
      </c>
      <c r="AW375" s="1330">
        <f t="shared" si="237"/>
        <v>0</v>
      </c>
      <c r="AX375" s="133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8"/>
      <c r="AV376" s="1330">
        <f t="shared" si="236"/>
        <v>0</v>
      </c>
      <c r="AW376" s="1330">
        <f t="shared" si="237"/>
        <v>0</v>
      </c>
      <c r="AX376" s="133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8"/>
      <c r="AV377" s="1330">
        <f t="shared" si="236"/>
        <v>0</v>
      </c>
      <c r="AW377" s="1330">
        <f t="shared" si="237"/>
        <v>0</v>
      </c>
      <c r="AX377" s="133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8"/>
      <c r="AV378" s="1330">
        <f t="shared" si="236"/>
        <v>0</v>
      </c>
      <c r="AW378" s="1330">
        <f t="shared" si="237"/>
        <v>0</v>
      </c>
      <c r="AX378" s="133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8"/>
      <c r="AV379" s="1330">
        <f t="shared" si="236"/>
        <v>0</v>
      </c>
      <c r="AW379" s="1330">
        <f t="shared" si="237"/>
        <v>0</v>
      </c>
      <c r="AX379" s="133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8"/>
      <c r="AV380" s="1330">
        <f t="shared" si="236"/>
        <v>0</v>
      </c>
      <c r="AW380" s="1330">
        <f t="shared" si="237"/>
        <v>0</v>
      </c>
      <c r="AX380" s="133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8"/>
      <c r="AV381" s="1330">
        <f t="shared" si="236"/>
        <v>0</v>
      </c>
      <c r="AW381" s="1330">
        <f t="shared" si="237"/>
        <v>0</v>
      </c>
      <c r="AX381" s="133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8"/>
      <c r="AV382" s="1330">
        <f t="shared" si="236"/>
        <v>0</v>
      </c>
      <c r="AW382" s="1330">
        <f t="shared" si="237"/>
        <v>0</v>
      </c>
      <c r="AX382" s="133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8"/>
      <c r="AV383" s="1330">
        <f t="shared" si="236"/>
        <v>0</v>
      </c>
      <c r="AW383" s="1330">
        <f t="shared" si="237"/>
        <v>0</v>
      </c>
      <c r="AX383" s="133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8"/>
      <c r="AV384" s="1330">
        <f t="shared" si="236"/>
        <v>0</v>
      </c>
      <c r="AW384" s="1330">
        <f t="shared" si="237"/>
        <v>0</v>
      </c>
      <c r="AX384" s="133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8"/>
      <c r="AV385" s="1330">
        <f t="shared" si="236"/>
        <v>0</v>
      </c>
      <c r="AW385" s="1330">
        <f t="shared" si="237"/>
        <v>0</v>
      </c>
      <c r="AX385" s="133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8"/>
      <c r="AV386" s="1330">
        <f t="shared" si="236"/>
        <v>0</v>
      </c>
      <c r="AW386" s="1330">
        <f t="shared" si="237"/>
        <v>0</v>
      </c>
      <c r="AX386" s="133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8"/>
      <c r="AV387" s="1330">
        <f t="shared" si="236"/>
        <v>0</v>
      </c>
      <c r="AW387" s="1330">
        <f t="shared" si="237"/>
        <v>0</v>
      </c>
      <c r="AX387" s="133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8"/>
      <c r="AV388" s="1330">
        <f t="shared" si="236"/>
        <v>0</v>
      </c>
      <c r="AW388" s="1330">
        <f t="shared" si="237"/>
        <v>0</v>
      </c>
      <c r="AX388" s="133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8"/>
      <c r="AV389" s="1330">
        <f t="shared" si="236"/>
        <v>0</v>
      </c>
      <c r="AW389" s="1330">
        <f t="shared" si="237"/>
        <v>0</v>
      </c>
      <c r="AX389" s="133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8"/>
      <c r="AV390" s="1330">
        <f t="shared" si="236"/>
        <v>0</v>
      </c>
      <c r="AW390" s="1330">
        <f t="shared" si="237"/>
        <v>0</v>
      </c>
      <c r="AX390" s="133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8"/>
      <c r="AV391" s="1330">
        <f t="shared" si="236"/>
        <v>0</v>
      </c>
      <c r="AW391" s="1330">
        <f t="shared" si="237"/>
        <v>0</v>
      </c>
      <c r="AX391" s="133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8"/>
      <c r="AV392" s="1330">
        <f t="shared" si="236"/>
        <v>0</v>
      </c>
      <c r="AW392" s="1330">
        <f t="shared" si="237"/>
        <v>0</v>
      </c>
      <c r="AX392" s="133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8"/>
      <c r="AV393" s="1330">
        <f t="shared" si="236"/>
        <v>0</v>
      </c>
      <c r="AW393" s="1330">
        <f t="shared" si="237"/>
        <v>0</v>
      </c>
      <c r="AX393" s="133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8"/>
      <c r="AV394" s="1330">
        <f t="shared" si="236"/>
        <v>0</v>
      </c>
      <c r="AW394" s="1330">
        <f t="shared" si="237"/>
        <v>0</v>
      </c>
      <c r="AX394" s="133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8"/>
      <c r="AV395" s="1330">
        <f t="shared" si="236"/>
        <v>0</v>
      </c>
      <c r="AW395" s="1330">
        <f t="shared" si="237"/>
        <v>0</v>
      </c>
      <c r="AX395" s="133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8"/>
      <c r="AV396" s="1330">
        <f t="shared" si="236"/>
        <v>0</v>
      </c>
      <c r="AW396" s="1330">
        <f t="shared" si="237"/>
        <v>0</v>
      </c>
      <c r="AX396" s="133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8"/>
      <c r="AV397" s="1330">
        <f t="shared" si="236"/>
        <v>0</v>
      </c>
      <c r="AW397" s="1330">
        <f t="shared" si="237"/>
        <v>0</v>
      </c>
      <c r="AX397" s="133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8"/>
      <c r="AV398" s="1330">
        <f t="shared" ref="AV398:AV492" si="243">A398</f>
        <v>0</v>
      </c>
      <c r="AW398" s="1330">
        <f t="shared" ref="AW398:AW492" si="244">B398</f>
        <v>0</v>
      </c>
      <c r="AX398" s="133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8"/>
      <c r="AV399" s="1330">
        <f t="shared" si="243"/>
        <v>0</v>
      </c>
      <c r="AW399" s="1330">
        <f t="shared" si="244"/>
        <v>0</v>
      </c>
      <c r="AX399" s="133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8"/>
      <c r="AV400" s="1330">
        <f t="shared" si="243"/>
        <v>0</v>
      </c>
      <c r="AW400" s="1330">
        <f t="shared" si="244"/>
        <v>0</v>
      </c>
      <c r="AX400" s="133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8"/>
      <c r="AV401" s="1330">
        <f t="shared" si="243"/>
        <v>0</v>
      </c>
      <c r="AW401" s="1330">
        <f t="shared" si="244"/>
        <v>0</v>
      </c>
      <c r="AX401" s="133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8"/>
      <c r="AV402" s="1330">
        <f t="shared" si="243"/>
        <v>0</v>
      </c>
      <c r="AW402" s="1330">
        <f t="shared" si="244"/>
        <v>0</v>
      </c>
      <c r="AX402" s="133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8"/>
      <c r="AV403" s="1330">
        <f t="shared" si="243"/>
        <v>0</v>
      </c>
      <c r="AW403" s="1330">
        <f t="shared" si="244"/>
        <v>0</v>
      </c>
      <c r="AX403" s="133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8"/>
      <c r="AV404" s="1330">
        <f t="shared" si="243"/>
        <v>0</v>
      </c>
      <c r="AW404" s="1330">
        <f t="shared" si="244"/>
        <v>0</v>
      </c>
      <c r="AX404" s="133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8"/>
      <c r="AV405" s="1330">
        <f t="shared" si="243"/>
        <v>0</v>
      </c>
      <c r="AW405" s="1330">
        <f t="shared" si="244"/>
        <v>0</v>
      </c>
      <c r="AX405" s="133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8"/>
      <c r="AV406" s="1330">
        <f t="shared" si="243"/>
        <v>0</v>
      </c>
      <c r="AW406" s="1330">
        <f t="shared" si="244"/>
        <v>0</v>
      </c>
      <c r="AX406" s="133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8"/>
      <c r="AV407" s="1330">
        <f t="shared" si="243"/>
        <v>0</v>
      </c>
      <c r="AW407" s="1330">
        <f t="shared" si="244"/>
        <v>0</v>
      </c>
      <c r="AX407" s="133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8"/>
      <c r="AV408" s="1330">
        <f t="shared" si="243"/>
        <v>0</v>
      </c>
      <c r="AW408" s="1330">
        <f t="shared" si="244"/>
        <v>0</v>
      </c>
      <c r="AX408" s="133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8"/>
      <c r="AV409" s="1330">
        <f t="shared" si="243"/>
        <v>0</v>
      </c>
      <c r="AW409" s="1330">
        <f t="shared" si="244"/>
        <v>0</v>
      </c>
      <c r="AX409" s="133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8"/>
      <c r="AV410" s="1330">
        <f t="shared" si="243"/>
        <v>0</v>
      </c>
      <c r="AW410" s="1330">
        <f t="shared" si="244"/>
        <v>0</v>
      </c>
      <c r="AX410" s="133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8"/>
      <c r="AV411" s="1330">
        <f t="shared" si="243"/>
        <v>0</v>
      </c>
      <c r="AW411" s="1330">
        <f t="shared" si="244"/>
        <v>0</v>
      </c>
      <c r="AX411" s="133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8"/>
      <c r="AV412" s="1330">
        <f t="shared" si="243"/>
        <v>0</v>
      </c>
      <c r="AW412" s="1330">
        <f t="shared" si="244"/>
        <v>0</v>
      </c>
      <c r="AX412" s="133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8"/>
      <c r="AV413" s="1330">
        <f t="shared" si="243"/>
        <v>0</v>
      </c>
      <c r="AW413" s="1330">
        <f t="shared" si="244"/>
        <v>0</v>
      </c>
      <c r="AX413" s="133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8"/>
      <c r="AV414" s="1330">
        <f t="shared" si="243"/>
        <v>0</v>
      </c>
      <c r="AW414" s="1330">
        <f t="shared" si="244"/>
        <v>0</v>
      </c>
      <c r="AX414" s="133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8"/>
      <c r="AV415" s="1330">
        <f t="shared" si="243"/>
        <v>0</v>
      </c>
      <c r="AW415" s="1330">
        <f t="shared" si="244"/>
        <v>0</v>
      </c>
      <c r="AX415" s="133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8"/>
      <c r="AV416" s="1330">
        <f t="shared" si="243"/>
        <v>0</v>
      </c>
      <c r="AW416" s="1330">
        <f t="shared" si="244"/>
        <v>0</v>
      </c>
      <c r="AX416" s="133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8"/>
      <c r="AV417" s="1330">
        <f t="shared" si="243"/>
        <v>0</v>
      </c>
      <c r="AW417" s="1330">
        <f t="shared" si="244"/>
        <v>0</v>
      </c>
      <c r="AX417" s="133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8"/>
      <c r="AV418" s="1330">
        <f t="shared" si="243"/>
        <v>0</v>
      </c>
      <c r="AW418" s="1330">
        <f t="shared" si="244"/>
        <v>0</v>
      </c>
      <c r="AX418" s="133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8"/>
      <c r="AV419" s="1330">
        <f t="shared" si="243"/>
        <v>0</v>
      </c>
      <c r="AW419" s="1330">
        <f t="shared" si="244"/>
        <v>0</v>
      </c>
      <c r="AX419" s="133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8"/>
      <c r="AV420" s="1330">
        <f t="shared" si="243"/>
        <v>0</v>
      </c>
      <c r="AW420" s="1330">
        <f t="shared" si="244"/>
        <v>0</v>
      </c>
      <c r="AX420" s="133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8"/>
      <c r="AV421" s="1330">
        <f t="shared" si="243"/>
        <v>0</v>
      </c>
      <c r="AW421" s="1330">
        <f t="shared" si="244"/>
        <v>0</v>
      </c>
      <c r="AX421" s="133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8"/>
      <c r="AV422" s="1330">
        <f t="shared" si="243"/>
        <v>0</v>
      </c>
      <c r="AW422" s="1330">
        <f t="shared" si="244"/>
        <v>0</v>
      </c>
      <c r="AX422" s="133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8"/>
      <c r="AV423" s="1330">
        <f t="shared" si="243"/>
        <v>0</v>
      </c>
      <c r="AW423" s="1330">
        <f t="shared" si="244"/>
        <v>0</v>
      </c>
      <c r="AX423" s="133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8"/>
      <c r="AV424" s="1330">
        <f t="shared" si="243"/>
        <v>0</v>
      </c>
      <c r="AW424" s="1330">
        <f t="shared" si="244"/>
        <v>0</v>
      </c>
      <c r="AX424" s="133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8"/>
      <c r="AV425" s="1330">
        <f t="shared" si="243"/>
        <v>0</v>
      </c>
      <c r="AW425" s="1330">
        <f t="shared" si="244"/>
        <v>0</v>
      </c>
      <c r="AX425" s="133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8"/>
      <c r="AV426" s="1330">
        <f t="shared" si="243"/>
        <v>0</v>
      </c>
      <c r="AW426" s="1330">
        <f t="shared" si="244"/>
        <v>0</v>
      </c>
      <c r="AX426" s="133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8"/>
      <c r="AV427" s="1330">
        <f t="shared" si="243"/>
        <v>0</v>
      </c>
      <c r="AW427" s="1330">
        <f t="shared" si="244"/>
        <v>0</v>
      </c>
      <c r="AX427" s="133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8"/>
      <c r="AV428" s="1330">
        <f t="shared" si="243"/>
        <v>0</v>
      </c>
      <c r="AW428" s="1330">
        <f t="shared" si="244"/>
        <v>0</v>
      </c>
      <c r="AX428" s="133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8"/>
      <c r="AV429" s="1330">
        <f t="shared" si="243"/>
        <v>0</v>
      </c>
      <c r="AW429" s="1330">
        <f t="shared" si="244"/>
        <v>0</v>
      </c>
      <c r="AX429" s="133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8"/>
      <c r="AV430" s="1330">
        <f t="shared" si="243"/>
        <v>0</v>
      </c>
      <c r="AW430" s="1330">
        <f t="shared" si="244"/>
        <v>0</v>
      </c>
      <c r="AX430" s="133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8"/>
      <c r="AV431" s="1330">
        <f t="shared" si="243"/>
        <v>0</v>
      </c>
      <c r="AW431" s="1330">
        <f t="shared" si="244"/>
        <v>0</v>
      </c>
      <c r="AX431" s="133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8"/>
      <c r="AV432" s="1330">
        <f t="shared" si="243"/>
        <v>0</v>
      </c>
      <c r="AW432" s="1330">
        <f t="shared" si="244"/>
        <v>0</v>
      </c>
      <c r="AX432" s="133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8"/>
      <c r="AV433" s="1330">
        <f t="shared" si="243"/>
        <v>0</v>
      </c>
      <c r="AW433" s="1330">
        <f t="shared" si="244"/>
        <v>0</v>
      </c>
      <c r="AX433" s="133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8"/>
      <c r="AV434" s="1330">
        <f t="shared" si="243"/>
        <v>0</v>
      </c>
      <c r="AW434" s="1330">
        <f t="shared" si="244"/>
        <v>0</v>
      </c>
      <c r="AX434" s="133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8"/>
      <c r="AV435" s="1330">
        <f t="shared" si="243"/>
        <v>0</v>
      </c>
      <c r="AW435" s="1330">
        <f t="shared" si="244"/>
        <v>0</v>
      </c>
      <c r="AX435" s="133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8"/>
      <c r="AV436" s="1330">
        <f t="shared" si="243"/>
        <v>0</v>
      </c>
      <c r="AW436" s="1330">
        <f t="shared" si="244"/>
        <v>0</v>
      </c>
      <c r="AX436" s="133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8"/>
      <c r="AV437" s="1330">
        <f t="shared" si="243"/>
        <v>0</v>
      </c>
      <c r="AW437" s="1330">
        <f t="shared" si="244"/>
        <v>0</v>
      </c>
      <c r="AX437" s="133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8"/>
      <c r="AV438" s="1330">
        <f t="shared" si="243"/>
        <v>0</v>
      </c>
      <c r="AW438" s="1330">
        <f t="shared" si="244"/>
        <v>0</v>
      </c>
      <c r="AX438" s="133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8"/>
      <c r="AV439" s="1330">
        <f t="shared" si="243"/>
        <v>0</v>
      </c>
      <c r="AW439" s="1330">
        <f t="shared" si="244"/>
        <v>0</v>
      </c>
      <c r="AX439" s="133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8"/>
      <c r="AV440" s="1330">
        <f t="shared" si="243"/>
        <v>0</v>
      </c>
      <c r="AW440" s="1330">
        <f t="shared" si="244"/>
        <v>0</v>
      </c>
      <c r="AX440" s="133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8"/>
      <c r="AV441" s="1330">
        <f t="shared" si="243"/>
        <v>0</v>
      </c>
      <c r="AW441" s="1330">
        <f t="shared" si="244"/>
        <v>0</v>
      </c>
      <c r="AX441" s="133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8"/>
      <c r="AV442" s="1330">
        <f t="shared" si="243"/>
        <v>0</v>
      </c>
      <c r="AW442" s="1330">
        <f t="shared" si="244"/>
        <v>0</v>
      </c>
      <c r="AX442" s="133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8"/>
      <c r="AV443" s="1330">
        <f t="shared" si="243"/>
        <v>0</v>
      </c>
      <c r="AW443" s="1330">
        <f t="shared" si="244"/>
        <v>0</v>
      </c>
      <c r="AX443" s="133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8"/>
      <c r="AV444" s="1330">
        <f t="shared" si="243"/>
        <v>0</v>
      </c>
      <c r="AW444" s="1330">
        <f t="shared" si="244"/>
        <v>0</v>
      </c>
      <c r="AX444" s="133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8"/>
      <c r="AV445" s="1330">
        <f t="shared" si="243"/>
        <v>0</v>
      </c>
      <c r="AW445" s="1330">
        <f t="shared" si="244"/>
        <v>0</v>
      </c>
      <c r="AX445" s="133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8"/>
      <c r="AV446" s="1330">
        <f t="shared" si="243"/>
        <v>0</v>
      </c>
      <c r="AW446" s="1330">
        <f t="shared" si="244"/>
        <v>0</v>
      </c>
      <c r="AX446" s="133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8"/>
      <c r="AV447" s="1330">
        <f t="shared" si="243"/>
        <v>0</v>
      </c>
      <c r="AW447" s="1330">
        <f t="shared" si="244"/>
        <v>0</v>
      </c>
      <c r="AX447" s="133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8"/>
      <c r="AV448" s="1330">
        <f t="shared" si="243"/>
        <v>0</v>
      </c>
      <c r="AW448" s="1330">
        <f t="shared" si="244"/>
        <v>0</v>
      </c>
      <c r="AX448" s="133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8"/>
      <c r="AV449" s="1330">
        <f t="shared" si="243"/>
        <v>0</v>
      </c>
      <c r="AW449" s="1330">
        <f t="shared" si="244"/>
        <v>0</v>
      </c>
      <c r="AX449" s="133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8"/>
      <c r="AV450" s="1330">
        <f t="shared" si="243"/>
        <v>0</v>
      </c>
      <c r="AW450" s="1330">
        <f t="shared" si="244"/>
        <v>0</v>
      </c>
      <c r="AX450" s="133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8"/>
      <c r="AV451" s="1330">
        <f t="shared" si="243"/>
        <v>0</v>
      </c>
      <c r="AW451" s="1330">
        <f t="shared" si="244"/>
        <v>0</v>
      </c>
      <c r="AX451" s="133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8"/>
      <c r="AV452" s="1330">
        <f t="shared" si="243"/>
        <v>0</v>
      </c>
      <c r="AW452" s="1330">
        <f t="shared" si="244"/>
        <v>0</v>
      </c>
      <c r="AX452" s="133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8"/>
      <c r="AV453" s="1330">
        <f t="shared" si="243"/>
        <v>0</v>
      </c>
      <c r="AW453" s="1330">
        <f t="shared" si="244"/>
        <v>0</v>
      </c>
      <c r="AX453" s="133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8"/>
      <c r="AV454" s="1330">
        <f t="shared" si="243"/>
        <v>0</v>
      </c>
      <c r="AW454" s="1330">
        <f t="shared" si="244"/>
        <v>0</v>
      </c>
      <c r="AX454" s="133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8"/>
      <c r="AV455" s="1330">
        <f t="shared" si="243"/>
        <v>0</v>
      </c>
      <c r="AW455" s="1330">
        <f t="shared" si="244"/>
        <v>0</v>
      </c>
      <c r="AX455" s="133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8"/>
      <c r="AV456" s="1330">
        <f t="shared" si="243"/>
        <v>0</v>
      </c>
      <c r="AW456" s="1330">
        <f t="shared" si="244"/>
        <v>0</v>
      </c>
      <c r="AX456" s="133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8"/>
      <c r="AV457" s="1330">
        <f t="shared" si="243"/>
        <v>0</v>
      </c>
      <c r="AW457" s="1330">
        <f t="shared" si="244"/>
        <v>0</v>
      </c>
      <c r="AX457" s="133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8"/>
      <c r="AV458" s="1330">
        <f t="shared" si="243"/>
        <v>0</v>
      </c>
      <c r="AW458" s="1330">
        <f t="shared" si="244"/>
        <v>0</v>
      </c>
      <c r="AX458" s="133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8"/>
      <c r="AV459" s="1330">
        <f t="shared" si="243"/>
        <v>0</v>
      </c>
      <c r="AW459" s="1330">
        <f t="shared" si="244"/>
        <v>0</v>
      </c>
      <c r="AX459" s="133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8"/>
      <c r="AV460" s="1330">
        <f t="shared" si="243"/>
        <v>0</v>
      </c>
      <c r="AW460" s="1330">
        <f t="shared" si="244"/>
        <v>0</v>
      </c>
      <c r="AX460" s="133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8"/>
      <c r="AV461" s="1330">
        <f t="shared" si="243"/>
        <v>0</v>
      </c>
      <c r="AW461" s="1330">
        <f t="shared" si="244"/>
        <v>0</v>
      </c>
      <c r="AX461" s="133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8"/>
      <c r="AV462" s="1330">
        <f t="shared" si="243"/>
        <v>0</v>
      </c>
      <c r="AW462" s="1330">
        <f t="shared" si="244"/>
        <v>0</v>
      </c>
      <c r="AX462" s="133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8"/>
      <c r="AV463" s="1330">
        <f t="shared" si="243"/>
        <v>0</v>
      </c>
      <c r="AW463" s="1330">
        <f t="shared" si="244"/>
        <v>0</v>
      </c>
      <c r="AX463" s="133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8"/>
      <c r="AV464" s="1330">
        <f t="shared" si="243"/>
        <v>0</v>
      </c>
      <c r="AW464" s="1330">
        <f t="shared" si="244"/>
        <v>0</v>
      </c>
      <c r="AX464" s="133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8"/>
      <c r="AV465" s="1330">
        <f t="shared" si="243"/>
        <v>0</v>
      </c>
      <c r="AW465" s="1330">
        <f t="shared" si="244"/>
        <v>0</v>
      </c>
      <c r="AX465" s="133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8"/>
      <c r="AV466" s="1330">
        <f t="shared" si="243"/>
        <v>0</v>
      </c>
      <c r="AW466" s="1330">
        <f t="shared" si="244"/>
        <v>0</v>
      </c>
      <c r="AX466" s="133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8"/>
      <c r="AV467" s="1330">
        <f t="shared" si="243"/>
        <v>0</v>
      </c>
      <c r="AW467" s="1330">
        <f t="shared" si="244"/>
        <v>0</v>
      </c>
      <c r="AX467" s="133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8"/>
      <c r="AV468" s="1330">
        <f t="shared" si="243"/>
        <v>0</v>
      </c>
      <c r="AW468" s="1330">
        <f t="shared" si="244"/>
        <v>0</v>
      </c>
      <c r="AX468" s="133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8"/>
      <c r="AV469" s="1330">
        <f t="shared" si="243"/>
        <v>0</v>
      </c>
      <c r="AW469" s="1330">
        <f t="shared" si="244"/>
        <v>0</v>
      </c>
      <c r="AX469" s="133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8"/>
      <c r="AV470" s="1330">
        <f t="shared" si="243"/>
        <v>0</v>
      </c>
      <c r="AW470" s="1330">
        <f t="shared" si="244"/>
        <v>0</v>
      </c>
      <c r="AX470" s="133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8"/>
      <c r="AV471" s="1330">
        <f t="shared" si="243"/>
        <v>0</v>
      </c>
      <c r="AW471" s="1330">
        <f t="shared" si="244"/>
        <v>0</v>
      </c>
      <c r="AX471" s="133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8"/>
      <c r="AV472" s="1330">
        <f t="shared" si="243"/>
        <v>0</v>
      </c>
      <c r="AW472" s="1330">
        <f t="shared" si="244"/>
        <v>0</v>
      </c>
      <c r="AX472" s="133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8"/>
      <c r="AV473" s="1330">
        <f t="shared" si="243"/>
        <v>0</v>
      </c>
      <c r="AW473" s="1330">
        <f t="shared" si="244"/>
        <v>0</v>
      </c>
      <c r="AX473" s="133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8"/>
      <c r="AV474" s="1330">
        <f t="shared" si="243"/>
        <v>0</v>
      </c>
      <c r="AW474" s="1330">
        <f t="shared" si="244"/>
        <v>0</v>
      </c>
      <c r="AX474" s="133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8"/>
      <c r="AV475" s="1330">
        <f t="shared" si="243"/>
        <v>0</v>
      </c>
      <c r="AW475" s="1330">
        <f t="shared" si="244"/>
        <v>0</v>
      </c>
      <c r="AX475" s="133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8"/>
      <c r="AV476" s="1330">
        <f t="shared" si="243"/>
        <v>0</v>
      </c>
      <c r="AW476" s="1330">
        <f t="shared" si="244"/>
        <v>0</v>
      </c>
      <c r="AX476" s="133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8"/>
      <c r="AV477" s="1330">
        <f t="shared" si="243"/>
        <v>0</v>
      </c>
      <c r="AW477" s="1330">
        <f t="shared" si="244"/>
        <v>0</v>
      </c>
      <c r="AX477" s="133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8"/>
      <c r="AV478" s="1330">
        <f t="shared" si="243"/>
        <v>0</v>
      </c>
      <c r="AW478" s="1330">
        <f t="shared" si="244"/>
        <v>0</v>
      </c>
      <c r="AX478" s="133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8"/>
      <c r="AV479" s="1330">
        <f t="shared" si="243"/>
        <v>0</v>
      </c>
      <c r="AW479" s="1330">
        <f t="shared" si="244"/>
        <v>0</v>
      </c>
      <c r="AX479" s="133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8"/>
      <c r="AV480" s="1330">
        <f t="shared" si="243"/>
        <v>0</v>
      </c>
      <c r="AW480" s="1330">
        <f t="shared" si="244"/>
        <v>0</v>
      </c>
      <c r="AX480" s="133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8"/>
      <c r="AV481" s="1330">
        <f t="shared" si="243"/>
        <v>0</v>
      </c>
      <c r="AW481" s="1330">
        <f t="shared" si="244"/>
        <v>0</v>
      </c>
      <c r="AX481" s="133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8"/>
      <c r="AV482" s="1330">
        <f t="shared" si="243"/>
        <v>0</v>
      </c>
      <c r="AW482" s="1330">
        <f t="shared" si="244"/>
        <v>0</v>
      </c>
      <c r="AX482" s="133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8"/>
      <c r="AV483" s="1330">
        <f t="shared" si="243"/>
        <v>0</v>
      </c>
      <c r="AW483" s="1330">
        <f t="shared" si="244"/>
        <v>0</v>
      </c>
      <c r="AX483" s="133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8"/>
      <c r="AV484" s="1330">
        <f t="shared" si="243"/>
        <v>0</v>
      </c>
      <c r="AW484" s="1330">
        <f t="shared" si="244"/>
        <v>0</v>
      </c>
      <c r="AX484" s="133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8"/>
      <c r="AV485" s="1330">
        <f t="shared" si="243"/>
        <v>0</v>
      </c>
      <c r="AW485" s="1330">
        <f t="shared" si="244"/>
        <v>0</v>
      </c>
      <c r="AX485" s="133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8"/>
      <c r="AV486" s="1330">
        <f t="shared" si="243"/>
        <v>0</v>
      </c>
      <c r="AW486" s="1330">
        <f t="shared" si="244"/>
        <v>0</v>
      </c>
      <c r="AX486" s="133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8"/>
      <c r="AV487" s="1330">
        <f t="shared" si="243"/>
        <v>0</v>
      </c>
      <c r="AW487" s="1330">
        <f t="shared" si="244"/>
        <v>0</v>
      </c>
      <c r="AX487" s="133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8"/>
      <c r="AV488" s="1330">
        <f t="shared" si="243"/>
        <v>0</v>
      </c>
      <c r="AW488" s="1330">
        <f t="shared" si="244"/>
        <v>0</v>
      </c>
      <c r="AX488" s="133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8"/>
      <c r="AV489" s="1330">
        <f t="shared" si="243"/>
        <v>0</v>
      </c>
      <c r="AW489" s="1330">
        <f t="shared" si="244"/>
        <v>0</v>
      </c>
      <c r="AX489" s="133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8"/>
      <c r="AV490" s="1330">
        <f t="shared" si="243"/>
        <v>0</v>
      </c>
      <c r="AW490" s="1330">
        <f t="shared" si="244"/>
        <v>0</v>
      </c>
      <c r="AX490" s="133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8"/>
      <c r="AV491" s="1330">
        <f t="shared" si="243"/>
        <v>0</v>
      </c>
      <c r="AW491" s="1330">
        <f t="shared" si="244"/>
        <v>0</v>
      </c>
      <c r="AX491" s="133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8"/>
      <c r="AV492" s="1330">
        <f t="shared" si="243"/>
        <v>0</v>
      </c>
      <c r="AW492" s="1330">
        <f t="shared" si="244"/>
        <v>0</v>
      </c>
      <c r="AX492" s="133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8"/>
      <c r="AV493" s="1330">
        <f t="shared" ref="AV493:AV520" si="294">A493</f>
        <v>0</v>
      </c>
      <c r="AW493" s="1330">
        <f t="shared" ref="AW493:AW520" si="295">B493</f>
        <v>0</v>
      </c>
      <c r="AX493" s="133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8"/>
      <c r="AV494" s="1330">
        <f t="shared" si="294"/>
        <v>0</v>
      </c>
      <c r="AW494" s="1330">
        <f t="shared" si="295"/>
        <v>0</v>
      </c>
      <c r="AX494" s="133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8"/>
      <c r="AV495" s="1330">
        <f t="shared" si="294"/>
        <v>0</v>
      </c>
      <c r="AW495" s="1330">
        <f t="shared" si="295"/>
        <v>0</v>
      </c>
      <c r="AX495" s="133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8"/>
      <c r="AV496" s="1330">
        <f t="shared" si="294"/>
        <v>0</v>
      </c>
      <c r="AW496" s="1330">
        <f t="shared" si="295"/>
        <v>0</v>
      </c>
      <c r="AX496" s="133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8"/>
      <c r="AV497" s="1330">
        <f t="shared" si="294"/>
        <v>0</v>
      </c>
      <c r="AW497" s="1330">
        <f t="shared" si="295"/>
        <v>0</v>
      </c>
      <c r="AX497" s="133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8"/>
      <c r="AV498" s="1330">
        <f t="shared" si="294"/>
        <v>0</v>
      </c>
      <c r="AW498" s="1330">
        <f t="shared" si="295"/>
        <v>0</v>
      </c>
      <c r="AX498" s="133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8"/>
      <c r="AV499" s="1330">
        <f t="shared" si="294"/>
        <v>0</v>
      </c>
      <c r="AW499" s="1330">
        <f t="shared" si="295"/>
        <v>0</v>
      </c>
      <c r="AX499" s="133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8"/>
      <c r="AV500" s="1330">
        <f t="shared" si="294"/>
        <v>0</v>
      </c>
      <c r="AW500" s="1330">
        <f t="shared" si="295"/>
        <v>0</v>
      </c>
      <c r="AX500" s="133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8"/>
      <c r="AV501" s="1330">
        <f t="shared" si="294"/>
        <v>0</v>
      </c>
      <c r="AW501" s="1330">
        <f t="shared" si="295"/>
        <v>0</v>
      </c>
      <c r="AX501" s="133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8"/>
      <c r="AV502" s="1330">
        <f t="shared" si="294"/>
        <v>0</v>
      </c>
      <c r="AW502" s="1330">
        <f t="shared" si="295"/>
        <v>0</v>
      </c>
      <c r="AX502" s="133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8"/>
      <c r="AV503" s="1330">
        <f t="shared" si="294"/>
        <v>0</v>
      </c>
      <c r="AW503" s="1330">
        <f t="shared" si="295"/>
        <v>0</v>
      </c>
      <c r="AX503" s="133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8"/>
      <c r="AV504" s="1330">
        <f t="shared" si="294"/>
        <v>0</v>
      </c>
      <c r="AW504" s="1330">
        <f t="shared" si="295"/>
        <v>0</v>
      </c>
      <c r="AX504" s="133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8"/>
      <c r="AV505" s="1330">
        <f t="shared" si="294"/>
        <v>0</v>
      </c>
      <c r="AW505" s="1330">
        <f t="shared" si="295"/>
        <v>0</v>
      </c>
      <c r="AX505" s="133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8"/>
      <c r="AV506" s="1330">
        <f t="shared" si="294"/>
        <v>0</v>
      </c>
      <c r="AW506" s="1330">
        <f t="shared" si="295"/>
        <v>0</v>
      </c>
      <c r="AX506" s="133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8"/>
      <c r="AV507" s="1330">
        <f t="shared" si="294"/>
        <v>0</v>
      </c>
      <c r="AW507" s="1330">
        <f t="shared" si="295"/>
        <v>0</v>
      </c>
      <c r="AX507" s="133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8"/>
      <c r="AV508" s="1330">
        <f t="shared" si="294"/>
        <v>0</v>
      </c>
      <c r="AW508" s="1330">
        <f t="shared" si="295"/>
        <v>0</v>
      </c>
      <c r="AX508" s="133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8"/>
      <c r="AV509" s="1330">
        <f t="shared" si="294"/>
        <v>0</v>
      </c>
      <c r="AW509" s="1330">
        <f t="shared" si="295"/>
        <v>0</v>
      </c>
      <c r="AX509" s="133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8"/>
      <c r="AV510" s="1330">
        <f t="shared" si="294"/>
        <v>0</v>
      </c>
      <c r="AW510" s="1330">
        <f t="shared" si="295"/>
        <v>0</v>
      </c>
      <c r="AX510" s="133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8"/>
      <c r="AV511" s="1330">
        <f t="shared" si="294"/>
        <v>0</v>
      </c>
      <c r="AW511" s="1330">
        <f t="shared" si="295"/>
        <v>0</v>
      </c>
      <c r="AX511" s="133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8"/>
      <c r="AV512" s="1330">
        <f t="shared" si="294"/>
        <v>0</v>
      </c>
      <c r="AW512" s="1330">
        <f t="shared" si="295"/>
        <v>0</v>
      </c>
      <c r="AX512" s="133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8"/>
      <c r="AV513" s="1330">
        <f t="shared" si="294"/>
        <v>0</v>
      </c>
      <c r="AW513" s="1330">
        <f t="shared" si="295"/>
        <v>0</v>
      </c>
      <c r="AX513" s="133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8"/>
      <c r="AV514" s="1330">
        <f t="shared" si="294"/>
        <v>0</v>
      </c>
      <c r="AW514" s="1330">
        <f t="shared" si="295"/>
        <v>0</v>
      </c>
      <c r="AX514" s="133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8"/>
      <c r="AV515" s="1330">
        <f t="shared" si="294"/>
        <v>0</v>
      </c>
      <c r="AW515" s="1330">
        <f t="shared" si="295"/>
        <v>0</v>
      </c>
      <c r="AX515" s="133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8"/>
      <c r="AV516" s="1330">
        <f t="shared" si="294"/>
        <v>0</v>
      </c>
      <c r="AW516" s="1330">
        <f t="shared" si="295"/>
        <v>0</v>
      </c>
      <c r="AX516" s="133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8"/>
      <c r="AV517" s="1330">
        <f t="shared" si="294"/>
        <v>0</v>
      </c>
      <c r="AW517" s="1330">
        <f t="shared" si="295"/>
        <v>0</v>
      </c>
      <c r="AX517" s="133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8"/>
      <c r="AV518" s="1330">
        <f t="shared" si="294"/>
        <v>0</v>
      </c>
      <c r="AW518" s="1330">
        <f t="shared" si="295"/>
        <v>0</v>
      </c>
      <c r="AX518" s="133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8"/>
      <c r="AV519" s="1330">
        <f t="shared" si="294"/>
        <v>0</v>
      </c>
      <c r="AW519" s="1330">
        <f t="shared" si="295"/>
        <v>0</v>
      </c>
      <c r="AX519" s="133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8"/>
      <c r="AV520" s="1330">
        <f t="shared" si="294"/>
        <v>0</v>
      </c>
      <c r="AW520" s="1330">
        <f t="shared" si="295"/>
        <v>0</v>
      </c>
      <c r="AX520" s="133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8"/>
      <c r="AV521" s="1330">
        <f t="shared" ref="AV521:AV552" si="298">A521</f>
        <v>0</v>
      </c>
      <c r="AW521" s="1330">
        <f t="shared" ref="AW521:AW552" si="299">B521</f>
        <v>0</v>
      </c>
      <c r="AX521" s="133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8"/>
      <c r="AV522" s="1330">
        <f t="shared" si="298"/>
        <v>0</v>
      </c>
      <c r="AW522" s="1330">
        <f t="shared" si="299"/>
        <v>0</v>
      </c>
      <c r="AX522" s="133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8"/>
      <c r="AV523" s="1330">
        <f t="shared" si="298"/>
        <v>0</v>
      </c>
      <c r="AW523" s="1330">
        <f t="shared" si="299"/>
        <v>0</v>
      </c>
      <c r="AX523" s="133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8"/>
      <c r="AV524" s="1330">
        <f t="shared" si="298"/>
        <v>0</v>
      </c>
      <c r="AW524" s="1330">
        <f t="shared" si="299"/>
        <v>0</v>
      </c>
      <c r="AX524" s="133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8"/>
      <c r="AV525" s="1330">
        <f t="shared" si="298"/>
        <v>0</v>
      </c>
      <c r="AW525" s="1330">
        <f t="shared" si="299"/>
        <v>0</v>
      </c>
      <c r="AX525" s="133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8"/>
      <c r="AV526" s="1330">
        <f t="shared" si="298"/>
        <v>0</v>
      </c>
      <c r="AW526" s="1330">
        <f t="shared" si="299"/>
        <v>0</v>
      </c>
      <c r="AX526" s="133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8"/>
      <c r="AV527" s="1330">
        <f t="shared" si="298"/>
        <v>0</v>
      </c>
      <c r="AW527" s="1330">
        <f t="shared" si="299"/>
        <v>0</v>
      </c>
      <c r="AX527" s="133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8"/>
      <c r="AV528" s="1330">
        <f t="shared" si="298"/>
        <v>0</v>
      </c>
      <c r="AW528" s="1330">
        <f t="shared" si="299"/>
        <v>0</v>
      </c>
      <c r="AX528" s="133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8"/>
      <c r="AV529" s="1330">
        <f t="shared" si="298"/>
        <v>0</v>
      </c>
      <c r="AW529" s="1330">
        <f t="shared" si="299"/>
        <v>0</v>
      </c>
      <c r="AX529" s="133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8"/>
      <c r="AV530" s="1330">
        <f t="shared" si="298"/>
        <v>0</v>
      </c>
      <c r="AW530" s="1330">
        <f t="shared" si="299"/>
        <v>0</v>
      </c>
      <c r="AX530" s="133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8"/>
      <c r="AV531" s="1330">
        <f t="shared" si="298"/>
        <v>0</v>
      </c>
      <c r="AW531" s="1330">
        <f t="shared" si="299"/>
        <v>0</v>
      </c>
      <c r="AX531" s="133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8"/>
      <c r="AV532" s="1330">
        <f t="shared" si="298"/>
        <v>0</v>
      </c>
      <c r="AW532" s="1330">
        <f t="shared" si="299"/>
        <v>0</v>
      </c>
      <c r="AX532" s="133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8"/>
      <c r="AV533" s="1330">
        <f t="shared" si="298"/>
        <v>0</v>
      </c>
      <c r="AW533" s="1330">
        <f t="shared" si="299"/>
        <v>0</v>
      </c>
      <c r="AX533" s="133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8"/>
      <c r="AV534" s="1330">
        <f t="shared" si="298"/>
        <v>0</v>
      </c>
      <c r="AW534" s="1330">
        <f t="shared" si="299"/>
        <v>0</v>
      </c>
      <c r="AX534" s="133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8"/>
      <c r="AV535" s="1330">
        <f t="shared" si="298"/>
        <v>0</v>
      </c>
      <c r="AW535" s="1330">
        <f t="shared" si="299"/>
        <v>0</v>
      </c>
      <c r="AX535" s="133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8"/>
      <c r="AV536" s="1330">
        <f t="shared" si="298"/>
        <v>0</v>
      </c>
      <c r="AW536" s="1330">
        <f t="shared" si="299"/>
        <v>0</v>
      </c>
      <c r="AX536" s="133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8"/>
      <c r="AV537" s="1330">
        <f t="shared" si="298"/>
        <v>0</v>
      </c>
      <c r="AW537" s="1330">
        <f t="shared" si="299"/>
        <v>0</v>
      </c>
      <c r="AX537" s="133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8"/>
      <c r="AV538" s="1330">
        <f t="shared" si="298"/>
        <v>0</v>
      </c>
      <c r="AW538" s="1330">
        <f t="shared" si="299"/>
        <v>0</v>
      </c>
      <c r="AX538" s="133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8"/>
      <c r="AV539" s="1330">
        <f t="shared" si="298"/>
        <v>0</v>
      </c>
      <c r="AW539" s="1330">
        <f t="shared" si="299"/>
        <v>0</v>
      </c>
      <c r="AX539" s="133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8"/>
      <c r="AV540" s="1330">
        <f t="shared" si="298"/>
        <v>0</v>
      </c>
      <c r="AW540" s="1330">
        <f t="shared" si="299"/>
        <v>0</v>
      </c>
      <c r="AX540" s="133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8"/>
      <c r="AV541" s="1330">
        <f t="shared" si="298"/>
        <v>0</v>
      </c>
      <c r="AW541" s="1330">
        <f t="shared" si="299"/>
        <v>0</v>
      </c>
      <c r="AX541" s="133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8"/>
      <c r="AV542" s="1330">
        <f t="shared" si="298"/>
        <v>0</v>
      </c>
      <c r="AW542" s="1330">
        <f t="shared" si="299"/>
        <v>0</v>
      </c>
      <c r="AX542" s="133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8"/>
      <c r="AV543" s="1330">
        <f t="shared" si="298"/>
        <v>0</v>
      </c>
      <c r="AW543" s="1330">
        <f t="shared" si="299"/>
        <v>0</v>
      </c>
      <c r="AX543" s="133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8"/>
      <c r="AV544" s="1330">
        <f t="shared" si="298"/>
        <v>0</v>
      </c>
      <c r="AW544" s="1330">
        <f t="shared" si="299"/>
        <v>0</v>
      </c>
      <c r="AX544" s="133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8"/>
      <c r="AV545" s="1330">
        <f t="shared" si="298"/>
        <v>0</v>
      </c>
      <c r="AW545" s="1330">
        <f t="shared" si="299"/>
        <v>0</v>
      </c>
      <c r="AX545" s="133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8"/>
      <c r="AV546" s="1330">
        <f t="shared" si="298"/>
        <v>0</v>
      </c>
      <c r="AW546" s="1330">
        <f t="shared" si="299"/>
        <v>0</v>
      </c>
      <c r="AX546" s="133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8"/>
      <c r="AV547" s="1330">
        <f t="shared" si="298"/>
        <v>0</v>
      </c>
      <c r="AW547" s="1330">
        <f t="shared" si="299"/>
        <v>0</v>
      </c>
      <c r="AX547" s="133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8"/>
      <c r="AV548" s="1330">
        <f t="shared" si="298"/>
        <v>0</v>
      </c>
      <c r="AW548" s="1330">
        <f t="shared" si="299"/>
        <v>0</v>
      </c>
      <c r="AX548" s="133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8"/>
      <c r="AV549" s="1330">
        <f t="shared" si="298"/>
        <v>0</v>
      </c>
      <c r="AW549" s="1330">
        <f t="shared" si="299"/>
        <v>0</v>
      </c>
      <c r="AX549" s="133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8"/>
      <c r="AV550" s="1330">
        <f t="shared" si="298"/>
        <v>0</v>
      </c>
      <c r="AW550" s="1330">
        <f t="shared" si="299"/>
        <v>0</v>
      </c>
      <c r="AX550" s="133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8"/>
      <c r="AV551" s="1330">
        <f t="shared" si="298"/>
        <v>0</v>
      </c>
      <c r="AW551" s="1330">
        <f t="shared" si="299"/>
        <v>0</v>
      </c>
      <c r="AX551" s="133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8"/>
      <c r="AV552" s="1330">
        <f t="shared" si="298"/>
        <v>0</v>
      </c>
      <c r="AW552" s="1330">
        <f t="shared" si="299"/>
        <v>0</v>
      </c>
      <c r="AX552" s="133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8"/>
      <c r="AV553" s="1330">
        <f t="shared" ref="AV553:AV587" si="330">A553</f>
        <v>0</v>
      </c>
      <c r="AW553" s="1330">
        <f t="shared" ref="AW553:AW587" si="331">B553</f>
        <v>0</v>
      </c>
      <c r="AX553" s="133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8"/>
      <c r="AV554" s="1330">
        <f t="shared" si="330"/>
        <v>0</v>
      </c>
      <c r="AW554" s="1330">
        <f t="shared" si="331"/>
        <v>0</v>
      </c>
      <c r="AX554" s="133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8"/>
      <c r="AV555" s="1330">
        <f t="shared" si="330"/>
        <v>0</v>
      </c>
      <c r="AW555" s="1330">
        <f t="shared" si="331"/>
        <v>0</v>
      </c>
      <c r="AX555" s="133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8"/>
      <c r="AV556" s="1330">
        <f t="shared" si="330"/>
        <v>0</v>
      </c>
      <c r="AW556" s="1330">
        <f t="shared" si="331"/>
        <v>0</v>
      </c>
      <c r="AX556" s="133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8"/>
      <c r="AV557" s="1330">
        <f t="shared" si="330"/>
        <v>0</v>
      </c>
      <c r="AW557" s="1330">
        <f t="shared" si="331"/>
        <v>0</v>
      </c>
      <c r="AX557" s="133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8"/>
      <c r="AV558" s="1330">
        <f t="shared" si="330"/>
        <v>0</v>
      </c>
      <c r="AW558" s="1330">
        <f t="shared" si="331"/>
        <v>0</v>
      </c>
      <c r="AX558" s="133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8"/>
      <c r="AV559" s="1330">
        <f t="shared" si="330"/>
        <v>0</v>
      </c>
      <c r="AW559" s="1330">
        <f t="shared" si="331"/>
        <v>0</v>
      </c>
      <c r="AX559" s="133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8"/>
      <c r="AV560" s="1330">
        <f t="shared" si="330"/>
        <v>0</v>
      </c>
      <c r="AW560" s="1330">
        <f t="shared" si="331"/>
        <v>0</v>
      </c>
      <c r="AX560" s="133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8"/>
      <c r="AV561" s="1330">
        <f t="shared" si="330"/>
        <v>0</v>
      </c>
      <c r="AW561" s="1330">
        <f t="shared" si="331"/>
        <v>0</v>
      </c>
      <c r="AX561" s="133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8"/>
      <c r="AV562" s="1330">
        <f t="shared" si="330"/>
        <v>0</v>
      </c>
      <c r="AW562" s="1330">
        <f t="shared" si="331"/>
        <v>0</v>
      </c>
      <c r="AX562" s="133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8"/>
      <c r="AV563" s="1330">
        <f t="shared" si="330"/>
        <v>0</v>
      </c>
      <c r="AW563" s="1330">
        <f t="shared" si="331"/>
        <v>0</v>
      </c>
      <c r="AX563" s="133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8"/>
      <c r="AV564" s="1330">
        <f t="shared" si="330"/>
        <v>0</v>
      </c>
      <c r="AW564" s="1330">
        <f t="shared" si="331"/>
        <v>0</v>
      </c>
      <c r="AX564" s="133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8"/>
      <c r="AV565" s="1330">
        <f t="shared" si="330"/>
        <v>0</v>
      </c>
      <c r="AW565" s="1330">
        <f t="shared" si="331"/>
        <v>0</v>
      </c>
      <c r="AX565" s="133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8"/>
      <c r="AV566" s="1330">
        <f t="shared" si="330"/>
        <v>0</v>
      </c>
      <c r="AW566" s="1330">
        <f t="shared" si="331"/>
        <v>0</v>
      </c>
      <c r="AX566" s="133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8"/>
      <c r="AV567" s="1330">
        <f t="shared" si="330"/>
        <v>0</v>
      </c>
      <c r="AW567" s="1330">
        <f t="shared" si="331"/>
        <v>0</v>
      </c>
      <c r="AX567" s="133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8"/>
      <c r="AV568" s="1330">
        <f t="shared" si="330"/>
        <v>0</v>
      </c>
      <c r="AW568" s="1330">
        <f t="shared" si="331"/>
        <v>0</v>
      </c>
      <c r="AX568" s="133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8"/>
      <c r="AV569" s="1330">
        <f t="shared" si="330"/>
        <v>0</v>
      </c>
      <c r="AW569" s="1330">
        <f t="shared" si="331"/>
        <v>0</v>
      </c>
      <c r="AX569" s="133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8"/>
      <c r="AV570" s="1330">
        <f t="shared" si="330"/>
        <v>0</v>
      </c>
      <c r="AW570" s="1330">
        <f t="shared" si="331"/>
        <v>0</v>
      </c>
      <c r="AX570" s="133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8"/>
      <c r="AV571" s="1330">
        <f t="shared" si="330"/>
        <v>0</v>
      </c>
      <c r="AW571" s="1330">
        <f t="shared" si="331"/>
        <v>0</v>
      </c>
      <c r="AX571" s="133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8"/>
      <c r="AV572" s="1330">
        <f t="shared" si="330"/>
        <v>0</v>
      </c>
      <c r="AW572" s="1330">
        <f t="shared" si="331"/>
        <v>0</v>
      </c>
      <c r="AX572" s="133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8"/>
      <c r="AV573" s="1330">
        <f t="shared" si="330"/>
        <v>0</v>
      </c>
      <c r="AW573" s="1330">
        <f t="shared" si="331"/>
        <v>0</v>
      </c>
      <c r="AX573" s="133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8"/>
      <c r="AV574" s="1330">
        <f t="shared" si="330"/>
        <v>0</v>
      </c>
      <c r="AW574" s="1330">
        <f t="shared" si="331"/>
        <v>0</v>
      </c>
      <c r="AX574" s="133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8"/>
      <c r="AV575" s="1330">
        <f t="shared" si="330"/>
        <v>0</v>
      </c>
      <c r="AW575" s="1330">
        <f t="shared" si="331"/>
        <v>0</v>
      </c>
      <c r="AX575" s="133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8"/>
      <c r="AV576" s="1330">
        <f t="shared" si="330"/>
        <v>0</v>
      </c>
      <c r="AW576" s="1330">
        <f t="shared" si="331"/>
        <v>0</v>
      </c>
      <c r="AX576" s="133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8"/>
      <c r="AV577" s="1330">
        <f t="shared" si="330"/>
        <v>0</v>
      </c>
      <c r="AW577" s="1330">
        <f t="shared" si="331"/>
        <v>0</v>
      </c>
      <c r="AX577" s="133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8"/>
      <c r="AV578" s="1330">
        <f t="shared" si="330"/>
        <v>0</v>
      </c>
      <c r="AW578" s="1330">
        <f t="shared" si="331"/>
        <v>0</v>
      </c>
      <c r="AX578" s="133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8"/>
      <c r="AV579" s="1330">
        <f t="shared" si="330"/>
        <v>0</v>
      </c>
      <c r="AW579" s="1330">
        <f t="shared" si="331"/>
        <v>0</v>
      </c>
      <c r="AX579" s="133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8"/>
      <c r="AV580" s="1330">
        <f t="shared" si="330"/>
        <v>0</v>
      </c>
      <c r="AW580" s="1330">
        <f t="shared" si="331"/>
        <v>0</v>
      </c>
      <c r="AX580" s="133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8"/>
      <c r="AV581" s="1330">
        <f t="shared" si="330"/>
        <v>0</v>
      </c>
      <c r="AW581" s="1330">
        <f t="shared" si="331"/>
        <v>0</v>
      </c>
      <c r="AX581" s="133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8"/>
      <c r="AV582" s="1330">
        <f t="shared" si="330"/>
        <v>0</v>
      </c>
      <c r="AW582" s="1330">
        <f t="shared" si="331"/>
        <v>0</v>
      </c>
      <c r="AX582" s="133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8"/>
      <c r="AV583" s="1330">
        <f t="shared" si="330"/>
        <v>0</v>
      </c>
      <c r="AW583" s="1330">
        <f t="shared" si="331"/>
        <v>0</v>
      </c>
      <c r="AX583" s="133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8"/>
      <c r="AV584" s="1330">
        <f t="shared" si="330"/>
        <v>0</v>
      </c>
      <c r="AW584" s="1330">
        <f t="shared" si="331"/>
        <v>0</v>
      </c>
      <c r="AX584" s="133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8"/>
      <c r="AV585" s="1330">
        <f t="shared" si="330"/>
        <v>0</v>
      </c>
      <c r="AW585" s="1330">
        <f t="shared" si="331"/>
        <v>0</v>
      </c>
      <c r="AX585" s="133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8"/>
      <c r="AV586" s="1330">
        <f t="shared" si="330"/>
        <v>0</v>
      </c>
      <c r="AW586" s="1330">
        <f t="shared" si="331"/>
        <v>0</v>
      </c>
      <c r="AX586" s="133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8"/>
      <c r="AV587" s="1330">
        <f t="shared" si="330"/>
        <v>0</v>
      </c>
      <c r="AW587" s="1330">
        <f t="shared" si="331"/>
        <v>0</v>
      </c>
      <c r="AX587" s="133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1" customFormat="1">
      <c r="A588" s="1619"/>
      <c r="B588" s="1619"/>
      <c r="C588" s="1619"/>
      <c r="D588" s="1619"/>
      <c r="E588" s="1620"/>
      <c r="F588" s="1620"/>
      <c r="G588" s="1619"/>
      <c r="H588" s="1620"/>
      <c r="I588" s="1620"/>
      <c r="J588" s="1620"/>
      <c r="K588" s="1620"/>
      <c r="L588" s="1620"/>
      <c r="M588" s="1620"/>
      <c r="N588" s="1620"/>
      <c r="O588" s="1620"/>
      <c r="P588" s="1620"/>
      <c r="Q588" s="1620"/>
      <c r="R588" s="1620"/>
      <c r="S588" s="1620"/>
      <c r="T588" s="1620"/>
      <c r="U588" s="1620"/>
      <c r="V588" s="1620"/>
      <c r="W588" s="1620"/>
      <c r="X588" s="1620"/>
      <c r="Y588" s="1620"/>
      <c r="Z588" s="1620"/>
      <c r="AA588" s="1620"/>
      <c r="AB588" s="1620"/>
      <c r="AC588" s="1620"/>
      <c r="AD588" s="1620"/>
      <c r="AE588" s="1620"/>
      <c r="AF588" s="1620"/>
      <c r="AG588" s="1620"/>
      <c r="AH588" s="1620"/>
      <c r="AI588" s="1620"/>
      <c r="AJ588" s="1620"/>
      <c r="AK588" s="1620"/>
      <c r="AL588" s="1620"/>
      <c r="AM588" s="1620"/>
      <c r="AN588" s="1620"/>
      <c r="AO588" s="1620"/>
      <c r="AP588" s="1620"/>
      <c r="AQ588" s="1620"/>
      <c r="AR588" s="1620"/>
      <c r="AS588" s="1620"/>
      <c r="AT588" s="1620"/>
      <c r="AU588" s="1619"/>
      <c r="AV588" s="1619"/>
      <c r="AW588" s="1619"/>
      <c r="AX588" s="1619"/>
    </row>
    <row r="589" spans="1:72" s="1622" customFormat="1">
      <c r="C589" s="1623"/>
      <c r="D589" s="1623"/>
    </row>
    <row r="590" spans="1:72" s="1622" customFormat="1">
      <c r="C590" s="1623"/>
      <c r="D590" s="1623"/>
    </row>
    <row r="593" spans="2:2">
      <c r="B593" s="1623"/>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U22" sqref="U22"/>
    </sheetView>
  </sheetViews>
  <sheetFormatPr defaultColWidth="9.21875" defaultRowHeight="13.8"/>
  <cols>
    <col min="1" max="1" width="12.109375" style="1625" customWidth="1"/>
    <col min="2" max="2" width="10.21875" style="1625" customWidth="1"/>
    <col min="3" max="3" width="18.44140625" style="1625" customWidth="1"/>
    <col min="4" max="4" width="11.6640625" style="1625" customWidth="1"/>
    <col min="5" max="5" width="13.33203125" style="1625" customWidth="1"/>
    <col min="6" max="8" width="11.44140625" style="1625" customWidth="1"/>
    <col min="9" max="9" width="11.109375" style="1625" customWidth="1"/>
    <col min="10" max="10" width="3.109375" style="2620" customWidth="1"/>
    <col min="11" max="16" width="10" style="1625" customWidth="1"/>
    <col min="17" max="17" width="2.6640625" style="1625" customWidth="1"/>
    <col min="18" max="18" width="9.33203125" style="1625" bestFit="1" customWidth="1"/>
    <col min="19" max="19" width="10.44140625" style="1625" bestFit="1" customWidth="1"/>
    <col min="20" max="16384" width="9.21875" style="1625"/>
  </cols>
  <sheetData>
    <row r="1" spans="1:16" ht="18" thickBot="1">
      <c r="A1" s="1624" t="s">
        <v>1130</v>
      </c>
      <c r="B1" s="1127"/>
      <c r="C1" s="1127"/>
      <c r="D1" s="1127"/>
      <c r="E1" s="1127"/>
      <c r="F1" s="1127"/>
      <c r="G1" s="1127"/>
      <c r="H1" s="1127"/>
      <c r="I1" s="1127"/>
      <c r="J1" s="1127"/>
      <c r="K1" s="1127"/>
      <c r="L1" s="1127"/>
      <c r="M1" s="1127"/>
      <c r="N1" s="1127"/>
      <c r="O1" s="1127"/>
      <c r="P1" s="1127"/>
    </row>
    <row r="2" spans="1:16" ht="14.4">
      <c r="A2" s="4031" t="s">
        <v>1131</v>
      </c>
      <c r="B2" s="4031"/>
      <c r="C2" s="4031"/>
      <c r="D2" s="786" t="s">
        <v>1107</v>
      </c>
      <c r="E2" s="1626" t="s">
        <v>1108</v>
      </c>
      <c r="F2" s="2630"/>
      <c r="G2" s="2621"/>
      <c r="H2" s="2622"/>
      <c r="I2" s="2297" t="s">
        <v>1132</v>
      </c>
      <c r="J2" s="2630"/>
      <c r="K2" s="2630"/>
      <c r="L2" s="2630"/>
      <c r="M2" s="2630"/>
      <c r="N2" s="2632"/>
      <c r="O2" s="2630"/>
      <c r="P2" s="2630"/>
    </row>
    <row r="3" spans="1:16" ht="15" thickBot="1">
      <c r="A3" s="4032" t="s">
        <v>1105</v>
      </c>
      <c r="B3" s="4032"/>
      <c r="C3" s="4032"/>
      <c r="D3" s="43">
        <f>'数据-基础表'!AY6</f>
        <v>0</v>
      </c>
      <c r="E3" s="43">
        <f>'数据-基础表'!AZ5</f>
        <v>88.78</v>
      </c>
      <c r="F3" s="2630"/>
      <c r="G3" s="1133"/>
      <c r="H3" s="1016" t="s">
        <v>1106</v>
      </c>
      <c r="I3" s="845" t="e">
        <f>ROUND('数据-基础表'!B3/'数据-基础表'!A3,2)</f>
        <v>#DIV/0!</v>
      </c>
      <c r="J3" s="2630"/>
      <c r="K3" s="2630"/>
      <c r="L3" s="2630"/>
      <c r="M3" s="2630"/>
      <c r="N3" s="2632"/>
      <c r="O3" s="2630"/>
      <c r="P3" s="2630"/>
    </row>
    <row r="4" spans="1:16" ht="14.4">
      <c r="A4" s="4033"/>
      <c r="B4" s="4034"/>
      <c r="C4" s="4035"/>
      <c r="D4" s="1628" t="s">
        <v>1107</v>
      </c>
      <c r="E4" s="1629" t="s">
        <v>1108</v>
      </c>
      <c r="F4" s="2630"/>
      <c r="G4" s="2623" t="s">
        <v>1133</v>
      </c>
      <c r="H4" s="1016" t="s">
        <v>1113</v>
      </c>
      <c r="I4" s="845" t="e">
        <f>ROUND(SUMIF('数据-基础表'!I9:AS9,"地上",'数据-基础表'!I5:AS5)/'数据-基础表'!A3,2)</f>
        <v>#DIV/0!</v>
      </c>
      <c r="J4" s="2630"/>
      <c r="K4" s="2630"/>
      <c r="L4" s="2630"/>
      <c r="M4" s="2630"/>
      <c r="N4" s="2632"/>
      <c r="O4" s="2630"/>
      <c r="P4" s="2630"/>
    </row>
    <row r="5" spans="1:16" ht="14.4">
      <c r="A5" s="44" t="s">
        <v>1109</v>
      </c>
      <c r="B5" s="4036" t="s">
        <v>1110</v>
      </c>
      <c r="C5" s="4036"/>
      <c r="D5" s="45">
        <f>ROUND($D$3*E5/$E$3,2)</f>
        <v>0</v>
      </c>
      <c r="E5" s="46">
        <f>SUMIF('数据-基础表'!$11:$11,"住宅",'数据-基础表'!$5:$5)</f>
        <v>88.78</v>
      </c>
      <c r="F5" s="2630"/>
      <c r="G5" s="1133"/>
      <c r="H5" s="1016" t="s">
        <v>1106</v>
      </c>
      <c r="I5" s="845" t="e">
        <f>ROUND(E31/D31,2)</f>
        <v>#DIV/0!</v>
      </c>
      <c r="J5" s="2630"/>
      <c r="K5" s="2630"/>
      <c r="L5" s="2630"/>
      <c r="M5" s="2630"/>
      <c r="N5" s="2630"/>
      <c r="O5" s="2630"/>
      <c r="P5" s="2630"/>
    </row>
    <row r="6" spans="1:16" ht="15" thickBot="1">
      <c r="A6" s="1631"/>
      <c r="B6" s="4036" t="s">
        <v>1111</v>
      </c>
      <c r="C6" s="4036"/>
      <c r="D6" s="45">
        <f>ROUND($D$3*E6/$E$3,2)</f>
        <v>0</v>
      </c>
      <c r="E6" s="46">
        <f>E3-E5</f>
        <v>0</v>
      </c>
      <c r="F6" s="2630"/>
      <c r="G6" s="2624" t="s">
        <v>1112</v>
      </c>
      <c r="H6" s="1134" t="s">
        <v>1113</v>
      </c>
      <c r="I6" s="2625" t="e">
        <f>ROUND(F31/D31,2)</f>
        <v>#DIV/0!</v>
      </c>
      <c r="J6" s="2630"/>
      <c r="K6" s="2630"/>
      <c r="L6" s="2630"/>
      <c r="M6" s="2630"/>
      <c r="N6" s="2630"/>
      <c r="O6" s="2630"/>
      <c r="P6" s="2630"/>
    </row>
    <row r="7" spans="1:16" ht="15" thickBot="1">
      <c r="A7" s="4028"/>
      <c r="B7" s="4029"/>
      <c r="C7" s="4030"/>
      <c r="D7" s="1628" t="s">
        <v>1107</v>
      </c>
      <c r="E7" s="1632" t="s">
        <v>1114</v>
      </c>
      <c r="F7" s="2630"/>
      <c r="G7" s="2626" t="s">
        <v>1115</v>
      </c>
      <c r="H7" s="2627"/>
      <c r="I7" s="2628"/>
      <c r="J7" s="2630"/>
      <c r="K7" s="2630"/>
      <c r="L7" s="2630"/>
      <c r="M7" s="2630"/>
      <c r="N7" s="2630"/>
      <c r="O7" s="2630"/>
      <c r="P7" s="2630"/>
    </row>
    <row r="8" spans="1:16" ht="14.4">
      <c r="A8" s="44" t="s">
        <v>1116</v>
      </c>
      <c r="B8" s="47" t="s">
        <v>1117</v>
      </c>
      <c r="C8" s="45" t="s">
        <v>1118</v>
      </c>
      <c r="D8" s="45">
        <f t="shared" ref="D8:D15" si="0">ROUND($D$3*E8/$E$3,2)</f>
        <v>0</v>
      </c>
      <c r="E8" s="48">
        <f>SUMIF('数据-基础表'!BB10:BK10,"地上",'数据-基础表'!BB5:BK5)</f>
        <v>88.78</v>
      </c>
      <c r="F8" s="2630"/>
      <c r="G8" s="2631"/>
      <c r="H8" s="2631"/>
      <c r="I8" s="2630"/>
      <c r="J8" s="2630"/>
      <c r="K8" s="2630"/>
      <c r="L8" s="2630"/>
      <c r="M8" s="2630"/>
      <c r="N8" s="2630"/>
      <c r="O8" s="2630"/>
      <c r="P8" s="2630"/>
    </row>
    <row r="9" spans="1:16" ht="14.4">
      <c r="A9" s="1633"/>
      <c r="B9" s="1634"/>
      <c r="C9" s="45" t="s">
        <v>1119</v>
      </c>
      <c r="D9" s="45">
        <f t="shared" si="0"/>
        <v>0</v>
      </c>
      <c r="E9" s="49">
        <v>0</v>
      </c>
      <c r="F9" s="2630"/>
      <c r="G9" s="2631"/>
      <c r="H9" s="2631"/>
      <c r="I9" s="2630"/>
      <c r="J9" s="2630"/>
      <c r="K9" s="2630"/>
      <c r="L9" s="2630"/>
      <c r="M9" s="2630"/>
      <c r="N9" s="2630"/>
      <c r="O9" s="2630"/>
      <c r="P9" s="2630"/>
    </row>
    <row r="10" spans="1:16" ht="14.4">
      <c r="A10" s="1633"/>
      <c r="B10" s="1634"/>
      <c r="C10" s="45" t="s">
        <v>1128</v>
      </c>
      <c r="D10" s="45">
        <f t="shared" si="0"/>
        <v>0</v>
      </c>
      <c r="E10" s="48">
        <f>SUMPRODUCT(('数据-基础表'!BB10:BK10="地下")*('数据-基础表'!BB11:BK11="商业")*('数据-基础表'!BB5:BK5))</f>
        <v>0</v>
      </c>
      <c r="F10" s="2630"/>
      <c r="G10" s="2631"/>
      <c r="H10" s="2631"/>
      <c r="I10" s="2630"/>
      <c r="J10" s="2630"/>
      <c r="K10" s="2630"/>
      <c r="L10" s="2630"/>
      <c r="M10" s="2630"/>
      <c r="N10" s="2630"/>
      <c r="O10" s="2630"/>
      <c r="P10" s="2630"/>
    </row>
    <row r="11" spans="1:16" ht="14.4">
      <c r="A11" s="1633"/>
      <c r="B11" s="1634"/>
      <c r="C11" s="45" t="s">
        <v>1120</v>
      </c>
      <c r="D11" s="45">
        <f t="shared" si="0"/>
        <v>0</v>
      </c>
      <c r="E11" s="48">
        <f>SUMPRODUCT(('数据-基础表'!BB10:BK10="地下")*('数据-基础表'!BB11:BK11="办公")*('数据-基础表'!BB5:BK5))+'数据-基础表'!BP5</f>
        <v>0</v>
      </c>
      <c r="F11" s="2630"/>
      <c r="G11" s="2631"/>
      <c r="H11" s="2631"/>
      <c r="I11" s="2630"/>
      <c r="J11" s="2630"/>
      <c r="K11" s="2630"/>
      <c r="L11" s="2630"/>
      <c r="M11" s="2630"/>
      <c r="N11" s="2630"/>
      <c r="O11" s="2630"/>
      <c r="P11" s="2630"/>
    </row>
    <row r="12" spans="1:16" ht="14.4">
      <c r="A12" s="1633"/>
      <c r="B12" s="1634"/>
      <c r="C12" s="45" t="s">
        <v>1121</v>
      </c>
      <c r="D12" s="45">
        <f t="shared" si="0"/>
        <v>0</v>
      </c>
      <c r="E12" s="48">
        <f>SUMPRODUCT(('数据-基础表'!BB10:BK10="地下")*('数据-基础表'!BB11:BK11="仓储")*('数据-基础表'!BB5:BK5))</f>
        <v>0</v>
      </c>
      <c r="F12" s="2630"/>
      <c r="G12" s="2631"/>
      <c r="H12" s="2631"/>
      <c r="I12" s="2630"/>
      <c r="J12" s="2630"/>
      <c r="K12" s="2630"/>
      <c r="L12" s="2630"/>
      <c r="M12" s="2630"/>
      <c r="N12" s="2630"/>
      <c r="O12" s="2630"/>
      <c r="P12" s="2630"/>
    </row>
    <row r="13" spans="1:16" ht="14.4">
      <c r="A13" s="1633"/>
      <c r="B13" s="1634"/>
      <c r="C13" s="45" t="s">
        <v>1122</v>
      </c>
      <c r="D13" s="45">
        <f t="shared" si="0"/>
        <v>0</v>
      </c>
      <c r="E13" s="48">
        <f>SUMPRODUCT(('数据-基础表'!BB10:BK10="地下")*('数据-基础表'!BB11:BK11="车库")*('数据-基础表'!BB5:BK5))</f>
        <v>0</v>
      </c>
      <c r="F13" s="2630"/>
      <c r="G13" s="2631"/>
      <c r="H13" s="2631"/>
      <c r="I13" s="2630"/>
      <c r="J13" s="2630"/>
      <c r="K13" s="2630"/>
      <c r="L13" s="2630"/>
      <c r="M13" s="2630"/>
      <c r="N13" s="2630"/>
      <c r="O13" s="2630"/>
      <c r="P13" s="2630"/>
    </row>
    <row r="14" spans="1:16" ht="14.4">
      <c r="A14" s="1633"/>
      <c r="B14" s="1634"/>
      <c r="C14" s="45" t="s">
        <v>1134</v>
      </c>
      <c r="D14" s="45">
        <f t="shared" si="0"/>
        <v>0</v>
      </c>
      <c r="E14" s="48">
        <f>SUMPRODUCT(('数据-基础表'!BB10:BK10="地下")*('数据-基础表'!BB11:BK11="车库—商业")*('数据-基础表'!BB5:BK5))</f>
        <v>0</v>
      </c>
      <c r="F14" s="2630"/>
      <c r="G14" s="2631"/>
      <c r="H14" s="2631"/>
      <c r="I14" s="2630"/>
      <c r="J14" s="2630"/>
      <c r="K14" s="2630"/>
      <c r="L14" s="2630"/>
      <c r="M14" s="2630"/>
      <c r="N14" s="2630"/>
      <c r="O14" s="2630"/>
      <c r="P14" s="2630"/>
    </row>
    <row r="15" spans="1:16" ht="15" thickBot="1">
      <c r="A15" s="1633"/>
      <c r="B15" s="1634"/>
      <c r="C15" s="45" t="s">
        <v>1129</v>
      </c>
      <c r="D15" s="45">
        <f t="shared" si="0"/>
        <v>0</v>
      </c>
      <c r="E15" s="48">
        <f>SUMPRODUCT(('数据-基础表'!BB10:BK10="地下")*('数据-基础表'!BB11:BK11="车库—办公")*('数据-基础表'!BB5:BK5))</f>
        <v>0</v>
      </c>
      <c r="F15" s="2630"/>
      <c r="G15" s="2631"/>
      <c r="H15" s="2631"/>
      <c r="I15" s="2630"/>
      <c r="J15" s="2630"/>
      <c r="K15" s="2630"/>
      <c r="L15" s="2630"/>
      <c r="M15" s="2630"/>
      <c r="N15" s="2630"/>
      <c r="O15" s="2630"/>
      <c r="P15" s="2630"/>
    </row>
    <row r="16" spans="1:16" ht="15" thickBot="1">
      <c r="A16" s="1631"/>
      <c r="B16" s="1634"/>
      <c r="C16" s="47" t="s">
        <v>1123</v>
      </c>
      <c r="D16" s="47">
        <f>SUM(D8:D15)</f>
        <v>0</v>
      </c>
      <c r="E16" s="50">
        <f>SUM(E8:E15)</f>
        <v>88.78</v>
      </c>
      <c r="F16" s="2630"/>
      <c r="G16" s="2631"/>
      <c r="H16" s="1635" t="s">
        <v>1135</v>
      </c>
      <c r="I16" s="1636"/>
      <c r="J16" s="1127"/>
      <c r="K16" s="4025" t="s">
        <v>1135</v>
      </c>
      <c r="L16" s="4026"/>
      <c r="M16" s="4026"/>
      <c r="N16" s="4026"/>
      <c r="O16" s="4026"/>
      <c r="P16" s="4027"/>
    </row>
    <row r="17" spans="1:19" ht="14.4">
      <c r="A17" s="1637" t="s">
        <v>1136</v>
      </c>
      <c r="B17" s="1638" t="s">
        <v>1137</v>
      </c>
      <c r="C17" s="1639" t="s">
        <v>1138</v>
      </c>
      <c r="D17" s="1640" t="s">
        <v>1126</v>
      </c>
      <c r="E17" s="1641" t="s">
        <v>1127</v>
      </c>
      <c r="F17" s="1642"/>
      <c r="G17" s="1643"/>
      <c r="H17" s="1644" t="s">
        <v>1139</v>
      </c>
      <c r="I17" s="1645" t="s">
        <v>1124</v>
      </c>
      <c r="J17" s="1127"/>
      <c r="K17" s="4022" t="s">
        <v>1140</v>
      </c>
      <c r="L17" s="4023"/>
      <c r="M17" s="4024"/>
      <c r="N17" s="4022" t="s">
        <v>1141</v>
      </c>
      <c r="O17" s="4023"/>
      <c r="P17" s="4024"/>
      <c r="R17" s="1627" t="s">
        <v>1142</v>
      </c>
      <c r="S17" s="56"/>
    </row>
    <row r="18" spans="1:19" ht="14.4">
      <c r="A18" s="1633"/>
      <c r="B18" s="1646"/>
      <c r="C18" s="1647"/>
      <c r="D18" s="1648"/>
      <c r="E18" s="1649" t="s">
        <v>1143</v>
      </c>
      <c r="F18" s="1650" t="s">
        <v>1144</v>
      </c>
      <c r="G18" s="1651" t="s">
        <v>1145</v>
      </c>
      <c r="H18" s="1031" t="s">
        <v>1146</v>
      </c>
      <c r="I18" s="1652" t="s">
        <v>1147</v>
      </c>
      <c r="J18" s="1127"/>
      <c r="K18" s="1031" t="s">
        <v>1148</v>
      </c>
      <c r="L18" s="1653" t="s">
        <v>1149</v>
      </c>
      <c r="M18" s="845" t="s">
        <v>1150</v>
      </c>
      <c r="N18" s="1031" t="s">
        <v>1148</v>
      </c>
      <c r="O18" s="1653" t="s">
        <v>1149</v>
      </c>
      <c r="P18" s="845" t="s">
        <v>1150</v>
      </c>
      <c r="R18" s="1016" t="s">
        <v>1151</v>
      </c>
      <c r="S18" s="1016" t="s">
        <v>1152</v>
      </c>
    </row>
    <row r="19" spans="1:19" ht="14.4">
      <c r="A19" s="1654"/>
      <c r="B19" s="47" t="s">
        <v>1125</v>
      </c>
      <c r="C19" s="3388" t="s">
        <v>3391</v>
      </c>
      <c r="D19" s="45">
        <f>ROUND($D$3*E19/$E$3,2)</f>
        <v>0</v>
      </c>
      <c r="E19" s="53">
        <f t="shared" ref="E19:E26" si="1">SUM(F19:G19)</f>
        <v>88.78</v>
      </c>
      <c r="F19" s="3781">
        <v>88.78</v>
      </c>
      <c r="G19" s="2767"/>
      <c r="H19" s="662">
        <f>ROUND($D$3*I19/$E$3,2)</f>
        <v>0</v>
      </c>
      <c r="I19" s="48">
        <f t="shared" ref="I19:I26" si="2">IF($I$17="自定义",P19,M19)</f>
        <v>0</v>
      </c>
      <c r="J19" s="1127"/>
      <c r="K19" s="1126">
        <f t="shared" ref="K19:K26" si="3">ROUND(E$28*E19/E$27,2)</f>
        <v>0</v>
      </c>
      <c r="L19" s="1016">
        <f t="shared" ref="L19:L26" si="4">ROUND(IF(COUNTIF(C19,"*住宅*")&gt;0,E$29*E19/E$32,0),2)</f>
        <v>0</v>
      </c>
      <c r="M19" s="1138">
        <f>K19+L19</f>
        <v>0</v>
      </c>
      <c r="N19" s="1655"/>
      <c r="O19" s="1656"/>
      <c r="P19" s="1138">
        <f>N19+O19</f>
        <v>0</v>
      </c>
      <c r="R19" s="1016">
        <f t="shared" ref="R19:S26" si="5">D19+H19</f>
        <v>0</v>
      </c>
      <c r="S19" s="1017">
        <f t="shared" si="5"/>
        <v>88.78</v>
      </c>
    </row>
    <row r="20" spans="1:19" ht="14.4">
      <c r="A20" s="1657"/>
      <c r="B20" s="47" t="s">
        <v>1153</v>
      </c>
      <c r="C20" s="3388"/>
      <c r="D20" s="45">
        <f t="shared" ref="D20:D26" si="6">ROUND($D$3*E20/$E$3,2)</f>
        <v>0</v>
      </c>
      <c r="E20" s="53">
        <f t="shared" si="1"/>
        <v>0</v>
      </c>
      <c r="F20" s="2766"/>
      <c r="G20" s="2767"/>
      <c r="H20" s="662">
        <f t="shared" ref="H20:H26" si="7">ROUND($D$3*I20/$E$3,2)</f>
        <v>0</v>
      </c>
      <c r="I20" s="48">
        <f t="shared" si="2"/>
        <v>0</v>
      </c>
      <c r="J20" s="1127"/>
      <c r="K20" s="1126">
        <f t="shared" si="3"/>
        <v>0</v>
      </c>
      <c r="L20" s="1016">
        <f t="shared" si="4"/>
        <v>0</v>
      </c>
      <c r="M20" s="1138">
        <f t="shared" ref="M20:M26" si="8">K20+L20</f>
        <v>0</v>
      </c>
      <c r="N20" s="1655"/>
      <c r="O20" s="1656"/>
      <c r="P20" s="1138">
        <f t="shared" ref="P20:P26" si="9">N20+O20</f>
        <v>0</v>
      </c>
      <c r="R20" s="1016">
        <f t="shared" si="5"/>
        <v>0</v>
      </c>
      <c r="S20" s="1017">
        <f t="shared" si="5"/>
        <v>0</v>
      </c>
    </row>
    <row r="21" spans="1:19" ht="14.4">
      <c r="A21" s="1657"/>
      <c r="B21" s="47" t="s">
        <v>1153</v>
      </c>
      <c r="C21" s="3388"/>
      <c r="D21" s="45">
        <f t="shared" si="6"/>
        <v>0</v>
      </c>
      <c r="E21" s="53">
        <f t="shared" si="1"/>
        <v>0</v>
      </c>
      <c r="F21" s="2766"/>
      <c r="G21" s="2767"/>
      <c r="H21" s="662">
        <f t="shared" si="7"/>
        <v>0</v>
      </c>
      <c r="I21" s="48">
        <f t="shared" si="2"/>
        <v>0</v>
      </c>
      <c r="J21" s="1127"/>
      <c r="K21" s="1126">
        <f t="shared" si="3"/>
        <v>0</v>
      </c>
      <c r="L21" s="1016">
        <f t="shared" si="4"/>
        <v>0</v>
      </c>
      <c r="M21" s="1138">
        <f t="shared" si="8"/>
        <v>0</v>
      </c>
      <c r="N21" s="1655"/>
      <c r="O21" s="1656"/>
      <c r="P21" s="1138">
        <f t="shared" si="9"/>
        <v>0</v>
      </c>
      <c r="R21" s="1016">
        <f t="shared" si="5"/>
        <v>0</v>
      </c>
      <c r="S21" s="1017">
        <f t="shared" si="5"/>
        <v>0</v>
      </c>
    </row>
    <row r="22" spans="1:19" ht="14.4">
      <c r="A22" s="1657"/>
      <c r="B22" s="47" t="s">
        <v>1153</v>
      </c>
      <c r="C22" s="3389"/>
      <c r="D22" s="45">
        <f t="shared" si="6"/>
        <v>0</v>
      </c>
      <c r="E22" s="53">
        <f t="shared" si="1"/>
        <v>0</v>
      </c>
      <c r="F22" s="2768"/>
      <c r="G22" s="2769"/>
      <c r="H22" s="662">
        <f t="shared" si="7"/>
        <v>0</v>
      </c>
      <c r="I22" s="48">
        <f t="shared" si="2"/>
        <v>0</v>
      </c>
      <c r="J22" s="1127"/>
      <c r="K22" s="1126">
        <f t="shared" si="3"/>
        <v>0</v>
      </c>
      <c r="L22" s="1016">
        <f t="shared" si="4"/>
        <v>0</v>
      </c>
      <c r="M22" s="1138">
        <f t="shared" si="8"/>
        <v>0</v>
      </c>
      <c r="N22" s="1655"/>
      <c r="O22" s="1656"/>
      <c r="P22" s="1138">
        <f t="shared" si="9"/>
        <v>0</v>
      </c>
      <c r="R22" s="1016">
        <f t="shared" si="5"/>
        <v>0</v>
      </c>
      <c r="S22" s="1017">
        <f t="shared" si="5"/>
        <v>0</v>
      </c>
    </row>
    <row r="23" spans="1:19" ht="14.4">
      <c r="A23" s="1657"/>
      <c r="B23" s="47" t="s">
        <v>1153</v>
      </c>
      <c r="C23" s="3389"/>
      <c r="D23" s="45">
        <f>ROUND($D$3*E23/$E$3,2)</f>
        <v>0</v>
      </c>
      <c r="E23" s="53">
        <f>SUM(F23:G23)</f>
        <v>0</v>
      </c>
      <c r="F23" s="2768"/>
      <c r="G23" s="2769"/>
      <c r="H23" s="662">
        <f>ROUND($D$3*I23/$E$3,2)</f>
        <v>0</v>
      </c>
      <c r="I23" s="48">
        <f t="shared" si="2"/>
        <v>0</v>
      </c>
      <c r="J23" s="1127"/>
      <c r="K23" s="1126">
        <f t="shared" si="3"/>
        <v>0</v>
      </c>
      <c r="L23" s="1016">
        <f t="shared" si="4"/>
        <v>0</v>
      </c>
      <c r="M23" s="1138">
        <f t="shared" si="8"/>
        <v>0</v>
      </c>
      <c r="N23" s="1655"/>
      <c r="O23" s="1656"/>
      <c r="P23" s="1138">
        <f t="shared" si="9"/>
        <v>0</v>
      </c>
      <c r="R23" s="1016">
        <f t="shared" si="5"/>
        <v>0</v>
      </c>
      <c r="S23" s="1017">
        <f t="shared" si="5"/>
        <v>0</v>
      </c>
    </row>
    <row r="24" spans="1:19" ht="14.4">
      <c r="A24" s="1657"/>
      <c r="B24" s="47" t="s">
        <v>1153</v>
      </c>
      <c r="C24" s="3389"/>
      <c r="D24" s="45">
        <f>ROUND($D$3*E24/$E$3,2)</f>
        <v>0</v>
      </c>
      <c r="E24" s="53">
        <f>SUM(F24:G24)</f>
        <v>0</v>
      </c>
      <c r="F24" s="2768"/>
      <c r="G24" s="2769"/>
      <c r="H24" s="662">
        <f>ROUND($D$3*I24/$E$3,2)</f>
        <v>0</v>
      </c>
      <c r="I24" s="48">
        <f t="shared" si="2"/>
        <v>0</v>
      </c>
      <c r="J24" s="1127"/>
      <c r="K24" s="1126">
        <f t="shared" si="3"/>
        <v>0</v>
      </c>
      <c r="L24" s="1016">
        <f t="shared" si="4"/>
        <v>0</v>
      </c>
      <c r="M24" s="1138">
        <f t="shared" si="8"/>
        <v>0</v>
      </c>
      <c r="N24" s="1655"/>
      <c r="O24" s="1656"/>
      <c r="P24" s="1138">
        <f t="shared" si="9"/>
        <v>0</v>
      </c>
      <c r="R24" s="1016">
        <f t="shared" si="5"/>
        <v>0</v>
      </c>
      <c r="S24" s="1017">
        <f t="shared" si="5"/>
        <v>0</v>
      </c>
    </row>
    <row r="25" spans="1:19" ht="14.4">
      <c r="A25" s="1657"/>
      <c r="B25" s="47" t="s">
        <v>1153</v>
      </c>
      <c r="C25" s="3389"/>
      <c r="D25" s="45">
        <f t="shared" si="6"/>
        <v>0</v>
      </c>
      <c r="E25" s="53">
        <f t="shared" si="1"/>
        <v>0</v>
      </c>
      <c r="F25" s="2768"/>
      <c r="G25" s="2769"/>
      <c r="H25" s="44">
        <f t="shared" si="7"/>
        <v>0</v>
      </c>
      <c r="I25" s="48">
        <f t="shared" si="2"/>
        <v>0</v>
      </c>
      <c r="J25" s="1127"/>
      <c r="K25" s="1126">
        <f t="shared" si="3"/>
        <v>0</v>
      </c>
      <c r="L25" s="1016">
        <f t="shared" si="4"/>
        <v>0</v>
      </c>
      <c r="M25" s="1138">
        <f t="shared" si="8"/>
        <v>0</v>
      </c>
      <c r="N25" s="1655"/>
      <c r="O25" s="1656"/>
      <c r="P25" s="1138">
        <f t="shared" si="9"/>
        <v>0</v>
      </c>
      <c r="R25" s="1016">
        <f t="shared" si="5"/>
        <v>0</v>
      </c>
      <c r="S25" s="1017">
        <f t="shared" si="5"/>
        <v>0</v>
      </c>
    </row>
    <row r="26" spans="1:19" ht="14.4">
      <c r="A26" s="1657"/>
      <c r="B26" s="47" t="s">
        <v>1153</v>
      </c>
      <c r="C26" s="55"/>
      <c r="D26" s="45">
        <f t="shared" si="6"/>
        <v>0</v>
      </c>
      <c r="E26" s="53">
        <f t="shared" si="1"/>
        <v>0</v>
      </c>
      <c r="F26" s="2768"/>
      <c r="G26" s="2769"/>
      <c r="H26" s="44">
        <f t="shared" si="7"/>
        <v>0</v>
      </c>
      <c r="I26" s="48">
        <f t="shared" si="2"/>
        <v>0</v>
      </c>
      <c r="J26" s="1127"/>
      <c r="K26" s="1133">
        <f t="shared" si="3"/>
        <v>0</v>
      </c>
      <c r="L26" s="1134">
        <f t="shared" si="4"/>
        <v>0</v>
      </c>
      <c r="M26" s="59">
        <f t="shared" si="8"/>
        <v>0</v>
      </c>
      <c r="N26" s="1658"/>
      <c r="O26" s="1659"/>
      <c r="P26" s="59">
        <f t="shared" si="9"/>
        <v>0</v>
      </c>
      <c r="R26" s="1016">
        <f t="shared" si="5"/>
        <v>0</v>
      </c>
      <c r="S26" s="1017">
        <f t="shared" si="5"/>
        <v>0</v>
      </c>
    </row>
    <row r="27" spans="1:19" ht="15" thickBot="1">
      <c r="A27" s="1657"/>
      <c r="B27" s="45"/>
      <c r="C27" s="1660" t="s">
        <v>1154</v>
      </c>
      <c r="D27" s="1128">
        <f>SUM(D19:D26)</f>
        <v>0</v>
      </c>
      <c r="E27" s="1129">
        <f>IF(SUM(E19:E26)='数据-基础表'!BA5,SUM(E19:E26),IF(F27="地上面积有误","面积有误","地下面积有误"))</f>
        <v>88.78</v>
      </c>
      <c r="F27" s="1128">
        <f>IF(SUM(F19:F26)=E8,SUM(F19:F26),"地上面积有误")</f>
        <v>88.78</v>
      </c>
      <c r="G27" s="1130">
        <f>SUM(G19:G26)</f>
        <v>0</v>
      </c>
      <c r="H27" s="1131">
        <f>SUM(H19:H26)</f>
        <v>0</v>
      </c>
      <c r="I27" s="1132">
        <f>SUM(I19:I26)</f>
        <v>0</v>
      </c>
      <c r="J27" s="1127"/>
      <c r="K27" s="1135">
        <f>SUM(K19:K26)</f>
        <v>0</v>
      </c>
      <c r="L27" s="1136">
        <f>SUM(L19:L26)</f>
        <v>0</v>
      </c>
      <c r="M27" s="1139">
        <f>SUM(M19:M26)</f>
        <v>0</v>
      </c>
      <c r="N27" s="1135">
        <f t="shared" ref="N27:O27" si="10">SUM(N19:N26)</f>
        <v>0</v>
      </c>
      <c r="O27" s="1136">
        <f t="shared" si="10"/>
        <v>0</v>
      </c>
      <c r="P27" s="1137">
        <f>SUM(P19:P26)</f>
        <v>0</v>
      </c>
      <c r="R27" s="1018">
        <f>IF(SUM(R19:R26)=$D$3,SUM(R19:R26),SUM(R19:R26)&amp;"误差"&amp;ROUND(SUM(R19:R26)-$D$3,2))</f>
        <v>0</v>
      </c>
      <c r="S27" s="1016">
        <f>IF(SUM(S19:S26)=$E$3,SUM(S19:S26),SUM(S19:S26)&amp;"误差"&amp;ROUND(SUM(S19:S26)-E3,2))</f>
        <v>88.78</v>
      </c>
    </row>
    <row r="28" spans="1:19" ht="14.4">
      <c r="A28" s="1657"/>
      <c r="B28" s="47" t="s">
        <v>1155</v>
      </c>
      <c r="C28" s="1028" t="s">
        <v>1156</v>
      </c>
      <c r="D28" s="45">
        <f>ROUND($D$3*E28/$E$3,2)</f>
        <v>0</v>
      </c>
      <c r="E28" s="53">
        <f>SUM(F28:G28)</f>
        <v>0</v>
      </c>
      <c r="F28" s="56">
        <f>'数据-基础表'!BQ5+'数据-基础表'!BS5</f>
        <v>0</v>
      </c>
      <c r="G28" s="57">
        <f>'数据-基础表'!BR5+'数据-基础表'!BT5</f>
        <v>0</v>
      </c>
      <c r="H28" s="2630"/>
      <c r="I28" s="2630"/>
      <c r="J28" s="2630"/>
      <c r="K28" s="2630"/>
      <c r="L28" s="2630"/>
      <c r="M28" s="2630"/>
      <c r="N28" s="2630"/>
      <c r="O28" s="2630"/>
      <c r="P28" s="2630"/>
    </row>
    <row r="29" spans="1:19" ht="14.4">
      <c r="A29" s="1657"/>
      <c r="B29" s="47" t="s">
        <v>1155</v>
      </c>
      <c r="C29" s="1661" t="s">
        <v>1157</v>
      </c>
      <c r="D29" s="45">
        <f>ROUND($D$3*E29/$E$3,2)</f>
        <v>0</v>
      </c>
      <c r="E29" s="53">
        <f>SUM(F29:G29)</f>
        <v>0</v>
      </c>
      <c r="F29" s="58">
        <f>'数据-基础表'!BM5+'数据-基础表'!BO5</f>
        <v>0</v>
      </c>
      <c r="G29" s="59">
        <f>'数据-基础表'!BN5+'数据-基础表'!BP5</f>
        <v>0</v>
      </c>
      <c r="H29" s="2630"/>
      <c r="I29" s="2630"/>
      <c r="J29" s="2630"/>
      <c r="K29" s="2630"/>
      <c r="L29" s="2630"/>
      <c r="M29" s="2630"/>
      <c r="N29" s="2630"/>
      <c r="O29" s="2630"/>
      <c r="P29" s="2630"/>
    </row>
    <row r="30" spans="1:19" ht="14.4">
      <c r="A30" s="1657"/>
      <c r="B30" s="47"/>
      <c r="C30" s="1662" t="s">
        <v>1154</v>
      </c>
      <c r="D30" s="1128">
        <f>SUM(D28:D29)</f>
        <v>0</v>
      </c>
      <c r="E30" s="1128">
        <f>SUM(E28:E29)</f>
        <v>0</v>
      </c>
      <c r="F30" s="1128">
        <f>SUM(F28:F29)</f>
        <v>0</v>
      </c>
      <c r="G30" s="1130">
        <f>SUM(G28:G29)</f>
        <v>0</v>
      </c>
      <c r="H30" s="2630"/>
      <c r="I30" s="2630"/>
      <c r="J30" s="2630"/>
      <c r="K30" s="2630"/>
      <c r="L30" s="2630"/>
      <c r="M30" s="2630"/>
      <c r="N30" s="2630"/>
      <c r="O30" s="2630"/>
      <c r="P30" s="2630"/>
    </row>
    <row r="31" spans="1:19" ht="15" thickBot="1">
      <c r="A31" s="1663"/>
      <c r="B31" s="1664"/>
      <c r="C31" s="825" t="s">
        <v>1158</v>
      </c>
      <c r="D31" s="668">
        <f>D27+D30</f>
        <v>0</v>
      </c>
      <c r="E31" s="668">
        <f>E27+E30</f>
        <v>88.78</v>
      </c>
      <c r="F31" s="669">
        <f>F27+F30</f>
        <v>88.78</v>
      </c>
      <c r="G31" s="670">
        <f>G27+G30</f>
        <v>0</v>
      </c>
      <c r="H31" s="2630"/>
      <c r="I31" s="2630"/>
      <c r="J31" s="2630"/>
      <c r="K31" s="2630"/>
      <c r="L31" s="2630"/>
      <c r="M31" s="2630"/>
      <c r="N31" s="2630"/>
      <c r="O31" s="2630"/>
      <c r="P31" s="2630"/>
    </row>
    <row r="32" spans="1:19" ht="14.4">
      <c r="A32" s="1630"/>
      <c r="B32" s="1630" t="s">
        <v>1159</v>
      </c>
      <c r="C32" s="1630"/>
      <c r="D32" s="1630"/>
      <c r="E32" s="1043">
        <f>SUMIF(C19:C26,"*住宅*",E19:E26)</f>
        <v>88.78</v>
      </c>
      <c r="F32" s="1630"/>
      <c r="G32" s="1630"/>
      <c r="H32" s="2630"/>
      <c r="I32" s="2630"/>
      <c r="J32" s="2630"/>
      <c r="K32" s="2630"/>
      <c r="L32" s="2630"/>
      <c r="M32" s="2630"/>
      <c r="N32" s="2630"/>
      <c r="O32" s="2630"/>
      <c r="P32" s="2630"/>
    </row>
    <row r="33" spans="4:4">
      <c r="D33" s="16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32" customWidth="1"/>
    <col min="2" max="2" width="12" style="1669" customWidth="1"/>
    <col min="3" max="3" width="12.77734375" style="1669" customWidth="1"/>
    <col min="4" max="4" width="9.109375" style="1733" customWidth="1"/>
    <col min="5" max="5" width="15" style="1669" bestFit="1" customWidth="1"/>
    <col min="6" max="10" width="8.88671875" style="1669" customWidth="1"/>
    <col min="11" max="12" width="12.33203125" style="1588" customWidth="1"/>
    <col min="13" max="13" width="8.6640625" style="1669" customWidth="1"/>
    <col min="14" max="14" width="11.88671875" style="1669" customWidth="1"/>
    <col min="15" max="15" width="8.44140625" style="1669" customWidth="1"/>
    <col min="16" max="17" width="10.88671875" style="1669" customWidth="1"/>
    <col min="18" max="19" width="12.44140625" style="1669" customWidth="1"/>
    <col min="20" max="20" width="12.109375" style="1669" customWidth="1"/>
    <col min="21" max="21" width="7.44140625" style="1669" customWidth="1"/>
    <col min="22" max="22" width="6.33203125" style="1669" customWidth="1"/>
    <col min="23" max="30" width="6.77734375" style="1669" customWidth="1"/>
    <col min="31" max="31" width="8" style="1669" customWidth="1"/>
    <col min="32" max="34" width="7.21875" style="1669" customWidth="1"/>
    <col min="35" max="39" width="8" style="1669" customWidth="1"/>
    <col min="40" max="40" width="13.77734375" style="1668"/>
    <col min="41" max="41" width="11.6640625" style="1668" customWidth="1"/>
    <col min="42" max="42" width="9.77734375" style="1668" customWidth="1"/>
    <col min="43" max="67" width="13.77734375" style="1668"/>
    <col min="68" max="16384" width="13.77734375" style="1669"/>
  </cols>
  <sheetData>
    <row r="1" spans="1:67" ht="18" thickBot="1">
      <c r="A1" s="1666" t="s">
        <v>1160</v>
      </c>
      <c r="B1" s="671"/>
      <c r="C1" s="1178"/>
      <c r="D1" s="1667"/>
      <c r="E1" s="1178"/>
      <c r="F1" s="1178"/>
      <c r="G1" s="1178"/>
      <c r="H1" s="1178"/>
      <c r="I1" s="1178"/>
      <c r="J1" s="1178"/>
      <c r="K1" s="154"/>
      <c r="L1" s="154"/>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2642"/>
      <c r="AO1" s="2642"/>
      <c r="AP1" s="2642"/>
      <c r="AQ1" s="2642"/>
      <c r="AR1" s="2642"/>
    </row>
    <row r="2" spans="1:67" s="1546" customFormat="1" ht="15" thickBot="1">
      <c r="A2" s="1670" t="s">
        <v>1161</v>
      </c>
      <c r="B2" s="1035">
        <f>项目基本情况!D3</f>
        <v>37917</v>
      </c>
      <c r="C2" s="1671"/>
      <c r="D2" s="1672"/>
      <c r="E2" s="1671"/>
      <c r="F2" s="1671"/>
      <c r="G2" s="1671"/>
      <c r="H2" s="1671"/>
      <c r="I2" s="1671"/>
      <c r="J2" s="1671"/>
      <c r="K2" s="1155"/>
      <c r="L2" s="1155"/>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2644"/>
      <c r="AO2" s="2644"/>
      <c r="AP2" s="2644"/>
      <c r="AQ2" s="2644"/>
      <c r="AR2" s="2644"/>
      <c r="AS2" s="1673"/>
      <c r="AT2" s="1673"/>
      <c r="AU2" s="1673"/>
      <c r="AV2" s="1673"/>
      <c r="AW2" s="1673"/>
      <c r="AX2" s="1673"/>
      <c r="AY2" s="1673"/>
      <c r="AZ2" s="1673"/>
      <c r="BA2" s="1673"/>
      <c r="BB2" s="1673"/>
      <c r="BC2" s="1673"/>
      <c r="BD2" s="1673"/>
      <c r="BE2" s="1673"/>
      <c r="BF2" s="1673"/>
      <c r="BG2" s="1673"/>
      <c r="BH2" s="1673"/>
      <c r="BI2" s="1673"/>
      <c r="BJ2" s="1673"/>
      <c r="BK2" s="1673"/>
      <c r="BL2" s="1673"/>
      <c r="BM2" s="1673"/>
      <c r="BN2" s="1673"/>
      <c r="BO2" s="1673"/>
    </row>
    <row r="3" spans="1:67" s="1546" customFormat="1" ht="14.4" thickBot="1">
      <c r="A3" s="1544"/>
      <c r="B3" s="1674"/>
      <c r="C3" s="1671"/>
      <c r="D3" s="1672"/>
      <c r="E3" s="1671"/>
      <c r="F3" s="1671"/>
      <c r="G3" s="1671"/>
      <c r="H3" s="1671"/>
      <c r="I3" s="1671"/>
      <c r="J3" s="1671"/>
      <c r="K3" s="1155"/>
      <c r="L3" s="1155"/>
      <c r="M3" s="1671"/>
      <c r="N3" s="1671"/>
      <c r="O3" s="1671"/>
      <c r="P3" s="1671"/>
      <c r="Q3" s="1671"/>
      <c r="R3" s="1671"/>
      <c r="S3" s="1671"/>
      <c r="T3" s="1671"/>
      <c r="U3" s="1671"/>
      <c r="V3" s="1671"/>
      <c r="W3" s="1671"/>
      <c r="X3" s="1671"/>
      <c r="Y3" s="1671"/>
      <c r="Z3" s="1671"/>
      <c r="AA3" s="1671"/>
      <c r="AB3" s="1671"/>
      <c r="AC3" s="1671"/>
      <c r="AD3" s="1671"/>
      <c r="AE3" s="1671"/>
      <c r="AF3" s="1671"/>
      <c r="AG3" s="1671"/>
      <c r="AH3" s="1671"/>
      <c r="AI3" s="1671"/>
      <c r="AJ3" s="1671"/>
      <c r="AK3" s="1671"/>
      <c r="AL3" s="1671"/>
      <c r="AM3" s="1671"/>
      <c r="AN3" s="2644"/>
      <c r="AO3" s="2644"/>
      <c r="AP3" s="2644"/>
      <c r="AQ3" s="2644"/>
      <c r="AR3" s="2644"/>
      <c r="AS3" s="1673"/>
      <c r="AT3" s="1673"/>
      <c r="AU3" s="1673"/>
      <c r="AV3" s="1673"/>
      <c r="AW3" s="1673"/>
      <c r="AX3" s="1673"/>
      <c r="AY3" s="1673"/>
      <c r="AZ3" s="1673"/>
      <c r="BA3" s="1673"/>
      <c r="BB3" s="1673"/>
      <c r="BC3" s="1673"/>
      <c r="BD3" s="1673"/>
      <c r="BE3" s="1673"/>
      <c r="BF3" s="1673"/>
      <c r="BG3" s="1673"/>
      <c r="BH3" s="1673"/>
      <c r="BI3" s="1673"/>
      <c r="BJ3" s="1673"/>
      <c r="BK3" s="1673"/>
      <c r="BL3" s="1673"/>
      <c r="BM3" s="1673"/>
      <c r="BN3" s="1673"/>
      <c r="BO3" s="1673"/>
    </row>
    <row r="4" spans="1:67" s="1546" customFormat="1" ht="15" thickBot="1">
      <c r="A4" s="60" t="s">
        <v>1162</v>
      </c>
      <c r="B4" s="1675"/>
      <c r="C4" s="1676"/>
      <c r="D4" s="1677"/>
      <c r="E4" s="1676" t="s">
        <v>1163</v>
      </c>
      <c r="F4" s="1676"/>
      <c r="G4" s="1676"/>
      <c r="H4" s="1676"/>
      <c r="I4" s="1676"/>
      <c r="J4" s="1678"/>
      <c r="K4" s="1679"/>
      <c r="L4" s="1680"/>
      <c r="M4" s="1676"/>
      <c r="N4" s="1676" t="s">
        <v>1164</v>
      </c>
      <c r="O4" s="1676"/>
      <c r="P4" s="1676"/>
      <c r="Q4" s="1676"/>
      <c r="R4" s="1676"/>
      <c r="S4" s="1678"/>
      <c r="T4" s="2629" t="str">
        <f>'数据-汇总表'!I17</f>
        <v>按面积比例</v>
      </c>
      <c r="U4" s="1675" t="s">
        <v>1165</v>
      </c>
      <c r="V4" s="1676"/>
      <c r="W4" s="1676"/>
      <c r="X4" s="1676"/>
      <c r="Y4" s="1678"/>
      <c r="Z4" s="1639" t="s">
        <v>1166</v>
      </c>
      <c r="AA4" s="1639"/>
      <c r="AB4" s="1639"/>
      <c r="AC4" s="1639"/>
      <c r="AD4" s="1639"/>
      <c r="AE4" s="1637" t="s">
        <v>1167</v>
      </c>
      <c r="AF4" s="1639"/>
      <c r="AG4" s="1681"/>
      <c r="AH4" s="1675"/>
      <c r="AI4" s="1676"/>
      <c r="AJ4" s="1676"/>
      <c r="AK4" s="1676"/>
      <c r="AL4" s="1676"/>
      <c r="AM4" s="1678"/>
      <c r="AN4" s="2644"/>
      <c r="AO4" s="2644"/>
      <c r="AP4" s="2644"/>
      <c r="AQ4" s="2644"/>
      <c r="AR4" s="2644"/>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row>
    <row r="5" spans="1:67" s="1547" customFormat="1" ht="57.6">
      <c r="A5" s="1682" t="s">
        <v>1168</v>
      </c>
      <c r="B5" s="1683" t="s">
        <v>1169</v>
      </c>
      <c r="C5" s="1684" t="s">
        <v>1170</v>
      </c>
      <c r="D5" s="1685" t="s">
        <v>1171</v>
      </c>
      <c r="E5" s="1037" t="s">
        <v>1172</v>
      </c>
      <c r="F5" s="1686" t="s">
        <v>1173</v>
      </c>
      <c r="G5" s="1037" t="s">
        <v>1174</v>
      </c>
      <c r="H5" s="1037" t="s">
        <v>1175</v>
      </c>
      <c r="I5" s="1037" t="s">
        <v>1176</v>
      </c>
      <c r="J5" s="1687" t="s">
        <v>1177</v>
      </c>
      <c r="K5" s="1688" t="s">
        <v>1178</v>
      </c>
      <c r="L5" s="1689" t="s">
        <v>1179</v>
      </c>
      <c r="M5" s="1690" t="s">
        <v>1180</v>
      </c>
      <c r="N5" s="1691" t="s">
        <v>3393</v>
      </c>
      <c r="O5" s="1689" t="s">
        <v>1181</v>
      </c>
      <c r="P5" s="1692" t="s">
        <v>1182</v>
      </c>
      <c r="Q5" s="61" t="s">
        <v>1183</v>
      </c>
      <c r="R5" s="1693" t="s">
        <v>1184</v>
      </c>
      <c r="S5" s="1694" t="s">
        <v>1185</v>
      </c>
      <c r="T5" s="1695" t="s">
        <v>1186</v>
      </c>
      <c r="U5" s="1036" t="s">
        <v>1187</v>
      </c>
      <c r="V5" s="1037" t="s">
        <v>1188</v>
      </c>
      <c r="W5" s="1037" t="s">
        <v>1189</v>
      </c>
      <c r="X5" s="63"/>
      <c r="Y5" s="62" t="s">
        <v>1190</v>
      </c>
      <c r="Z5" s="1696" t="s">
        <v>1187</v>
      </c>
      <c r="AA5" s="1037" t="s">
        <v>1188</v>
      </c>
      <c r="AB5" s="1037" t="s">
        <v>1189</v>
      </c>
      <c r="AC5" s="63"/>
      <c r="AD5" s="63" t="s">
        <v>1190</v>
      </c>
      <c r="AE5" s="1036" t="s">
        <v>1191</v>
      </c>
      <c r="AF5" s="1037" t="s">
        <v>1192</v>
      </c>
      <c r="AG5" s="62" t="s">
        <v>1193</v>
      </c>
      <c r="AH5" s="1036" t="s">
        <v>1194</v>
      </c>
      <c r="AI5" s="1696" t="s">
        <v>1195</v>
      </c>
      <c r="AJ5" s="1696" t="s">
        <v>1196</v>
      </c>
      <c r="AK5" s="1037" t="s">
        <v>1197</v>
      </c>
      <c r="AL5" s="1037" t="s">
        <v>1198</v>
      </c>
      <c r="AM5" s="62" t="s">
        <v>1199</v>
      </c>
      <c r="AN5" s="1697" t="s">
        <v>1200</v>
      </c>
      <c r="AO5" s="1549" t="s">
        <v>1201</v>
      </c>
      <c r="AP5" s="1018" t="s">
        <v>1202</v>
      </c>
      <c r="AQ5" s="1698" t="s">
        <v>1203</v>
      </c>
      <c r="AR5" s="1698" t="s">
        <v>1204</v>
      </c>
      <c r="AS5" s="1559"/>
      <c r="AT5" s="1559"/>
      <c r="AU5" s="1559"/>
      <c r="AV5" s="1559"/>
      <c r="AW5" s="1559"/>
      <c r="AX5" s="1559"/>
      <c r="AY5" s="1559"/>
      <c r="AZ5" s="1559"/>
      <c r="BA5" s="1559"/>
      <c r="BB5" s="1559"/>
      <c r="BC5" s="1559"/>
      <c r="BD5" s="1559"/>
      <c r="BE5" s="1559"/>
      <c r="BF5" s="1559"/>
      <c r="BG5" s="1559"/>
      <c r="BH5" s="1559"/>
      <c r="BI5" s="1559"/>
      <c r="BJ5" s="1559"/>
      <c r="BK5" s="1559"/>
      <c r="BL5" s="1559"/>
      <c r="BM5" s="1559"/>
      <c r="BN5" s="1559"/>
      <c r="BO5" s="1559"/>
    </row>
    <row r="6" spans="1:67" s="1546" customFormat="1" ht="13.8">
      <c r="A6" s="1699" t="str">
        <f>'数据-汇总表'!C19</f>
        <v>住宅</v>
      </c>
      <c r="B6" s="1700" t="str">
        <f>IF(A6=0,"","经营性")</f>
        <v>经营性</v>
      </c>
      <c r="C6" s="1701" t="s">
        <v>3390</v>
      </c>
      <c r="D6" s="848">
        <f>SUMIF(项目基本情况!C$12:I$12,C6,项目基本情况!C$14:I$14)</f>
        <v>70</v>
      </c>
      <c r="E6" s="847">
        <f>IF(B6="","",SUMIF(项目基本情况!C$12:I$12,C6,项目基本情况!C$13:I$13))</f>
        <v>67165</v>
      </c>
      <c r="F6" s="64">
        <f>SUMIF(项目基本情况!C$12:I$12,C6,项目基本情况!C$15:I$15)</f>
        <v>70</v>
      </c>
      <c r="G6" s="65">
        <f>IF(ISERROR(ROUND(POWER(1+H6,D6-F6)*(POWER(1+H6,F6)-1)/(POWER(1+H6,D6)-1),3)),0,ROUND(POWER(1+H6,D6-F6)*(POWER(1+H6,F6)-1)/(POWER(1+H6,D6)-1),3))</f>
        <v>0</v>
      </c>
      <c r="H6" s="722"/>
      <c r="I6" s="722">
        <v>0.05</v>
      </c>
      <c r="J6" s="66"/>
      <c r="K6" s="1020">
        <f>SUMIF('数据-汇总表'!C$19:C$33,A6,'数据-汇总表'!E$19:E$33)</f>
        <v>88.78</v>
      </c>
      <c r="L6" s="723">
        <v>2000</v>
      </c>
      <c r="M6" s="67">
        <f t="shared" ref="M6:M14" si="0">ROUND(K6*L6/10000,0)</f>
        <v>18</v>
      </c>
      <c r="N6" s="721">
        <v>0.95</v>
      </c>
      <c r="O6" s="67" t="str">
        <f>IF($N$5="成新度","——",ROUND(M6*N6,0))</f>
        <v>——</v>
      </c>
      <c r="P6" s="68" t="str">
        <f>IF($N$5="成新度","——",M6-O6)</f>
        <v>——</v>
      </c>
      <c r="Q6" s="724">
        <v>0.12</v>
      </c>
      <c r="R6" s="69">
        <f ca="1">SUMIF('数据-汇总表'!C$19:C$33,A6,'数据-汇总表'!R$19:R$27)</f>
        <v>0</v>
      </c>
      <c r="S6" s="51">
        <f>IF('数据-汇总表'!$I$17="按面积比例",SUMIF('数据-汇总表'!C$19:C$33,A6,'数据-汇总表'!K$19:K$33),SUMIF('数据-汇总表'!C$19:C$33,A6,'数据-汇总表'!N$19:N$33))</f>
        <v>0</v>
      </c>
      <c r="T6" s="1159">
        <f>ROUND($L$14*S6/10000,0)</f>
        <v>0</v>
      </c>
      <c r="U6" s="3399"/>
      <c r="V6" s="70"/>
      <c r="W6" s="70"/>
      <c r="X6" s="1030"/>
      <c r="Y6" s="71"/>
      <c r="Z6" s="72"/>
      <c r="AA6" s="66"/>
      <c r="AB6" s="66"/>
      <c r="AC6" s="1030"/>
      <c r="AD6" s="73"/>
      <c r="AE6" s="1031">
        <f ca="1">IF(AN6="",0,SUMIF(INDIRECT("'"&amp;AN6&amp;"'"&amp;"!E:E"),$AE$5,INDIRECT("'"&amp;AN6&amp;"'"&amp;"!F:F")))</f>
        <v>0</v>
      </c>
      <c r="AF6" s="1335"/>
      <c r="AG6" s="135">
        <f>IF(AF6="",0,AE6-AF6)</f>
        <v>0</v>
      </c>
      <c r="AH6" s="74"/>
      <c r="AI6" s="76"/>
      <c r="AJ6" s="77"/>
      <c r="AK6" s="78"/>
      <c r="AL6" s="79"/>
      <c r="AM6" s="80"/>
      <c r="AN6" s="1702"/>
      <c r="AO6" s="52" t="e">
        <f ca="1">SUMIF(INDIRECT("'"&amp;AN6&amp;"'"&amp;"!A:A"),"总价",INDIRECT("'"&amp;AN6&amp;"'"&amp;"!B:B"))</f>
        <v>#REF!</v>
      </c>
      <c r="AP6" s="1703">
        <f>IF(C6="住宅",K6*L6,0)</f>
        <v>177560</v>
      </c>
      <c r="AQ6" s="52">
        <f>ROUND($L$14*$N$14*S6/10000,0)</f>
        <v>0</v>
      </c>
      <c r="AR6" s="52">
        <f>ROUND($L$14*(1-$N$14)*S6/10000,0)</f>
        <v>0</v>
      </c>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row>
    <row r="7" spans="1:67" s="1546" customFormat="1" ht="13.8">
      <c r="A7" s="1699">
        <f>'数据-汇总表'!C20</f>
        <v>0</v>
      </c>
      <c r="B7" s="1700" t="str">
        <f t="shared" ref="B7:B13" si="1">IF(A7=0,"","经营性")</f>
        <v/>
      </c>
      <c r="C7" s="1701"/>
      <c r="D7" s="848">
        <f>SUMIF(项目基本情况!C$12:I$12,C7,项目基本情况!C$14:I$14)</f>
        <v>0</v>
      </c>
      <c r="E7" s="84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2"/>
      <c r="I7" s="722"/>
      <c r="J7" s="66"/>
      <c r="K7" s="1020">
        <f>SUMIF('数据-汇总表'!C$19:C$33,A7,'数据-汇总表'!E$19:E$33)</f>
        <v>0</v>
      </c>
      <c r="L7" s="723"/>
      <c r="M7" s="67">
        <f t="shared" si="0"/>
        <v>0</v>
      </c>
      <c r="N7" s="721"/>
      <c r="O7" s="67" t="str">
        <f t="shared" ref="O7:O14" si="3">IF($N$5="成新度","——",ROUND(M7*N7,0))</f>
        <v>——</v>
      </c>
      <c r="P7" s="68" t="str">
        <f t="shared" ref="P7:P14" si="4">IF($N$5="成新度","——",M7-O7)</f>
        <v>——</v>
      </c>
      <c r="Q7" s="724"/>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399"/>
      <c r="V7" s="70"/>
      <c r="W7" s="70"/>
      <c r="X7" s="1030"/>
      <c r="Y7" s="71"/>
      <c r="Z7" s="72"/>
      <c r="AA7" s="66"/>
      <c r="AB7" s="66"/>
      <c r="AC7" s="1030"/>
      <c r="AD7" s="73"/>
      <c r="AE7" s="1031">
        <f t="shared" ref="AE7:AE13" ca="1" si="6">IF(AN7="",0,SUMIF(INDIRECT("'"&amp;AN7&amp;"'"&amp;"!E:E"),$AE$5,INDIRECT("'"&amp;AN7&amp;"'"&amp;"!F:F")))</f>
        <v>0</v>
      </c>
      <c r="AF7" s="1335"/>
      <c r="AG7" s="135">
        <f t="shared" ref="AG7:AG13" si="7">IF(AF7="",0,AE7-AF7)</f>
        <v>0</v>
      </c>
      <c r="AH7" s="74"/>
      <c r="AI7" s="76"/>
      <c r="AJ7" s="77"/>
      <c r="AK7" s="78"/>
      <c r="AL7" s="79"/>
      <c r="AM7" s="80"/>
      <c r="AN7" s="1702"/>
      <c r="AO7" s="52" t="e">
        <f t="shared" ref="AO7:AO13" ca="1" si="8">SUMIF(INDIRECT("'"&amp;AN7&amp;"'"&amp;"!A:A"),"总价",INDIRECT("'"&amp;AN7&amp;"'"&amp;"!B:B"))</f>
        <v>#REF!</v>
      </c>
      <c r="AP7" s="1703">
        <f t="shared" ref="AP7:AP13" si="9">IF(C7="住宅",K7*L7,0)</f>
        <v>0</v>
      </c>
      <c r="AQ7" s="52">
        <f t="shared" ref="AQ7:AQ13" si="10">ROUND($L$14*$N$14*S7/10000,0)</f>
        <v>0</v>
      </c>
      <c r="AR7" s="52">
        <f t="shared" ref="AR7:AR13" si="11">ROUND($L$14*(1-$N$14)*S7/10000,0)</f>
        <v>0</v>
      </c>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row>
    <row r="8" spans="1:67" s="1546" customFormat="1" ht="13.8">
      <c r="A8" s="1699">
        <f>'数据-汇总表'!C21</f>
        <v>0</v>
      </c>
      <c r="B8" s="1700" t="str">
        <f t="shared" si="1"/>
        <v/>
      </c>
      <c r="C8" s="1701"/>
      <c r="D8" s="848">
        <f>SUMIF(项目基本情况!C$12:I$12,C8,项目基本情况!C$14:I$14)</f>
        <v>0</v>
      </c>
      <c r="E8" s="847" t="str">
        <f>IF(B8="","",SUMIF(项目基本情况!C$12:I$12,C8,项目基本情况!C$13:I$13))</f>
        <v/>
      </c>
      <c r="F8" s="64">
        <f>SUMIF(项目基本情况!C$12:I$12,C8,项目基本情况!C$15:I$15)</f>
        <v>0</v>
      </c>
      <c r="G8" s="65">
        <f t="shared" si="2"/>
        <v>0</v>
      </c>
      <c r="H8" s="722"/>
      <c r="I8" s="722"/>
      <c r="J8" s="66"/>
      <c r="K8" s="1020">
        <f>SUMIF('数据-汇总表'!C$19:C$33,A8,'数据-汇总表'!E$19:E$33)</f>
        <v>0</v>
      </c>
      <c r="L8" s="723"/>
      <c r="M8" s="67">
        <f>ROUND(K8*L8/10000,0)</f>
        <v>0</v>
      </c>
      <c r="N8" s="721"/>
      <c r="O8" s="67" t="str">
        <f t="shared" si="3"/>
        <v>——</v>
      </c>
      <c r="P8" s="68" t="str">
        <f t="shared" si="4"/>
        <v>——</v>
      </c>
      <c r="Q8" s="724"/>
      <c r="R8" s="69">
        <f ca="1">SUMIF('数据-汇总表'!C$19:C$33,A8,'数据-汇总表'!R$19:R$27)</f>
        <v>0</v>
      </c>
      <c r="S8" s="51">
        <f>IF('数据-汇总表'!$I$17="按面积比例",SUMIF('数据-汇总表'!C$19:C$33,A8,'数据-汇总表'!K$19:K$33),SUMIF('数据-汇总表'!C$19:C$33,A8,'数据-汇总表'!N$19:N$33))</f>
        <v>0</v>
      </c>
      <c r="T8" s="1159">
        <f t="shared" si="5"/>
        <v>0</v>
      </c>
      <c r="U8" s="3400"/>
      <c r="V8" s="725"/>
      <c r="W8" s="725"/>
      <c r="X8" s="1030"/>
      <c r="Y8" s="71"/>
      <c r="Z8" s="72"/>
      <c r="AA8" s="66"/>
      <c r="AB8" s="66"/>
      <c r="AC8" s="1030"/>
      <c r="AD8" s="73"/>
      <c r="AE8" s="1031">
        <f t="shared" ca="1" si="6"/>
        <v>0</v>
      </c>
      <c r="AF8" s="1335"/>
      <c r="AG8" s="135">
        <f t="shared" si="7"/>
        <v>0</v>
      </c>
      <c r="AH8" s="726"/>
      <c r="AI8" s="76"/>
      <c r="AJ8" s="77"/>
      <c r="AK8" s="727"/>
      <c r="AL8" s="728"/>
      <c r="AM8" s="729"/>
      <c r="AN8" s="1702"/>
      <c r="AO8" s="52" t="e">
        <f t="shared" ca="1" si="8"/>
        <v>#REF!</v>
      </c>
      <c r="AP8" s="1703">
        <f t="shared" si="9"/>
        <v>0</v>
      </c>
      <c r="AQ8" s="52">
        <f t="shared" si="10"/>
        <v>0</v>
      </c>
      <c r="AR8" s="52">
        <f t="shared" si="11"/>
        <v>0</v>
      </c>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row>
    <row r="9" spans="1:67" s="1546" customFormat="1" ht="13.8">
      <c r="A9" s="1699">
        <f>'数据-汇总表'!C22</f>
        <v>0</v>
      </c>
      <c r="B9" s="1700" t="str">
        <f t="shared" si="1"/>
        <v/>
      </c>
      <c r="C9" s="1701"/>
      <c r="D9" s="848">
        <f>SUMIF(项目基本情况!C$12:I$12,C9,项目基本情况!C$14:I$14)</f>
        <v>0</v>
      </c>
      <c r="E9" s="847"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23"/>
      <c r="M9" s="67">
        <f t="shared" si="0"/>
        <v>0</v>
      </c>
      <c r="N9" s="72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399"/>
      <c r="V9" s="70"/>
      <c r="W9" s="70"/>
      <c r="X9" s="1030"/>
      <c r="Y9" s="71"/>
      <c r="Z9" s="72"/>
      <c r="AA9" s="66"/>
      <c r="AB9" s="66"/>
      <c r="AC9" s="1030"/>
      <c r="AD9" s="73"/>
      <c r="AE9" s="1031">
        <f t="shared" ca="1" si="6"/>
        <v>0</v>
      </c>
      <c r="AF9" s="1335"/>
      <c r="AG9" s="135">
        <f t="shared" si="7"/>
        <v>0</v>
      </c>
      <c r="AH9" s="74"/>
      <c r="AI9" s="76"/>
      <c r="AJ9" s="77"/>
      <c r="AK9" s="78"/>
      <c r="AL9" s="79"/>
      <c r="AM9" s="80"/>
      <c r="AN9" s="1702"/>
      <c r="AO9" s="52" t="e">
        <f t="shared" ca="1" si="8"/>
        <v>#REF!</v>
      </c>
      <c r="AP9" s="1703">
        <f t="shared" si="9"/>
        <v>0</v>
      </c>
      <c r="AQ9" s="52">
        <f t="shared" si="10"/>
        <v>0</v>
      </c>
      <c r="AR9" s="52">
        <f t="shared" si="11"/>
        <v>0</v>
      </c>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row>
    <row r="10" spans="1:67" s="1546" customFormat="1" ht="13.8">
      <c r="A10" s="1699">
        <f>'数据-汇总表'!C23</f>
        <v>0</v>
      </c>
      <c r="B10" s="1700" t="str">
        <f t="shared" si="1"/>
        <v/>
      </c>
      <c r="C10" s="1701"/>
      <c r="D10" s="848">
        <f>SUMIF(项目基本情况!C$12:I$12,C10,项目基本情况!C$14:I$14)</f>
        <v>0</v>
      </c>
      <c r="E10" s="847"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23"/>
      <c r="M10" s="67">
        <f t="shared" si="0"/>
        <v>0</v>
      </c>
      <c r="N10" s="72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399"/>
      <c r="V10" s="70"/>
      <c r="W10" s="70"/>
      <c r="X10" s="1030"/>
      <c r="Y10" s="71"/>
      <c r="Z10" s="72"/>
      <c r="AA10" s="66"/>
      <c r="AB10" s="66"/>
      <c r="AC10" s="1030"/>
      <c r="AD10" s="73"/>
      <c r="AE10" s="1031">
        <f t="shared" ca="1" si="6"/>
        <v>0</v>
      </c>
      <c r="AF10" s="1335"/>
      <c r="AG10" s="135">
        <f t="shared" si="7"/>
        <v>0</v>
      </c>
      <c r="AH10" s="74"/>
      <c r="AI10" s="76"/>
      <c r="AJ10" s="77"/>
      <c r="AK10" s="78"/>
      <c r="AL10" s="79"/>
      <c r="AM10" s="80"/>
      <c r="AN10" s="1702"/>
      <c r="AO10" s="52" t="e">
        <f t="shared" ca="1" si="8"/>
        <v>#REF!</v>
      </c>
      <c r="AP10" s="1703">
        <f t="shared" si="9"/>
        <v>0</v>
      </c>
      <c r="AQ10" s="52">
        <f t="shared" si="10"/>
        <v>0</v>
      </c>
      <c r="AR10" s="52">
        <f t="shared" si="11"/>
        <v>0</v>
      </c>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row>
    <row r="11" spans="1:67" s="1546" customFormat="1" ht="13.8">
      <c r="A11" s="1699">
        <f>'数据-汇总表'!C24</f>
        <v>0</v>
      </c>
      <c r="B11" s="1700" t="str">
        <f t="shared" si="1"/>
        <v/>
      </c>
      <c r="C11" s="1701"/>
      <c r="D11" s="848">
        <f>SUMIF(项目基本情况!C$12:I$12,C11,项目基本情况!C$14:I$14)</f>
        <v>0</v>
      </c>
      <c r="E11" s="847"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2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399"/>
      <c r="V11" s="66"/>
      <c r="W11" s="66"/>
      <c r="X11" s="1030"/>
      <c r="Y11" s="71"/>
      <c r="Z11" s="84"/>
      <c r="AA11" s="66"/>
      <c r="AB11" s="66"/>
      <c r="AC11" s="1030"/>
      <c r="AD11" s="73"/>
      <c r="AE11" s="1031">
        <f t="shared" ca="1" si="6"/>
        <v>0</v>
      </c>
      <c r="AF11" s="1335"/>
      <c r="AG11" s="135">
        <f t="shared" si="7"/>
        <v>0</v>
      </c>
      <c r="AH11" s="74"/>
      <c r="AI11" s="76"/>
      <c r="AJ11" s="77"/>
      <c r="AK11" s="85"/>
      <c r="AL11" s="86"/>
      <c r="AM11" s="87"/>
      <c r="AN11" s="1702"/>
      <c r="AO11" s="52" t="e">
        <f t="shared" ca="1" si="8"/>
        <v>#REF!</v>
      </c>
      <c r="AP11" s="1703">
        <f t="shared" si="9"/>
        <v>0</v>
      </c>
      <c r="AQ11" s="52">
        <f t="shared" si="10"/>
        <v>0</v>
      </c>
      <c r="AR11" s="52">
        <f t="shared" si="11"/>
        <v>0</v>
      </c>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row>
    <row r="12" spans="1:67" s="1546" customFormat="1" ht="13.8">
      <c r="A12" s="1699">
        <f>'数据-汇总表'!C25</f>
        <v>0</v>
      </c>
      <c r="B12" s="1700" t="str">
        <f t="shared" si="1"/>
        <v/>
      </c>
      <c r="C12" s="1701"/>
      <c r="D12" s="848">
        <f>SUMIF(项目基本情况!C$12:I$12,C12,项目基本情况!C$14:I$14)</f>
        <v>0</v>
      </c>
      <c r="E12" s="84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2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399"/>
      <c r="V12" s="66"/>
      <c r="W12" s="66"/>
      <c r="X12" s="1030"/>
      <c r="Y12" s="71"/>
      <c r="Z12" s="84"/>
      <c r="AA12" s="66"/>
      <c r="AB12" s="66"/>
      <c r="AC12" s="1030"/>
      <c r="AD12" s="73"/>
      <c r="AE12" s="1031">
        <f t="shared" ca="1" si="6"/>
        <v>0</v>
      </c>
      <c r="AF12" s="1335"/>
      <c r="AG12" s="135">
        <f t="shared" si="7"/>
        <v>0</v>
      </c>
      <c r="AH12" s="74"/>
      <c r="AI12" s="76"/>
      <c r="AJ12" s="77"/>
      <c r="AK12" s="85"/>
      <c r="AL12" s="86"/>
      <c r="AM12" s="87"/>
      <c r="AN12" s="1702"/>
      <c r="AO12" s="52" t="e">
        <f t="shared" ca="1" si="8"/>
        <v>#REF!</v>
      </c>
      <c r="AP12" s="1703">
        <f t="shared" si="9"/>
        <v>0</v>
      </c>
      <c r="AQ12" s="52">
        <f t="shared" si="10"/>
        <v>0</v>
      </c>
      <c r="AR12" s="52">
        <f t="shared" si="11"/>
        <v>0</v>
      </c>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row>
    <row r="13" spans="1:67" s="1546" customFormat="1" ht="13.8">
      <c r="A13" s="1699">
        <f>'数据-汇总表'!C26</f>
        <v>0</v>
      </c>
      <c r="B13" s="1700" t="str">
        <f t="shared" si="1"/>
        <v/>
      </c>
      <c r="C13" s="1701"/>
      <c r="D13" s="848">
        <f>SUMIF(项目基本情况!C$12:I$12,C13,项目基本情况!C$14:I$14)</f>
        <v>0</v>
      </c>
      <c r="E13" s="84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1"/>
      <c r="V13" s="70"/>
      <c r="W13" s="70"/>
      <c r="X13" s="1030"/>
      <c r="Y13" s="71"/>
      <c r="Z13" s="72"/>
      <c r="AA13" s="66"/>
      <c r="AB13" s="66"/>
      <c r="AC13" s="1030"/>
      <c r="AD13" s="73"/>
      <c r="AE13" s="1031">
        <f t="shared" ca="1" si="6"/>
        <v>0</v>
      </c>
      <c r="AF13" s="1335"/>
      <c r="AG13" s="135">
        <f t="shared" si="7"/>
        <v>0</v>
      </c>
      <c r="AH13" s="74"/>
      <c r="AI13" s="76"/>
      <c r="AJ13" s="77"/>
      <c r="AK13" s="78"/>
      <c r="AL13" s="79"/>
      <c r="AM13" s="80"/>
      <c r="AN13" s="1702"/>
      <c r="AO13" s="52" t="e">
        <f t="shared" ca="1" si="8"/>
        <v>#REF!</v>
      </c>
      <c r="AP13" s="1703">
        <f t="shared" si="9"/>
        <v>0</v>
      </c>
      <c r="AQ13" s="52">
        <f t="shared" si="10"/>
        <v>0</v>
      </c>
      <c r="AR13" s="52">
        <f t="shared" si="11"/>
        <v>0</v>
      </c>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row>
    <row r="14" spans="1:67" s="1546" customFormat="1" ht="14.4">
      <c r="A14" s="1704" t="s">
        <v>1205</v>
      </c>
      <c r="B14" s="1700" t="s">
        <v>1206</v>
      </c>
      <c r="C14" s="1705" t="s">
        <v>1205</v>
      </c>
      <c r="D14" s="848"/>
      <c r="E14" s="847"/>
      <c r="F14" s="64"/>
      <c r="G14" s="65"/>
      <c r="H14" s="1019"/>
      <c r="I14" s="1019"/>
      <c r="J14" s="1019"/>
      <c r="K14" s="1020">
        <f>SUMIF('数据-汇总表'!C$19:C$33,A14,'数据-汇总表'!E$19:E$33)</f>
        <v>0</v>
      </c>
      <c r="L14" s="82"/>
      <c r="M14" s="67">
        <f t="shared" si="0"/>
        <v>0</v>
      </c>
      <c r="N14" s="83"/>
      <c r="O14" s="67" t="str">
        <f t="shared" si="3"/>
        <v>——</v>
      </c>
      <c r="P14" s="68" t="str">
        <f t="shared" si="4"/>
        <v>——</v>
      </c>
      <c r="Q14" s="1023"/>
      <c r="R14" s="69"/>
      <c r="S14" s="51"/>
      <c r="T14" s="1159"/>
      <c r="U14" s="662"/>
      <c r="V14" s="1025"/>
      <c r="W14" s="1025"/>
      <c r="X14" s="1026"/>
      <c r="Y14" s="1027"/>
      <c r="Z14" s="1028"/>
      <c r="AA14" s="1029"/>
      <c r="AB14" s="1029"/>
      <c r="AC14" s="1030"/>
      <c r="AD14" s="1026"/>
      <c r="AE14" s="1031"/>
      <c r="AF14" s="52"/>
      <c r="AG14" s="135"/>
      <c r="AH14" s="1031"/>
      <c r="AI14" s="1344"/>
      <c r="AJ14" s="696"/>
      <c r="AK14" s="1032"/>
      <c r="AL14" s="1033"/>
      <c r="AM14" s="1034"/>
      <c r="AN14" s="2642"/>
      <c r="AO14" s="2644"/>
      <c r="AP14" s="2644"/>
      <c r="AQ14" s="2644"/>
      <c r="AR14" s="2644"/>
      <c r="AS14" s="1673"/>
      <c r="AT14" s="1673"/>
      <c r="AU14" s="1673"/>
      <c r="AV14" s="1673"/>
      <c r="AW14" s="1673"/>
      <c r="AX14" s="1673"/>
      <c r="AY14" s="1673"/>
      <c r="AZ14" s="1673"/>
      <c r="BA14" s="1673"/>
      <c r="BB14" s="1673"/>
      <c r="BC14" s="1673"/>
      <c r="BD14" s="1673"/>
      <c r="BE14" s="1673"/>
      <c r="BF14" s="1673"/>
      <c r="BG14" s="1673"/>
      <c r="BH14" s="1673"/>
      <c r="BI14" s="1673"/>
      <c r="BJ14" s="1673"/>
      <c r="BK14" s="1673"/>
      <c r="BL14" s="1673"/>
      <c r="BM14" s="1673"/>
      <c r="BN14" s="1673"/>
      <c r="BO14" s="1673"/>
    </row>
    <row r="15" spans="1:67" s="1546" customFormat="1" ht="28.8">
      <c r="A15" s="1704" t="s">
        <v>1207</v>
      </c>
      <c r="B15" s="1700" t="s">
        <v>1206</v>
      </c>
      <c r="C15" s="1705" t="s">
        <v>1208</v>
      </c>
      <c r="D15" s="848"/>
      <c r="E15" s="847"/>
      <c r="F15" s="64"/>
      <c r="G15" s="65"/>
      <c r="H15" s="1019"/>
      <c r="I15" s="1019"/>
      <c r="J15" s="1019"/>
      <c r="K15" s="1020">
        <f>SUMIF('数据-汇总表'!C$19:C$33,A15,'数据-汇总表'!E$19:E$33)</f>
        <v>0</v>
      </c>
      <c r="L15" s="1021"/>
      <c r="M15" s="67"/>
      <c r="N15" s="1022"/>
      <c r="O15" s="67"/>
      <c r="P15" s="68"/>
      <c r="Q15" s="1023"/>
      <c r="R15" s="69"/>
      <c r="S15" s="51"/>
      <c r="T15" s="1159"/>
      <c r="U15" s="662"/>
      <c r="V15" s="1025"/>
      <c r="W15" s="1025"/>
      <c r="X15" s="1026"/>
      <c r="Y15" s="1027"/>
      <c r="Z15" s="1028"/>
      <c r="AA15" s="1029"/>
      <c r="AB15" s="1029"/>
      <c r="AC15" s="1030"/>
      <c r="AD15" s="1026"/>
      <c r="AE15" s="1031"/>
      <c r="AF15" s="52"/>
      <c r="AG15" s="135"/>
      <c r="AH15" s="1031"/>
      <c r="AI15" s="1344"/>
      <c r="AJ15" s="696"/>
      <c r="AK15" s="1032"/>
      <c r="AL15" s="1033"/>
      <c r="AM15" s="1034"/>
      <c r="AN15" s="2642"/>
      <c r="AO15" s="2644"/>
      <c r="AP15" s="2644"/>
      <c r="AQ15" s="2644"/>
      <c r="AR15" s="2644"/>
      <c r="AS15" s="1673"/>
      <c r="AT15" s="1673"/>
      <c r="AU15" s="1673"/>
      <c r="AV15" s="1673"/>
      <c r="AW15" s="1673"/>
      <c r="AX15" s="1673"/>
      <c r="AY15" s="1673"/>
      <c r="AZ15" s="1673"/>
      <c r="BA15" s="1673"/>
      <c r="BB15" s="1673"/>
      <c r="BC15" s="1673"/>
      <c r="BD15" s="1673"/>
      <c r="BE15" s="1673"/>
      <c r="BF15" s="1673"/>
      <c r="BG15" s="1673"/>
      <c r="BH15" s="1673"/>
      <c r="BI15" s="1673"/>
      <c r="BJ15" s="1673"/>
      <c r="BK15" s="1673"/>
      <c r="BL15" s="1673"/>
      <c r="BM15" s="1673"/>
      <c r="BN15" s="1673"/>
      <c r="BO15" s="1673"/>
    </row>
    <row r="16" spans="1:67" s="1546" customFormat="1" ht="15" thickBot="1">
      <c r="A16" s="1706" t="s">
        <v>1209</v>
      </c>
      <c r="B16" s="88"/>
      <c r="C16" s="823"/>
      <c r="D16" s="1707"/>
      <c r="E16" s="88"/>
      <c r="F16" s="88"/>
      <c r="G16" s="89" t="e">
        <f>ROUND(SUMPRODUCT(G6:G13,K6:K13)/SUMPRODUCT((G6:G13&gt;0)*(K6:K13)),3)</f>
        <v>#DIV/0!</v>
      </c>
      <c r="H16" s="90" t="e">
        <f>ROUND(SUMPRODUCT(H6:H13,K6:K13)/SUMPRODUCT((H6:H13&gt;0)*(K6:K13)),3)</f>
        <v>#DIV/0!</v>
      </c>
      <c r="I16" s="91"/>
      <c r="J16" s="91"/>
      <c r="K16" s="92">
        <f>SUM(K6:K15)</f>
        <v>88.78</v>
      </c>
      <c r="L16" s="93">
        <f>ROUND(M16*10000/SUM(K6:K14),0)</f>
        <v>2027</v>
      </c>
      <c r="M16" s="93">
        <f>SUM(M6:M14)</f>
        <v>18</v>
      </c>
      <c r="N16" s="94">
        <f>ROUND(SUMPRODUCT(M6:M14,N6:N14)/M16,3)</f>
        <v>0.95</v>
      </c>
      <c r="O16" s="93">
        <f>SUM(O6:O14)</f>
        <v>0</v>
      </c>
      <c r="P16" s="93">
        <f>SUM(P6:P14)</f>
        <v>0</v>
      </c>
      <c r="Q16" s="95">
        <f>ROUND(SUMPRODUCT(Q6:Q13,K6:K13)/SUMPRODUCT((Q6:Q13&gt;0)*(K6:K13)),2)</f>
        <v>0.12</v>
      </c>
      <c r="R16" s="102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73"/>
      <c r="AT16" s="1673"/>
      <c r="AU16" s="1673"/>
      <c r="AV16" s="1673"/>
      <c r="AW16" s="1673"/>
      <c r="AX16" s="1673"/>
      <c r="AY16" s="1673"/>
      <c r="AZ16" s="1673"/>
      <c r="BA16" s="1673"/>
      <c r="BB16" s="1673"/>
      <c r="BC16" s="1673"/>
      <c r="BD16" s="1673"/>
      <c r="BE16" s="1673"/>
      <c r="BF16" s="1673"/>
      <c r="BG16" s="1673"/>
      <c r="BH16" s="1673"/>
      <c r="BI16" s="1673"/>
      <c r="BJ16" s="1673"/>
      <c r="BK16" s="1673"/>
      <c r="BL16" s="1673"/>
      <c r="BM16" s="1673"/>
      <c r="BN16" s="1673"/>
      <c r="BO16" s="1673"/>
    </row>
    <row r="17" spans="1:67" ht="13.8" thickBot="1">
      <c r="A17" s="1708"/>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f>ROUND(1-(2007-1986)/60,2)</f>
        <v>0.65</v>
      </c>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4">
      <c r="A19" s="1709" t="s">
        <v>1211</v>
      </c>
      <c r="B19" s="103"/>
      <c r="C19" s="2770" t="s">
        <v>2303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c r="AI19" s="2642"/>
      <c r="AJ19" s="2642"/>
      <c r="AK19" s="2642"/>
      <c r="AL19" s="2642"/>
      <c r="AM19" s="2642"/>
      <c r="AN19" s="2642"/>
      <c r="AO19" s="2642"/>
      <c r="AP19" s="2642"/>
      <c r="AQ19" s="2642"/>
      <c r="AR19" s="2642"/>
    </row>
    <row r="20" spans="1:67" ht="14.4">
      <c r="A20" s="1710" t="s">
        <v>1212</v>
      </c>
      <c r="B20" s="104">
        <v>2</v>
      </c>
      <c r="C20" s="2771" t="s">
        <v>2301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4">
      <c r="A21" s="1711" t="s">
        <v>1213</v>
      </c>
      <c r="B21" s="104">
        <v>2</v>
      </c>
      <c r="C21" s="2644"/>
      <c r="D21" s="2647"/>
      <c r="E21" s="2644"/>
      <c r="F21" s="2644"/>
      <c r="G21" s="2644"/>
      <c r="H21" s="2644"/>
      <c r="I21" s="2644"/>
      <c r="J21" s="2644"/>
      <c r="K21" s="2643"/>
      <c r="L21" s="2643"/>
      <c r="M21" s="2642"/>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4">
      <c r="A22" s="1710" t="s">
        <v>1214</v>
      </c>
      <c r="B22" s="105">
        <f>B19+B20</f>
        <v>2</v>
      </c>
      <c r="C22" s="2644"/>
      <c r="D22" s="2647"/>
      <c r="E22" s="2644"/>
      <c r="F22" s="2644"/>
      <c r="G22" s="2644"/>
      <c r="H22" s="2644"/>
      <c r="I22" s="2644"/>
      <c r="J22" s="2644"/>
      <c r="K22" s="2643"/>
      <c r="L22" s="2643"/>
      <c r="M22" s="2642"/>
      <c r="N22" s="264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4">
      <c r="A23" s="1711"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12"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4.4" thickBot="1">
      <c r="A25" s="1544"/>
      <c r="B25" s="1674"/>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0" t="s">
        <v>1217</v>
      </c>
      <c r="B26" s="1713"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15" customFormat="1" ht="28.8">
      <c r="A27" s="1714" t="s">
        <v>1220</v>
      </c>
      <c r="B27" s="107">
        <v>160</v>
      </c>
      <c r="C27" s="2772" t="s">
        <v>2305</v>
      </c>
      <c r="D27" s="2650"/>
      <c r="E27" s="2632"/>
      <c r="F27" s="2632"/>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row>
    <row r="28" spans="1:67" s="1715" customFormat="1" ht="28.8">
      <c r="A28" s="1716" t="s">
        <v>1221</v>
      </c>
      <c r="B28" s="110">
        <v>200</v>
      </c>
      <c r="C28" s="2651"/>
      <c r="D28" s="2650"/>
      <c r="E28" s="2632"/>
      <c r="F28" s="2632"/>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84"/>
      <c r="AT28" s="784"/>
      <c r="AU28" s="784"/>
      <c r="AV28" s="784"/>
      <c r="AW28" s="784"/>
      <c r="AX28" s="784"/>
      <c r="AY28" s="784"/>
      <c r="AZ28" s="784"/>
      <c r="BA28" s="784"/>
      <c r="BB28" s="784"/>
      <c r="BC28" s="784"/>
      <c r="BD28" s="784"/>
      <c r="BE28" s="784"/>
      <c r="BF28" s="784"/>
      <c r="BG28" s="784"/>
      <c r="BH28" s="784"/>
      <c r="BI28" s="784"/>
      <c r="BJ28" s="784"/>
      <c r="BK28" s="784"/>
      <c r="BL28" s="784"/>
      <c r="BM28" s="784"/>
      <c r="BN28" s="784"/>
      <c r="BO28" s="784"/>
    </row>
    <row r="29" spans="1:67" s="1715" customFormat="1" ht="29.4" thickBot="1">
      <c r="A29" s="1717" t="s">
        <v>1222</v>
      </c>
      <c r="B29" s="112"/>
      <c r="C29" s="2773" t="s">
        <v>2294</v>
      </c>
      <c r="D29" s="2650"/>
      <c r="E29" s="2632"/>
      <c r="F29" s="2632"/>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84"/>
      <c r="AT29" s="784"/>
      <c r="AU29" s="784"/>
      <c r="AV29" s="784"/>
      <c r="AW29" s="784"/>
      <c r="AX29" s="784"/>
      <c r="AY29" s="784"/>
      <c r="AZ29" s="784"/>
      <c r="BA29" s="784"/>
      <c r="BB29" s="784"/>
      <c r="BC29" s="784"/>
      <c r="BD29" s="784"/>
      <c r="BE29" s="784"/>
      <c r="BF29" s="784"/>
      <c r="BG29" s="784"/>
      <c r="BH29" s="784"/>
      <c r="BI29" s="784"/>
      <c r="BJ29" s="784"/>
      <c r="BK29" s="784"/>
      <c r="BL29" s="784"/>
      <c r="BM29" s="784"/>
      <c r="BN29" s="784"/>
      <c r="BO29" s="784"/>
    </row>
    <row r="30" spans="1:67" s="1715" customFormat="1" ht="28.8">
      <c r="A30" s="1718" t="s">
        <v>1223</v>
      </c>
      <c r="B30" s="663">
        <v>200</v>
      </c>
      <c r="C30" s="2651"/>
      <c r="D30" s="2650"/>
      <c r="E30" s="2632"/>
      <c r="F30" s="2632"/>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84"/>
      <c r="AT30" s="784"/>
      <c r="AU30" s="784"/>
      <c r="AV30" s="784"/>
      <c r="AW30" s="784"/>
      <c r="AX30" s="784"/>
      <c r="AY30" s="784"/>
      <c r="AZ30" s="784"/>
      <c r="BA30" s="784"/>
      <c r="BB30" s="784"/>
      <c r="BC30" s="784"/>
      <c r="BD30" s="784"/>
      <c r="BE30" s="784"/>
      <c r="BF30" s="784"/>
      <c r="BG30" s="784"/>
      <c r="BH30" s="784"/>
      <c r="BI30" s="784"/>
      <c r="BJ30" s="784"/>
      <c r="BK30" s="784"/>
      <c r="BL30" s="784"/>
      <c r="BM30" s="784"/>
      <c r="BN30" s="784"/>
      <c r="BO30" s="784"/>
    </row>
    <row r="31" spans="1:67" s="1715" customFormat="1" ht="28.8">
      <c r="A31" s="1716" t="s">
        <v>1224</v>
      </c>
      <c r="B31" s="111">
        <f>B30-B32</f>
        <v>200</v>
      </c>
      <c r="C31" s="2649"/>
      <c r="D31" s="2650"/>
      <c r="E31" s="2632"/>
      <c r="F31" s="2632"/>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84"/>
      <c r="AT31" s="784"/>
      <c r="AU31" s="784"/>
      <c r="AV31" s="784"/>
      <c r="AW31" s="784"/>
      <c r="AX31" s="784"/>
      <c r="AY31" s="784"/>
      <c r="AZ31" s="784"/>
      <c r="BA31" s="784"/>
      <c r="BB31" s="784"/>
      <c r="BC31" s="784"/>
      <c r="BD31" s="784"/>
      <c r="BE31" s="784"/>
      <c r="BF31" s="784"/>
      <c r="BG31" s="784"/>
      <c r="BH31" s="784"/>
      <c r="BI31" s="784"/>
      <c r="BJ31" s="784"/>
      <c r="BK31" s="784"/>
      <c r="BL31" s="784"/>
      <c r="BM31" s="784"/>
      <c r="BN31" s="784"/>
      <c r="BO31" s="784"/>
    </row>
    <row r="32" spans="1:67" s="1715" customFormat="1" ht="29.4" thickBot="1">
      <c r="A32" s="1719" t="s">
        <v>1225</v>
      </c>
      <c r="B32" s="664"/>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84"/>
      <c r="AT32" s="784"/>
      <c r="AU32" s="784"/>
      <c r="AV32" s="784"/>
      <c r="AW32" s="784"/>
      <c r="AX32" s="784"/>
      <c r="AY32" s="784"/>
      <c r="AZ32" s="784"/>
      <c r="BA32" s="784"/>
      <c r="BB32" s="784"/>
      <c r="BC32" s="784"/>
      <c r="BD32" s="784"/>
      <c r="BE32" s="784"/>
      <c r="BF32" s="784"/>
      <c r="BG32" s="784"/>
      <c r="BH32" s="784"/>
      <c r="BI32" s="784"/>
      <c r="BJ32" s="784"/>
      <c r="BK32" s="784"/>
      <c r="BL32" s="784"/>
      <c r="BM32" s="784"/>
      <c r="BN32" s="784"/>
      <c r="BO32" s="784"/>
    </row>
    <row r="33" spans="1:67" s="1715" customFormat="1" ht="14.4">
      <c r="A33" s="1714" t="s">
        <v>1226</v>
      </c>
      <c r="B33" s="665">
        <v>0.03</v>
      </c>
      <c r="C33" s="2774" t="s">
        <v>3383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84"/>
      <c r="AT33" s="784"/>
      <c r="AU33" s="784"/>
      <c r="AV33" s="784"/>
      <c r="AW33" s="784"/>
      <c r="AX33" s="784"/>
      <c r="AY33" s="784"/>
      <c r="AZ33" s="784"/>
      <c r="BA33" s="784"/>
      <c r="BB33" s="784"/>
      <c r="BC33" s="784"/>
      <c r="BD33" s="784"/>
      <c r="BE33" s="784"/>
      <c r="BF33" s="784"/>
      <c r="BG33" s="784"/>
      <c r="BH33" s="784"/>
      <c r="BI33" s="784"/>
      <c r="BJ33" s="784"/>
      <c r="BK33" s="784"/>
      <c r="BL33" s="784"/>
      <c r="BM33" s="784"/>
      <c r="BN33" s="784"/>
      <c r="BO33" s="784"/>
    </row>
    <row r="34" spans="1:67" s="1715" customFormat="1" ht="14.4">
      <c r="A34" s="1716" t="s">
        <v>1227</v>
      </c>
      <c r="B34" s="113">
        <v>0.05</v>
      </c>
      <c r="C34" s="2774" t="s">
        <v>2295</v>
      </c>
      <c r="D34" s="2655" t="s">
        <v>2302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row>
    <row r="35" spans="1:67" s="1715" customFormat="1" ht="14.4">
      <c r="A35" s="1716" t="s">
        <v>1228</v>
      </c>
      <c r="B35" s="110">
        <v>200</v>
      </c>
      <c r="C35" s="2774" t="s">
        <v>2296</v>
      </c>
      <c r="D35" s="2650"/>
      <c r="E35" s="2632"/>
      <c r="F35" s="2632"/>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row>
    <row r="36" spans="1:67" ht="15" thickBot="1">
      <c r="A36" s="1717" t="s">
        <v>1229</v>
      </c>
      <c r="B36" s="114">
        <v>1.4999999999999999E-2</v>
      </c>
      <c r="C36" s="2774" t="s">
        <v>3384</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4">
      <c r="A37" s="1718" t="s">
        <v>1230</v>
      </c>
      <c r="B37" s="115">
        <v>0.01</v>
      </c>
      <c r="C37" s="2774" t="s">
        <v>2297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4">
      <c r="A38" s="1716" t="s">
        <v>1231</v>
      </c>
      <c r="B38" s="113">
        <v>0.01</v>
      </c>
      <c r="C38" s="2774" t="s">
        <v>2297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4">
      <c r="A39" s="1719" t="s">
        <v>1232</v>
      </c>
      <c r="B39" s="312">
        <f ca="1">存贷款利率!I1</f>
        <v>1.9799999999999998E-2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4.4" thickBot="1">
      <c r="A40" s="2786" t="s">
        <v>2312</v>
      </c>
      <c r="B40" s="1068">
        <f ca="1">IF(A40="利息：取LPR",存贷款利率!G1,存贷款利率!G1+C40)</f>
        <v>5.4900000000000004E-2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4">
      <c r="A41" s="1714"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4">
      <c r="A42" s="1720" t="s">
        <v>1234</v>
      </c>
      <c r="B42" s="117">
        <v>0.05</v>
      </c>
      <c r="C42" s="2654">
        <f>IF(B2&lt;DATE(2016,5,1),0,B42)</f>
        <v>0</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4">
      <c r="A43" s="1720"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4">
      <c r="A44" s="1721" t="s">
        <v>1236</v>
      </c>
      <c r="B44" s="119">
        <v>7.0000000000000007E-2</v>
      </c>
      <c r="C44" s="2774" t="s">
        <v>2306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4">
      <c r="A45" s="1721" t="s">
        <v>1237</v>
      </c>
      <c r="B45" s="117">
        <v>0.03</v>
      </c>
      <c r="C45" s="2773" t="s">
        <v>2298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4">
      <c r="A46" s="1721" t="s">
        <v>1238</v>
      </c>
      <c r="B46" s="117">
        <v>0.02</v>
      </c>
      <c r="C46" s="2773" t="s">
        <v>2299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22" t="s">
        <v>1239</v>
      </c>
      <c r="B47" s="120"/>
      <c r="C47" s="2776" t="s">
        <v>2307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4">
      <c r="A48" s="1723" t="s">
        <v>1240</v>
      </c>
      <c r="B48" s="121">
        <v>0.03</v>
      </c>
      <c r="C48" s="2773" t="s">
        <v>2298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19" t="s">
        <v>1241</v>
      </c>
      <c r="B49" s="117">
        <v>5.0000000000000001E-4</v>
      </c>
      <c r="C49" s="2773" t="s">
        <v>2300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4">
      <c r="A50" s="1724" t="s">
        <v>1242</v>
      </c>
      <c r="B50" s="122">
        <v>1.2E-2</v>
      </c>
      <c r="C50" s="2632"/>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17" t="s">
        <v>1243</v>
      </c>
      <c r="B51" s="123">
        <v>0.12</v>
      </c>
      <c r="C51" s="2632"/>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4">
      <c r="A52" s="1724" t="s">
        <v>1244</v>
      </c>
      <c r="B52" s="124">
        <f>SUMIF(A54:A63,B53,B54:B63)</f>
        <v>0</v>
      </c>
      <c r="C52" s="2632"/>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8.8">
      <c r="A53" s="1716" t="s">
        <v>1245</v>
      </c>
      <c r="B53" s="1725"/>
      <c r="C53" s="2632" t="s">
        <v>1246</v>
      </c>
      <c r="D53" s="2775" t="s">
        <v>2304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4">
      <c r="A54" s="1726" t="s">
        <v>1247</v>
      </c>
      <c r="B54" s="75"/>
      <c r="C54" s="2632">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4">
      <c r="A55" s="1726" t="s">
        <v>1248</v>
      </c>
      <c r="B55" s="75"/>
      <c r="C55" s="2632">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4">
      <c r="A56" s="1726" t="s">
        <v>1249</v>
      </c>
      <c r="B56" s="75"/>
      <c r="C56" s="2632">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4">
      <c r="A57" s="1726" t="s">
        <v>1250</v>
      </c>
      <c r="B57" s="75"/>
      <c r="C57" s="2632">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4">
      <c r="A58" s="1726" t="s">
        <v>1251</v>
      </c>
      <c r="B58" s="75"/>
      <c r="C58" s="2632">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4">
      <c r="A59" s="1726" t="s">
        <v>1252</v>
      </c>
      <c r="B59" s="75"/>
      <c r="C59" s="2632">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4">
      <c r="A60" s="1726"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4">
      <c r="A61" s="1726"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4">
      <c r="A62" s="1726"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27"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3" customFormat="1">
      <c r="A64" s="2635"/>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3" customFormat="1">
      <c r="A65" s="2635"/>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3" customFormat="1">
      <c r="A66" s="2635"/>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3" customFormat="1">
      <c r="A67" s="2635"/>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3" customFormat="1">
      <c r="A68" s="2635"/>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3" customFormat="1">
      <c r="A69" s="1728"/>
      <c r="D69" s="1729"/>
      <c r="K69" s="718"/>
      <c r="L69" s="718"/>
    </row>
    <row r="70" spans="1:44" s="783" customFormat="1">
      <c r="A70" s="1728"/>
      <c r="D70" s="1729"/>
      <c r="K70" s="718"/>
      <c r="L70" s="718"/>
    </row>
    <row r="71" spans="1:44" s="783" customFormat="1">
      <c r="A71" s="1728"/>
      <c r="D71" s="1729"/>
      <c r="K71" s="718"/>
      <c r="L71" s="718"/>
    </row>
    <row r="72" spans="1:44" s="783" customFormat="1">
      <c r="A72" s="1728"/>
      <c r="D72" s="1729"/>
      <c r="K72" s="718"/>
      <c r="L72" s="718"/>
    </row>
    <row r="73" spans="1:44" s="783" customFormat="1">
      <c r="A73" s="1728"/>
      <c r="D73" s="1729"/>
      <c r="K73" s="718"/>
      <c r="L73" s="718"/>
    </row>
    <row r="74" spans="1:44" s="783" customFormat="1">
      <c r="A74" s="1728"/>
      <c r="D74" s="1729"/>
      <c r="K74" s="718"/>
      <c r="L74" s="718"/>
    </row>
    <row r="75" spans="1:44" s="783" customFormat="1">
      <c r="A75" s="1728"/>
      <c r="D75" s="1729"/>
      <c r="K75" s="718"/>
      <c r="L75" s="718"/>
    </row>
    <row r="76" spans="1:44" s="783" customFormat="1">
      <c r="A76" s="1728"/>
      <c r="D76" s="1729"/>
      <c r="K76" s="718"/>
      <c r="L76" s="718"/>
    </row>
    <row r="77" spans="1:44" s="783" customFormat="1">
      <c r="A77" s="1728"/>
      <c r="D77" s="1729"/>
      <c r="K77" s="718"/>
      <c r="L77" s="718"/>
    </row>
    <row r="78" spans="1:44" s="783" customFormat="1">
      <c r="A78" s="1728"/>
      <c r="D78" s="1729"/>
      <c r="K78" s="718"/>
      <c r="L78" s="718"/>
    </row>
    <row r="79" spans="1:44" s="783" customFormat="1">
      <c r="A79" s="1728"/>
      <c r="D79" s="1729"/>
      <c r="K79" s="718"/>
      <c r="L79" s="718"/>
    </row>
    <row r="80" spans="1:44" s="783" customFormat="1">
      <c r="A80" s="1728"/>
      <c r="D80" s="1729"/>
      <c r="K80" s="718"/>
      <c r="L80" s="718"/>
    </row>
    <row r="81" spans="1:12" s="783" customFormat="1">
      <c r="A81" s="1728"/>
      <c r="D81" s="1729"/>
      <c r="K81" s="718"/>
      <c r="L81" s="718"/>
    </row>
    <row r="82" spans="1:12" s="783" customFormat="1">
      <c r="A82" s="1728"/>
      <c r="D82" s="1729"/>
      <c r="K82" s="718"/>
      <c r="L82" s="718"/>
    </row>
    <row r="83" spans="1:12" s="783" customFormat="1">
      <c r="A83" s="1728"/>
      <c r="D83" s="1729"/>
      <c r="K83" s="718"/>
      <c r="L83" s="718"/>
    </row>
    <row r="84" spans="1:12" s="783" customFormat="1">
      <c r="A84" s="1728"/>
      <c r="D84" s="1729"/>
      <c r="K84" s="718"/>
      <c r="L84" s="718"/>
    </row>
    <row r="85" spans="1:12" s="783" customFormat="1">
      <c r="A85" s="1728"/>
      <c r="D85" s="1729"/>
      <c r="K85" s="718"/>
      <c r="L85" s="718"/>
    </row>
    <row r="86" spans="1:12" s="783" customFormat="1">
      <c r="A86" s="1728"/>
      <c r="D86" s="1729"/>
      <c r="K86" s="718"/>
      <c r="L86" s="718"/>
    </row>
    <row r="87" spans="1:12" s="783" customFormat="1">
      <c r="A87" s="1728"/>
      <c r="D87" s="1729"/>
      <c r="K87" s="718"/>
      <c r="L87" s="718"/>
    </row>
    <row r="88" spans="1:12" s="783" customFormat="1">
      <c r="A88" s="1728"/>
      <c r="D88" s="1729"/>
      <c r="K88" s="718"/>
      <c r="L88" s="718"/>
    </row>
    <row r="89" spans="1:12" s="783" customFormat="1">
      <c r="A89" s="1728"/>
      <c r="D89" s="1729"/>
      <c r="K89" s="718"/>
      <c r="L89" s="718"/>
    </row>
    <row r="90" spans="1:12" s="783" customFormat="1">
      <c r="A90" s="1728"/>
      <c r="D90" s="1729"/>
      <c r="K90" s="718"/>
      <c r="L90" s="718"/>
    </row>
    <row r="91" spans="1:12" s="783" customFormat="1">
      <c r="A91" s="1728"/>
      <c r="D91" s="1729"/>
      <c r="K91" s="718"/>
      <c r="L91" s="718"/>
    </row>
    <row r="92" spans="1:12" s="783" customFormat="1">
      <c r="A92" s="1728"/>
      <c r="D92" s="1729"/>
      <c r="K92" s="718"/>
      <c r="L92" s="718"/>
    </row>
    <row r="93" spans="1:12" s="783" customFormat="1">
      <c r="A93" s="1728"/>
      <c r="D93" s="1729"/>
      <c r="K93" s="718"/>
      <c r="L93" s="718"/>
    </row>
    <row r="94" spans="1:12" s="783" customFormat="1">
      <c r="A94" s="1728"/>
      <c r="D94" s="1729"/>
      <c r="K94" s="718"/>
      <c r="L94" s="718"/>
    </row>
    <row r="95" spans="1:12" s="783" customFormat="1">
      <c r="A95" s="1728"/>
      <c r="D95" s="1729"/>
      <c r="K95" s="718"/>
      <c r="L95" s="718"/>
    </row>
    <row r="96" spans="1:12" s="783" customFormat="1">
      <c r="A96" s="1728"/>
      <c r="D96" s="1729"/>
      <c r="K96" s="718"/>
      <c r="L96" s="718"/>
    </row>
    <row r="97" spans="1:12" s="783" customFormat="1">
      <c r="A97" s="1728"/>
      <c r="D97" s="1729"/>
      <c r="K97" s="718"/>
      <c r="L97" s="718"/>
    </row>
    <row r="98" spans="1:12" s="783" customFormat="1">
      <c r="A98" s="1728"/>
      <c r="D98" s="1729"/>
      <c r="K98" s="718"/>
      <c r="L98" s="718"/>
    </row>
    <row r="99" spans="1:12" s="783" customFormat="1">
      <c r="A99" s="1728"/>
      <c r="D99" s="1729"/>
      <c r="K99" s="718"/>
      <c r="L99" s="718"/>
    </row>
    <row r="100" spans="1:12" s="783" customFormat="1">
      <c r="A100" s="1728"/>
      <c r="D100" s="1729"/>
      <c r="K100" s="718"/>
      <c r="L100" s="718"/>
    </row>
    <row r="101" spans="1:12" s="783" customFormat="1">
      <c r="A101" s="1728"/>
      <c r="D101" s="1729"/>
      <c r="K101" s="718"/>
      <c r="L101" s="718"/>
    </row>
    <row r="102" spans="1:12" s="783" customFormat="1">
      <c r="A102" s="1728"/>
      <c r="D102" s="1729"/>
      <c r="K102" s="718"/>
      <c r="L102" s="718"/>
    </row>
    <row r="103" spans="1:12" s="783" customFormat="1">
      <c r="A103" s="1728"/>
      <c r="D103" s="1729"/>
      <c r="K103" s="718"/>
      <c r="L103" s="718"/>
    </row>
    <row r="104" spans="1:12" s="783" customFormat="1">
      <c r="A104" s="1728"/>
      <c r="D104" s="1729"/>
      <c r="K104" s="718"/>
      <c r="L104" s="718"/>
    </row>
    <row r="105" spans="1:12" s="783" customFormat="1">
      <c r="A105" s="1728"/>
      <c r="D105" s="1729"/>
      <c r="K105" s="718"/>
      <c r="L105" s="718"/>
    </row>
    <row r="106" spans="1:12" s="783" customFormat="1">
      <c r="A106" s="1728"/>
      <c r="D106" s="1729"/>
      <c r="K106" s="718"/>
      <c r="L106" s="718"/>
    </row>
    <row r="107" spans="1:12" s="783" customFormat="1">
      <c r="A107" s="1728"/>
      <c r="D107" s="1729"/>
      <c r="K107" s="718"/>
      <c r="L107" s="718"/>
    </row>
    <row r="108" spans="1:12" s="783" customFormat="1">
      <c r="A108" s="1728"/>
      <c r="D108" s="1729"/>
      <c r="K108" s="718"/>
      <c r="L108" s="718"/>
    </row>
    <row r="109" spans="1:12" s="783" customFormat="1">
      <c r="A109" s="1728"/>
      <c r="D109" s="1729"/>
      <c r="K109" s="718"/>
      <c r="L109" s="718"/>
    </row>
    <row r="110" spans="1:12" s="783" customFormat="1">
      <c r="A110" s="1728"/>
      <c r="D110" s="1729"/>
      <c r="K110" s="718"/>
      <c r="L110" s="718"/>
    </row>
    <row r="111" spans="1:12" s="783" customFormat="1">
      <c r="A111" s="1728"/>
      <c r="D111" s="1729"/>
      <c r="K111" s="718"/>
      <c r="L111" s="718"/>
    </row>
    <row r="112" spans="1:12" s="783" customFormat="1">
      <c r="A112" s="1728"/>
      <c r="D112" s="1729"/>
      <c r="K112" s="718"/>
      <c r="L112" s="718"/>
    </row>
    <row r="113" spans="1:12" s="783" customFormat="1">
      <c r="A113" s="1728"/>
      <c r="D113" s="1729"/>
      <c r="K113" s="718"/>
      <c r="L113" s="718"/>
    </row>
    <row r="114" spans="1:12" s="783" customFormat="1">
      <c r="A114" s="1728"/>
      <c r="D114" s="1729"/>
      <c r="K114" s="718"/>
      <c r="L114" s="718"/>
    </row>
    <row r="115" spans="1:12" s="783" customFormat="1">
      <c r="A115" s="1728"/>
      <c r="D115" s="1729"/>
      <c r="K115" s="718"/>
      <c r="L115" s="718"/>
    </row>
    <row r="116" spans="1:12" s="783" customFormat="1">
      <c r="A116" s="1728"/>
      <c r="D116" s="1729"/>
      <c r="K116" s="718"/>
      <c r="L116" s="718"/>
    </row>
    <row r="117" spans="1:12" s="783" customFormat="1">
      <c r="A117" s="1728"/>
      <c r="D117" s="1729"/>
      <c r="K117" s="718"/>
      <c r="L117" s="718"/>
    </row>
    <row r="118" spans="1:12" s="783" customFormat="1">
      <c r="A118" s="1728"/>
      <c r="D118" s="1729"/>
      <c r="K118" s="718"/>
      <c r="L118" s="718"/>
    </row>
    <row r="119" spans="1:12" s="783" customFormat="1">
      <c r="A119" s="1728"/>
      <c r="D119" s="1729"/>
      <c r="K119" s="718"/>
      <c r="L119" s="718"/>
    </row>
    <row r="120" spans="1:12" s="783" customFormat="1">
      <c r="A120" s="1728"/>
      <c r="D120" s="1729"/>
      <c r="K120" s="718"/>
      <c r="L120" s="718"/>
    </row>
    <row r="121" spans="1:12" s="783" customFormat="1">
      <c r="A121" s="1728"/>
      <c r="D121" s="1729"/>
      <c r="K121" s="718"/>
      <c r="L121" s="718"/>
    </row>
    <row r="122" spans="1:12" s="783" customFormat="1">
      <c r="A122" s="1728"/>
      <c r="D122" s="1729"/>
      <c r="K122" s="718"/>
      <c r="L122" s="718"/>
    </row>
    <row r="123" spans="1:12" s="783" customFormat="1">
      <c r="A123" s="1728"/>
      <c r="D123" s="1729"/>
      <c r="K123" s="718"/>
      <c r="L123" s="718"/>
    </row>
    <row r="124" spans="1:12" s="783" customFormat="1">
      <c r="A124" s="1728"/>
      <c r="D124" s="1729"/>
      <c r="K124" s="718"/>
      <c r="L124" s="718"/>
    </row>
    <row r="125" spans="1:12" s="783" customFormat="1">
      <c r="A125" s="1728"/>
      <c r="D125" s="1729"/>
      <c r="K125" s="718"/>
      <c r="L125" s="718"/>
    </row>
    <row r="126" spans="1:12" s="783" customFormat="1">
      <c r="A126" s="1728"/>
      <c r="D126" s="1729"/>
      <c r="K126" s="718"/>
      <c r="L126" s="718"/>
    </row>
    <row r="127" spans="1:12" s="783" customFormat="1">
      <c r="A127" s="1728"/>
      <c r="D127" s="1729"/>
      <c r="K127" s="718"/>
      <c r="L127" s="718"/>
    </row>
    <row r="128" spans="1:12" s="783" customFormat="1">
      <c r="A128" s="1728"/>
      <c r="D128" s="1729"/>
      <c r="K128" s="718"/>
      <c r="L128" s="718"/>
    </row>
    <row r="129" spans="1:12" s="783" customFormat="1">
      <c r="A129" s="1728"/>
      <c r="D129" s="1729"/>
      <c r="K129" s="718"/>
      <c r="L129" s="718"/>
    </row>
    <row r="130" spans="1:12" s="783" customFormat="1">
      <c r="A130" s="1728"/>
      <c r="D130" s="1729"/>
      <c r="K130" s="718"/>
      <c r="L130" s="718"/>
    </row>
    <row r="131" spans="1:12" s="783" customFormat="1">
      <c r="A131" s="1728"/>
      <c r="D131" s="1729"/>
      <c r="K131" s="718"/>
      <c r="L131" s="718"/>
    </row>
    <row r="132" spans="1:12" s="783" customFormat="1">
      <c r="A132" s="1728"/>
      <c r="D132" s="1729"/>
      <c r="K132" s="718"/>
      <c r="L132" s="718"/>
    </row>
    <row r="133" spans="1:12" s="783" customFormat="1">
      <c r="A133" s="1728"/>
      <c r="D133" s="1729"/>
      <c r="K133" s="718"/>
      <c r="L133" s="718"/>
    </row>
    <row r="134" spans="1:12" s="1668" customFormat="1">
      <c r="A134" s="1730"/>
      <c r="D134" s="1731"/>
      <c r="K134" s="24"/>
      <c r="L134" s="24"/>
    </row>
    <row r="135" spans="1:12" s="1668" customFormat="1">
      <c r="A135" s="1730"/>
      <c r="D135" s="1731"/>
      <c r="K135" s="24"/>
      <c r="L135" s="24"/>
    </row>
    <row r="136" spans="1:12" s="1668" customFormat="1">
      <c r="A136" s="1730"/>
      <c r="D136" s="1731"/>
      <c r="K136" s="24"/>
      <c r="L136" s="24"/>
    </row>
    <row r="137" spans="1:12" s="1668" customFormat="1">
      <c r="A137" s="1730"/>
      <c r="D137" s="1731"/>
      <c r="K137" s="24"/>
      <c r="L137" s="24"/>
    </row>
    <row r="138" spans="1:12" s="1668" customFormat="1">
      <c r="A138" s="1730"/>
      <c r="D138" s="1731"/>
      <c r="K138" s="24"/>
      <c r="L138" s="24"/>
    </row>
    <row r="139" spans="1:12" s="1668" customFormat="1">
      <c r="A139" s="1730"/>
      <c r="D139" s="1731"/>
      <c r="K139" s="24"/>
      <c r="L139" s="24"/>
    </row>
    <row r="140" spans="1:12" s="1668" customFormat="1">
      <c r="A140" s="1730"/>
      <c r="D140" s="1731"/>
      <c r="K140" s="24"/>
      <c r="L140" s="24"/>
    </row>
    <row r="141" spans="1:12" s="1668" customFormat="1">
      <c r="A141" s="1730"/>
      <c r="D141" s="1731"/>
      <c r="K141" s="24"/>
      <c r="L141" s="24"/>
    </row>
    <row r="142" spans="1:12" s="1668" customFormat="1">
      <c r="A142" s="1730"/>
      <c r="D142" s="1731"/>
      <c r="K142" s="24"/>
      <c r="L142" s="24"/>
    </row>
    <row r="143" spans="1:12" s="1668" customFormat="1">
      <c r="A143" s="1730"/>
      <c r="D143" s="1731"/>
      <c r="K143" s="24"/>
      <c r="L143" s="24"/>
    </row>
    <row r="144" spans="1:12" s="1668" customFormat="1">
      <c r="A144" s="1730"/>
      <c r="D144" s="1731"/>
      <c r="K144" s="24"/>
      <c r="L144" s="24"/>
    </row>
    <row r="145" spans="1:12" s="1668" customFormat="1">
      <c r="A145" s="1730"/>
      <c r="D145" s="1731"/>
      <c r="K145" s="24"/>
      <c r="L145" s="24"/>
    </row>
    <row r="146" spans="1:12" s="1668" customFormat="1">
      <c r="A146" s="1730"/>
      <c r="D146" s="1731"/>
      <c r="K146" s="24"/>
      <c r="L146" s="24"/>
    </row>
    <row r="147" spans="1:12" s="1668" customFormat="1">
      <c r="A147" s="1730"/>
      <c r="D147" s="1731"/>
      <c r="K147" s="24"/>
      <c r="L147" s="24"/>
    </row>
    <row r="148" spans="1:12" s="1668" customFormat="1">
      <c r="A148" s="1730"/>
      <c r="D148" s="1731"/>
      <c r="K148" s="24"/>
      <c r="L148" s="24"/>
    </row>
    <row r="149" spans="1:12" s="1668" customFormat="1">
      <c r="A149" s="1730"/>
      <c r="D149" s="1731"/>
      <c r="K149" s="24"/>
      <c r="L149" s="24"/>
    </row>
    <row r="150" spans="1:12" s="1668" customFormat="1">
      <c r="A150" s="1730"/>
      <c r="D150" s="1731"/>
      <c r="K150" s="24"/>
      <c r="L150" s="24"/>
    </row>
    <row r="151" spans="1:12" s="1668" customFormat="1">
      <c r="A151" s="1730"/>
      <c r="D151" s="1731"/>
      <c r="K151" s="24"/>
      <c r="L151" s="24"/>
    </row>
    <row r="152" spans="1:12" s="1668" customFormat="1">
      <c r="A152" s="1730"/>
      <c r="D152" s="1731"/>
      <c r="K152" s="24"/>
      <c r="L152" s="24"/>
    </row>
    <row r="153" spans="1:12" s="1668" customFormat="1">
      <c r="A153" s="1730"/>
      <c r="D153" s="1731"/>
      <c r="K153" s="24"/>
      <c r="L153" s="24"/>
    </row>
    <row r="154" spans="1:12" s="1668" customFormat="1">
      <c r="A154" s="1730"/>
      <c r="D154" s="1731"/>
      <c r="K154" s="24"/>
      <c r="L154" s="24"/>
    </row>
    <row r="155" spans="1:12" s="1668" customFormat="1">
      <c r="A155" s="1730"/>
      <c r="D155" s="1731"/>
      <c r="K155" s="24"/>
      <c r="L155" s="24"/>
    </row>
    <row r="156" spans="1:12" s="1668" customFormat="1">
      <c r="A156" s="1730"/>
      <c r="D156" s="1731"/>
      <c r="K156" s="24"/>
      <c r="L156" s="24"/>
    </row>
    <row r="157" spans="1:12" s="1668" customFormat="1">
      <c r="A157" s="1730"/>
      <c r="D157" s="1731"/>
      <c r="K157" s="24"/>
      <c r="L157" s="24"/>
    </row>
    <row r="158" spans="1:12" s="1668" customFormat="1">
      <c r="A158" s="1730"/>
      <c r="D158" s="1731"/>
      <c r="K158" s="24"/>
      <c r="L158" s="24"/>
    </row>
    <row r="159" spans="1:12" s="1668" customFormat="1">
      <c r="A159" s="1730"/>
      <c r="D159" s="1731"/>
      <c r="K159" s="24"/>
      <c r="L159" s="24"/>
    </row>
    <row r="160" spans="1:12" s="1668" customFormat="1">
      <c r="A160" s="1730"/>
      <c r="D160" s="1731"/>
      <c r="K160" s="24"/>
      <c r="L160" s="24"/>
    </row>
    <row r="161" spans="1:12" s="1668" customFormat="1">
      <c r="A161" s="1730"/>
      <c r="D161" s="1731"/>
      <c r="K161" s="24"/>
      <c r="L161" s="24"/>
    </row>
    <row r="162" spans="1:12" s="1668" customFormat="1">
      <c r="A162" s="1730"/>
      <c r="D162" s="1731"/>
      <c r="K162" s="24"/>
      <c r="L162" s="24"/>
    </row>
    <row r="163" spans="1:12" s="1668" customFormat="1">
      <c r="A163" s="1730"/>
      <c r="D163" s="1731"/>
      <c r="K163" s="24"/>
      <c r="L163" s="24"/>
    </row>
    <row r="164" spans="1:12" s="1668" customFormat="1">
      <c r="A164" s="1730"/>
      <c r="D164" s="1731"/>
      <c r="K164" s="24"/>
      <c r="L164" s="24"/>
    </row>
    <row r="165" spans="1:12" s="1668" customFormat="1">
      <c r="A165" s="1730"/>
      <c r="D165" s="1731"/>
      <c r="K165" s="24"/>
      <c r="L165" s="24"/>
    </row>
    <row r="166" spans="1:12" s="1668" customFormat="1">
      <c r="A166" s="1730"/>
      <c r="D166" s="1731"/>
      <c r="K166" s="24"/>
      <c r="L166" s="24"/>
    </row>
    <row r="167" spans="1:12" s="1668" customFormat="1">
      <c r="A167" s="1730"/>
      <c r="D167" s="1731"/>
      <c r="K167" s="24"/>
      <c r="L167" s="24"/>
    </row>
    <row r="168" spans="1:12" s="1668" customFormat="1">
      <c r="A168" s="1730"/>
      <c r="D168" s="1731"/>
      <c r="K168" s="24"/>
      <c r="L168" s="24"/>
    </row>
    <row r="169" spans="1:12" s="1668" customFormat="1">
      <c r="A169" s="1730"/>
      <c r="D169" s="1731"/>
      <c r="K169" s="24"/>
      <c r="L169" s="24"/>
    </row>
    <row r="170" spans="1:12" s="1668" customFormat="1">
      <c r="A170" s="1730"/>
      <c r="D170" s="1731"/>
      <c r="K170" s="24"/>
      <c r="L170" s="24"/>
    </row>
    <row r="171" spans="1:12" s="1668" customFormat="1">
      <c r="A171" s="1730"/>
      <c r="D171" s="1731"/>
      <c r="K171" s="24"/>
      <c r="L171" s="24"/>
    </row>
    <row r="172" spans="1:12" s="1668" customFormat="1">
      <c r="A172" s="1730"/>
      <c r="D172" s="1731"/>
      <c r="K172" s="24"/>
      <c r="L172" s="24"/>
    </row>
    <row r="173" spans="1:12" s="1668" customFormat="1">
      <c r="A173" s="1730"/>
      <c r="D173" s="1731"/>
      <c r="K173" s="24"/>
      <c r="L173" s="24"/>
    </row>
    <row r="174" spans="1:12" s="1668" customFormat="1">
      <c r="A174" s="1730"/>
      <c r="D174" s="1731"/>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73" customWidth="1"/>
    <col min="2" max="2" width="24.44140625" style="1559" customWidth="1"/>
    <col min="3" max="3" width="24.44140625" style="2481" customWidth="1"/>
    <col min="4" max="4" width="2.6640625" style="2481" customWidth="1"/>
    <col min="5" max="5" width="5.88671875" style="2481" customWidth="1"/>
    <col min="6" max="6" width="27" style="1559" customWidth="1"/>
    <col min="7" max="7" width="27" style="2482" customWidth="1"/>
    <col min="8" max="8" width="11.88671875" style="2462" customWidth="1"/>
    <col min="9" max="9" width="16.77734375" style="2463" customWidth="1"/>
    <col min="10" max="10" width="2.6640625" style="2462" customWidth="1"/>
    <col min="11" max="11" width="11.88671875" style="2462" customWidth="1"/>
    <col min="12" max="12" width="16.77734375" style="2463" customWidth="1"/>
    <col min="13" max="13" width="2.6640625" style="2462" customWidth="1"/>
    <col min="14" max="14" width="11.88671875" style="2462" customWidth="1"/>
    <col min="15" max="15" width="16.77734375" style="2463" customWidth="1"/>
    <col min="16" max="16" width="2.6640625" style="2462" customWidth="1"/>
    <col min="17" max="17" width="11.88671875" style="2462" customWidth="1"/>
    <col min="18" max="18" width="16.77734375" style="2464" customWidth="1"/>
    <col min="19" max="29" width="9" style="789"/>
    <col min="30" max="16384" width="9" style="1673"/>
  </cols>
  <sheetData>
    <row r="1" spans="1:29" s="2428" customFormat="1" ht="18" thickBot="1">
      <c r="A1" s="4037" t="s">
        <v>2286</v>
      </c>
      <c r="B1" s="4038"/>
      <c r="C1" s="4038"/>
      <c r="D1" s="4038"/>
      <c r="E1" s="4038"/>
      <c r="F1" s="4038"/>
      <c r="G1" s="4038"/>
      <c r="H1" s="2423"/>
      <c r="I1" s="2424"/>
      <c r="J1" s="2423"/>
      <c r="K1" s="2423"/>
      <c r="L1" s="2424"/>
      <c r="M1" s="2423"/>
      <c r="N1" s="2423"/>
      <c r="O1" s="2424"/>
      <c r="P1" s="2423"/>
      <c r="Q1" s="2425"/>
      <c r="R1" s="2426"/>
      <c r="S1" s="2427"/>
      <c r="T1" s="2427"/>
      <c r="U1" s="2427"/>
      <c r="V1" s="2427"/>
      <c r="W1" s="2427"/>
      <c r="X1" s="2427"/>
      <c r="Y1" s="2427"/>
      <c r="Z1" s="2427"/>
      <c r="AA1" s="2427"/>
      <c r="AB1" s="2427"/>
      <c r="AC1" s="2427"/>
    </row>
    <row r="2" spans="1:29" ht="14.4" thickBot="1">
      <c r="A2" s="2429"/>
      <c r="B2" s="2430"/>
      <c r="C2" s="2431" t="s">
        <v>2281</v>
      </c>
      <c r="D2" s="2432"/>
      <c r="E2" s="2429"/>
      <c r="F2" s="2433"/>
      <c r="G2" s="2431" t="s">
        <v>2282</v>
      </c>
      <c r="H2" s="789"/>
      <c r="I2" s="789"/>
      <c r="J2" s="789"/>
      <c r="K2" s="789"/>
      <c r="L2" s="789"/>
      <c r="M2" s="789"/>
      <c r="N2" s="789"/>
      <c r="O2" s="789"/>
      <c r="P2" s="789"/>
      <c r="Q2" s="789"/>
      <c r="R2" s="789"/>
    </row>
    <row r="3" spans="1:29" ht="48">
      <c r="A3" s="2412" t="s">
        <v>2283</v>
      </c>
      <c r="B3" s="2434" t="s">
        <v>2252</v>
      </c>
      <c r="C3" s="2435" t="s">
        <v>2284</v>
      </c>
      <c r="D3" s="2436"/>
      <c r="E3" s="2413" t="s">
        <v>2283</v>
      </c>
      <c r="F3" s="2437" t="s">
        <v>2253</v>
      </c>
      <c r="G3" s="2438" t="s">
        <v>2285</v>
      </c>
      <c r="H3" s="789"/>
      <c r="I3" s="789"/>
      <c r="J3" s="789"/>
      <c r="K3" s="789"/>
      <c r="L3" s="789"/>
      <c r="M3" s="789"/>
      <c r="N3" s="789"/>
      <c r="O3" s="789"/>
      <c r="P3" s="789"/>
      <c r="Q3" s="789"/>
      <c r="R3" s="789"/>
    </row>
    <row r="4" spans="1:29" ht="37.200000000000003">
      <c r="A4" s="2413"/>
      <c r="B4" s="318" t="s">
        <v>2254</v>
      </c>
      <c r="C4" s="2439" t="s">
        <v>2255</v>
      </c>
      <c r="D4" s="2436"/>
      <c r="E4" s="2440"/>
      <c r="F4" s="1360" t="s">
        <v>2256</v>
      </c>
      <c r="G4" s="2441" t="s">
        <v>2257</v>
      </c>
      <c r="H4" s="789"/>
      <c r="I4" s="789"/>
      <c r="J4" s="789"/>
      <c r="K4" s="789"/>
      <c r="L4" s="789"/>
      <c r="M4" s="789"/>
      <c r="N4" s="789"/>
      <c r="O4" s="789"/>
      <c r="P4" s="789"/>
      <c r="Q4" s="789"/>
      <c r="R4" s="789"/>
    </row>
    <row r="5" spans="1:29" ht="37.200000000000003">
      <c r="A5" s="2413"/>
      <c r="B5" s="318" t="s">
        <v>2258</v>
      </c>
      <c r="C5" s="2439" t="s">
        <v>2259</v>
      </c>
      <c r="D5" s="2436"/>
      <c r="E5" s="2440"/>
      <c r="F5" s="318" t="s">
        <v>2260</v>
      </c>
      <c r="G5" s="2441" t="s">
        <v>2261</v>
      </c>
      <c r="H5" s="789"/>
      <c r="I5" s="789"/>
      <c r="J5" s="789"/>
      <c r="K5" s="789"/>
      <c r="L5" s="789"/>
      <c r="M5" s="789"/>
      <c r="N5" s="789"/>
      <c r="O5" s="789"/>
      <c r="P5" s="789"/>
      <c r="Q5" s="789"/>
      <c r="R5" s="789"/>
    </row>
    <row r="6" spans="1:29" ht="48">
      <c r="A6" s="2413"/>
      <c r="B6" s="318" t="s">
        <v>2262</v>
      </c>
      <c r="C6" s="2441" t="s">
        <v>2257</v>
      </c>
      <c r="D6" s="2436"/>
      <c r="E6" s="2440"/>
      <c r="F6" s="318" t="s">
        <v>2263</v>
      </c>
      <c r="G6" s="2441" t="s">
        <v>2264</v>
      </c>
      <c r="H6" s="789"/>
      <c r="I6" s="789"/>
      <c r="J6" s="789"/>
      <c r="K6" s="789"/>
      <c r="L6" s="789"/>
      <c r="M6" s="789"/>
      <c r="N6" s="789"/>
      <c r="O6" s="789"/>
      <c r="P6" s="789"/>
      <c r="Q6" s="789"/>
      <c r="R6" s="789"/>
    </row>
    <row r="7" spans="1:29" ht="36.6" thickBot="1">
      <c r="A7" s="2413"/>
      <c r="B7" s="318" t="s">
        <v>2260</v>
      </c>
      <c r="C7" s="2441" t="s">
        <v>2261</v>
      </c>
      <c r="D7" s="2442"/>
      <c r="E7" s="2443"/>
      <c r="F7" s="2444" t="s">
        <v>2265</v>
      </c>
      <c r="G7" s="2445" t="s">
        <v>2266</v>
      </c>
      <c r="H7" s="789"/>
      <c r="I7" s="789"/>
      <c r="J7" s="789"/>
      <c r="K7" s="789"/>
      <c r="L7" s="789"/>
      <c r="M7" s="789"/>
      <c r="N7" s="789"/>
      <c r="O7" s="789"/>
      <c r="P7" s="789"/>
      <c r="Q7" s="789"/>
      <c r="R7" s="789"/>
    </row>
    <row r="8" spans="1:29" ht="24">
      <c r="A8" s="2413"/>
      <c r="B8" s="318" t="s">
        <v>2263</v>
      </c>
      <c r="C8" s="2441" t="s">
        <v>2264</v>
      </c>
      <c r="D8" s="2442"/>
      <c r="E8" s="2442"/>
      <c r="F8" s="2446"/>
      <c r="G8" s="2446"/>
      <c r="H8" s="789"/>
      <c r="I8" s="789"/>
      <c r="J8" s="789"/>
      <c r="K8" s="789"/>
      <c r="L8" s="789"/>
      <c r="M8" s="789"/>
      <c r="N8" s="789"/>
      <c r="O8" s="789"/>
      <c r="P8" s="789"/>
      <c r="Q8" s="789"/>
      <c r="R8" s="789"/>
    </row>
    <row r="9" spans="1:29" ht="24">
      <c r="A9" s="2413"/>
      <c r="B9" s="318" t="s">
        <v>2267</v>
      </c>
      <c r="C9" s="2439" t="s">
        <v>2268</v>
      </c>
      <c r="D9" s="2436"/>
      <c r="E9" s="2442"/>
      <c r="F9" s="2446"/>
      <c r="G9" s="2446"/>
      <c r="H9" s="789"/>
      <c r="I9" s="789"/>
      <c r="J9" s="789"/>
      <c r="K9" s="789"/>
      <c r="L9" s="789"/>
      <c r="M9" s="789"/>
      <c r="N9" s="789"/>
      <c r="O9" s="789"/>
      <c r="P9" s="789"/>
      <c r="Q9" s="789"/>
      <c r="R9" s="789"/>
    </row>
    <row r="10" spans="1:29" s="2452" customFormat="1" ht="14.4" thickBot="1">
      <c r="A10" s="2414"/>
      <c r="B10" s="2447" t="s">
        <v>2269</v>
      </c>
      <c r="C10" s="2448"/>
      <c r="D10" s="2436"/>
      <c r="E10" s="2436"/>
      <c r="F10" s="2446"/>
      <c r="G10" s="2446"/>
      <c r="H10" s="2449"/>
      <c r="I10" s="2450"/>
      <c r="J10" s="2451"/>
      <c r="K10" s="2449"/>
      <c r="L10" s="2450"/>
      <c r="M10" s="2451"/>
      <c r="N10" s="2449"/>
      <c r="O10" s="2450"/>
      <c r="P10" s="2451"/>
      <c r="Q10" s="2449"/>
      <c r="R10" s="2450"/>
      <c r="S10" s="789"/>
      <c r="T10" s="789"/>
      <c r="U10" s="789"/>
      <c r="V10" s="789"/>
      <c r="W10" s="789"/>
      <c r="X10" s="789"/>
      <c r="Y10" s="789"/>
      <c r="Z10" s="789"/>
      <c r="AA10" s="789"/>
      <c r="AB10" s="789"/>
      <c r="AC10" s="789"/>
    </row>
    <row r="11" spans="1:29" s="2452" customFormat="1">
      <c r="A11" s="2453"/>
      <c r="B11" s="2442"/>
      <c r="C11" s="2436"/>
      <c r="D11" s="2436"/>
      <c r="E11" s="2436"/>
      <c r="F11" s="2442"/>
      <c r="G11" s="2454"/>
      <c r="H11" s="2449"/>
      <c r="I11" s="2450"/>
      <c r="J11" s="2451"/>
      <c r="K11" s="2449"/>
      <c r="L11" s="2450"/>
      <c r="M11" s="2451"/>
      <c r="N11" s="2449"/>
      <c r="O11" s="2450"/>
      <c r="P11" s="2451"/>
      <c r="Q11" s="2449"/>
      <c r="R11" s="2450"/>
      <c r="S11" s="789"/>
      <c r="T11" s="789"/>
      <c r="U11" s="789"/>
      <c r="V11" s="789"/>
      <c r="W11" s="789"/>
      <c r="X11" s="789"/>
      <c r="Y11" s="789"/>
      <c r="Z11" s="789"/>
      <c r="AA11" s="789"/>
      <c r="AB11" s="789"/>
      <c r="AC11" s="789"/>
    </row>
    <row r="12" spans="1:29" s="2428" customFormat="1" ht="17.399999999999999">
      <c r="A12" s="2453"/>
      <c r="B12" s="2442"/>
      <c r="C12" s="2436"/>
      <c r="D12" s="2455"/>
      <c r="E12" s="2436"/>
      <c r="F12" s="2442"/>
      <c r="G12" s="2454"/>
      <c r="H12" s="2456"/>
      <c r="I12" s="2457"/>
      <c r="J12" s="2456"/>
      <c r="K12" s="2456"/>
      <c r="L12" s="2458"/>
      <c r="M12" s="2456"/>
      <c r="N12" s="2459"/>
      <c r="O12" s="2460"/>
      <c r="P12" s="2459"/>
      <c r="Q12" s="2459"/>
      <c r="R12" s="2426"/>
      <c r="S12" s="2427"/>
      <c r="T12" s="2427"/>
      <c r="U12" s="2427"/>
      <c r="V12" s="2427"/>
      <c r="W12" s="2427"/>
      <c r="X12" s="2427"/>
      <c r="Y12" s="2427"/>
      <c r="Z12" s="2427"/>
      <c r="AA12" s="2427"/>
      <c r="AB12" s="2427"/>
      <c r="AC12" s="2427"/>
    </row>
    <row r="13" spans="1:29" ht="15" thickBot="1">
      <c r="A13" s="2461" t="s">
        <v>2287</v>
      </c>
      <c r="B13" s="2455"/>
      <c r="C13" s="2455"/>
      <c r="D13" s="2453"/>
      <c r="E13" s="2455"/>
      <c r="F13" s="2455"/>
      <c r="G13" s="2455"/>
    </row>
    <row r="14" spans="1:29" ht="14.4" thickBot="1">
      <c r="A14" s="2465"/>
      <c r="B14" s="2465"/>
      <c r="C14" s="2466" t="s">
        <v>2270</v>
      </c>
      <c r="D14" s="2436"/>
      <c r="E14" s="2467"/>
      <c r="F14" s="2467"/>
      <c r="G14" s="2431" t="s">
        <v>2271</v>
      </c>
    </row>
    <row r="15" spans="1:29" ht="52.8">
      <c r="A15" s="2415" t="s">
        <v>2272</v>
      </c>
      <c r="B15" s="2468" t="s">
        <v>2252</v>
      </c>
      <c r="C15" s="2469" t="str">
        <f>C3</f>
        <v>估价对象周边居住用地比例、居住小区规模和社区发展完善程度，综合评价居住社区成熟度一般</v>
      </c>
      <c r="D15" s="2436"/>
      <c r="E15" s="2416" t="s">
        <v>2273</v>
      </c>
      <c r="F15" s="2468" t="s">
        <v>2274</v>
      </c>
      <c r="G15" s="2470" t="str">
        <f>G3</f>
        <v>估价对象位于XX开发区，园区建设成熟度XX，产业集聚程度XX</v>
      </c>
    </row>
    <row r="16" spans="1:29" ht="39.6">
      <c r="A16" s="2417"/>
      <c r="B16" s="2471" t="s">
        <v>2254</v>
      </c>
      <c r="C16" s="2472" t="str">
        <f>C4</f>
        <v>估价对象位于XX商圈，周边商业氛围成熟，人流量大，商业繁华度好</v>
      </c>
      <c r="D16" s="2436"/>
      <c r="E16" s="2418"/>
      <c r="F16" s="2473" t="s">
        <v>2256</v>
      </c>
      <c r="G16" s="2474" t="str">
        <f>G4</f>
        <v>估价对象周边道路状况、公共交通通达情况、停车便捷程度，综合评价交通便捷度较好</v>
      </c>
    </row>
    <row r="17" spans="1:18" ht="39.6">
      <c r="A17" s="2417"/>
      <c r="B17" s="2471" t="s">
        <v>2258</v>
      </c>
      <c r="C17" s="2472" t="str">
        <f>C5</f>
        <v>估价对象位于XX商圈，周边办公楼项目较多，入驻率高，办公集聚程度较好</v>
      </c>
      <c r="D17" s="2442"/>
      <c r="E17" s="2418"/>
      <c r="F17" s="2473" t="s">
        <v>2275</v>
      </c>
      <c r="G17" s="2475"/>
    </row>
    <row r="18" spans="1:18" ht="52.8">
      <c r="A18" s="2417"/>
      <c r="B18" s="2473" t="s">
        <v>2262</v>
      </c>
      <c r="C18" s="2474" t="str">
        <f>C6</f>
        <v>估价对象周边道路状况、公共交通通达情况、停车便捷程度，综合评价交通便捷度较好</v>
      </c>
      <c r="D18" s="2442"/>
      <c r="E18" s="2418"/>
      <c r="F18" s="2473" t="s">
        <v>2265</v>
      </c>
      <c r="G18" s="2474" t="str">
        <f>G7</f>
        <v>该园区内是否有污染型企业，绿化情况，卫生条件，整体环境状况判断</v>
      </c>
    </row>
    <row r="19" spans="1:18" ht="26.4">
      <c r="A19" s="2417"/>
      <c r="B19" s="2473" t="s">
        <v>2276</v>
      </c>
      <c r="C19" s="2475"/>
      <c r="D19" s="2436"/>
      <c r="E19" s="2418"/>
      <c r="F19" s="318" t="s">
        <v>2260</v>
      </c>
      <c r="G19" s="2474" t="str">
        <f>G5</f>
        <v>估价对象所在区域公共配套设施齐备情况</v>
      </c>
    </row>
    <row r="20" spans="1:18" ht="26.4">
      <c r="A20" s="2417"/>
      <c r="B20" s="2473" t="s">
        <v>2277</v>
      </c>
      <c r="C20" s="2472" t="str">
        <f>C9</f>
        <v>区域自然环境：；人文环境；综合评价环境状况一般</v>
      </c>
      <c r="D20" s="2442"/>
      <c r="E20" s="2418"/>
      <c r="F20" s="318" t="s">
        <v>2263</v>
      </c>
      <c r="G20" s="2474" t="str">
        <f>G6</f>
        <v>估价对象所在区域基础设施水平</v>
      </c>
    </row>
    <row r="21" spans="1:18" ht="26.4">
      <c r="A21" s="2417"/>
      <c r="B21" s="318" t="s">
        <v>2260</v>
      </c>
      <c r="C21" s="2474" t="str">
        <f>C7</f>
        <v>估价对象所在区域公共配套设施齐备情况</v>
      </c>
      <c r="D21" s="2436"/>
      <c r="E21" s="2418"/>
      <c r="F21" s="2473" t="s">
        <v>2278</v>
      </c>
      <c r="G21" s="2476"/>
    </row>
    <row r="22" spans="1:18" ht="13.5" customHeight="1">
      <c r="A22" s="2417"/>
      <c r="B22" s="318" t="s">
        <v>2263</v>
      </c>
      <c r="C22" s="2474" t="str">
        <f>C8</f>
        <v>估价对象所在区域基础设施水平</v>
      </c>
      <c r="D22" s="2436"/>
      <c r="E22" s="2418"/>
      <c r="F22" s="2473" t="s">
        <v>2269</v>
      </c>
      <c r="G22" s="2475"/>
    </row>
    <row r="23" spans="1:18" s="789" customFormat="1" ht="14.4" thickBot="1">
      <c r="A23" s="2417"/>
      <c r="B23" s="2473" t="s">
        <v>2278</v>
      </c>
      <c r="C23" s="2476"/>
      <c r="D23" s="1728"/>
      <c r="E23" s="2419"/>
      <c r="F23" s="2477" t="s">
        <v>2279</v>
      </c>
      <c r="G23" s="2478"/>
      <c r="H23" s="2462"/>
      <c r="I23" s="2463"/>
      <c r="J23" s="2462"/>
      <c r="K23" s="2462"/>
      <c r="L23" s="2463"/>
      <c r="M23" s="2462"/>
      <c r="N23" s="2462"/>
      <c r="O23" s="2463"/>
      <c r="P23" s="2462"/>
      <c r="Q23" s="2462"/>
      <c r="R23" s="2464"/>
    </row>
    <row r="24" spans="1:18" s="789" customFormat="1" ht="14.4" thickBot="1">
      <c r="A24" s="2420"/>
      <c r="B24" s="2477" t="s">
        <v>2280</v>
      </c>
      <c r="C24" s="2479">
        <f>C10</f>
        <v>0</v>
      </c>
      <c r="D24" s="1728"/>
      <c r="E24" s="2410"/>
      <c r="F24" s="2410"/>
      <c r="G24" s="2480"/>
      <c r="H24" s="2462"/>
      <c r="I24" s="2463"/>
      <c r="J24" s="2462"/>
      <c r="K24" s="2462"/>
      <c r="L24" s="2463"/>
      <c r="M24" s="2462"/>
      <c r="N24" s="2462"/>
      <c r="O24" s="2463"/>
      <c r="P24" s="2462"/>
      <c r="Q24" s="2462"/>
      <c r="R24" s="2464"/>
    </row>
    <row r="25" spans="1:18" s="789" customFormat="1">
      <c r="B25" s="2462"/>
      <c r="C25" s="2462"/>
      <c r="D25" s="2462"/>
      <c r="H25" s="2462"/>
      <c r="I25" s="2463"/>
      <c r="J25" s="2462"/>
      <c r="K25" s="2462"/>
      <c r="L25" s="2463"/>
      <c r="M25" s="2462"/>
      <c r="N25" s="2462"/>
      <c r="O25" s="2463"/>
      <c r="P25" s="2462"/>
      <c r="Q25" s="2462"/>
      <c r="R25" s="2464"/>
    </row>
    <row r="26" spans="1:18" s="789" customFormat="1">
      <c r="B26" s="2462"/>
      <c r="C26" s="2462"/>
      <c r="D26" s="2462"/>
      <c r="H26" s="2462"/>
      <c r="I26" s="2463"/>
      <c r="J26" s="2462"/>
      <c r="K26" s="2462"/>
      <c r="L26" s="2463"/>
      <c r="M26" s="2462"/>
      <c r="N26" s="2462"/>
      <c r="O26" s="2463"/>
      <c r="P26" s="2462"/>
      <c r="Q26" s="2462"/>
      <c r="R26" s="2464"/>
    </row>
    <row r="27" spans="1:18" s="789" customFormat="1">
      <c r="B27" s="2462"/>
      <c r="C27" s="2462"/>
      <c r="D27" s="2462"/>
      <c r="H27" s="2462"/>
      <c r="I27" s="2463"/>
      <c r="J27" s="2462"/>
      <c r="K27" s="2462"/>
      <c r="L27" s="2463"/>
      <c r="M27" s="2462"/>
      <c r="N27" s="2462"/>
      <c r="O27" s="2463"/>
      <c r="P27" s="2462"/>
      <c r="Q27" s="2462"/>
      <c r="R27" s="2464"/>
    </row>
    <row r="28" spans="1:18" s="789" customFormat="1">
      <c r="B28" s="2462"/>
      <c r="C28" s="2462"/>
      <c r="D28" s="2462"/>
      <c r="H28" s="2462"/>
      <c r="I28" s="2463"/>
      <c r="J28" s="2462"/>
      <c r="K28" s="2462"/>
      <c r="L28" s="2463"/>
      <c r="M28" s="2462"/>
      <c r="N28" s="2462"/>
      <c r="O28" s="2463"/>
      <c r="P28" s="2462"/>
      <c r="Q28" s="2462"/>
      <c r="R28" s="2464"/>
    </row>
    <row r="29" spans="1:18" s="789" customFormat="1">
      <c r="B29" s="2462"/>
      <c r="C29" s="2462"/>
      <c r="D29" s="2462"/>
      <c r="H29" s="2462"/>
      <c r="I29" s="2463"/>
      <c r="J29" s="2462"/>
      <c r="K29" s="2462"/>
      <c r="L29" s="2463"/>
      <c r="M29" s="2462"/>
      <c r="N29" s="2462"/>
      <c r="O29" s="2463"/>
      <c r="P29" s="2462"/>
      <c r="Q29" s="2462"/>
      <c r="R29" s="2464"/>
    </row>
    <row r="30" spans="1:18" s="789" customFormat="1">
      <c r="B30" s="2462"/>
      <c r="C30" s="2462"/>
      <c r="D30" s="2462"/>
      <c r="H30" s="2462"/>
      <c r="I30" s="2463"/>
      <c r="J30" s="2462"/>
      <c r="K30" s="2462"/>
      <c r="L30" s="2463"/>
      <c r="M30" s="2462"/>
      <c r="N30" s="2462"/>
      <c r="O30" s="2463"/>
      <c r="P30" s="2462"/>
      <c r="Q30" s="2462"/>
      <c r="R30" s="2464"/>
    </row>
    <row r="31" spans="1:18" s="789" customFormat="1">
      <c r="B31" s="2462"/>
      <c r="C31" s="2462"/>
      <c r="D31" s="2462"/>
      <c r="H31" s="2462"/>
      <c r="I31" s="2463"/>
      <c r="J31" s="2462"/>
      <c r="K31" s="2462"/>
      <c r="L31" s="2463"/>
      <c r="M31" s="2462"/>
      <c r="N31" s="2462"/>
      <c r="O31" s="2463"/>
      <c r="P31" s="2462"/>
      <c r="Q31" s="2462"/>
      <c r="R31" s="2464"/>
    </row>
    <row r="32" spans="1:18" s="789" customFormat="1">
      <c r="B32" s="2462"/>
      <c r="C32" s="2462"/>
      <c r="D32" s="2462"/>
      <c r="H32" s="2462"/>
      <c r="I32" s="2463"/>
      <c r="J32" s="2462"/>
      <c r="K32" s="2462"/>
      <c r="L32" s="2463"/>
      <c r="M32" s="2462"/>
      <c r="N32" s="2462"/>
      <c r="O32" s="2463"/>
      <c r="P32" s="2462"/>
      <c r="Q32" s="2462"/>
      <c r="R32" s="2464"/>
    </row>
    <row r="33" spans="2:18" s="789" customFormat="1">
      <c r="B33" s="2462"/>
      <c r="C33" s="2462"/>
      <c r="D33" s="2462"/>
      <c r="H33" s="2462"/>
      <c r="I33" s="2463"/>
      <c r="J33" s="2462"/>
      <c r="K33" s="2462"/>
      <c r="L33" s="2463"/>
      <c r="M33" s="2462"/>
      <c r="N33" s="2462"/>
      <c r="O33" s="2463"/>
      <c r="P33" s="2462"/>
      <c r="Q33" s="2462"/>
      <c r="R33" s="2464"/>
    </row>
    <row r="34" spans="2:18" s="789" customFormat="1">
      <c r="B34" s="2462"/>
      <c r="C34" s="2462"/>
      <c r="D34" s="2462"/>
      <c r="H34" s="2462"/>
      <c r="I34" s="2463"/>
      <c r="J34" s="2462"/>
      <c r="K34" s="2462"/>
      <c r="L34" s="2463"/>
      <c r="M34" s="2462"/>
      <c r="N34" s="2462"/>
      <c r="O34" s="2463"/>
      <c r="P34" s="2462"/>
      <c r="Q34" s="2462"/>
      <c r="R34" s="2464"/>
    </row>
    <row r="35" spans="2:18" s="789" customFormat="1">
      <c r="B35" s="2462"/>
      <c r="C35" s="2462"/>
      <c r="D35" s="2462"/>
      <c r="H35" s="2462"/>
      <c r="I35" s="2463"/>
      <c r="J35" s="2462"/>
      <c r="K35" s="2462"/>
      <c r="L35" s="2463"/>
      <c r="M35" s="2462"/>
      <c r="N35" s="2462"/>
      <c r="O35" s="2463"/>
      <c r="P35" s="2462"/>
      <c r="Q35" s="2462"/>
      <c r="R35" s="2464"/>
    </row>
    <row r="36" spans="2:18" s="789" customFormat="1">
      <c r="B36" s="2462"/>
      <c r="C36" s="2462"/>
      <c r="D36" s="2462"/>
      <c r="H36" s="2462"/>
      <c r="I36" s="2463"/>
      <c r="J36" s="2462"/>
      <c r="K36" s="2462"/>
      <c r="L36" s="2463"/>
      <c r="M36" s="2462"/>
      <c r="N36" s="2462"/>
      <c r="O36" s="2463"/>
      <c r="P36" s="2462"/>
      <c r="Q36" s="2462"/>
      <c r="R36" s="2464"/>
    </row>
    <row r="37" spans="2:18" s="789" customFormat="1">
      <c r="B37" s="2462"/>
      <c r="C37" s="2462"/>
      <c r="D37" s="2462"/>
      <c r="H37" s="2462"/>
      <c r="I37" s="2463"/>
      <c r="J37" s="2462"/>
      <c r="K37" s="2462"/>
      <c r="L37" s="2463"/>
      <c r="M37" s="2462"/>
      <c r="N37" s="2462"/>
      <c r="O37" s="2463"/>
      <c r="P37" s="2462"/>
      <c r="Q37" s="2462"/>
      <c r="R37" s="2464"/>
    </row>
    <row r="38" spans="2:18" s="789" customFormat="1">
      <c r="B38" s="2462"/>
      <c r="C38" s="2462"/>
      <c r="D38" s="2462"/>
      <c r="E38" s="2462"/>
      <c r="F38" s="2462"/>
      <c r="G38" s="2463"/>
      <c r="H38" s="2462"/>
      <c r="I38" s="2463"/>
      <c r="J38" s="2462"/>
      <c r="K38" s="2462"/>
      <c r="L38" s="2463"/>
      <c r="M38" s="2462"/>
      <c r="N38" s="2462"/>
      <c r="O38" s="2463"/>
      <c r="P38" s="2462"/>
      <c r="Q38" s="2462"/>
      <c r="R38" s="2464"/>
    </row>
    <row r="39" spans="2:18" s="789" customFormat="1">
      <c r="B39" s="2462"/>
      <c r="C39" s="2462"/>
      <c r="D39" s="2462"/>
      <c r="E39" s="2462"/>
      <c r="F39" s="2462"/>
      <c r="G39" s="2463"/>
      <c r="H39" s="2462"/>
      <c r="I39" s="2463"/>
      <c r="J39" s="2462"/>
      <c r="K39" s="2462"/>
      <c r="L39" s="2463"/>
      <c r="M39" s="2462"/>
      <c r="N39" s="2462"/>
      <c r="O39" s="2463"/>
      <c r="P39" s="2462"/>
      <c r="Q39" s="2462"/>
      <c r="R39" s="2464"/>
    </row>
    <row r="40" spans="2:18" s="789" customFormat="1">
      <c r="B40" s="2462"/>
      <c r="C40" s="2462"/>
      <c r="D40" s="2462"/>
      <c r="E40" s="2462"/>
      <c r="F40" s="2462"/>
      <c r="G40" s="2463"/>
      <c r="H40" s="2462"/>
      <c r="I40" s="2463"/>
      <c r="J40" s="2462"/>
      <c r="K40" s="2462"/>
      <c r="L40" s="2463"/>
      <c r="M40" s="2462"/>
      <c r="N40" s="2462"/>
      <c r="O40" s="2463"/>
      <c r="P40" s="2462"/>
      <c r="Q40" s="2462"/>
      <c r="R40" s="2464"/>
    </row>
    <row r="41" spans="2:18" s="789" customFormat="1">
      <c r="B41" s="2462"/>
      <c r="C41" s="2462"/>
      <c r="D41" s="2462"/>
      <c r="E41" s="2462"/>
      <c r="F41" s="2462"/>
      <c r="G41" s="2463"/>
      <c r="H41" s="2462"/>
      <c r="I41" s="2463"/>
      <c r="J41" s="2462"/>
      <c r="K41" s="2462"/>
      <c r="L41" s="2463"/>
      <c r="M41" s="2462"/>
      <c r="N41" s="2462"/>
      <c r="O41" s="2463"/>
      <c r="P41" s="2462"/>
      <c r="Q41" s="2462"/>
      <c r="R41" s="2464"/>
    </row>
    <row r="42" spans="2:18" s="789" customFormat="1">
      <c r="B42" s="2462"/>
      <c r="C42" s="2462"/>
      <c r="D42" s="2462"/>
      <c r="E42" s="2462"/>
      <c r="F42" s="2462"/>
      <c r="G42" s="2463"/>
      <c r="H42" s="2462"/>
      <c r="I42" s="2463"/>
      <c r="J42" s="2462"/>
      <c r="K42" s="2462"/>
      <c r="L42" s="2463"/>
      <c r="M42" s="2462"/>
      <c r="N42" s="2462"/>
      <c r="O42" s="2463"/>
      <c r="P42" s="2462"/>
      <c r="Q42" s="2462"/>
      <c r="R42" s="2464"/>
    </row>
    <row r="43" spans="2:18" s="789" customFormat="1">
      <c r="B43" s="2462"/>
      <c r="C43" s="2462"/>
      <c r="D43" s="2462"/>
      <c r="E43" s="2462"/>
      <c r="F43" s="2462"/>
      <c r="G43" s="2463"/>
      <c r="H43" s="2462"/>
      <c r="I43" s="2463"/>
      <c r="J43" s="2462"/>
      <c r="K43" s="2462"/>
      <c r="L43" s="2463"/>
      <c r="M43" s="2462"/>
      <c r="N43" s="2462"/>
      <c r="O43" s="2463"/>
      <c r="P43" s="2462"/>
      <c r="Q43" s="2462"/>
      <c r="R43" s="2464"/>
    </row>
    <row r="44" spans="2:18" s="789" customFormat="1">
      <c r="B44" s="2462"/>
      <c r="C44" s="2462"/>
      <c r="D44" s="2462"/>
      <c r="E44" s="2462"/>
      <c r="F44" s="2462"/>
      <c r="G44" s="2463"/>
      <c r="H44" s="2462"/>
      <c r="I44" s="2463"/>
      <c r="J44" s="2462"/>
      <c r="K44" s="2462"/>
      <c r="L44" s="2463"/>
      <c r="M44" s="2462"/>
      <c r="N44" s="2462"/>
      <c r="O44" s="2463"/>
      <c r="P44" s="2462"/>
      <c r="Q44" s="2462"/>
      <c r="R44" s="2464"/>
    </row>
    <row r="45" spans="2:18" s="789" customFormat="1">
      <c r="B45" s="2462"/>
      <c r="C45" s="2462"/>
      <c r="D45" s="2462"/>
      <c r="E45" s="2462"/>
      <c r="F45" s="2462"/>
      <c r="G45" s="2463"/>
      <c r="H45" s="2462"/>
      <c r="I45" s="2463"/>
      <c r="J45" s="2462"/>
      <c r="K45" s="2462"/>
      <c r="L45" s="2463"/>
      <c r="M45" s="2462"/>
      <c r="N45" s="2462"/>
      <c r="O45" s="2463"/>
      <c r="P45" s="2462"/>
      <c r="Q45" s="2462"/>
      <c r="R45" s="2464"/>
    </row>
    <row r="46" spans="2:18" s="789" customFormat="1">
      <c r="B46" s="2462"/>
      <c r="C46" s="2462"/>
      <c r="D46" s="2462"/>
      <c r="E46" s="2462"/>
      <c r="F46" s="2462"/>
      <c r="G46" s="2463"/>
      <c r="H46" s="2462"/>
      <c r="I46" s="2463"/>
      <c r="J46" s="2462"/>
      <c r="K46" s="2462"/>
      <c r="L46" s="2463"/>
      <c r="M46" s="2462"/>
      <c r="N46" s="2462"/>
      <c r="O46" s="2463"/>
      <c r="P46" s="2462"/>
      <c r="Q46" s="2462"/>
      <c r="R46" s="2464"/>
    </row>
    <row r="47" spans="2:18" s="789" customFormat="1">
      <c r="B47" s="2462"/>
      <c r="C47" s="2462"/>
      <c r="D47" s="2462"/>
      <c r="E47" s="2462"/>
      <c r="F47" s="2462"/>
      <c r="G47" s="2463"/>
      <c r="H47" s="2462"/>
      <c r="I47" s="2463"/>
      <c r="J47" s="2462"/>
      <c r="K47" s="2462"/>
      <c r="L47" s="2463"/>
      <c r="M47" s="2462"/>
      <c r="N47" s="2462"/>
      <c r="O47" s="2463"/>
      <c r="P47" s="2462"/>
      <c r="Q47" s="2462"/>
      <c r="R47" s="2464"/>
    </row>
    <row r="48" spans="2:18" s="789" customFormat="1">
      <c r="B48" s="2462"/>
      <c r="C48" s="2462"/>
      <c r="D48" s="2462"/>
      <c r="E48" s="2462"/>
      <c r="F48" s="2462"/>
      <c r="G48" s="2463"/>
      <c r="H48" s="2462"/>
      <c r="I48" s="2463"/>
      <c r="J48" s="2462"/>
      <c r="K48" s="2462"/>
      <c r="L48" s="2463"/>
      <c r="M48" s="2462"/>
      <c r="N48" s="2462"/>
      <c r="O48" s="2463"/>
      <c r="P48" s="2462"/>
      <c r="Q48" s="2462"/>
      <c r="R48" s="2464"/>
    </row>
    <row r="49" spans="2:18" s="789" customFormat="1">
      <c r="B49" s="2462"/>
      <c r="C49" s="2462"/>
      <c r="D49" s="2462"/>
      <c r="E49" s="2462"/>
      <c r="F49" s="2462"/>
      <c r="G49" s="2463"/>
      <c r="H49" s="2462"/>
      <c r="I49" s="2463"/>
      <c r="J49" s="2462"/>
      <c r="K49" s="2462"/>
      <c r="L49" s="2463"/>
      <c r="M49" s="2462"/>
      <c r="N49" s="2462"/>
      <c r="O49" s="2463"/>
      <c r="P49" s="2462"/>
      <c r="Q49" s="2462"/>
      <c r="R49" s="2464"/>
    </row>
    <row r="50" spans="2:18" s="789" customFormat="1">
      <c r="B50" s="2462"/>
      <c r="C50" s="2462"/>
      <c r="D50" s="2462"/>
      <c r="E50" s="2462"/>
      <c r="F50" s="2462"/>
      <c r="G50" s="2463"/>
      <c r="H50" s="2462"/>
      <c r="I50" s="2463"/>
      <c r="J50" s="2462"/>
      <c r="K50" s="2462"/>
      <c r="L50" s="2463"/>
      <c r="M50" s="2462"/>
      <c r="N50" s="2462"/>
      <c r="O50" s="2463"/>
      <c r="P50" s="2462"/>
      <c r="Q50" s="2462"/>
      <c r="R50" s="2464"/>
    </row>
    <row r="51" spans="2:18" s="789" customFormat="1">
      <c r="B51" s="2462"/>
      <c r="C51" s="2462"/>
      <c r="D51" s="2462"/>
      <c r="E51" s="2462"/>
      <c r="F51" s="2462"/>
      <c r="G51" s="2463"/>
      <c r="H51" s="2462"/>
      <c r="I51" s="2463"/>
      <c r="J51" s="2462"/>
      <c r="K51" s="2462"/>
      <c r="L51" s="2463"/>
      <c r="M51" s="2462"/>
      <c r="N51" s="2462"/>
      <c r="O51" s="2463"/>
      <c r="P51" s="2462"/>
      <c r="Q51" s="2462"/>
      <c r="R51" s="2464"/>
    </row>
    <row r="52" spans="2:18" s="789" customFormat="1">
      <c r="B52" s="2462"/>
      <c r="C52" s="2462"/>
      <c r="D52" s="2462"/>
      <c r="E52" s="2462"/>
      <c r="F52" s="2462"/>
      <c r="G52" s="2463"/>
      <c r="H52" s="2462"/>
      <c r="I52" s="2463"/>
      <c r="J52" s="2462"/>
      <c r="K52" s="2462"/>
      <c r="L52" s="2463"/>
      <c r="M52" s="2462"/>
      <c r="N52" s="2462"/>
      <c r="O52" s="2463"/>
      <c r="P52" s="2462"/>
      <c r="Q52" s="2462"/>
      <c r="R52" s="2464"/>
    </row>
    <row r="53" spans="2:18" s="789" customFormat="1">
      <c r="B53" s="2462"/>
      <c r="C53" s="2462"/>
      <c r="D53" s="2462"/>
      <c r="E53" s="2462"/>
      <c r="F53" s="2462"/>
      <c r="G53" s="2463"/>
      <c r="H53" s="2462"/>
      <c r="I53" s="2463"/>
      <c r="J53" s="2462"/>
      <c r="K53" s="2462"/>
      <c r="L53" s="2463"/>
      <c r="M53" s="2462"/>
      <c r="N53" s="2462"/>
      <c r="O53" s="2463"/>
      <c r="P53" s="2462"/>
      <c r="Q53" s="2462"/>
      <c r="R53" s="2464"/>
    </row>
    <row r="54" spans="2:18" s="789" customFormat="1">
      <c r="B54" s="2462"/>
      <c r="C54" s="2462"/>
      <c r="D54" s="2462"/>
      <c r="E54" s="2462"/>
      <c r="F54" s="2462"/>
      <c r="G54" s="2463"/>
      <c r="H54" s="2462"/>
      <c r="I54" s="2463"/>
      <c r="J54" s="2462"/>
      <c r="K54" s="2462"/>
      <c r="L54" s="2463"/>
      <c r="M54" s="2462"/>
      <c r="N54" s="2462"/>
      <c r="O54" s="2463"/>
      <c r="P54" s="2462"/>
      <c r="Q54" s="2462"/>
      <c r="R54" s="2464"/>
    </row>
    <row r="55" spans="2:18" s="789" customFormat="1">
      <c r="B55" s="2462"/>
      <c r="C55" s="2462"/>
      <c r="D55" s="2462"/>
      <c r="E55" s="2462"/>
      <c r="F55" s="2462"/>
      <c r="G55" s="2463"/>
      <c r="H55" s="2462"/>
      <c r="I55" s="2463"/>
      <c r="J55" s="2462"/>
      <c r="K55" s="2462"/>
      <c r="L55" s="2463"/>
      <c r="M55" s="2462"/>
      <c r="N55" s="2462"/>
      <c r="O55" s="2463"/>
      <c r="P55" s="2462"/>
      <c r="Q55" s="2462"/>
      <c r="R55" s="2464"/>
    </row>
    <row r="56" spans="2:18" s="789" customFormat="1">
      <c r="B56" s="2462"/>
      <c r="C56" s="2462"/>
      <c r="D56" s="2462"/>
      <c r="E56" s="2462"/>
      <c r="F56" s="2462"/>
      <c r="G56" s="2463"/>
      <c r="H56" s="2462"/>
      <c r="I56" s="2463"/>
      <c r="J56" s="2462"/>
      <c r="K56" s="2462"/>
      <c r="L56" s="2463"/>
      <c r="M56" s="2462"/>
      <c r="N56" s="2462"/>
      <c r="O56" s="2463"/>
      <c r="P56" s="2462"/>
      <c r="Q56" s="2462"/>
      <c r="R56" s="2464"/>
    </row>
    <row r="57" spans="2:18" s="789" customFormat="1">
      <c r="B57" s="2462"/>
      <c r="C57" s="2462"/>
      <c r="D57" s="2462"/>
      <c r="E57" s="2462"/>
      <c r="F57" s="2462"/>
      <c r="G57" s="2463"/>
      <c r="H57" s="2462"/>
      <c r="I57" s="2463"/>
      <c r="J57" s="2462"/>
      <c r="K57" s="2462"/>
      <c r="L57" s="2463"/>
      <c r="M57" s="2462"/>
      <c r="N57" s="2462"/>
      <c r="O57" s="2463"/>
      <c r="P57" s="2462"/>
      <c r="Q57" s="2462"/>
      <c r="R57" s="2464"/>
    </row>
    <row r="58" spans="2:18" s="789" customFormat="1">
      <c r="B58" s="2462"/>
      <c r="C58" s="2462"/>
      <c r="D58" s="2462"/>
      <c r="E58" s="2462"/>
      <c r="F58" s="2462"/>
      <c r="G58" s="2463"/>
      <c r="H58" s="2462"/>
      <c r="I58" s="2463"/>
      <c r="J58" s="2462"/>
      <c r="K58" s="2462"/>
      <c r="L58" s="2463"/>
      <c r="M58" s="2462"/>
      <c r="N58" s="2462"/>
      <c r="O58" s="2463"/>
      <c r="P58" s="2462"/>
      <c r="Q58" s="2462"/>
      <c r="R58" s="2464"/>
    </row>
    <row r="59" spans="2:18" s="789" customFormat="1">
      <c r="B59" s="2462"/>
      <c r="C59" s="2462"/>
      <c r="D59" s="2462"/>
      <c r="E59" s="2462"/>
      <c r="F59" s="2462"/>
      <c r="G59" s="2463"/>
      <c r="H59" s="2462"/>
      <c r="I59" s="2463"/>
      <c r="J59" s="2462"/>
      <c r="K59" s="2462"/>
      <c r="L59" s="2463"/>
      <c r="M59" s="2462"/>
      <c r="N59" s="2462"/>
      <c r="O59" s="2463"/>
      <c r="P59" s="2462"/>
      <c r="Q59" s="2462"/>
      <c r="R59" s="2464"/>
    </row>
    <row r="60" spans="2:18" s="789" customFormat="1">
      <c r="B60" s="2462"/>
      <c r="C60" s="2462"/>
      <c r="D60" s="2462"/>
      <c r="E60" s="2462"/>
      <c r="F60" s="2462"/>
      <c r="G60" s="2463"/>
      <c r="H60" s="2462"/>
      <c r="I60" s="2463"/>
      <c r="J60" s="2462"/>
      <c r="K60" s="2462"/>
      <c r="L60" s="2463"/>
      <c r="M60" s="2462"/>
      <c r="N60" s="2462"/>
      <c r="O60" s="2463"/>
      <c r="P60" s="2462"/>
      <c r="Q60" s="2462"/>
      <c r="R60" s="2464"/>
    </row>
    <row r="61" spans="2:18" s="789" customFormat="1">
      <c r="B61" s="2462"/>
      <c r="C61" s="2462"/>
      <c r="D61" s="2462"/>
      <c r="E61" s="2462"/>
      <c r="F61" s="2462"/>
      <c r="G61" s="2463"/>
      <c r="H61" s="2462"/>
      <c r="I61" s="2463"/>
      <c r="J61" s="2462"/>
      <c r="K61" s="2462"/>
      <c r="L61" s="2463"/>
      <c r="M61" s="2462"/>
      <c r="N61" s="2462"/>
      <c r="O61" s="2463"/>
      <c r="P61" s="2462"/>
      <c r="Q61" s="2462"/>
      <c r="R61" s="2464"/>
    </row>
    <row r="62" spans="2:18" s="789" customFormat="1">
      <c r="B62" s="2462"/>
      <c r="C62" s="2462"/>
      <c r="D62" s="2462"/>
      <c r="E62" s="2462"/>
      <c r="F62" s="2462"/>
      <c r="G62" s="2463"/>
      <c r="H62" s="2462"/>
      <c r="I62" s="2463"/>
      <c r="J62" s="2462"/>
      <c r="K62" s="2462"/>
      <c r="L62" s="2463"/>
      <c r="M62" s="2462"/>
      <c r="N62" s="2462"/>
      <c r="O62" s="2463"/>
      <c r="P62" s="2462"/>
      <c r="Q62" s="2462"/>
      <c r="R62" s="2464"/>
    </row>
    <row r="63" spans="2:18" s="789" customFormat="1">
      <c r="B63" s="2462"/>
      <c r="C63" s="2462"/>
      <c r="D63" s="2462"/>
      <c r="E63" s="2462"/>
      <c r="F63" s="2462"/>
      <c r="G63" s="2463"/>
      <c r="H63" s="2462"/>
      <c r="I63" s="2463"/>
      <c r="J63" s="2462"/>
      <c r="K63" s="2462"/>
      <c r="L63" s="2463"/>
      <c r="M63" s="2462"/>
      <c r="N63" s="2462"/>
      <c r="O63" s="2463"/>
      <c r="P63" s="2462"/>
      <c r="Q63" s="2462"/>
      <c r="R63" s="2464"/>
    </row>
    <row r="64" spans="2:18" s="789" customFormat="1">
      <c r="B64" s="2462"/>
      <c r="C64" s="2462"/>
      <c r="D64" s="2462"/>
      <c r="E64" s="2462"/>
      <c r="F64" s="2462"/>
      <c r="G64" s="2463"/>
      <c r="H64" s="2462"/>
      <c r="I64" s="2463"/>
      <c r="J64" s="2462"/>
      <c r="K64" s="2462"/>
      <c r="L64" s="2463"/>
      <c r="M64" s="2462"/>
      <c r="N64" s="2462"/>
      <c r="O64" s="2463"/>
      <c r="P64" s="2462"/>
      <c r="Q64" s="2462"/>
      <c r="R64" s="2464"/>
    </row>
    <row r="65" spans="2:18" s="789" customFormat="1">
      <c r="B65" s="2462"/>
      <c r="C65" s="2462"/>
      <c r="D65" s="2462"/>
      <c r="E65" s="2462"/>
      <c r="F65" s="2462"/>
      <c r="G65" s="2463"/>
      <c r="H65" s="2462"/>
      <c r="I65" s="2463"/>
      <c r="J65" s="2462"/>
      <c r="K65" s="2462"/>
      <c r="L65" s="2463"/>
      <c r="M65" s="2462"/>
      <c r="N65" s="2462"/>
      <c r="O65" s="2463"/>
      <c r="P65" s="2462"/>
      <c r="Q65" s="2462"/>
      <c r="R65" s="2464"/>
    </row>
    <row r="66" spans="2:18" s="789" customFormat="1">
      <c r="B66" s="2462"/>
      <c r="C66" s="2462"/>
      <c r="D66" s="2462"/>
      <c r="E66" s="2462"/>
      <c r="F66" s="2462"/>
      <c r="G66" s="2463"/>
      <c r="H66" s="2462"/>
      <c r="I66" s="2463"/>
      <c r="J66" s="2462"/>
      <c r="K66" s="2462"/>
      <c r="L66" s="2463"/>
      <c r="M66" s="2462"/>
      <c r="N66" s="2462"/>
      <c r="O66" s="2463"/>
      <c r="P66" s="2462"/>
      <c r="Q66" s="2462"/>
      <c r="R66" s="2464"/>
    </row>
    <row r="67" spans="2:18" s="789" customFormat="1">
      <c r="B67" s="2462"/>
      <c r="C67" s="2462"/>
      <c r="D67" s="2462"/>
      <c r="E67" s="2462"/>
      <c r="F67" s="2462"/>
      <c r="G67" s="2463"/>
      <c r="H67" s="2462"/>
      <c r="I67" s="2463"/>
      <c r="J67" s="2462"/>
      <c r="K67" s="2462"/>
      <c r="L67" s="2463"/>
      <c r="M67" s="2462"/>
      <c r="N67" s="2462"/>
      <c r="O67" s="2463"/>
      <c r="P67" s="2462"/>
      <c r="Q67" s="2462"/>
      <c r="R67" s="2464"/>
    </row>
    <row r="68" spans="2:18" s="789" customFormat="1">
      <c r="B68" s="2462"/>
      <c r="C68" s="2462"/>
      <c r="D68" s="2462"/>
      <c r="E68" s="2462"/>
      <c r="F68" s="2462"/>
      <c r="G68" s="2463"/>
      <c r="H68" s="2462"/>
      <c r="I68" s="2463"/>
      <c r="J68" s="2462"/>
      <c r="K68" s="2462"/>
      <c r="L68" s="2463"/>
      <c r="M68" s="2462"/>
      <c r="N68" s="2462"/>
      <c r="O68" s="2463"/>
      <c r="P68" s="2462"/>
      <c r="Q68" s="2462"/>
      <c r="R68" s="2464"/>
    </row>
    <row r="69" spans="2:18" s="789" customFormat="1">
      <c r="B69" s="2462"/>
      <c r="C69" s="2462"/>
      <c r="D69" s="2462"/>
      <c r="E69" s="2462"/>
      <c r="F69" s="2462"/>
      <c r="G69" s="2463"/>
      <c r="H69" s="2462"/>
      <c r="I69" s="2463"/>
      <c r="J69" s="2462"/>
      <c r="K69" s="2462"/>
      <c r="L69" s="2463"/>
      <c r="M69" s="2462"/>
      <c r="N69" s="2462"/>
      <c r="O69" s="2463"/>
      <c r="P69" s="2462"/>
      <c r="Q69" s="2462"/>
      <c r="R69" s="2464"/>
    </row>
    <row r="70" spans="2:18" s="789" customFormat="1">
      <c r="B70" s="2462"/>
      <c r="C70" s="2462"/>
      <c r="D70" s="2462"/>
      <c r="E70" s="2462"/>
      <c r="F70" s="2462"/>
      <c r="G70" s="2463"/>
      <c r="H70" s="2462"/>
      <c r="I70" s="2463"/>
      <c r="J70" s="2462"/>
      <c r="K70" s="2462"/>
      <c r="L70" s="2463"/>
      <c r="M70" s="2462"/>
      <c r="N70" s="2462"/>
      <c r="O70" s="2463"/>
      <c r="P70" s="2462"/>
      <c r="Q70" s="2462"/>
      <c r="R70" s="2464"/>
    </row>
    <row r="71" spans="2:18" s="789" customFormat="1">
      <c r="B71" s="2462"/>
      <c r="C71" s="2462"/>
      <c r="D71" s="2462"/>
      <c r="E71" s="2462"/>
      <c r="F71" s="2462"/>
      <c r="G71" s="2463"/>
      <c r="H71" s="2462"/>
      <c r="I71" s="2463"/>
      <c r="J71" s="2462"/>
      <c r="K71" s="2462"/>
      <c r="L71" s="2463"/>
      <c r="M71" s="2462"/>
      <c r="N71" s="2462"/>
      <c r="O71" s="2463"/>
      <c r="P71" s="2462"/>
      <c r="Q71" s="2462"/>
      <c r="R71" s="2464"/>
    </row>
    <row r="72" spans="2:18" s="789" customFormat="1">
      <c r="B72" s="2462"/>
      <c r="C72" s="2462"/>
      <c r="D72" s="2462"/>
      <c r="E72" s="2462"/>
      <c r="F72" s="2462"/>
      <c r="G72" s="2463"/>
      <c r="H72" s="2462"/>
      <c r="I72" s="2463"/>
      <c r="J72" s="2462"/>
      <c r="K72" s="2462"/>
      <c r="L72" s="2463"/>
      <c r="M72" s="2462"/>
      <c r="N72" s="2462"/>
      <c r="O72" s="2463"/>
      <c r="P72" s="2462"/>
      <c r="Q72" s="2462"/>
      <c r="R72" s="2464"/>
    </row>
    <row r="73" spans="2:18" s="789" customFormat="1">
      <c r="B73" s="2462"/>
      <c r="C73" s="2462"/>
      <c r="D73" s="2462"/>
      <c r="E73" s="2462"/>
      <c r="F73" s="2462"/>
      <c r="G73" s="2463"/>
      <c r="H73" s="2462"/>
      <c r="I73" s="2463"/>
      <c r="J73" s="2462"/>
      <c r="K73" s="2462"/>
      <c r="L73" s="2463"/>
      <c r="M73" s="2462"/>
      <c r="N73" s="2462"/>
      <c r="O73" s="2463"/>
      <c r="P73" s="2462"/>
      <c r="Q73" s="2462"/>
      <c r="R73" s="2464"/>
    </row>
    <row r="74" spans="2:18" s="789" customFormat="1">
      <c r="B74" s="2462"/>
      <c r="C74" s="2462"/>
      <c r="D74" s="2462"/>
      <c r="E74" s="2462"/>
      <c r="F74" s="2462"/>
      <c r="G74" s="2463"/>
      <c r="H74" s="2462"/>
      <c r="I74" s="2463"/>
      <c r="J74" s="2462"/>
      <c r="K74" s="2462"/>
      <c r="L74" s="2463"/>
      <c r="M74" s="2462"/>
      <c r="N74" s="2462"/>
      <c r="O74" s="2463"/>
      <c r="P74" s="2462"/>
      <c r="Q74" s="2462"/>
      <c r="R74" s="2464"/>
    </row>
    <row r="75" spans="2:18" s="789" customFormat="1">
      <c r="B75" s="2462"/>
      <c r="C75" s="2462"/>
      <c r="D75" s="2462"/>
      <c r="E75" s="2462"/>
      <c r="F75" s="2462"/>
      <c r="G75" s="2463"/>
      <c r="H75" s="2462"/>
      <c r="I75" s="2463"/>
      <c r="J75" s="2462"/>
      <c r="K75" s="2462"/>
      <c r="L75" s="2463"/>
      <c r="M75" s="2462"/>
      <c r="N75" s="2462"/>
      <c r="O75" s="2463"/>
      <c r="P75" s="2462"/>
      <c r="Q75" s="2462"/>
      <c r="R75" s="2464"/>
    </row>
    <row r="76" spans="2:18" s="789" customFormat="1">
      <c r="B76" s="2462"/>
      <c r="C76" s="2462"/>
      <c r="D76" s="2462"/>
      <c r="E76" s="2462"/>
      <c r="F76" s="2462"/>
      <c r="G76" s="2463"/>
      <c r="H76" s="2462"/>
      <c r="I76" s="2463"/>
      <c r="J76" s="2462"/>
      <c r="K76" s="2462"/>
      <c r="L76" s="2463"/>
      <c r="M76" s="2462"/>
      <c r="N76" s="2462"/>
      <c r="O76" s="2463"/>
      <c r="P76" s="2462"/>
      <c r="Q76" s="2462"/>
      <c r="R76" s="2464"/>
    </row>
    <row r="77" spans="2:18" s="789" customFormat="1">
      <c r="B77" s="2462"/>
      <c r="C77" s="2462"/>
      <c r="D77" s="2462"/>
      <c r="E77" s="2462"/>
      <c r="F77" s="2462"/>
      <c r="G77" s="2463"/>
      <c r="H77" s="2462"/>
      <c r="I77" s="2463"/>
      <c r="J77" s="2462"/>
      <c r="K77" s="2462"/>
      <c r="L77" s="2463"/>
      <c r="M77" s="2462"/>
      <c r="N77" s="2462"/>
      <c r="O77" s="2463"/>
      <c r="P77" s="2462"/>
      <c r="Q77" s="2462"/>
      <c r="R77" s="2464"/>
    </row>
    <row r="78" spans="2:18" s="789" customFormat="1">
      <c r="B78" s="2462"/>
      <c r="C78" s="2462"/>
      <c r="D78" s="2462"/>
      <c r="E78" s="2462"/>
      <c r="F78" s="2462"/>
      <c r="G78" s="2463"/>
      <c r="H78" s="2462"/>
      <c r="I78" s="2463"/>
      <c r="J78" s="2462"/>
      <c r="K78" s="2462"/>
      <c r="L78" s="2463"/>
      <c r="M78" s="2462"/>
      <c r="N78" s="2462"/>
      <c r="O78" s="2463"/>
      <c r="P78" s="2462"/>
      <c r="Q78" s="2462"/>
      <c r="R78" s="2464"/>
    </row>
    <row r="79" spans="2:18" s="789" customFormat="1">
      <c r="B79" s="2462"/>
      <c r="C79" s="2462"/>
      <c r="D79" s="2462"/>
      <c r="E79" s="2462"/>
      <c r="F79" s="2462"/>
      <c r="G79" s="2463"/>
      <c r="H79" s="2462"/>
      <c r="I79" s="2463"/>
      <c r="J79" s="2462"/>
      <c r="K79" s="2462"/>
      <c r="L79" s="2463"/>
      <c r="M79" s="2462"/>
      <c r="N79" s="2462"/>
      <c r="O79" s="2463"/>
      <c r="P79" s="2462"/>
      <c r="Q79" s="2462"/>
      <c r="R79" s="2464"/>
    </row>
    <row r="80" spans="2:18" s="789" customFormat="1">
      <c r="B80" s="2462"/>
      <c r="C80" s="2462"/>
      <c r="D80" s="2462"/>
      <c r="E80" s="2462"/>
      <c r="F80" s="2462"/>
      <c r="G80" s="2463"/>
      <c r="H80" s="2462"/>
      <c r="I80" s="2463"/>
      <c r="J80" s="2462"/>
      <c r="K80" s="2462"/>
      <c r="L80" s="2463"/>
      <c r="M80" s="2462"/>
      <c r="N80" s="2462"/>
      <c r="O80" s="2463"/>
      <c r="P80" s="2462"/>
      <c r="Q80" s="2462"/>
      <c r="R80" s="2464"/>
    </row>
    <row r="81" spans="2:18" s="789" customFormat="1">
      <c r="B81" s="2462"/>
      <c r="C81" s="2462"/>
      <c r="D81" s="2462"/>
      <c r="E81" s="2462"/>
      <c r="F81" s="2462"/>
      <c r="G81" s="2463"/>
      <c r="H81" s="2462"/>
      <c r="I81" s="2463"/>
      <c r="J81" s="2462"/>
      <c r="K81" s="2462"/>
      <c r="L81" s="2463"/>
      <c r="M81" s="2462"/>
      <c r="N81" s="2462"/>
      <c r="O81" s="2463"/>
      <c r="P81" s="2462"/>
      <c r="Q81" s="2462"/>
      <c r="R81" s="2464"/>
    </row>
    <row r="82" spans="2:18" s="789" customFormat="1">
      <c r="B82" s="2462"/>
      <c r="C82" s="2462"/>
      <c r="D82" s="2462"/>
      <c r="E82" s="2462"/>
      <c r="F82" s="2462"/>
      <c r="G82" s="2463"/>
      <c r="H82" s="2462"/>
      <c r="I82" s="2463"/>
      <c r="J82" s="2462"/>
      <c r="K82" s="2462"/>
      <c r="L82" s="2463"/>
      <c r="M82" s="2462"/>
      <c r="N82" s="2462"/>
      <c r="O82" s="2463"/>
      <c r="P82" s="2462"/>
      <c r="Q82" s="2462"/>
      <c r="R82" s="2464"/>
    </row>
    <row r="83" spans="2:18" s="789" customFormat="1">
      <c r="B83" s="2462"/>
      <c r="C83" s="2462"/>
      <c r="D83" s="2462"/>
      <c r="E83" s="2462"/>
      <c r="F83" s="2462"/>
      <c r="G83" s="2463"/>
      <c r="H83" s="2462"/>
      <c r="I83" s="2463"/>
      <c r="J83" s="2462"/>
      <c r="K83" s="2462"/>
      <c r="L83" s="2463"/>
      <c r="M83" s="2462"/>
      <c r="N83" s="2462"/>
      <c r="O83" s="2463"/>
      <c r="P83" s="2462"/>
      <c r="Q83" s="2462"/>
      <c r="R83" s="2464"/>
    </row>
    <row r="84" spans="2:18" s="789" customFormat="1">
      <c r="B84" s="2462"/>
      <c r="C84" s="2462"/>
      <c r="D84" s="2462"/>
      <c r="E84" s="2462"/>
      <c r="F84" s="2462"/>
      <c r="G84" s="2463"/>
      <c r="H84" s="2462"/>
      <c r="I84" s="2463"/>
      <c r="J84" s="2462"/>
      <c r="K84" s="2462"/>
      <c r="L84" s="2463"/>
      <c r="M84" s="2462"/>
      <c r="N84" s="2462"/>
      <c r="O84" s="2463"/>
      <c r="P84" s="2462"/>
      <c r="Q84" s="2462"/>
      <c r="R84" s="2464"/>
    </row>
    <row r="85" spans="2:18" s="789" customFormat="1">
      <c r="B85" s="2462"/>
      <c r="C85" s="2462"/>
      <c r="D85" s="2462"/>
      <c r="E85" s="2462"/>
      <c r="F85" s="2462"/>
      <c r="G85" s="2463"/>
      <c r="H85" s="2462"/>
      <c r="I85" s="2463"/>
      <c r="J85" s="2462"/>
      <c r="K85" s="2462"/>
      <c r="L85" s="2463"/>
      <c r="M85" s="2462"/>
      <c r="N85" s="2462"/>
      <c r="O85" s="2463"/>
      <c r="P85" s="2462"/>
      <c r="Q85" s="2462"/>
      <c r="R85" s="2464"/>
    </row>
    <row r="86" spans="2:18" s="789" customFormat="1">
      <c r="B86" s="2462"/>
      <c r="C86" s="2462"/>
      <c r="D86" s="2462"/>
      <c r="E86" s="2462"/>
      <c r="F86" s="2462"/>
      <c r="G86" s="2463"/>
      <c r="H86" s="2462"/>
      <c r="I86" s="2463"/>
      <c r="J86" s="2462"/>
      <c r="K86" s="2462"/>
      <c r="L86" s="2463"/>
      <c r="M86" s="2462"/>
      <c r="N86" s="2462"/>
      <c r="O86" s="2463"/>
      <c r="P86" s="2462"/>
      <c r="Q86" s="2462"/>
      <c r="R86" s="2464"/>
    </row>
    <row r="87" spans="2:18" s="789" customFormat="1">
      <c r="B87" s="2462"/>
      <c r="C87" s="2462"/>
      <c r="D87" s="2462"/>
      <c r="E87" s="2462"/>
      <c r="F87" s="2462"/>
      <c r="G87" s="2463"/>
      <c r="H87" s="2462"/>
      <c r="I87" s="2463"/>
      <c r="J87" s="2462"/>
      <c r="K87" s="2462"/>
      <c r="L87" s="2463"/>
      <c r="M87" s="2462"/>
      <c r="N87" s="2462"/>
      <c r="O87" s="2463"/>
      <c r="P87" s="2462"/>
      <c r="Q87" s="2462"/>
      <c r="R87" s="2464"/>
    </row>
    <row r="88" spans="2:18" s="789" customFormat="1">
      <c r="B88" s="2462"/>
      <c r="C88" s="2462"/>
      <c r="D88" s="2462"/>
      <c r="E88" s="2462"/>
      <c r="F88" s="2462"/>
      <c r="G88" s="2463"/>
      <c r="H88" s="2462"/>
      <c r="I88" s="2463"/>
      <c r="J88" s="2462"/>
      <c r="K88" s="2462"/>
      <c r="L88" s="2463"/>
      <c r="M88" s="2462"/>
      <c r="N88" s="2462"/>
      <c r="O88" s="2463"/>
      <c r="P88" s="2462"/>
      <c r="Q88" s="2462"/>
      <c r="R88" s="2464"/>
    </row>
    <row r="89" spans="2:18" s="789" customFormat="1">
      <c r="B89" s="2462"/>
      <c r="C89" s="2462"/>
      <c r="D89" s="2462"/>
      <c r="E89" s="2462"/>
      <c r="F89" s="2462"/>
      <c r="G89" s="2463"/>
      <c r="H89" s="2462"/>
      <c r="I89" s="2463"/>
      <c r="J89" s="2462"/>
      <c r="K89" s="2462"/>
      <c r="L89" s="2463"/>
      <c r="M89" s="2462"/>
      <c r="N89" s="2462"/>
      <c r="O89" s="2463"/>
      <c r="P89" s="2462"/>
      <c r="Q89" s="2462"/>
      <c r="R89" s="2464"/>
    </row>
    <row r="90" spans="2:18" s="789" customFormat="1">
      <c r="B90" s="2462"/>
      <c r="C90" s="2462"/>
      <c r="D90" s="2462"/>
      <c r="E90" s="2462"/>
      <c r="F90" s="2462"/>
      <c r="G90" s="2463"/>
      <c r="H90" s="2462"/>
      <c r="I90" s="2463"/>
      <c r="J90" s="2462"/>
      <c r="K90" s="2462"/>
      <c r="L90" s="2463"/>
      <c r="M90" s="2462"/>
      <c r="N90" s="2462"/>
      <c r="O90" s="2463"/>
      <c r="P90" s="2462"/>
      <c r="Q90" s="2462"/>
      <c r="R90" s="2464"/>
    </row>
    <row r="91" spans="2:18" s="789" customFormat="1">
      <c r="B91" s="2462"/>
      <c r="C91" s="2462"/>
      <c r="D91" s="2462"/>
      <c r="E91" s="2462"/>
      <c r="F91" s="2462"/>
      <c r="G91" s="2463"/>
      <c r="H91" s="2462"/>
      <c r="I91" s="2463"/>
      <c r="J91" s="2462"/>
      <c r="K91" s="2462"/>
      <c r="L91" s="2463"/>
      <c r="M91" s="2462"/>
      <c r="N91" s="2462"/>
      <c r="O91" s="2463"/>
      <c r="P91" s="2462"/>
      <c r="Q91" s="2462"/>
      <c r="R91" s="2464"/>
    </row>
    <row r="92" spans="2:18" s="789" customFormat="1">
      <c r="B92" s="2462"/>
      <c r="C92" s="2462"/>
      <c r="D92" s="2462"/>
      <c r="E92" s="2462"/>
      <c r="F92" s="2462"/>
      <c r="G92" s="2463"/>
      <c r="H92" s="2462"/>
      <c r="I92" s="2463"/>
      <c r="J92" s="2462"/>
      <c r="K92" s="2462"/>
      <c r="L92" s="2463"/>
      <c r="M92" s="2462"/>
      <c r="N92" s="2462"/>
      <c r="O92" s="2463"/>
      <c r="P92" s="2462"/>
      <c r="Q92" s="2462"/>
      <c r="R92" s="2464"/>
    </row>
    <row r="93" spans="2:18" s="789" customFormat="1">
      <c r="B93" s="2462"/>
      <c r="C93" s="2462"/>
      <c r="D93" s="2462"/>
      <c r="E93" s="2462"/>
      <c r="F93" s="2462"/>
      <c r="G93" s="2463"/>
      <c r="H93" s="2462"/>
      <c r="I93" s="2463"/>
      <c r="J93" s="2462"/>
      <c r="K93" s="2462"/>
      <c r="L93" s="2463"/>
      <c r="M93" s="2462"/>
      <c r="N93" s="2462"/>
      <c r="O93" s="2463"/>
      <c r="P93" s="2462"/>
      <c r="Q93" s="2462"/>
      <c r="R93" s="2464"/>
    </row>
    <row r="94" spans="2:18" s="789" customFormat="1">
      <c r="B94" s="2462"/>
      <c r="C94" s="2462"/>
      <c r="D94" s="2462"/>
      <c r="E94" s="2462"/>
      <c r="F94" s="2462"/>
      <c r="G94" s="2463"/>
      <c r="H94" s="2462"/>
      <c r="I94" s="2463"/>
      <c r="J94" s="2462"/>
      <c r="K94" s="2462"/>
      <c r="L94" s="2463"/>
      <c r="M94" s="2462"/>
      <c r="N94" s="2462"/>
      <c r="O94" s="2463"/>
      <c r="P94" s="2462"/>
      <c r="Q94" s="2462"/>
      <c r="R94" s="2464"/>
    </row>
    <row r="95" spans="2:18" s="789" customFormat="1">
      <c r="B95" s="2462"/>
      <c r="C95" s="2462"/>
      <c r="D95" s="2462"/>
      <c r="E95" s="2462"/>
      <c r="F95" s="2462"/>
      <c r="G95" s="2463"/>
      <c r="H95" s="2462"/>
      <c r="I95" s="2463"/>
      <c r="J95" s="2462"/>
      <c r="K95" s="2462"/>
      <c r="L95" s="2463"/>
      <c r="M95" s="2462"/>
      <c r="N95" s="2462"/>
      <c r="O95" s="2463"/>
      <c r="P95" s="2462"/>
      <c r="Q95" s="2462"/>
      <c r="R95" s="2464"/>
    </row>
    <row r="96" spans="2:18" s="789" customFormat="1">
      <c r="B96" s="2462"/>
      <c r="C96" s="2462"/>
      <c r="D96" s="2462"/>
      <c r="E96" s="2462"/>
      <c r="F96" s="2462"/>
      <c r="G96" s="2463"/>
      <c r="H96" s="2462"/>
      <c r="I96" s="2463"/>
      <c r="J96" s="2462"/>
      <c r="K96" s="2462"/>
      <c r="L96" s="2463"/>
      <c r="M96" s="2462"/>
      <c r="N96" s="2462"/>
      <c r="O96" s="2463"/>
      <c r="P96" s="2462"/>
      <c r="Q96" s="2462"/>
      <c r="R96" s="2464"/>
    </row>
    <row r="97" spans="2:18" s="789" customFormat="1">
      <c r="B97" s="2462"/>
      <c r="C97" s="2462"/>
      <c r="D97" s="2462"/>
      <c r="E97" s="2462"/>
      <c r="F97" s="2462"/>
      <c r="G97" s="2463"/>
      <c r="H97" s="2462"/>
      <c r="I97" s="2463"/>
      <c r="J97" s="2462"/>
      <c r="K97" s="2462"/>
      <c r="L97" s="2463"/>
      <c r="M97" s="2462"/>
      <c r="N97" s="2462"/>
      <c r="O97" s="2463"/>
      <c r="P97" s="2462"/>
      <c r="Q97" s="2462"/>
      <c r="R97" s="2464"/>
    </row>
    <row r="98" spans="2:18" s="789" customFormat="1">
      <c r="B98" s="2462"/>
      <c r="C98" s="2462"/>
      <c r="D98" s="2462"/>
      <c r="E98" s="2462"/>
      <c r="F98" s="2462"/>
      <c r="G98" s="2463"/>
      <c r="H98" s="2462"/>
      <c r="I98" s="2463"/>
      <c r="J98" s="2462"/>
      <c r="K98" s="2462"/>
      <c r="L98" s="2463"/>
      <c r="M98" s="2462"/>
      <c r="N98" s="2462"/>
      <c r="O98" s="2463"/>
      <c r="P98" s="2462"/>
      <c r="Q98" s="2462"/>
      <c r="R98" s="2464"/>
    </row>
    <row r="99" spans="2:18" s="789" customFormat="1">
      <c r="B99" s="2462"/>
      <c r="C99" s="2462"/>
      <c r="D99" s="2462"/>
      <c r="E99" s="2462"/>
      <c r="F99" s="2462"/>
      <c r="G99" s="2463"/>
      <c r="H99" s="2462"/>
      <c r="I99" s="2463"/>
      <c r="J99" s="2462"/>
      <c r="K99" s="2462"/>
      <c r="L99" s="2463"/>
      <c r="M99" s="2462"/>
      <c r="N99" s="2462"/>
      <c r="O99" s="2463"/>
      <c r="P99" s="2462"/>
      <c r="Q99" s="2462"/>
      <c r="R99" s="2464"/>
    </row>
    <row r="100" spans="2:18" s="789" customFormat="1">
      <c r="B100" s="2462"/>
      <c r="C100" s="2462"/>
      <c r="D100" s="2462"/>
      <c r="E100" s="2462"/>
      <c r="F100" s="2462"/>
      <c r="G100" s="2463"/>
      <c r="H100" s="2462"/>
      <c r="I100" s="2463"/>
      <c r="J100" s="2462"/>
      <c r="K100" s="2462"/>
      <c r="L100" s="2463"/>
      <c r="M100" s="2462"/>
      <c r="N100" s="2462"/>
      <c r="O100" s="2463"/>
      <c r="P100" s="2462"/>
      <c r="Q100" s="2462"/>
      <c r="R100" s="2464"/>
    </row>
    <row r="101" spans="2:18" s="789" customFormat="1">
      <c r="B101" s="2462"/>
      <c r="C101" s="2462"/>
      <c r="D101" s="2462"/>
      <c r="E101" s="2462"/>
      <c r="F101" s="2462"/>
      <c r="G101" s="2463"/>
      <c r="H101" s="2462"/>
      <c r="I101" s="2463"/>
      <c r="J101" s="2462"/>
      <c r="K101" s="2462"/>
      <c r="L101" s="2463"/>
      <c r="M101" s="2462"/>
      <c r="N101" s="2462"/>
      <c r="O101" s="2463"/>
      <c r="P101" s="2462"/>
      <c r="Q101" s="2462"/>
      <c r="R101" s="2464"/>
    </row>
    <row r="102" spans="2:18" s="789" customFormat="1">
      <c r="B102" s="2462"/>
      <c r="C102" s="2462"/>
      <c r="D102" s="2462"/>
      <c r="E102" s="2462"/>
      <c r="F102" s="2462"/>
      <c r="G102" s="2463"/>
      <c r="H102" s="2462"/>
      <c r="I102" s="2463"/>
      <c r="J102" s="2462"/>
      <c r="K102" s="2462"/>
      <c r="L102" s="2463"/>
      <c r="M102" s="2462"/>
      <c r="N102" s="2462"/>
      <c r="O102" s="2463"/>
      <c r="P102" s="2462"/>
      <c r="Q102" s="2462"/>
      <c r="R102" s="2464"/>
    </row>
    <row r="103" spans="2:18" s="789" customFormat="1">
      <c r="B103" s="2462"/>
      <c r="C103" s="2462"/>
      <c r="D103" s="2462"/>
      <c r="E103" s="2462"/>
      <c r="F103" s="2462"/>
      <c r="G103" s="2463"/>
      <c r="H103" s="2462"/>
      <c r="I103" s="2463"/>
      <c r="J103" s="2462"/>
      <c r="K103" s="2462"/>
      <c r="L103" s="2463"/>
      <c r="M103" s="2462"/>
      <c r="N103" s="2462"/>
      <c r="O103" s="2463"/>
      <c r="P103" s="2462"/>
      <c r="Q103" s="2462"/>
      <c r="R103" s="2464"/>
    </row>
    <row r="104" spans="2:18" s="789" customFormat="1">
      <c r="B104" s="2462"/>
      <c r="C104" s="2462"/>
      <c r="D104" s="2462"/>
      <c r="E104" s="2462"/>
      <c r="F104" s="2462"/>
      <c r="G104" s="2463"/>
      <c r="H104" s="2462"/>
      <c r="I104" s="2463"/>
      <c r="J104" s="2462"/>
      <c r="K104" s="2462"/>
      <c r="L104" s="2463"/>
      <c r="M104" s="2462"/>
      <c r="N104" s="2462"/>
      <c r="O104" s="2463"/>
      <c r="P104" s="2462"/>
      <c r="Q104" s="2462"/>
      <c r="R104" s="2464"/>
    </row>
    <row r="105" spans="2:18" s="789" customFormat="1">
      <c r="B105" s="2462"/>
      <c r="C105" s="2462"/>
      <c r="D105" s="2462"/>
      <c r="E105" s="2462"/>
      <c r="F105" s="2462"/>
      <c r="G105" s="2463"/>
      <c r="H105" s="2462"/>
      <c r="I105" s="2463"/>
      <c r="J105" s="2462"/>
      <c r="K105" s="2462"/>
      <c r="L105" s="2463"/>
      <c r="M105" s="2462"/>
      <c r="N105" s="2462"/>
      <c r="O105" s="2463"/>
      <c r="P105" s="2462"/>
      <c r="Q105" s="2462"/>
      <c r="R105" s="2464"/>
    </row>
    <row r="106" spans="2:18" s="789" customFormat="1">
      <c r="B106" s="2462"/>
      <c r="C106" s="2462"/>
      <c r="D106" s="2462"/>
      <c r="E106" s="2462"/>
      <c r="F106" s="2462"/>
      <c r="G106" s="2463"/>
      <c r="H106" s="2462"/>
      <c r="I106" s="2463"/>
      <c r="J106" s="2462"/>
      <c r="K106" s="2462"/>
      <c r="L106" s="2463"/>
      <c r="M106" s="2462"/>
      <c r="N106" s="2462"/>
      <c r="O106" s="2463"/>
      <c r="P106" s="2462"/>
      <c r="Q106" s="2462"/>
      <c r="R106" s="2464"/>
    </row>
    <row r="107" spans="2:18" s="789" customFormat="1">
      <c r="B107" s="2462"/>
      <c r="C107" s="2462"/>
      <c r="D107" s="2462"/>
      <c r="E107" s="2462"/>
      <c r="F107" s="2462"/>
      <c r="G107" s="2463"/>
      <c r="H107" s="2462"/>
      <c r="I107" s="2463"/>
      <c r="J107" s="2462"/>
      <c r="K107" s="2462"/>
      <c r="L107" s="2463"/>
      <c r="M107" s="2462"/>
      <c r="N107" s="2462"/>
      <c r="O107" s="2463"/>
      <c r="P107" s="2462"/>
      <c r="Q107" s="2462"/>
      <c r="R107" s="2464"/>
    </row>
    <row r="108" spans="2:18" s="789" customFormat="1">
      <c r="B108" s="2462"/>
      <c r="C108" s="2462"/>
      <c r="D108" s="2462"/>
      <c r="E108" s="2462"/>
      <c r="F108" s="2462"/>
      <c r="G108" s="2463"/>
      <c r="H108" s="2462"/>
      <c r="I108" s="2463"/>
      <c r="J108" s="2462"/>
      <c r="K108" s="2462"/>
      <c r="L108" s="2463"/>
      <c r="M108" s="2462"/>
      <c r="N108" s="2462"/>
      <c r="O108" s="2463"/>
      <c r="P108" s="2462"/>
      <c r="Q108" s="2462"/>
      <c r="R108" s="2464"/>
    </row>
    <row r="109" spans="2:18" s="789" customFormat="1">
      <c r="B109" s="2462"/>
      <c r="C109" s="2462"/>
      <c r="D109" s="2462"/>
      <c r="E109" s="2462"/>
      <c r="F109" s="2462"/>
      <c r="G109" s="2463"/>
      <c r="H109" s="2462"/>
      <c r="I109" s="2463"/>
      <c r="J109" s="2462"/>
      <c r="K109" s="2462"/>
      <c r="L109" s="2463"/>
      <c r="M109" s="2462"/>
      <c r="N109" s="2462"/>
      <c r="O109" s="2463"/>
      <c r="P109" s="2462"/>
      <c r="Q109" s="2462"/>
      <c r="R109" s="2464"/>
    </row>
    <row r="110" spans="2:18" s="789" customFormat="1">
      <c r="B110" s="2462"/>
      <c r="C110" s="2462"/>
      <c r="D110" s="2462"/>
      <c r="E110" s="2462"/>
      <c r="F110" s="2462"/>
      <c r="G110" s="2463"/>
      <c r="H110" s="2462"/>
      <c r="I110" s="2463"/>
      <c r="J110" s="2462"/>
      <c r="K110" s="2462"/>
      <c r="L110" s="2463"/>
      <c r="M110" s="2462"/>
      <c r="N110" s="2462"/>
      <c r="O110" s="2463"/>
      <c r="P110" s="2462"/>
      <c r="Q110" s="2462"/>
      <c r="R110" s="2464"/>
    </row>
    <row r="111" spans="2:18" s="789" customFormat="1">
      <c r="B111" s="2462"/>
      <c r="C111" s="2462"/>
      <c r="D111" s="2462"/>
      <c r="E111" s="2462"/>
      <c r="F111" s="2462"/>
      <c r="G111" s="2463"/>
      <c r="H111" s="2462"/>
      <c r="I111" s="2463"/>
      <c r="J111" s="2462"/>
      <c r="K111" s="2462"/>
      <c r="L111" s="2463"/>
      <c r="M111" s="2462"/>
      <c r="N111" s="2462"/>
      <c r="O111" s="2463"/>
      <c r="P111" s="2462"/>
      <c r="Q111" s="2462"/>
      <c r="R111" s="2464"/>
    </row>
    <row r="112" spans="2:18" s="789" customFormat="1">
      <c r="B112" s="2462"/>
      <c r="C112" s="2462"/>
      <c r="D112" s="2462"/>
      <c r="E112" s="2462"/>
      <c r="F112" s="2462"/>
      <c r="G112" s="2463"/>
      <c r="H112" s="2462"/>
      <c r="I112" s="2463"/>
      <c r="J112" s="2462"/>
      <c r="K112" s="2462"/>
      <c r="L112" s="2463"/>
      <c r="M112" s="2462"/>
      <c r="N112" s="2462"/>
      <c r="O112" s="2463"/>
      <c r="P112" s="2462"/>
      <c r="Q112" s="2462"/>
      <c r="R112" s="2464"/>
    </row>
    <row r="113" spans="2:18" s="789" customFormat="1">
      <c r="B113" s="2462"/>
      <c r="C113" s="2462"/>
      <c r="D113" s="2462"/>
      <c r="E113" s="2462"/>
      <c r="F113" s="2462"/>
      <c r="G113" s="2463"/>
      <c r="H113" s="2462"/>
      <c r="I113" s="2463"/>
      <c r="J113" s="2462"/>
      <c r="K113" s="2462"/>
      <c r="L113" s="2463"/>
      <c r="M113" s="2462"/>
      <c r="N113" s="2462"/>
      <c r="O113" s="2463"/>
      <c r="P113" s="2462"/>
      <c r="Q113" s="2462"/>
      <c r="R113" s="2464"/>
    </row>
    <row r="114" spans="2:18" s="789" customFormat="1">
      <c r="B114" s="2462"/>
      <c r="C114" s="2462"/>
      <c r="D114" s="2462"/>
      <c r="E114" s="2462"/>
      <c r="F114" s="2462"/>
      <c r="G114" s="2463"/>
      <c r="H114" s="2462"/>
      <c r="I114" s="2463"/>
      <c r="J114" s="2462"/>
      <c r="K114" s="2462"/>
      <c r="L114" s="2463"/>
      <c r="M114" s="2462"/>
      <c r="N114" s="2462"/>
      <c r="O114" s="2463"/>
      <c r="P114" s="2462"/>
      <c r="Q114" s="2462"/>
      <c r="R114" s="2464"/>
    </row>
    <row r="115" spans="2:18" s="789" customFormat="1">
      <c r="B115" s="2462"/>
      <c r="C115" s="2462"/>
      <c r="D115" s="2462"/>
      <c r="E115" s="2462"/>
      <c r="F115" s="2462"/>
      <c r="G115" s="2463"/>
      <c r="H115" s="2462"/>
      <c r="I115" s="2463"/>
      <c r="J115" s="2462"/>
      <c r="K115" s="2462"/>
      <c r="L115" s="2463"/>
      <c r="M115" s="2462"/>
      <c r="N115" s="2462"/>
      <c r="O115" s="2463"/>
      <c r="P115" s="2462"/>
      <c r="Q115" s="2462"/>
      <c r="R115" s="2464"/>
    </row>
    <row r="116" spans="2:18" s="789" customFormat="1">
      <c r="B116" s="2462"/>
      <c r="C116" s="2462"/>
      <c r="D116" s="2462"/>
      <c r="E116" s="2462"/>
      <c r="F116" s="2462"/>
      <c r="G116" s="2463"/>
      <c r="H116" s="2462"/>
      <c r="I116" s="2463"/>
      <c r="J116" s="2462"/>
      <c r="K116" s="2462"/>
      <c r="L116" s="2463"/>
      <c r="M116" s="2462"/>
      <c r="N116" s="2462"/>
      <c r="O116" s="2463"/>
      <c r="P116" s="2462"/>
      <c r="Q116" s="2462"/>
      <c r="R116" s="2464"/>
    </row>
    <row r="117" spans="2:18" s="789" customFormat="1">
      <c r="B117" s="2462"/>
      <c r="C117" s="2462"/>
      <c r="D117" s="2462"/>
      <c r="E117" s="2462"/>
      <c r="F117" s="2462"/>
      <c r="G117" s="2463"/>
      <c r="H117" s="2462"/>
      <c r="I117" s="2463"/>
      <c r="J117" s="2462"/>
      <c r="K117" s="2462"/>
      <c r="L117" s="2463"/>
      <c r="M117" s="2462"/>
      <c r="N117" s="2462"/>
      <c r="O117" s="2463"/>
      <c r="P117" s="2462"/>
      <c r="Q117" s="2462"/>
      <c r="R117" s="2464"/>
    </row>
    <row r="118" spans="2:18" s="789" customFormat="1">
      <c r="B118" s="2462"/>
      <c r="C118" s="2462"/>
      <c r="D118" s="2462"/>
      <c r="E118" s="2462"/>
      <c r="F118" s="2462"/>
      <c r="G118" s="2463"/>
      <c r="H118" s="2462"/>
      <c r="I118" s="2463"/>
      <c r="J118" s="2462"/>
      <c r="K118" s="2462"/>
      <c r="L118" s="2463"/>
      <c r="M118" s="2462"/>
      <c r="N118" s="2462"/>
      <c r="O118" s="2463"/>
      <c r="P118" s="2462"/>
      <c r="Q118" s="2462"/>
      <c r="R118" s="2464"/>
    </row>
    <row r="119" spans="2:18" s="789" customFormat="1">
      <c r="B119" s="2462"/>
      <c r="C119" s="2462"/>
      <c r="D119" s="2462"/>
      <c r="E119" s="2462"/>
      <c r="F119" s="2462"/>
      <c r="G119" s="2463"/>
      <c r="H119" s="2462"/>
      <c r="I119" s="2463"/>
      <c r="J119" s="2462"/>
      <c r="K119" s="2462"/>
      <c r="L119" s="2463"/>
      <c r="M119" s="2462"/>
      <c r="N119" s="2462"/>
      <c r="O119" s="2463"/>
      <c r="P119" s="2462"/>
      <c r="Q119" s="2462"/>
      <c r="R119" s="2464"/>
    </row>
    <row r="120" spans="2:18" s="789" customFormat="1">
      <c r="B120" s="2462"/>
      <c r="C120" s="2462"/>
      <c r="D120" s="2462"/>
      <c r="E120" s="2462"/>
      <c r="F120" s="2462"/>
      <c r="G120" s="2463"/>
      <c r="H120" s="2462"/>
      <c r="I120" s="2463"/>
      <c r="J120" s="2462"/>
      <c r="K120" s="2462"/>
      <c r="L120" s="2463"/>
      <c r="M120" s="2462"/>
      <c r="N120" s="2462"/>
      <c r="O120" s="2463"/>
      <c r="P120" s="2462"/>
      <c r="Q120" s="2462"/>
      <c r="R120" s="2464"/>
    </row>
    <row r="121" spans="2:18" s="789" customFormat="1">
      <c r="B121" s="2462"/>
      <c r="C121" s="2462"/>
      <c r="D121" s="2462"/>
      <c r="E121" s="2462"/>
      <c r="F121" s="2462"/>
      <c r="G121" s="2463"/>
      <c r="H121" s="2462"/>
      <c r="I121" s="2463"/>
      <c r="J121" s="2462"/>
      <c r="K121" s="2462"/>
      <c r="L121" s="2463"/>
      <c r="M121" s="2462"/>
      <c r="N121" s="2462"/>
      <c r="O121" s="2463"/>
      <c r="P121" s="2462"/>
      <c r="Q121" s="2462"/>
      <c r="R121" s="2464"/>
    </row>
    <row r="122" spans="2:18" s="789" customFormat="1">
      <c r="B122" s="2462"/>
      <c r="C122" s="2462"/>
      <c r="D122" s="2462"/>
      <c r="E122" s="2462"/>
      <c r="F122" s="2462"/>
      <c r="G122" s="2463"/>
      <c r="H122" s="2462"/>
      <c r="I122" s="2463"/>
      <c r="J122" s="2462"/>
      <c r="K122" s="2462"/>
      <c r="L122" s="2463"/>
      <c r="M122" s="2462"/>
      <c r="N122" s="2462"/>
      <c r="O122" s="2463"/>
      <c r="P122" s="2462"/>
      <c r="Q122" s="2462"/>
      <c r="R122" s="2464"/>
    </row>
    <row r="123" spans="2:18" s="789" customFormat="1">
      <c r="B123" s="2462"/>
      <c r="C123" s="2462"/>
      <c r="D123" s="2462"/>
      <c r="E123" s="2462"/>
      <c r="F123" s="2462"/>
      <c r="G123" s="2463"/>
      <c r="H123" s="2462"/>
      <c r="I123" s="2463"/>
      <c r="J123" s="2462"/>
      <c r="K123" s="2462"/>
      <c r="L123" s="2463"/>
      <c r="M123" s="2462"/>
      <c r="N123" s="2462"/>
      <c r="O123" s="2463"/>
      <c r="P123" s="2462"/>
      <c r="Q123" s="2462"/>
      <c r="R123" s="2464"/>
    </row>
    <row r="124" spans="2:18" s="789" customFormat="1">
      <c r="B124" s="2462"/>
      <c r="C124" s="2462"/>
      <c r="D124" s="2462"/>
      <c r="E124" s="2462"/>
      <c r="F124" s="2462"/>
      <c r="G124" s="2463"/>
      <c r="H124" s="2462"/>
      <c r="I124" s="2463"/>
      <c r="J124" s="2462"/>
      <c r="K124" s="2462"/>
      <c r="L124" s="2463"/>
      <c r="M124" s="2462"/>
      <c r="N124" s="2462"/>
      <c r="O124" s="2463"/>
      <c r="P124" s="2462"/>
      <c r="Q124" s="2462"/>
      <c r="R124" s="2464"/>
    </row>
    <row r="125" spans="2:18" s="789" customFormat="1">
      <c r="B125" s="2462"/>
      <c r="C125" s="2462"/>
      <c r="D125" s="2462"/>
      <c r="E125" s="2462"/>
      <c r="F125" s="2462"/>
      <c r="G125" s="2463"/>
      <c r="H125" s="2462"/>
      <c r="I125" s="2463"/>
      <c r="J125" s="2462"/>
      <c r="K125" s="2462"/>
      <c r="L125" s="2463"/>
      <c r="M125" s="2462"/>
      <c r="N125" s="2462"/>
      <c r="O125" s="2463"/>
      <c r="P125" s="2462"/>
      <c r="Q125" s="2462"/>
      <c r="R125" s="2464"/>
    </row>
    <row r="126" spans="2:18" s="789" customFormat="1">
      <c r="B126" s="2462"/>
      <c r="C126" s="2462"/>
      <c r="D126" s="2462"/>
      <c r="E126" s="2462"/>
      <c r="F126" s="2462"/>
      <c r="G126" s="2463"/>
      <c r="H126" s="2462"/>
      <c r="I126" s="2463"/>
      <c r="J126" s="2462"/>
      <c r="K126" s="2462"/>
      <c r="L126" s="2463"/>
      <c r="M126" s="2462"/>
      <c r="N126" s="2462"/>
      <c r="O126" s="2463"/>
      <c r="P126" s="2462"/>
      <c r="Q126" s="2462"/>
      <c r="R126" s="2464"/>
    </row>
    <row r="127" spans="2:18" s="789" customFormat="1">
      <c r="B127" s="2462"/>
      <c r="C127" s="2462"/>
      <c r="D127" s="2462"/>
      <c r="E127" s="2462"/>
      <c r="F127" s="2462"/>
      <c r="G127" s="2463"/>
      <c r="H127" s="2462"/>
      <c r="I127" s="2463"/>
      <c r="J127" s="2462"/>
      <c r="K127" s="2462"/>
      <c r="L127" s="2463"/>
      <c r="M127" s="2462"/>
      <c r="N127" s="2462"/>
      <c r="O127" s="2463"/>
      <c r="P127" s="2462"/>
      <c r="Q127" s="2462"/>
      <c r="R127" s="2464"/>
    </row>
    <row r="128" spans="2:18" s="789" customFormat="1">
      <c r="B128" s="2462"/>
      <c r="C128" s="2462"/>
      <c r="D128" s="2462"/>
      <c r="E128" s="2462"/>
      <c r="F128" s="2462"/>
      <c r="G128" s="2463"/>
      <c r="H128" s="2462"/>
      <c r="I128" s="2463"/>
      <c r="J128" s="2462"/>
      <c r="K128" s="2462"/>
      <c r="L128" s="2463"/>
      <c r="M128" s="2462"/>
      <c r="N128" s="2462"/>
      <c r="O128" s="2463"/>
      <c r="P128" s="2462"/>
      <c r="Q128" s="2462"/>
      <c r="R128" s="2464"/>
    </row>
    <row r="129" spans="2:18" s="789" customFormat="1">
      <c r="B129" s="2462"/>
      <c r="C129" s="2462"/>
      <c r="D129" s="2462"/>
      <c r="E129" s="2462"/>
      <c r="F129" s="2462"/>
      <c r="G129" s="2463"/>
      <c r="H129" s="2462"/>
      <c r="I129" s="2463"/>
      <c r="J129" s="2462"/>
      <c r="K129" s="2462"/>
      <c r="L129" s="2463"/>
      <c r="M129" s="2462"/>
      <c r="N129" s="2462"/>
      <c r="O129" s="2463"/>
      <c r="P129" s="2462"/>
      <c r="Q129" s="2462"/>
      <c r="R129" s="2464"/>
    </row>
    <row r="130" spans="2:18" s="789" customFormat="1">
      <c r="B130" s="2462"/>
      <c r="C130" s="2462"/>
      <c r="D130" s="2462"/>
      <c r="E130" s="2462"/>
      <c r="F130" s="2462"/>
      <c r="G130" s="2463"/>
      <c r="H130" s="2462"/>
      <c r="I130" s="2463"/>
      <c r="J130" s="2462"/>
      <c r="K130" s="2462"/>
      <c r="L130" s="2463"/>
      <c r="M130" s="2462"/>
      <c r="N130" s="2462"/>
      <c r="O130" s="2463"/>
      <c r="P130" s="2462"/>
      <c r="Q130" s="2462"/>
      <c r="R130" s="2464"/>
    </row>
    <row r="131" spans="2:18" s="789" customFormat="1">
      <c r="B131" s="2462"/>
      <c r="C131" s="2462"/>
      <c r="D131" s="2462"/>
      <c r="E131" s="2462"/>
      <c r="F131" s="2462"/>
      <c r="G131" s="2463"/>
      <c r="H131" s="2462"/>
      <c r="I131" s="2463"/>
      <c r="J131" s="2462"/>
      <c r="K131" s="2462"/>
      <c r="L131" s="2463"/>
      <c r="M131" s="2462"/>
      <c r="N131" s="2462"/>
      <c r="O131" s="2463"/>
      <c r="P131" s="2462"/>
      <c r="Q131" s="2462"/>
      <c r="R131" s="2464"/>
    </row>
    <row r="132" spans="2:18" s="789" customFormat="1">
      <c r="B132" s="2462"/>
      <c r="C132" s="2462"/>
      <c r="D132" s="2462"/>
      <c r="E132" s="2462"/>
      <c r="F132" s="2462"/>
      <c r="G132" s="2463"/>
      <c r="H132" s="2462"/>
      <c r="I132" s="2463"/>
      <c r="J132" s="2462"/>
      <c r="K132" s="2462"/>
      <c r="L132" s="2463"/>
      <c r="M132" s="2462"/>
      <c r="N132" s="2462"/>
      <c r="O132" s="2463"/>
      <c r="P132" s="2462"/>
      <c r="Q132" s="2462"/>
      <c r="R132" s="2464"/>
    </row>
    <row r="133" spans="2:18" s="789" customFormat="1">
      <c r="B133" s="2462"/>
      <c r="C133" s="2462"/>
      <c r="D133" s="2462"/>
      <c r="E133" s="2462"/>
      <c r="F133" s="2462"/>
      <c r="G133" s="2463"/>
      <c r="H133" s="2462"/>
      <c r="I133" s="2463"/>
      <c r="J133" s="2462"/>
      <c r="K133" s="2462"/>
      <c r="L133" s="2463"/>
      <c r="M133" s="2462"/>
      <c r="N133" s="2462"/>
      <c r="O133" s="2463"/>
      <c r="P133" s="2462"/>
      <c r="Q133" s="2462"/>
      <c r="R133" s="2464"/>
    </row>
    <row r="134" spans="2:18" s="789" customFormat="1">
      <c r="B134" s="2462"/>
      <c r="C134" s="2462"/>
      <c r="D134" s="2462"/>
      <c r="E134" s="2462"/>
      <c r="F134" s="2462"/>
      <c r="G134" s="2463"/>
      <c r="H134" s="2462"/>
      <c r="I134" s="2463"/>
      <c r="J134" s="2462"/>
      <c r="K134" s="2462"/>
      <c r="L134" s="2463"/>
      <c r="M134" s="2462"/>
      <c r="N134" s="2462"/>
      <c r="O134" s="2463"/>
      <c r="P134" s="2462"/>
      <c r="Q134" s="2462"/>
      <c r="R134" s="2464"/>
    </row>
    <row r="135" spans="2:18" s="789" customFormat="1">
      <c r="B135" s="2462"/>
      <c r="C135" s="2462"/>
      <c r="D135" s="2462"/>
      <c r="E135" s="2462"/>
      <c r="F135" s="2462"/>
      <c r="G135" s="2463"/>
      <c r="H135" s="2462"/>
      <c r="I135" s="2463"/>
      <c r="J135" s="2462"/>
      <c r="K135" s="2462"/>
      <c r="L135" s="2463"/>
      <c r="M135" s="2462"/>
      <c r="N135" s="2462"/>
      <c r="O135" s="2463"/>
      <c r="P135" s="2462"/>
      <c r="Q135" s="2462"/>
      <c r="R135" s="2464"/>
    </row>
    <row r="136" spans="2:18" s="789" customFormat="1">
      <c r="B136" s="2462"/>
      <c r="C136" s="2462"/>
      <c r="D136" s="2462"/>
      <c r="E136" s="2462"/>
      <c r="F136" s="2462"/>
      <c r="G136" s="2463"/>
      <c r="H136" s="2462"/>
      <c r="I136" s="2463"/>
      <c r="J136" s="2462"/>
      <c r="K136" s="2462"/>
      <c r="L136" s="2463"/>
      <c r="M136" s="2462"/>
      <c r="N136" s="2462"/>
      <c r="O136" s="2463"/>
      <c r="P136" s="2462"/>
      <c r="Q136" s="2462"/>
      <c r="R136" s="2464"/>
    </row>
    <row r="137" spans="2:18" s="789" customFormat="1">
      <c r="B137" s="2462"/>
      <c r="C137" s="2462"/>
      <c r="D137" s="2462"/>
      <c r="E137" s="2462"/>
      <c r="F137" s="2462"/>
      <c r="G137" s="2463"/>
      <c r="H137" s="2462"/>
      <c r="I137" s="2463"/>
      <c r="J137" s="2462"/>
      <c r="K137" s="2462"/>
      <c r="L137" s="2463"/>
      <c r="M137" s="2462"/>
      <c r="N137" s="2462"/>
      <c r="O137" s="2463"/>
      <c r="P137" s="2462"/>
      <c r="Q137" s="2462"/>
      <c r="R137" s="2464"/>
    </row>
    <row r="138" spans="2:18" s="789" customFormat="1">
      <c r="B138" s="2462"/>
      <c r="C138" s="2462"/>
      <c r="D138" s="2462"/>
      <c r="E138" s="2462"/>
      <c r="F138" s="2462"/>
      <c r="G138" s="2463"/>
      <c r="H138" s="2462"/>
      <c r="I138" s="2463"/>
      <c r="J138" s="2462"/>
      <c r="K138" s="2462"/>
      <c r="L138" s="2463"/>
      <c r="M138" s="2462"/>
      <c r="N138" s="2462"/>
      <c r="O138" s="2463"/>
      <c r="P138" s="2462"/>
      <c r="Q138" s="2462"/>
      <c r="R138" s="2464"/>
    </row>
    <row r="139" spans="2:18" s="789" customFormat="1">
      <c r="B139" s="2462"/>
      <c r="C139" s="2462"/>
      <c r="D139" s="2462"/>
      <c r="E139" s="2462"/>
      <c r="F139" s="2462"/>
      <c r="G139" s="2463"/>
      <c r="H139" s="2462"/>
      <c r="I139" s="2463"/>
      <c r="J139" s="2462"/>
      <c r="K139" s="2462"/>
      <c r="L139" s="2463"/>
      <c r="M139" s="2462"/>
      <c r="N139" s="2462"/>
      <c r="O139" s="2463"/>
      <c r="P139" s="2462"/>
      <c r="Q139" s="2462"/>
      <c r="R139" s="2464"/>
    </row>
    <row r="140" spans="2:18" s="789" customFormat="1">
      <c r="B140" s="2462"/>
      <c r="C140" s="2462"/>
      <c r="D140" s="2462"/>
      <c r="E140" s="2462"/>
      <c r="F140" s="2462"/>
      <c r="G140" s="2463"/>
      <c r="H140" s="2462"/>
      <c r="I140" s="2463"/>
      <c r="J140" s="2462"/>
      <c r="K140" s="2462"/>
      <c r="L140" s="2463"/>
      <c r="M140" s="2462"/>
      <c r="N140" s="2462"/>
      <c r="O140" s="2463"/>
      <c r="P140" s="2462"/>
      <c r="Q140" s="2462"/>
      <c r="R140" s="2464"/>
    </row>
    <row r="141" spans="2:18" s="789" customFormat="1">
      <c r="B141" s="2462"/>
      <c r="C141" s="2462"/>
      <c r="D141" s="2462"/>
      <c r="E141" s="2462"/>
      <c r="F141" s="2462"/>
      <c r="G141" s="2463"/>
      <c r="H141" s="2462"/>
      <c r="I141" s="2463"/>
      <c r="J141" s="2462"/>
      <c r="K141" s="2462"/>
      <c r="L141" s="2463"/>
      <c r="M141" s="2462"/>
      <c r="N141" s="2462"/>
      <c r="O141" s="2463"/>
      <c r="P141" s="2462"/>
      <c r="Q141" s="2462"/>
      <c r="R141" s="2464"/>
    </row>
    <row r="142" spans="2:18" s="789" customFormat="1">
      <c r="B142" s="2462"/>
      <c r="C142" s="2462"/>
      <c r="D142" s="2462"/>
      <c r="E142" s="2462"/>
      <c r="F142" s="2462"/>
      <c r="G142" s="2463"/>
      <c r="H142" s="2462"/>
      <c r="I142" s="2463"/>
      <c r="J142" s="2462"/>
      <c r="K142" s="2462"/>
      <c r="L142" s="2463"/>
      <c r="M142" s="2462"/>
      <c r="N142" s="2462"/>
      <c r="O142" s="2463"/>
      <c r="P142" s="2462"/>
      <c r="Q142" s="2462"/>
      <c r="R142" s="2464"/>
    </row>
    <row r="143" spans="2:18" s="789" customFormat="1">
      <c r="B143" s="2462"/>
      <c r="C143" s="2462"/>
      <c r="D143" s="2462"/>
      <c r="E143" s="2462"/>
      <c r="F143" s="2462"/>
      <c r="G143" s="2463"/>
      <c r="H143" s="2462"/>
      <c r="I143" s="2463"/>
      <c r="J143" s="2462"/>
      <c r="K143" s="2462"/>
      <c r="L143" s="2463"/>
      <c r="M143" s="2462"/>
      <c r="N143" s="2462"/>
      <c r="O143" s="2463"/>
      <c r="P143" s="2462"/>
      <c r="Q143" s="2462"/>
      <c r="R143" s="2464"/>
    </row>
    <row r="144" spans="2:18" s="789" customFormat="1">
      <c r="B144" s="2462"/>
      <c r="C144" s="2462"/>
      <c r="D144" s="2462"/>
      <c r="E144" s="2462"/>
      <c r="F144" s="2462"/>
      <c r="G144" s="2463"/>
      <c r="H144" s="2462"/>
      <c r="I144" s="2463"/>
      <c r="J144" s="2462"/>
      <c r="K144" s="2462"/>
      <c r="L144" s="2463"/>
      <c r="M144" s="2462"/>
      <c r="N144" s="2462"/>
      <c r="O144" s="2463"/>
      <c r="P144" s="2462"/>
      <c r="Q144" s="2462"/>
      <c r="R144" s="2464"/>
    </row>
    <row r="145" spans="2:18" s="789" customFormat="1">
      <c r="B145" s="2462"/>
      <c r="C145" s="2462"/>
      <c r="D145" s="2462"/>
      <c r="E145" s="2462"/>
      <c r="F145" s="2462"/>
      <c r="G145" s="2463"/>
      <c r="H145" s="2462"/>
      <c r="I145" s="2463"/>
      <c r="J145" s="2462"/>
      <c r="K145" s="2462"/>
      <c r="L145" s="2463"/>
      <c r="M145" s="2462"/>
      <c r="N145" s="2462"/>
      <c r="O145" s="2463"/>
      <c r="P145" s="2462"/>
      <c r="Q145" s="2462"/>
      <c r="R145" s="2464"/>
    </row>
    <row r="146" spans="2:18" s="789" customFormat="1">
      <c r="B146" s="2462"/>
      <c r="C146" s="2462"/>
      <c r="D146" s="2462"/>
      <c r="E146" s="2462"/>
      <c r="F146" s="2462"/>
      <c r="G146" s="2463"/>
      <c r="H146" s="2462"/>
      <c r="I146" s="2463"/>
      <c r="J146" s="2462"/>
      <c r="K146" s="2462"/>
      <c r="L146" s="2463"/>
      <c r="M146" s="2462"/>
      <c r="N146" s="2462"/>
      <c r="O146" s="2463"/>
      <c r="P146" s="2462"/>
      <c r="Q146" s="2462"/>
      <c r="R146" s="2464"/>
    </row>
    <row r="147" spans="2:18" s="789" customFormat="1">
      <c r="B147" s="2462"/>
      <c r="C147" s="2462"/>
      <c r="D147" s="2462"/>
      <c r="E147" s="2462"/>
      <c r="F147" s="2462"/>
      <c r="G147" s="2463"/>
      <c r="H147" s="2462"/>
      <c r="I147" s="2463"/>
      <c r="J147" s="2462"/>
      <c r="K147" s="2462"/>
      <c r="L147" s="2463"/>
      <c r="M147" s="2462"/>
      <c r="N147" s="2462"/>
      <c r="O147" s="2463"/>
      <c r="P147" s="2462"/>
      <c r="Q147" s="2462"/>
      <c r="R147" s="2464"/>
    </row>
    <row r="148" spans="2:18" s="789" customFormat="1">
      <c r="B148" s="2462"/>
      <c r="C148" s="2462"/>
      <c r="D148" s="2462"/>
      <c r="E148" s="2462"/>
      <c r="F148" s="2462"/>
      <c r="G148" s="2463"/>
      <c r="H148" s="2462"/>
      <c r="I148" s="2463"/>
      <c r="J148" s="2462"/>
      <c r="K148" s="2462"/>
      <c r="L148" s="2463"/>
      <c r="M148" s="2462"/>
      <c r="N148" s="2462"/>
      <c r="O148" s="2463"/>
      <c r="P148" s="2462"/>
      <c r="Q148" s="2462"/>
      <c r="R148" s="2464"/>
    </row>
    <row r="149" spans="2:18" s="789" customFormat="1">
      <c r="B149" s="2462"/>
      <c r="C149" s="2462"/>
      <c r="D149" s="2462"/>
      <c r="E149" s="2462"/>
      <c r="F149" s="2462"/>
      <c r="G149" s="2463"/>
      <c r="H149" s="2462"/>
      <c r="I149" s="2463"/>
      <c r="J149" s="2462"/>
      <c r="K149" s="2462"/>
      <c r="L149" s="2463"/>
      <c r="M149" s="2462"/>
      <c r="N149" s="2462"/>
      <c r="O149" s="2463"/>
      <c r="P149" s="2462"/>
      <c r="Q149" s="2462"/>
      <c r="R149" s="2464"/>
    </row>
    <row r="150" spans="2:18" s="789" customFormat="1">
      <c r="B150" s="2462"/>
      <c r="C150" s="2462"/>
      <c r="D150" s="2462"/>
      <c r="E150" s="2462"/>
      <c r="F150" s="2462"/>
      <c r="G150" s="2463"/>
      <c r="H150" s="2462"/>
      <c r="I150" s="2463"/>
      <c r="J150" s="2462"/>
      <c r="K150" s="2462"/>
      <c r="L150" s="2463"/>
      <c r="M150" s="2462"/>
      <c r="N150" s="2462"/>
      <c r="O150" s="2463"/>
      <c r="P150" s="2462"/>
      <c r="Q150" s="2462"/>
      <c r="R150" s="2464"/>
    </row>
    <row r="151" spans="2:18" s="789" customFormat="1">
      <c r="B151" s="2462"/>
      <c r="C151" s="2462"/>
      <c r="D151" s="2462"/>
      <c r="E151" s="2462"/>
      <c r="F151" s="2462"/>
      <c r="G151" s="2463"/>
      <c r="H151" s="2462"/>
      <c r="I151" s="2463"/>
      <c r="J151" s="2462"/>
      <c r="K151" s="2462"/>
      <c r="L151" s="2463"/>
      <c r="M151" s="2462"/>
      <c r="N151" s="2462"/>
      <c r="O151" s="2463"/>
      <c r="P151" s="2462"/>
      <c r="Q151" s="2462"/>
      <c r="R151" s="2464"/>
    </row>
    <row r="152" spans="2:18" s="789" customFormat="1">
      <c r="B152" s="2462"/>
      <c r="C152" s="2462"/>
      <c r="D152" s="2462"/>
      <c r="E152" s="2462"/>
      <c r="F152" s="2462"/>
      <c r="G152" s="2463"/>
      <c r="H152" s="2462"/>
      <c r="I152" s="2463"/>
      <c r="J152" s="2462"/>
      <c r="K152" s="2462"/>
      <c r="L152" s="2463"/>
      <c r="M152" s="2462"/>
      <c r="N152" s="2462"/>
      <c r="O152" s="2463"/>
      <c r="P152" s="2462"/>
      <c r="Q152" s="2462"/>
      <c r="R152" s="2464"/>
    </row>
    <row r="153" spans="2:18" s="789" customFormat="1">
      <c r="B153" s="2462"/>
      <c r="C153" s="2462"/>
      <c r="D153" s="2462"/>
      <c r="E153" s="2462"/>
      <c r="F153" s="2462"/>
      <c r="G153" s="2463"/>
      <c r="H153" s="2462"/>
      <c r="I153" s="2463"/>
      <c r="J153" s="2462"/>
      <c r="K153" s="2462"/>
      <c r="L153" s="2463"/>
      <c r="M153" s="2462"/>
      <c r="N153" s="2462"/>
      <c r="O153" s="2463"/>
      <c r="P153" s="2462"/>
      <c r="Q153" s="2462"/>
      <c r="R153" s="2464"/>
    </row>
    <row r="154" spans="2:18" s="789" customFormat="1">
      <c r="B154" s="2462"/>
      <c r="C154" s="2462"/>
      <c r="D154" s="2462"/>
      <c r="E154" s="2462"/>
      <c r="F154" s="2462"/>
      <c r="G154" s="2463"/>
      <c r="H154" s="2462"/>
      <c r="I154" s="2463"/>
      <c r="J154" s="2462"/>
      <c r="K154" s="2462"/>
      <c r="L154" s="2463"/>
      <c r="M154" s="2462"/>
      <c r="N154" s="2462"/>
      <c r="O154" s="2463"/>
      <c r="P154" s="2462"/>
      <c r="Q154" s="2462"/>
      <c r="R154" s="2464"/>
    </row>
    <row r="155" spans="2:18" s="789" customFormat="1">
      <c r="B155" s="2462"/>
      <c r="C155" s="2462"/>
      <c r="D155" s="2462"/>
      <c r="E155" s="2462"/>
      <c r="F155" s="2462"/>
      <c r="G155" s="2463"/>
      <c r="H155" s="2462"/>
      <c r="I155" s="2463"/>
      <c r="J155" s="2462"/>
      <c r="K155" s="2462"/>
      <c r="L155" s="2463"/>
      <c r="M155" s="2462"/>
      <c r="N155" s="2462"/>
      <c r="O155" s="2463"/>
      <c r="P155" s="2462"/>
      <c r="Q155" s="2462"/>
      <c r="R155" s="2464"/>
    </row>
    <row r="156" spans="2:18" s="789" customFormat="1">
      <c r="B156" s="2462"/>
      <c r="C156" s="2462"/>
      <c r="D156" s="2462"/>
      <c r="E156" s="2462"/>
      <c r="F156" s="2462"/>
      <c r="G156" s="2463"/>
      <c r="H156" s="2462"/>
      <c r="I156" s="2463"/>
      <c r="J156" s="2462"/>
      <c r="K156" s="2462"/>
      <c r="L156" s="2463"/>
      <c r="M156" s="2462"/>
      <c r="N156" s="2462"/>
      <c r="O156" s="2463"/>
      <c r="P156" s="2462"/>
      <c r="Q156" s="2462"/>
      <c r="R156" s="2464"/>
    </row>
    <row r="157" spans="2:18" s="789" customFormat="1">
      <c r="B157" s="2462"/>
      <c r="C157" s="2462"/>
      <c r="D157" s="2462"/>
      <c r="E157" s="2462"/>
      <c r="F157" s="2462"/>
      <c r="G157" s="2463"/>
      <c r="H157" s="2462"/>
      <c r="I157" s="2463"/>
      <c r="J157" s="2462"/>
      <c r="K157" s="2462"/>
      <c r="L157" s="2463"/>
      <c r="M157" s="2462"/>
      <c r="N157" s="2462"/>
      <c r="O157" s="2463"/>
      <c r="P157" s="2462"/>
      <c r="Q157" s="2462"/>
      <c r="R157" s="2464"/>
    </row>
    <row r="158" spans="2:18" s="789" customFormat="1">
      <c r="B158" s="2462"/>
      <c r="C158" s="2462"/>
      <c r="D158" s="2462"/>
      <c r="E158" s="2462"/>
      <c r="F158" s="2462"/>
      <c r="G158" s="2463"/>
      <c r="H158" s="2462"/>
      <c r="I158" s="2463"/>
      <c r="J158" s="2462"/>
      <c r="K158" s="2462"/>
      <c r="L158" s="2463"/>
      <c r="M158" s="2462"/>
      <c r="N158" s="2462"/>
      <c r="O158" s="2463"/>
      <c r="P158" s="2462"/>
      <c r="Q158" s="2462"/>
      <c r="R158" s="2464"/>
    </row>
    <row r="159" spans="2:18" s="789" customFormat="1">
      <c r="B159" s="2462"/>
      <c r="C159" s="2462"/>
      <c r="D159" s="2462"/>
      <c r="E159" s="2462"/>
      <c r="F159" s="2462"/>
      <c r="G159" s="2463"/>
      <c r="H159" s="2462"/>
      <c r="I159" s="2463"/>
      <c r="J159" s="2462"/>
      <c r="K159" s="2462"/>
      <c r="L159" s="2463"/>
      <c r="M159" s="2462"/>
      <c r="N159" s="2462"/>
      <c r="O159" s="2463"/>
      <c r="P159" s="2462"/>
      <c r="Q159" s="2462"/>
      <c r="R159" s="2464"/>
    </row>
    <row r="160" spans="2:18" s="789" customFormat="1">
      <c r="B160" s="2462"/>
      <c r="C160" s="2462"/>
      <c r="D160" s="2462"/>
      <c r="E160" s="2462"/>
      <c r="F160" s="2462"/>
      <c r="G160" s="2463"/>
      <c r="H160" s="2462"/>
      <c r="I160" s="2463"/>
      <c r="J160" s="2462"/>
      <c r="K160" s="2462"/>
      <c r="L160" s="2463"/>
      <c r="M160" s="2462"/>
      <c r="N160" s="2462"/>
      <c r="O160" s="2463"/>
      <c r="P160" s="2462"/>
      <c r="Q160" s="2462"/>
      <c r="R160" s="2464"/>
    </row>
    <row r="161" spans="2:18" s="789" customFormat="1">
      <c r="B161" s="2462"/>
      <c r="C161" s="2462"/>
      <c r="D161" s="2462"/>
      <c r="E161" s="2462"/>
      <c r="F161" s="2462"/>
      <c r="G161" s="2463"/>
      <c r="H161" s="2462"/>
      <c r="I161" s="2463"/>
      <c r="J161" s="2462"/>
      <c r="K161" s="2462"/>
      <c r="L161" s="2463"/>
      <c r="M161" s="2462"/>
      <c r="N161" s="2462"/>
      <c r="O161" s="2463"/>
      <c r="P161" s="2462"/>
      <c r="Q161" s="2462"/>
      <c r="R161" s="2464"/>
    </row>
    <row r="162" spans="2:18" s="789" customFormat="1">
      <c r="B162" s="2462"/>
      <c r="C162" s="2462"/>
      <c r="D162" s="2462"/>
      <c r="E162" s="2462"/>
      <c r="F162" s="2462"/>
      <c r="G162" s="2463"/>
      <c r="H162" s="2462"/>
      <c r="I162" s="2463"/>
      <c r="J162" s="2462"/>
      <c r="K162" s="2462"/>
      <c r="L162" s="2463"/>
      <c r="M162" s="2462"/>
      <c r="N162" s="2462"/>
      <c r="O162" s="2463"/>
      <c r="P162" s="2462"/>
      <c r="Q162" s="2462"/>
      <c r="R162" s="2464"/>
    </row>
    <row r="163" spans="2:18" s="789" customFormat="1">
      <c r="B163" s="2462"/>
      <c r="C163" s="2462"/>
      <c r="D163" s="2462"/>
      <c r="E163" s="2462"/>
      <c r="F163" s="2462"/>
      <c r="G163" s="2463"/>
      <c r="H163" s="2462"/>
      <c r="I163" s="2463"/>
      <c r="J163" s="2462"/>
      <c r="K163" s="2462"/>
      <c r="L163" s="2463"/>
      <c r="M163" s="2462"/>
      <c r="N163" s="2462"/>
      <c r="O163" s="2463"/>
      <c r="P163" s="2462"/>
      <c r="Q163" s="2462"/>
      <c r="R163" s="2464"/>
    </row>
    <row r="164" spans="2:18" s="789" customFormat="1">
      <c r="B164" s="2462"/>
      <c r="C164" s="2462"/>
      <c r="D164" s="2462"/>
      <c r="E164" s="2462"/>
      <c r="F164" s="2462"/>
      <c r="G164" s="2463"/>
      <c r="H164" s="2462"/>
      <c r="I164" s="2463"/>
      <c r="J164" s="2462"/>
      <c r="K164" s="2462"/>
      <c r="L164" s="2463"/>
      <c r="M164" s="2462"/>
      <c r="N164" s="2462"/>
      <c r="O164" s="2463"/>
      <c r="P164" s="2462"/>
      <c r="Q164" s="2462"/>
      <c r="R164" s="2464"/>
    </row>
    <row r="165" spans="2:18" s="789" customFormat="1">
      <c r="B165" s="2462"/>
      <c r="C165" s="2462"/>
      <c r="D165" s="2462"/>
      <c r="E165" s="2462"/>
      <c r="F165" s="2462"/>
      <c r="G165" s="2463"/>
      <c r="H165" s="2462"/>
      <c r="I165" s="2463"/>
      <c r="J165" s="2462"/>
      <c r="K165" s="2462"/>
      <c r="L165" s="2463"/>
      <c r="M165" s="2462"/>
      <c r="N165" s="2462"/>
      <c r="O165" s="2463"/>
      <c r="P165" s="2462"/>
      <c r="Q165" s="2462"/>
      <c r="R165" s="2464"/>
    </row>
    <row r="166" spans="2:18" s="789" customFormat="1">
      <c r="B166" s="2462"/>
      <c r="C166" s="2462"/>
      <c r="D166" s="2462"/>
      <c r="E166" s="2462"/>
      <c r="F166" s="2462"/>
      <c r="G166" s="2463"/>
      <c r="H166" s="2462"/>
      <c r="I166" s="2463"/>
      <c r="J166" s="2462"/>
      <c r="K166" s="2462"/>
      <c r="L166" s="2463"/>
      <c r="M166" s="2462"/>
      <c r="N166" s="2462"/>
      <c r="O166" s="2463"/>
      <c r="P166" s="2462"/>
      <c r="Q166" s="2462"/>
      <c r="R166" s="2464"/>
    </row>
    <row r="167" spans="2:18" s="789" customFormat="1">
      <c r="B167" s="2462"/>
      <c r="C167" s="2462"/>
      <c r="D167" s="2462"/>
      <c r="E167" s="2462"/>
      <c r="F167" s="2462"/>
      <c r="G167" s="2463"/>
      <c r="H167" s="2462"/>
      <c r="I167" s="2463"/>
      <c r="J167" s="2462"/>
      <c r="K167" s="2462"/>
      <c r="L167" s="2463"/>
      <c r="M167" s="2462"/>
      <c r="N167" s="2462"/>
      <c r="O167" s="2463"/>
      <c r="P167" s="2462"/>
      <c r="Q167" s="2462"/>
      <c r="R167" s="2464"/>
    </row>
    <row r="168" spans="2:18" s="789" customFormat="1">
      <c r="B168" s="2462"/>
      <c r="C168" s="2462"/>
      <c r="D168" s="2462"/>
      <c r="E168" s="2462"/>
      <c r="F168" s="2462"/>
      <c r="G168" s="2463"/>
      <c r="H168" s="2462"/>
      <c r="I168" s="2463"/>
      <c r="J168" s="2462"/>
      <c r="K168" s="2462"/>
      <c r="L168" s="2463"/>
      <c r="M168" s="2462"/>
      <c r="N168" s="2462"/>
      <c r="O168" s="2463"/>
      <c r="P168" s="2462"/>
      <c r="Q168" s="2462"/>
      <c r="R168" s="2464"/>
    </row>
    <row r="169" spans="2:18" s="789" customFormat="1">
      <c r="B169" s="2462"/>
      <c r="C169" s="2462"/>
      <c r="D169" s="2462"/>
      <c r="E169" s="2462"/>
      <c r="F169" s="2462"/>
      <c r="G169" s="2463"/>
      <c r="H169" s="2462"/>
      <c r="I169" s="2463"/>
      <c r="J169" s="2462"/>
      <c r="K169" s="2462"/>
      <c r="L169" s="2463"/>
      <c r="M169" s="2462"/>
      <c r="N169" s="2462"/>
      <c r="O169" s="2463"/>
      <c r="P169" s="2462"/>
      <c r="Q169" s="2462"/>
      <c r="R169" s="2464"/>
    </row>
    <row r="170" spans="2:18" s="789" customFormat="1">
      <c r="B170" s="2462"/>
      <c r="C170" s="2462"/>
      <c r="D170" s="2462"/>
      <c r="E170" s="2462"/>
      <c r="F170" s="2462"/>
      <c r="G170" s="2463"/>
      <c r="H170" s="2462"/>
      <c r="I170" s="2463"/>
      <c r="J170" s="2462"/>
      <c r="K170" s="2462"/>
      <c r="L170" s="2463"/>
      <c r="M170" s="2462"/>
      <c r="N170" s="2462"/>
      <c r="O170" s="2463"/>
      <c r="P170" s="2462"/>
      <c r="Q170" s="2462"/>
      <c r="R170" s="2464"/>
    </row>
    <row r="171" spans="2:18" s="789" customFormat="1">
      <c r="B171" s="2462"/>
      <c r="C171" s="2462"/>
      <c r="D171" s="2462"/>
      <c r="E171" s="2462"/>
      <c r="F171" s="2462"/>
      <c r="G171" s="2463"/>
      <c r="H171" s="2462"/>
      <c r="I171" s="2463"/>
      <c r="J171" s="2462"/>
      <c r="K171" s="2462"/>
      <c r="L171" s="2463"/>
      <c r="M171" s="2462"/>
      <c r="N171" s="2462"/>
      <c r="O171" s="2463"/>
      <c r="P171" s="2462"/>
      <c r="Q171" s="2462"/>
      <c r="R171" s="2464"/>
    </row>
    <row r="172" spans="2:18" s="789" customFormat="1">
      <c r="B172" s="2462"/>
      <c r="C172" s="2462"/>
      <c r="D172" s="2462"/>
      <c r="E172" s="2462"/>
      <c r="F172" s="2462"/>
      <c r="G172" s="2463"/>
      <c r="H172" s="2462"/>
      <c r="I172" s="2463"/>
      <c r="J172" s="2462"/>
      <c r="K172" s="2462"/>
      <c r="L172" s="2463"/>
      <c r="M172" s="2462"/>
      <c r="N172" s="2462"/>
      <c r="O172" s="2463"/>
      <c r="P172" s="2462"/>
      <c r="Q172" s="2462"/>
      <c r="R172" s="2464"/>
    </row>
    <row r="173" spans="2:18" s="789" customFormat="1">
      <c r="B173" s="2462"/>
      <c r="C173" s="2462"/>
      <c r="D173" s="2462"/>
      <c r="E173" s="2462"/>
      <c r="F173" s="2462"/>
      <c r="G173" s="2463"/>
      <c r="H173" s="2462"/>
      <c r="I173" s="2463"/>
      <c r="J173" s="2462"/>
      <c r="K173" s="2462"/>
      <c r="L173" s="2463"/>
      <c r="M173" s="2462"/>
      <c r="N173" s="2462"/>
      <c r="O173" s="2463"/>
      <c r="P173" s="2462"/>
      <c r="Q173" s="2462"/>
      <c r="R173" s="2464"/>
    </row>
    <row r="174" spans="2:18" s="789" customFormat="1">
      <c r="B174" s="2462"/>
      <c r="C174" s="2462"/>
      <c r="D174" s="2462"/>
      <c r="E174" s="2462"/>
      <c r="F174" s="2462"/>
      <c r="G174" s="2463"/>
      <c r="H174" s="2462"/>
      <c r="I174" s="2463"/>
      <c r="J174" s="2462"/>
      <c r="K174" s="2462"/>
      <c r="L174" s="2463"/>
      <c r="M174" s="2462"/>
      <c r="N174" s="2462"/>
      <c r="O174" s="2463"/>
      <c r="P174" s="2462"/>
      <c r="Q174" s="2462"/>
      <c r="R174" s="2464"/>
    </row>
    <row r="175" spans="2:18" s="789" customFormat="1">
      <c r="B175" s="2462"/>
      <c r="C175" s="2462"/>
      <c r="D175" s="2462"/>
      <c r="E175" s="2462"/>
      <c r="F175" s="2462"/>
      <c r="G175" s="2463"/>
      <c r="H175" s="2462"/>
      <c r="I175" s="2463"/>
      <c r="J175" s="2462"/>
      <c r="K175" s="2462"/>
      <c r="L175" s="2463"/>
      <c r="M175" s="2462"/>
      <c r="N175" s="2462"/>
      <c r="O175" s="2463"/>
      <c r="P175" s="2462"/>
      <c r="Q175" s="2462"/>
      <c r="R175" s="2464"/>
    </row>
    <row r="176" spans="2:18" s="789" customFormat="1">
      <c r="B176" s="2462"/>
      <c r="C176" s="2462"/>
      <c r="D176" s="2462"/>
      <c r="E176" s="2462"/>
      <c r="F176" s="2462"/>
      <c r="G176" s="2463"/>
      <c r="H176" s="2462"/>
      <c r="I176" s="2463"/>
      <c r="J176" s="2462"/>
      <c r="K176" s="2462"/>
      <c r="L176" s="2463"/>
      <c r="M176" s="2462"/>
      <c r="N176" s="2462"/>
      <c r="O176" s="2463"/>
      <c r="P176" s="2462"/>
      <c r="Q176" s="2462"/>
      <c r="R176" s="2464"/>
    </row>
    <row r="177" spans="1:18" s="789" customFormat="1">
      <c r="B177" s="2462"/>
      <c r="C177" s="2462"/>
      <c r="D177" s="2462"/>
      <c r="E177" s="2462"/>
      <c r="F177" s="2462"/>
      <c r="G177" s="2463"/>
      <c r="H177" s="2462"/>
      <c r="I177" s="2463"/>
      <c r="J177" s="2462"/>
      <c r="K177" s="2462"/>
      <c r="L177" s="2463"/>
      <c r="M177" s="2462"/>
      <c r="N177" s="2462"/>
      <c r="O177" s="2463"/>
      <c r="P177" s="2462"/>
      <c r="Q177" s="2462"/>
      <c r="R177" s="2464"/>
    </row>
    <row r="178" spans="1:18" s="789" customFormat="1">
      <c r="B178" s="2462"/>
      <c r="C178" s="2462"/>
      <c r="D178" s="2462"/>
      <c r="E178" s="2462"/>
      <c r="F178" s="2462"/>
      <c r="G178" s="2463"/>
      <c r="H178" s="2462"/>
      <c r="I178" s="2463"/>
      <c r="J178" s="2462"/>
      <c r="K178" s="2462"/>
      <c r="L178" s="2463"/>
      <c r="M178" s="2462"/>
      <c r="N178" s="2462"/>
      <c r="O178" s="2463"/>
      <c r="P178" s="2462"/>
      <c r="Q178" s="2462"/>
      <c r="R178" s="2464"/>
    </row>
    <row r="179" spans="1:18" s="789" customFormat="1">
      <c r="B179" s="2462"/>
      <c r="C179" s="2462"/>
      <c r="D179" s="2462"/>
      <c r="E179" s="2462"/>
      <c r="F179" s="2462"/>
      <c r="G179" s="2463"/>
      <c r="H179" s="2462"/>
      <c r="I179" s="2463"/>
      <c r="J179" s="2462"/>
      <c r="K179" s="2462"/>
      <c r="L179" s="2463"/>
      <c r="M179" s="2462"/>
      <c r="N179" s="2462"/>
      <c r="O179" s="2463"/>
      <c r="P179" s="2462"/>
      <c r="Q179" s="2462"/>
      <c r="R179" s="2464"/>
    </row>
    <row r="180" spans="1:18" s="789" customFormat="1">
      <c r="B180" s="2462"/>
      <c r="C180" s="2462"/>
      <c r="D180" s="2462"/>
      <c r="E180" s="2462"/>
      <c r="F180" s="2462"/>
      <c r="G180" s="2463"/>
      <c r="H180" s="2462"/>
      <c r="I180" s="2463"/>
      <c r="J180" s="2462"/>
      <c r="K180" s="2462"/>
      <c r="L180" s="2463"/>
      <c r="M180" s="2462"/>
      <c r="N180" s="2462"/>
      <c r="O180" s="2463"/>
      <c r="P180" s="2462"/>
      <c r="Q180" s="2462"/>
      <c r="R180" s="2464"/>
    </row>
    <row r="181" spans="1:18" s="789" customFormat="1">
      <c r="B181" s="2462"/>
      <c r="C181" s="2462"/>
      <c r="D181" s="2462"/>
      <c r="E181" s="2462"/>
      <c r="F181" s="2462"/>
      <c r="G181" s="2463"/>
      <c r="H181" s="2462"/>
      <c r="I181" s="2463"/>
      <c r="J181" s="2462"/>
      <c r="K181" s="2462"/>
      <c r="L181" s="2463"/>
      <c r="M181" s="2462"/>
      <c r="N181" s="2462"/>
      <c r="O181" s="2463"/>
      <c r="P181" s="2462"/>
      <c r="Q181" s="2462"/>
      <c r="R181" s="2464"/>
    </row>
    <row r="182" spans="1:18" s="789" customFormat="1">
      <c r="B182" s="2462"/>
      <c r="C182" s="2462"/>
      <c r="D182" s="2462"/>
      <c r="E182" s="2462"/>
      <c r="F182" s="2462"/>
      <c r="G182" s="2463"/>
      <c r="H182" s="2462"/>
      <c r="I182" s="2463"/>
      <c r="J182" s="2462"/>
      <c r="K182" s="2462"/>
      <c r="L182" s="2463"/>
      <c r="M182" s="2462"/>
      <c r="N182" s="2462"/>
      <c r="O182" s="2463"/>
      <c r="P182" s="2462"/>
      <c r="Q182" s="2462"/>
      <c r="R182" s="2464"/>
    </row>
    <row r="183" spans="1:18" s="789" customFormat="1">
      <c r="B183" s="2462"/>
      <c r="C183" s="2462"/>
      <c r="D183" s="2462"/>
      <c r="E183" s="2462"/>
      <c r="F183" s="2462"/>
      <c r="G183" s="2463"/>
      <c r="H183" s="2462"/>
      <c r="I183" s="2463"/>
      <c r="J183" s="2462"/>
      <c r="K183" s="2462"/>
      <c r="L183" s="2463"/>
      <c r="M183" s="2462"/>
      <c r="N183" s="2462"/>
      <c r="O183" s="2463"/>
      <c r="P183" s="2462"/>
      <c r="Q183" s="2462"/>
      <c r="R183" s="2464"/>
    </row>
    <row r="184" spans="1:18" s="789" customFormat="1">
      <c r="B184" s="2462"/>
      <c r="C184" s="2462"/>
      <c r="D184" s="2462"/>
      <c r="E184" s="2462"/>
      <c r="F184" s="2462"/>
      <c r="G184" s="2463"/>
      <c r="H184" s="2462"/>
      <c r="I184" s="2463"/>
      <c r="J184" s="2462"/>
      <c r="K184" s="2462"/>
      <c r="L184" s="2463"/>
      <c r="M184" s="2462"/>
      <c r="N184" s="2462"/>
      <c r="O184" s="2463"/>
      <c r="P184" s="2462"/>
      <c r="Q184" s="2462"/>
      <c r="R184" s="2464"/>
    </row>
    <row r="185" spans="1:18" s="789" customFormat="1">
      <c r="B185" s="2462"/>
      <c r="C185" s="2462"/>
      <c r="D185" s="2462"/>
      <c r="E185" s="2462"/>
      <c r="F185" s="2462"/>
      <c r="G185" s="2463"/>
      <c r="H185" s="2462"/>
      <c r="I185" s="2463"/>
      <c r="J185" s="2462"/>
      <c r="K185" s="2462"/>
      <c r="L185" s="2463"/>
      <c r="M185" s="2462"/>
      <c r="N185" s="2462"/>
      <c r="O185" s="2463"/>
      <c r="P185" s="2462"/>
      <c r="Q185" s="2462"/>
      <c r="R185" s="2464"/>
    </row>
    <row r="186" spans="1:18">
      <c r="A186" s="789"/>
      <c r="B186" s="2462"/>
      <c r="C186" s="2462"/>
      <c r="E186" s="2462"/>
      <c r="F186" s="2462"/>
      <c r="G186" s="2463"/>
    </row>
    <row r="187" spans="1:18">
      <c r="A187" s="789"/>
      <c r="B187" s="2462"/>
      <c r="C187" s="2462"/>
      <c r="E187" s="2462"/>
      <c r="F187" s="2462"/>
      <c r="G187" s="246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484" customWidth="1"/>
    <col min="2" max="9" width="15.77734375" style="2484" customWidth="1"/>
    <col min="10" max="16384" width="9" style="2484"/>
  </cols>
  <sheetData>
    <row r="1" spans="1:11" ht="16.2">
      <c r="A1" s="2483" t="s">
        <v>665</v>
      </c>
      <c r="B1" s="2483">
        <f>SUM(B14:B23)</f>
        <v>88.78</v>
      </c>
      <c r="C1" s="2657"/>
      <c r="D1" s="2657"/>
      <c r="E1" s="2657"/>
      <c r="F1" s="2657"/>
      <c r="G1" s="2658"/>
      <c r="H1" s="2659"/>
      <c r="I1" s="2659"/>
      <c r="J1" s="2659"/>
      <c r="K1" s="2659"/>
    </row>
    <row r="2" spans="1:11" ht="16.2">
      <c r="A2" s="2483" t="s">
        <v>653</v>
      </c>
      <c r="B2" s="2483">
        <f>SUM(C14:C23)</f>
        <v>0</v>
      </c>
      <c r="C2" s="2657"/>
      <c r="D2" s="2657"/>
      <c r="E2" s="2657"/>
      <c r="F2" s="2657"/>
      <c r="G2" s="2658"/>
      <c r="H2" s="2659"/>
      <c r="I2" s="2659"/>
      <c r="J2" s="2659"/>
      <c r="K2" s="2659"/>
    </row>
    <row r="3" spans="1:11" ht="15.6">
      <c r="A3" s="2483" t="s">
        <v>662</v>
      </c>
      <c r="B3" s="2485">
        <f>项目基本情况!D3</f>
        <v>37917</v>
      </c>
      <c r="C3" s="2657"/>
      <c r="D3" s="2657"/>
      <c r="E3" s="2657"/>
      <c r="F3" s="2657"/>
      <c r="G3" s="2658"/>
      <c r="H3" s="2659"/>
      <c r="I3" s="2659"/>
      <c r="J3" s="2659"/>
      <c r="K3" s="2659"/>
    </row>
    <row r="4" spans="1:11" ht="31.2">
      <c r="A4" s="2483" t="s">
        <v>661</v>
      </c>
      <c r="B4" s="2483" t="s">
        <v>660</v>
      </c>
      <c r="C4" s="2483" t="s">
        <v>659</v>
      </c>
      <c r="D4" s="2483" t="s">
        <v>658</v>
      </c>
      <c r="E4" s="2657"/>
      <c r="F4" s="2658"/>
      <c r="G4" s="2658"/>
      <c r="H4" s="2659"/>
      <c r="I4" s="2659"/>
      <c r="J4" s="2659"/>
      <c r="K4" s="2659"/>
    </row>
    <row r="5" spans="1:11" ht="15.6">
      <c r="A5" s="2483" t="s">
        <v>657</v>
      </c>
      <c r="B5" s="2483" t="e">
        <f ca="1">SUM(D14:D23)</f>
        <v>#REF!</v>
      </c>
      <c r="C5" s="2483" t="e">
        <f ca="1">IF(B5=D14,结果表!H102,ROUND(B5*10000/$B$1,0))</f>
        <v>#REF!</v>
      </c>
      <c r="D5" s="2483" t="e">
        <f ca="1">ROUND(B5*10000/$B$2,0)</f>
        <v>#REF!</v>
      </c>
      <c r="E5" s="2657"/>
      <c r="F5" s="2658"/>
      <c r="G5" s="2658"/>
      <c r="H5" s="2659"/>
      <c r="I5" s="2659"/>
      <c r="J5" s="2659"/>
      <c r="K5" s="2659"/>
    </row>
    <row r="6" spans="1:11" ht="15.6">
      <c r="A6" s="2483" t="s">
        <v>656</v>
      </c>
      <c r="B6" s="2483">
        <f>SUM(G14:G23)</f>
        <v>0</v>
      </c>
      <c r="C6" s="2483">
        <f ca="1">IF(B6=G14,结果表!H108,ROUND(B6*10000/$B$1,0))</f>
        <v>0</v>
      </c>
      <c r="D6" s="2483" t="e">
        <f>ROUND(B6*10000/$B$2,0)</f>
        <v>#DIV/0!</v>
      </c>
      <c r="E6" s="2657"/>
      <c r="F6" s="2658"/>
      <c r="G6" s="2658"/>
      <c r="H6" s="2659"/>
      <c r="I6" s="2659"/>
      <c r="J6" s="2659"/>
      <c r="K6" s="2659"/>
    </row>
    <row r="7" spans="1:11" ht="15.6">
      <c r="A7" s="2483" t="s">
        <v>664</v>
      </c>
      <c r="B7" s="2483">
        <f>SUM(H14:H23)</f>
        <v>0</v>
      </c>
      <c r="C7" s="2483" t="str">
        <f>IF(B7=H14,结果表!H110,ROUND(B7*10000/$B$1,0))</f>
        <v>——</v>
      </c>
      <c r="D7" s="2483" t="e">
        <f>ROUND(B7*10000/$B$2,0)</f>
        <v>#DIV/0!</v>
      </c>
      <c r="E7" s="2657"/>
      <c r="F7" s="2658"/>
      <c r="G7" s="2658"/>
      <c r="H7" s="2659"/>
      <c r="I7" s="2659"/>
      <c r="J7" s="2659"/>
      <c r="K7" s="2659"/>
    </row>
    <row r="8" spans="1:11" ht="15.6">
      <c r="A8" s="2483" t="s">
        <v>587</v>
      </c>
      <c r="B8" s="2483">
        <f>SUM(I14:I23)</f>
        <v>0</v>
      </c>
      <c r="C8" s="2483" t="str">
        <f>IF(B8=I14,结果表!H112,ROUND(B8*10000/$B$1,0))</f>
        <v>——</v>
      </c>
      <c r="D8" s="2483" t="e">
        <f>ROUND(B8*10000/$B$2,0)</f>
        <v>#DIV/0!</v>
      </c>
      <c r="E8" s="2657"/>
      <c r="F8" s="2658"/>
      <c r="G8" s="2658"/>
      <c r="H8" s="2659"/>
      <c r="I8" s="2659"/>
      <c r="J8" s="2659"/>
      <c r="K8" s="2659"/>
    </row>
    <row r="9" spans="1:11" ht="15.6">
      <c r="A9" s="2483" t="s">
        <v>655</v>
      </c>
      <c r="B9" s="2491"/>
      <c r="C9" s="2657"/>
      <c r="D9" s="2657"/>
      <c r="E9" s="2657"/>
      <c r="F9" s="2658"/>
      <c r="G9" s="2658"/>
      <c r="H9" s="2659"/>
      <c r="I9" s="2659"/>
      <c r="J9" s="2659"/>
      <c r="K9" s="2659"/>
    </row>
    <row r="10" spans="1:11" ht="15.6">
      <c r="A10" s="2483" t="s">
        <v>654</v>
      </c>
      <c r="B10" s="2483">
        <f>IF(E10="",0,ROUND(B1*(E10*365/G10)/10000,0))</f>
        <v>0</v>
      </c>
      <c r="C10" s="2483" t="s">
        <v>3358</v>
      </c>
      <c r="D10" s="2483" t="s">
        <v>3359</v>
      </c>
      <c r="E10" s="3412"/>
      <c r="F10" s="3416" t="s">
        <v>3360</v>
      </c>
      <c r="G10" s="3413"/>
      <c r="H10" s="2659"/>
      <c r="I10" s="2659"/>
      <c r="J10" s="2659"/>
      <c r="K10" s="2659"/>
    </row>
    <row r="11" spans="1:11" ht="15.6">
      <c r="A11" s="2483" t="s">
        <v>670</v>
      </c>
      <c r="B11" s="2491"/>
      <c r="C11" s="2657"/>
      <c r="D11" s="2657"/>
      <c r="E11" s="2657"/>
      <c r="F11" s="2658"/>
      <c r="G11" s="2658"/>
      <c r="H11" s="2659"/>
      <c r="I11" s="2659"/>
      <c r="J11" s="2659"/>
      <c r="K11" s="2659"/>
    </row>
    <row r="12" spans="1:11" ht="15.6">
      <c r="A12" s="2657"/>
      <c r="B12" s="2657"/>
      <c r="C12" s="2657"/>
      <c r="D12" s="2657"/>
      <c r="E12" s="2657"/>
      <c r="F12" s="2658"/>
      <c r="G12" s="2658"/>
      <c r="H12" s="2659"/>
      <c r="I12" s="2659"/>
      <c r="J12" s="2659"/>
      <c r="K12" s="2659"/>
    </row>
    <row r="13" spans="1:11" ht="31.8">
      <c r="A13" s="2486" t="s">
        <v>669</v>
      </c>
      <c r="B13" s="2487" t="s">
        <v>666</v>
      </c>
      <c r="C13" s="2487" t="s">
        <v>668</v>
      </c>
      <c r="D13" s="2487" t="s">
        <v>667</v>
      </c>
      <c r="E13" s="2483" t="s">
        <v>659</v>
      </c>
      <c r="F13" s="2483" t="s">
        <v>658</v>
      </c>
      <c r="G13" s="2487" t="s">
        <v>652</v>
      </c>
      <c r="H13" s="2487" t="s">
        <v>663</v>
      </c>
      <c r="I13" s="2487" t="s">
        <v>651</v>
      </c>
      <c r="J13" s="2658"/>
      <c r="K13" s="2659"/>
    </row>
    <row r="14" spans="1:11" ht="15.6">
      <c r="A14" s="2488" t="s">
        <v>650</v>
      </c>
      <c r="B14" s="2489">
        <f>项目基本情况!C17</f>
        <v>88.78</v>
      </c>
      <c r="C14" s="2489"/>
      <c r="D14" s="2489" t="e">
        <f ca="1">结果表!G19</f>
        <v>#REF!</v>
      </c>
      <c r="E14" s="2489" t="e">
        <f ca="1">ROUND(D14*10000/B14,0)</f>
        <v>#REF!</v>
      </c>
      <c r="F14" s="2489" t="e">
        <f ca="1">ROUND(D14*10000/C14,0)</f>
        <v>#REF!</v>
      </c>
      <c r="G14" s="2489"/>
      <c r="H14" s="2489"/>
      <c r="I14" s="2489"/>
      <c r="J14" s="2658"/>
      <c r="K14" s="2659"/>
    </row>
    <row r="15" spans="1:11" ht="15.6">
      <c r="A15" s="2488" t="s">
        <v>649</v>
      </c>
      <c r="B15" s="2490"/>
      <c r="C15" s="2490"/>
      <c r="D15" s="2490"/>
      <c r="E15" s="2489" t="e">
        <f t="shared" ref="E15:E23" si="0">ROUND(D15*10000/B15,0)</f>
        <v>#DIV/0!</v>
      </c>
      <c r="F15" s="2489" t="e">
        <f t="shared" ref="F15:F23" si="1">ROUND(D15*10000/C15,0)</f>
        <v>#DIV/0!</v>
      </c>
      <c r="G15" s="1318"/>
      <c r="H15" s="1318"/>
      <c r="I15" s="2490"/>
      <c r="J15" s="2658"/>
      <c r="K15" s="2659"/>
    </row>
    <row r="16" spans="1:11" ht="15.6">
      <c r="A16" s="2488" t="s">
        <v>648</v>
      </c>
      <c r="B16" s="2490"/>
      <c r="C16" s="2490"/>
      <c r="D16" s="2490"/>
      <c r="E16" s="2489" t="e">
        <f t="shared" si="0"/>
        <v>#DIV/0!</v>
      </c>
      <c r="F16" s="2489" t="e">
        <f t="shared" si="1"/>
        <v>#DIV/0!</v>
      </c>
      <c r="G16" s="1318"/>
      <c r="H16" s="1318"/>
      <c r="I16" s="2490"/>
      <c r="J16" s="2659"/>
      <c r="K16" s="2659"/>
    </row>
    <row r="17" spans="1:11" ht="15.6">
      <c r="A17" s="2488" t="s">
        <v>647</v>
      </c>
      <c r="B17" s="2490"/>
      <c r="C17" s="2490"/>
      <c r="D17" s="2490"/>
      <c r="E17" s="2489" t="e">
        <f t="shared" si="0"/>
        <v>#DIV/0!</v>
      </c>
      <c r="F17" s="2489" t="e">
        <f t="shared" si="1"/>
        <v>#DIV/0!</v>
      </c>
      <c r="G17" s="1318"/>
      <c r="H17" s="1318"/>
      <c r="I17" s="2490"/>
      <c r="J17" s="2659"/>
      <c r="K17" s="2659"/>
    </row>
    <row r="18" spans="1:11" ht="15.6">
      <c r="A18" s="2488" t="s">
        <v>646</v>
      </c>
      <c r="B18" s="2490"/>
      <c r="C18" s="2490"/>
      <c r="D18" s="2490"/>
      <c r="E18" s="2489" t="e">
        <f t="shared" si="0"/>
        <v>#DIV/0!</v>
      </c>
      <c r="F18" s="2489" t="e">
        <f t="shared" si="1"/>
        <v>#DIV/0!</v>
      </c>
      <c r="G18" s="2490"/>
      <c r="H18" s="2490"/>
      <c r="I18" s="2490"/>
      <c r="J18" s="2659"/>
      <c r="K18" s="2659"/>
    </row>
    <row r="19" spans="1:11" ht="15.6">
      <c r="A19" s="2488" t="s">
        <v>645</v>
      </c>
      <c r="B19" s="2490"/>
      <c r="C19" s="2490"/>
      <c r="D19" s="2490"/>
      <c r="E19" s="2489" t="e">
        <f t="shared" si="0"/>
        <v>#DIV/0!</v>
      </c>
      <c r="F19" s="2489" t="e">
        <f t="shared" si="1"/>
        <v>#DIV/0!</v>
      </c>
      <c r="G19" s="2490"/>
      <c r="H19" s="2490"/>
      <c r="I19" s="2490"/>
      <c r="J19" s="2659"/>
      <c r="K19" s="2659"/>
    </row>
    <row r="20" spans="1:11" ht="15.6">
      <c r="A20" s="2488" t="s">
        <v>644</v>
      </c>
      <c r="B20" s="2490"/>
      <c r="C20" s="2490"/>
      <c r="D20" s="2490"/>
      <c r="E20" s="2489" t="e">
        <f t="shared" si="0"/>
        <v>#DIV/0!</v>
      </c>
      <c r="F20" s="2489" t="e">
        <f t="shared" si="1"/>
        <v>#DIV/0!</v>
      </c>
      <c r="G20" s="2490"/>
      <c r="H20" s="2490"/>
      <c r="I20" s="2490"/>
      <c r="J20" s="2659"/>
      <c r="K20" s="2659"/>
    </row>
    <row r="21" spans="1:11" ht="15.6">
      <c r="A21" s="2488" t="s">
        <v>643</v>
      </c>
      <c r="B21" s="2490"/>
      <c r="C21" s="2490"/>
      <c r="D21" s="2490"/>
      <c r="E21" s="2489" t="e">
        <f t="shared" si="0"/>
        <v>#DIV/0!</v>
      </c>
      <c r="F21" s="2489" t="e">
        <f t="shared" si="1"/>
        <v>#DIV/0!</v>
      </c>
      <c r="G21" s="2490"/>
      <c r="H21" s="2490"/>
      <c r="I21" s="2490"/>
      <c r="J21" s="2659"/>
      <c r="K21" s="2659"/>
    </row>
    <row r="22" spans="1:11" ht="15.6">
      <c r="A22" s="2488" t="s">
        <v>642</v>
      </c>
      <c r="B22" s="2490"/>
      <c r="C22" s="2490"/>
      <c r="D22" s="2490"/>
      <c r="E22" s="2489" t="e">
        <f t="shared" si="0"/>
        <v>#DIV/0!</v>
      </c>
      <c r="F22" s="2489" t="e">
        <f t="shared" si="1"/>
        <v>#DIV/0!</v>
      </c>
      <c r="G22" s="2490"/>
      <c r="H22" s="2490"/>
      <c r="I22" s="2490"/>
      <c r="J22" s="2659"/>
      <c r="K22" s="2659"/>
    </row>
    <row r="23" spans="1:11" ht="15.6">
      <c r="A23" s="2488" t="s">
        <v>641</v>
      </c>
      <c r="B23" s="2490"/>
      <c r="C23" s="2490"/>
      <c r="D23" s="2490"/>
      <c r="E23" s="2491" t="e">
        <f t="shared" si="0"/>
        <v>#DIV/0!</v>
      </c>
      <c r="F23" s="2491" t="e">
        <f t="shared" si="1"/>
        <v>#DIV/0!</v>
      </c>
      <c r="G23" s="2490"/>
      <c r="H23" s="2490"/>
      <c r="I23" s="2490"/>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6640625" style="1740"/>
    <col min="3" max="4" width="12.6640625" style="1740" customWidth="1"/>
    <col min="5" max="9" width="12.6640625" style="1740"/>
    <col min="10" max="11" width="12.6640625" style="715" customWidth="1"/>
    <col min="12" max="12" width="12.6640625" style="715"/>
    <col min="13" max="13" width="14.109375" style="715" bestFit="1" customWidth="1"/>
    <col min="14" max="26" width="12.6640625" style="715"/>
    <col min="27" max="35" width="12.6640625" style="1739"/>
    <col min="36" max="16384" width="12.6640625" style="1740"/>
  </cols>
  <sheetData>
    <row r="1" spans="1:12" ht="21.75" customHeight="1" thickBot="1">
      <c r="A1" s="1624" t="s">
        <v>1262</v>
      </c>
      <c r="B1" s="1734"/>
      <c r="C1" s="1735" t="s">
        <v>3390</v>
      </c>
      <c r="D1" s="1734"/>
      <c r="E1" s="1734"/>
      <c r="F1" s="1736" t="s">
        <v>1263</v>
      </c>
      <c r="G1" s="1548"/>
      <c r="H1" s="1737" t="str">
        <f>IF(G1="现房","——","估价对象范围")</f>
        <v>估价对象范围</v>
      </c>
      <c r="I1" s="1738"/>
    </row>
    <row r="2" spans="1:12" ht="21.75" customHeight="1" thickBot="1">
      <c r="A2" s="4073" t="str">
        <f>项目基本情况!S2</f>
        <v>北京市房地产</v>
      </c>
      <c r="B2" s="4074"/>
      <c r="C2" s="4074"/>
      <c r="D2" s="4074"/>
      <c r="E2" s="4074"/>
      <c r="F2" s="4074"/>
      <c r="G2" s="4074"/>
      <c r="H2" s="4074"/>
      <c r="I2" s="4075"/>
    </row>
    <row r="3" spans="1:12" ht="13.2">
      <c r="A3" s="4077" t="s">
        <v>1264</v>
      </c>
      <c r="B3" s="4078"/>
      <c r="C3" s="4078"/>
      <c r="D3" s="4078"/>
      <c r="E3" s="4078"/>
      <c r="F3" s="4078"/>
      <c r="G3" s="4078"/>
      <c r="H3" s="4078"/>
      <c r="I3" s="4078"/>
    </row>
    <row r="4" spans="1:12" ht="14.4">
      <c r="A4" s="3722" t="s">
        <v>1265</v>
      </c>
      <c r="B4" s="3723" t="s">
        <v>1266</v>
      </c>
      <c r="C4" s="3724" t="s">
        <v>3397</v>
      </c>
      <c r="D4" s="3724" t="s">
        <v>3398</v>
      </c>
      <c r="E4" s="4079" t="s">
        <v>1267</v>
      </c>
      <c r="F4" s="4080"/>
      <c r="G4" s="4080"/>
      <c r="H4" s="4080"/>
      <c r="I4" s="4081"/>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比较法</v>
      </c>
    </row>
    <row r="5" spans="1:12" ht="13.2">
      <c r="A5" s="4053" t="s">
        <v>1268</v>
      </c>
      <c r="B5" s="4040">
        <v>25</v>
      </c>
      <c r="C5" s="4056">
        <v>0</v>
      </c>
      <c r="D5" s="4076">
        <f>10-C5</f>
        <v>10</v>
      </c>
      <c r="E5" s="3725" t="s">
        <v>1269</v>
      </c>
      <c r="F5" s="3726"/>
      <c r="G5" s="3726"/>
      <c r="H5" s="3726"/>
      <c r="I5" s="3727"/>
    </row>
    <row r="6" spans="1:12" ht="13.2">
      <c r="A6" s="4053"/>
      <c r="B6" s="4040"/>
      <c r="C6" s="4057"/>
      <c r="D6" s="4076"/>
      <c r="E6" s="3725" t="s">
        <v>1270</v>
      </c>
      <c r="F6" s="3726"/>
      <c r="G6" s="3726"/>
      <c r="H6" s="3726"/>
      <c r="I6" s="3727"/>
    </row>
    <row r="7" spans="1:12" ht="13.2">
      <c r="A7" s="4053"/>
      <c r="B7" s="4040"/>
      <c r="C7" s="4058"/>
      <c r="D7" s="4076"/>
      <c r="E7" s="3725" t="s">
        <v>1271</v>
      </c>
      <c r="F7" s="3726"/>
      <c r="G7" s="3726"/>
      <c r="H7" s="3726"/>
      <c r="I7" s="3727"/>
    </row>
    <row r="8" spans="1:12" ht="13.2">
      <c r="A8" s="4053" t="s">
        <v>1272</v>
      </c>
      <c r="B8" s="4040">
        <v>15</v>
      </c>
      <c r="C8" s="4056"/>
      <c r="D8" s="4076"/>
      <c r="E8" s="3725" t="s">
        <v>1273</v>
      </c>
      <c r="F8" s="3726"/>
      <c r="G8" s="3726"/>
      <c r="H8" s="3726"/>
      <c r="I8" s="3727"/>
    </row>
    <row r="9" spans="1:12" ht="13.2">
      <c r="A9" s="4053"/>
      <c r="B9" s="4040"/>
      <c r="C9" s="4058"/>
      <c r="D9" s="4076"/>
      <c r="E9" s="3725" t="s">
        <v>1274</v>
      </c>
      <c r="F9" s="3726"/>
      <c r="G9" s="3726"/>
      <c r="H9" s="3726"/>
      <c r="I9" s="3727"/>
    </row>
    <row r="10" spans="1:12" ht="13.2">
      <c r="A10" s="4053" t="s">
        <v>1275</v>
      </c>
      <c r="B10" s="4040">
        <v>15</v>
      </c>
      <c r="C10" s="4056"/>
      <c r="D10" s="4076"/>
      <c r="E10" s="3725" t="s">
        <v>1276</v>
      </c>
      <c r="F10" s="3726"/>
      <c r="G10" s="3726"/>
      <c r="H10" s="3726"/>
      <c r="I10" s="3727"/>
    </row>
    <row r="11" spans="1:12" ht="13.2">
      <c r="A11" s="4053"/>
      <c r="B11" s="4040"/>
      <c r="C11" s="4058"/>
      <c r="D11" s="4076"/>
      <c r="E11" s="3725" t="s">
        <v>1277</v>
      </c>
      <c r="F11" s="3726"/>
      <c r="G11" s="3726"/>
      <c r="H11" s="3726"/>
      <c r="I11" s="3727"/>
    </row>
    <row r="12" spans="1:12" ht="13.2">
      <c r="A12" s="4053" t="s">
        <v>1278</v>
      </c>
      <c r="B12" s="4040">
        <v>15</v>
      </c>
      <c r="C12" s="4056"/>
      <c r="D12" s="4076"/>
      <c r="E12" s="3725" t="s">
        <v>1279</v>
      </c>
      <c r="F12" s="3726"/>
      <c r="G12" s="3726"/>
      <c r="H12" s="3726"/>
      <c r="I12" s="3727"/>
    </row>
    <row r="13" spans="1:12" ht="13.2">
      <c r="A13" s="4053"/>
      <c r="B13" s="4040"/>
      <c r="C13" s="4058"/>
      <c r="D13" s="4076"/>
      <c r="E13" s="3725" t="s">
        <v>1280</v>
      </c>
      <c r="F13" s="3726"/>
      <c r="G13" s="3726"/>
      <c r="H13" s="3726"/>
      <c r="I13" s="3727"/>
    </row>
    <row r="14" spans="1:12" ht="13.2">
      <c r="A14" s="4053" t="s">
        <v>1281</v>
      </c>
      <c r="B14" s="4040">
        <v>30</v>
      </c>
      <c r="C14" s="4056"/>
      <c r="D14" s="4076"/>
      <c r="E14" s="3725" t="s">
        <v>1282</v>
      </c>
      <c r="F14" s="3726"/>
      <c r="G14" s="3726"/>
      <c r="H14" s="3726"/>
      <c r="I14" s="3727"/>
    </row>
    <row r="15" spans="1:12" ht="13.2">
      <c r="A15" s="4053"/>
      <c r="B15" s="4040"/>
      <c r="C15" s="4057"/>
      <c r="D15" s="4076"/>
      <c r="E15" s="3725" t="s">
        <v>1283</v>
      </c>
      <c r="F15" s="3726"/>
      <c r="G15" s="3726"/>
      <c r="H15" s="3726"/>
      <c r="I15" s="3727"/>
    </row>
    <row r="16" spans="1:12" ht="13.2">
      <c r="A16" s="4053"/>
      <c r="B16" s="4040"/>
      <c r="C16" s="4058"/>
      <c r="D16" s="4076"/>
      <c r="E16" s="3725" t="s">
        <v>1284</v>
      </c>
      <c r="F16" s="3726"/>
      <c r="G16" s="3726"/>
      <c r="H16" s="3726"/>
      <c r="I16" s="3727"/>
    </row>
    <row r="17" spans="1:36" ht="14.4">
      <c r="A17" s="3728" t="s">
        <v>1285</v>
      </c>
      <c r="B17" s="3729"/>
      <c r="C17" s="3730">
        <f>SUM(C5:C16)</f>
        <v>0</v>
      </c>
      <c r="D17" s="3730">
        <f>SUM(D5:D16)</f>
        <v>10</v>
      </c>
      <c r="E17" s="3731"/>
      <c r="F17" s="3731"/>
      <c r="G17" s="3731"/>
      <c r="H17" s="3731"/>
      <c r="I17" s="3731"/>
      <c r="K17" s="297"/>
      <c r="L17" s="297" t="s">
        <v>1286</v>
      </c>
      <c r="M17" s="297" t="s">
        <v>1287</v>
      </c>
    </row>
    <row r="18" spans="1:36" ht="31.95" customHeight="1" thickBot="1">
      <c r="A18" s="3732" t="s">
        <v>1288</v>
      </c>
      <c r="B18" s="3733"/>
      <c r="C18" s="3734">
        <f>ROUND(C17/SUM(C17:D17),2)</f>
        <v>0</v>
      </c>
      <c r="D18" s="3734">
        <f>1-C18</f>
        <v>1</v>
      </c>
      <c r="E18" s="4063" t="s">
        <v>2131</v>
      </c>
      <c r="F18" s="4064"/>
      <c r="G18" s="4064"/>
      <c r="H18" s="4064"/>
      <c r="I18" s="4064"/>
      <c r="K18" s="297" t="s">
        <v>1289</v>
      </c>
      <c r="L18" s="297">
        <f>IF(C1="",'数据-汇总表'!E3,SUMIF(项目类型,C1,'数据-汇总表'!E17:E26)+SUMIF(项目类型,C1,'数据-汇总表'!I17:I26))</f>
        <v>88.78</v>
      </c>
      <c r="M18" s="297">
        <f>IF(C1="",'数据-汇总表'!E3,SUMIF(项目类型,C1,'数据-汇总表'!E17:E26))</f>
        <v>88.78</v>
      </c>
    </row>
    <row r="19" spans="1:36" ht="14.4">
      <c r="A19" s="3735" t="s">
        <v>1290</v>
      </c>
      <c r="B19" s="3736" t="s">
        <v>1291</v>
      </c>
      <c r="C19" s="3737" t="e">
        <f ca="1">SUMIF(INDIRECT("'"&amp;C4&amp;"'"&amp;"!A:A"),结果表!B19,INDIRECT("'"&amp;C4&amp;"'"&amp;"!B:B"))</f>
        <v>#REF!</v>
      </c>
      <c r="D19" s="3738">
        <f ca="1">SUMIF(INDIRECT("'"&amp;D4&amp;"'"&amp;"!A:A"),结果表!B19,INDIRECT("'"&amp;D4&amp;"'"&amp;"!B:B"))</f>
        <v>57.653700000000001</v>
      </c>
      <c r="E19" s="3735" t="s">
        <v>1292</v>
      </c>
      <c r="F19" s="3736" t="s">
        <v>1291</v>
      </c>
      <c r="G19" s="3739" t="e">
        <f ca="1">ROUND(C19*$C$18+D19*$D$18,0)</f>
        <v>#REF!</v>
      </c>
      <c r="H19" s="3740" t="s">
        <v>1293</v>
      </c>
      <c r="I19" s="3731"/>
      <c r="K19" s="297" t="s">
        <v>1294</v>
      </c>
      <c r="L19" s="297">
        <f>IF(C1="",'数据-汇总表'!D3,SUMIF(项目类型,C1,'数据-汇总表'!D17:D26)+SUMIF(项目类型,C1,'数据-汇总表'!H17:H27))</f>
        <v>0</v>
      </c>
      <c r="M19" s="297">
        <f>IF(C1="",'数据-汇总表'!D3,SUMIF(项目类型,C1,'数据-汇总表'!D17:D26))</f>
        <v>0</v>
      </c>
    </row>
    <row r="20" spans="1:36" ht="14.4">
      <c r="A20" s="3741"/>
      <c r="B20" s="3742" t="s">
        <v>1295</v>
      </c>
      <c r="C20" s="3743" t="e">
        <f ca="1">SUMIF(INDIRECT("'"&amp;C4&amp;"'"&amp;"!A:A"),结果表!B20,INDIRECT("'"&amp;C4&amp;"'"&amp;"!B:B"))</f>
        <v>#REF!</v>
      </c>
      <c r="D20" s="3744">
        <f ca="1">SUMIF(INDIRECT("'"&amp;D4&amp;"'"&amp;"!A:A"),结果表!B20,INDIRECT("'"&amp;D4&amp;"'"&amp;"!B:B"))</f>
        <v>6494</v>
      </c>
      <c r="E20" s="3741"/>
      <c r="F20" s="3742" t="s">
        <v>1295</v>
      </c>
      <c r="G20" s="3745" t="e">
        <f ca="1">ROUND(C20*$C$18+D20*$D$18,0)</f>
        <v>#REF!</v>
      </c>
      <c r="H20" s="3746" t="s">
        <v>1296</v>
      </c>
      <c r="I20" s="3731"/>
    </row>
    <row r="21" spans="1:36" ht="15" customHeight="1" thickBot="1">
      <c r="A21" s="3747"/>
      <c r="B21" s="3748" t="s">
        <v>1297</v>
      </c>
      <c r="C21" s="3749" t="e">
        <f ca="1">ROUND(C19*10000/L19,0)</f>
        <v>#REF!</v>
      </c>
      <c r="D21" s="3750" t="e">
        <f ca="1">ROUND(D19*10000/L19,0)</f>
        <v>#DIV/0!</v>
      </c>
      <c r="E21" s="3747"/>
      <c r="F21" s="3748" t="s">
        <v>1297</v>
      </c>
      <c r="G21" s="3751" t="e">
        <f ca="1">ROUND(G19*10000/L19,0)</f>
        <v>#REF!</v>
      </c>
      <c r="H21" s="3752" t="s">
        <v>1296</v>
      </c>
      <c r="I21" s="3731"/>
    </row>
    <row r="22" spans="1:36" ht="15" thickBot="1">
      <c r="A22" s="1675" t="s">
        <v>1298</v>
      </c>
      <c r="B22" s="1744"/>
      <c r="C22" s="1745"/>
      <c r="D22" s="711" t="e">
        <f ca="1">IF(C19&lt;D19,D19/C19-1,C19/D19-1)</f>
        <v>#REF!</v>
      </c>
      <c r="E22" s="129"/>
      <c r="F22" s="129"/>
      <c r="G22" s="129"/>
      <c r="H22" s="129"/>
      <c r="I22" s="129"/>
    </row>
    <row r="23" spans="1:36" ht="13.8" thickBot="1">
      <c r="A23" s="1734"/>
      <c r="B23" s="1734"/>
      <c r="C23" s="1734"/>
      <c r="D23" s="1734"/>
      <c r="E23" s="129"/>
      <c r="F23" s="129"/>
      <c r="G23" s="129"/>
      <c r="H23" s="129"/>
      <c r="I23" s="129"/>
    </row>
    <row r="24" spans="1:36" ht="14.4">
      <c r="A24" s="4047" t="s">
        <v>1299</v>
      </c>
      <c r="B24" s="1742" t="s">
        <v>1291</v>
      </c>
      <c r="C24" s="133">
        <f>IF(B30=0,0,D30)</f>
        <v>0</v>
      </c>
      <c r="D24" s="1746"/>
      <c r="E24" s="129"/>
      <c r="F24" s="129"/>
      <c r="G24" s="129"/>
      <c r="H24" s="129"/>
      <c r="I24" s="129"/>
    </row>
    <row r="25" spans="1:36" ht="14.4">
      <c r="A25" s="4048"/>
      <c r="B25" s="1016" t="s">
        <v>1295</v>
      </c>
      <c r="C25" s="136">
        <f>IF(B30=0,0,C30)</f>
        <v>0</v>
      </c>
      <c r="D25" s="1747"/>
      <c r="E25" s="129"/>
      <c r="F25" s="129"/>
      <c r="G25" s="129"/>
      <c r="H25" s="129"/>
      <c r="I25" s="129"/>
    </row>
    <row r="26" spans="1:36" ht="13.5" customHeight="1">
      <c r="A26" s="1748" t="s">
        <v>1300</v>
      </c>
      <c r="B26" s="137" t="s">
        <v>1301</v>
      </c>
      <c r="C26" s="137" t="s">
        <v>1302</v>
      </c>
      <c r="D26" s="138" t="s">
        <v>1303</v>
      </c>
      <c r="E26" s="129"/>
      <c r="F26" s="129"/>
      <c r="G26" s="129"/>
      <c r="H26" s="129"/>
      <c r="I26" s="129"/>
    </row>
    <row r="27" spans="1:36" ht="13.8">
      <c r="A27" s="1748"/>
      <c r="B27" s="137">
        <v>0</v>
      </c>
      <c r="C27" s="137">
        <v>0</v>
      </c>
      <c r="D27" s="138">
        <f>ROUND(C27*B27/10000,0)</f>
        <v>0</v>
      </c>
      <c r="E27" s="129"/>
      <c r="F27" s="129"/>
      <c r="G27" s="129"/>
      <c r="H27" s="129"/>
      <c r="I27" s="129"/>
    </row>
    <row r="28" spans="1:36" ht="13.8">
      <c r="A28" s="1748"/>
      <c r="B28" s="137"/>
      <c r="C28" s="137"/>
      <c r="D28" s="138"/>
      <c r="E28" s="129"/>
      <c r="F28" s="129"/>
      <c r="G28" s="129"/>
      <c r="H28" s="129"/>
      <c r="I28" s="129"/>
    </row>
    <row r="29" spans="1:36" ht="13.8">
      <c r="A29" s="1748"/>
      <c r="B29" s="137"/>
      <c r="C29" s="137"/>
      <c r="D29" s="138"/>
      <c r="E29" s="129"/>
      <c r="F29" s="129"/>
      <c r="G29" s="129"/>
      <c r="H29" s="129"/>
      <c r="I29" s="129"/>
    </row>
    <row r="30" spans="1:36" ht="15" thickBot="1">
      <c r="A30" s="137" t="s">
        <v>1304</v>
      </c>
      <c r="B30" s="137"/>
      <c r="C30" s="137"/>
      <c r="D30" s="137"/>
      <c r="E30" s="2275" t="s">
        <v>2132</v>
      </c>
      <c r="F30" s="129"/>
      <c r="G30" s="129"/>
      <c r="H30" s="129"/>
      <c r="I30" s="129"/>
    </row>
    <row r="31" spans="1:36" s="2281" customFormat="1" ht="26.4" customHeight="1" thickTop="1" thickBot="1">
      <c r="A31" s="2276"/>
      <c r="B31" s="2277"/>
      <c r="C31" s="2277"/>
      <c r="D31" s="2277"/>
      <c r="E31" s="2277"/>
      <c r="F31" s="2277"/>
      <c r="G31" s="2277"/>
      <c r="H31" s="2277"/>
      <c r="I31" s="2278" t="s">
        <v>2133</v>
      </c>
      <c r="J31" s="2660"/>
      <c r="K31" s="2279"/>
      <c r="L31" s="2279"/>
      <c r="M31" s="2279"/>
      <c r="N31" s="2279"/>
      <c r="O31" s="2279"/>
      <c r="P31" s="2279"/>
      <c r="Q31" s="2279"/>
      <c r="R31" s="2279"/>
      <c r="S31" s="2279"/>
      <c r="T31" s="2279"/>
      <c r="U31" s="2279"/>
      <c r="V31" s="2279"/>
      <c r="W31" s="2279"/>
      <c r="X31" s="2279"/>
      <c r="Y31" s="2279"/>
      <c r="Z31" s="2279"/>
      <c r="AA31" s="2279"/>
      <c r="AB31" s="2280"/>
      <c r="AC31" s="2280"/>
      <c r="AD31" s="2280"/>
      <c r="AE31" s="2280"/>
      <c r="AF31" s="2280"/>
      <c r="AG31" s="2280"/>
      <c r="AH31" s="2280"/>
      <c r="AI31" s="2280"/>
      <c r="AJ31" s="2280"/>
    </row>
    <row r="32" spans="1:36" ht="15.6" thickTop="1" thickBot="1">
      <c r="A32" s="1750" t="s">
        <v>1305</v>
      </c>
      <c r="B32" s="1751"/>
      <c r="C32" s="139" t="e">
        <f ca="1">IF(D32="总价",G19-C24,G20-C25)</f>
        <v>#REF!</v>
      </c>
      <c r="D32" s="1752"/>
      <c r="E32" s="129"/>
      <c r="F32" s="129"/>
      <c r="G32" s="129"/>
      <c r="H32" s="129"/>
      <c r="I32" s="129"/>
    </row>
    <row r="33" spans="1:15" ht="14.4">
      <c r="A33" s="776" t="s">
        <v>1306</v>
      </c>
      <c r="B33" s="1753"/>
      <c r="C33" s="1754"/>
      <c r="D33" s="1755"/>
      <c r="E33" s="1756" t="s">
        <v>1307</v>
      </c>
      <c r="F33" s="1757" t="str">
        <f>IF(D32="楼面单价","取值（单价）","取值（总价）")</f>
        <v>取值（总价）</v>
      </c>
      <c r="G33" s="129"/>
      <c r="H33" s="129"/>
      <c r="I33" s="129"/>
    </row>
    <row r="34" spans="1:15" ht="14.4">
      <c r="A34" s="1758"/>
      <c r="B34" s="1759" t="s">
        <v>1308</v>
      </c>
      <c r="C34" s="143" t="e">
        <f ca="1">IF(C33="自定义",F34,C32-C35)</f>
        <v>#REF!</v>
      </c>
      <c r="D34" s="851" t="e">
        <f ca="1">IF(C33="自定义",ROUND(C34/C32,3),IF(C33="收益比率",SUMIF(INDIRECT("'"&amp;D33&amp;"'"&amp;"!b:b"),"土地收益比率",INDIRECT("'"&amp;D33&amp;"'"&amp;"!c:c")),SUMIF(INDIRECT("'"&amp;D33&amp;"'"&amp;"!b:b"),"土地成本比率",INDIRECT("'"&amp;D33&amp;"'"&amp;"!c:c"))))</f>
        <v>#REF!</v>
      </c>
      <c r="E34" s="1760" t="s">
        <v>1309</v>
      </c>
      <c r="F34" s="1317"/>
      <c r="G34" s="129"/>
      <c r="H34" s="129"/>
      <c r="I34" s="129"/>
    </row>
    <row r="35" spans="1:15" ht="15" thickBot="1">
      <c r="A35" s="1761"/>
      <c r="B35" s="1762" t="s">
        <v>1310</v>
      </c>
      <c r="C35" s="1157" t="e">
        <f ca="1">IF(C33="自定义",F35,ROUND(C32*D35,0))</f>
        <v>#REF!</v>
      </c>
      <c r="D35" s="1158" t="e">
        <f ca="1">IF(C33="自定义",ROUND(C35/C32,3),IF(C33="收益比率",SUMIF(INDIRECT("'"&amp;D33&amp;"'"&amp;"!b:b"),"建筑物收益比率",INDIRECT("'"&amp;D33&amp;"'"&amp;"!c:c")),SUMIF(INDIRECT("'"&amp;D33&amp;"'"&amp;"!b:b"),"建筑物成本比率",INDIRECT("'"&amp;D33&amp;"'"&amp;"!c:c"))))</f>
        <v>#REF!</v>
      </c>
      <c r="E35" s="1763" t="s">
        <v>1311</v>
      </c>
      <c r="F35" s="149"/>
      <c r="G35" s="129"/>
      <c r="H35" s="129"/>
      <c r="I35" s="129"/>
    </row>
    <row r="36" spans="1:15" ht="15" thickBot="1">
      <c r="A36" s="4067" t="s">
        <v>1312</v>
      </c>
      <c r="B36" s="1764" t="s">
        <v>1313</v>
      </c>
      <c r="C36" s="140"/>
      <c r="D36" s="1765"/>
      <c r="E36" s="1766"/>
      <c r="F36" s="1767"/>
      <c r="G36" s="129"/>
      <c r="H36" s="129"/>
      <c r="I36" s="129"/>
    </row>
    <row r="37" spans="1:15" ht="15" thickBot="1">
      <c r="A37" s="4068"/>
      <c r="B37" s="1661" t="s">
        <v>1314</v>
      </c>
      <c r="C37" s="142"/>
      <c r="D37" s="1127"/>
      <c r="E37" s="1127"/>
      <c r="F37" s="1767"/>
      <c r="G37" s="129"/>
      <c r="H37" s="129"/>
      <c r="I37" s="129"/>
    </row>
    <row r="38" spans="1:15" ht="15" thickBot="1">
      <c r="A38" s="4069"/>
      <c r="B38" s="1768" t="s">
        <v>1315</v>
      </c>
      <c r="C38" s="666"/>
      <c r="D38" s="1769" t="s">
        <v>1316</v>
      </c>
      <c r="E38" s="1127"/>
      <c r="F38" s="1767"/>
      <c r="G38" s="129"/>
      <c r="H38" s="129"/>
      <c r="I38" s="129"/>
    </row>
    <row r="39" spans="1:15" ht="14.4">
      <c r="A39" s="1743" t="s">
        <v>1317</v>
      </c>
      <c r="B39" s="1770" t="s">
        <v>1318</v>
      </c>
      <c r="C39" s="1771" t="s">
        <v>1319</v>
      </c>
      <c r="D39" s="1771" t="s">
        <v>1320</v>
      </c>
      <c r="E39" s="1772" t="s">
        <v>1321</v>
      </c>
      <c r="F39" s="1767"/>
      <c r="G39" s="129"/>
      <c r="H39" s="129"/>
      <c r="I39" s="129"/>
    </row>
    <row r="40" spans="1:15" ht="13.8">
      <c r="A40" s="1773" t="s">
        <v>1322</v>
      </c>
      <c r="B40" s="144"/>
      <c r="C40" s="145"/>
      <c r="D40" s="145"/>
      <c r="E40" s="146"/>
      <c r="F40" s="1767"/>
      <c r="G40" s="129"/>
      <c r="H40" s="129"/>
      <c r="I40" s="129"/>
    </row>
    <row r="41" spans="1:15" ht="13.8">
      <c r="A41" s="1773" t="s">
        <v>1323</v>
      </c>
      <c r="B41" s="144"/>
      <c r="C41" s="145"/>
      <c r="D41" s="145"/>
      <c r="E41" s="146"/>
      <c r="F41" s="1767"/>
      <c r="G41" s="129"/>
      <c r="H41" s="129"/>
      <c r="I41" s="129"/>
    </row>
    <row r="42" spans="1:15" ht="14.4" thickBot="1">
      <c r="A42" s="1774"/>
      <c r="B42" s="147"/>
      <c r="C42" s="148"/>
      <c r="D42" s="148"/>
      <c r="E42" s="149"/>
      <c r="F42" s="1767"/>
      <c r="G42" s="129"/>
      <c r="H42" s="129"/>
      <c r="I42" s="129"/>
    </row>
    <row r="43" spans="1:15" ht="13.2">
      <c r="A43" s="1564"/>
      <c r="B43" s="1564"/>
      <c r="C43" s="1564"/>
      <c r="D43" s="1564"/>
      <c r="E43" s="1564"/>
      <c r="F43" s="1775"/>
      <c r="G43" s="1775"/>
      <c r="H43" s="1775"/>
      <c r="I43" s="1776"/>
    </row>
    <row r="44" spans="1:15" ht="17.399999999999999">
      <c r="A44" s="1777" t="s">
        <v>1324</v>
      </c>
      <c r="B44" s="1778"/>
      <c r="C44" s="1778"/>
      <c r="D44" s="1779"/>
      <c r="E44" s="1779"/>
      <c r="F44" s="1780"/>
      <c r="G44" s="1780"/>
      <c r="H44" s="1780"/>
      <c r="I44" s="1780"/>
      <c r="J44" s="1781" t="s">
        <v>1325</v>
      </c>
      <c r="K44" s="1782"/>
      <c r="L44" s="1782"/>
      <c r="M44" s="1782"/>
      <c r="N44" s="1782"/>
      <c r="O44" s="1782"/>
    </row>
    <row r="45" spans="1:15" ht="14.25" customHeight="1" thickBot="1">
      <c r="A45" s="4044" t="s">
        <v>1326</v>
      </c>
      <c r="B45" s="4045"/>
      <c r="C45" s="4046"/>
      <c r="D45" s="150" t="e">
        <f ca="1">ROUND(H101*F45,0)</f>
        <v>#REF!</v>
      </c>
      <c r="E45" s="151" t="s">
        <v>1327</v>
      </c>
      <c r="F45" s="152">
        <v>1</v>
      </c>
      <c r="G45" s="153" t="s">
        <v>1328</v>
      </c>
      <c r="H45" s="129"/>
      <c r="I45" s="129"/>
      <c r="J45" s="4123" t="s">
        <v>1329</v>
      </c>
      <c r="K45" s="4123"/>
      <c r="L45" s="4123"/>
      <c r="M45" s="4123"/>
      <c r="N45" s="4123"/>
      <c r="O45" s="4123"/>
    </row>
    <row r="46" spans="1:15" ht="14.25" customHeight="1">
      <c r="A46" s="4041" t="s">
        <v>1330</v>
      </c>
      <c r="B46" s="4042"/>
      <c r="C46" s="4042"/>
      <c r="D46" s="4042"/>
      <c r="E46" s="4042"/>
      <c r="F46" s="4042"/>
      <c r="G46" s="4043"/>
      <c r="H46" s="1783"/>
      <c r="I46" s="154"/>
      <c r="J46" s="2494">
        <v>1</v>
      </c>
      <c r="K46" s="4104" t="s">
        <v>1331</v>
      </c>
      <c r="L46" s="4104"/>
      <c r="M46" s="4124"/>
      <c r="N46" s="4124"/>
      <c r="O46" s="4124"/>
    </row>
    <row r="47" spans="1:15" ht="12" customHeight="1">
      <c r="A47" s="155" t="s">
        <v>1332</v>
      </c>
      <c r="B47" s="156"/>
      <c r="C47" s="157"/>
      <c r="D47" s="1077" t="s">
        <v>1333</v>
      </c>
      <c r="E47" s="297" t="s">
        <v>1334</v>
      </c>
      <c r="F47" s="158" t="s">
        <v>1335</v>
      </c>
      <c r="G47" s="2517" t="s">
        <v>1336</v>
      </c>
      <c r="H47" s="2518"/>
      <c r="I47" s="154"/>
      <c r="J47" s="2494">
        <v>2</v>
      </c>
      <c r="K47" s="4104" t="s">
        <v>1337</v>
      </c>
      <c r="L47" s="4104"/>
      <c r="M47" s="4125">
        <f>'数据-取费表'!B2</f>
        <v>37917</v>
      </c>
      <c r="N47" s="4125"/>
      <c r="O47" s="4125"/>
    </row>
    <row r="48" spans="1:15" ht="26.4">
      <c r="A48" s="4072" t="s">
        <v>1338</v>
      </c>
      <c r="B48" s="4055"/>
      <c r="C48" s="4055"/>
      <c r="D48" s="2296" t="b">
        <f>IF(H48="情况1",0,IF(H48="情况2",D52,IF(H48="情况3",D53,IF(H48="情况4",D54))))</f>
        <v>0</v>
      </c>
      <c r="E48" s="2306" t="str">
        <f>IF(H48="情况4","(销售额-原购置价)×税（费）率","销售额×税（费）率")</f>
        <v>销售额×税（费）率</v>
      </c>
      <c r="F48" s="2519">
        <f>IF(H48="情况1","免征",'数据-取费表'!B41)</f>
        <v>5.6000000000000001E-2</v>
      </c>
      <c r="G48" s="2520" t="s">
        <v>1339</v>
      </c>
      <c r="H48" s="2521"/>
      <c r="I48" s="1783"/>
      <c r="J48" s="2494">
        <v>3</v>
      </c>
      <c r="K48" s="4104" t="s">
        <v>1340</v>
      </c>
      <c r="L48" s="4104"/>
      <c r="M48" s="4126" t="e">
        <f ca="1">H101</f>
        <v>#REF!</v>
      </c>
      <c r="N48" s="4126"/>
      <c r="O48" s="4126"/>
    </row>
    <row r="49" spans="1:35" ht="25.5" customHeight="1">
      <c r="A49" s="2305" t="s">
        <v>1341</v>
      </c>
      <c r="B49" s="4039" t="s">
        <v>1342</v>
      </c>
      <c r="C49" s="4039"/>
      <c r="D49" s="1577">
        <v>0</v>
      </c>
      <c r="E49" s="319" t="s">
        <v>1343</v>
      </c>
      <c r="F49" s="2395" t="s">
        <v>28</v>
      </c>
      <c r="G49" s="4110"/>
      <c r="H49" s="2282" t="s">
        <v>2134</v>
      </c>
      <c r="I49" s="2283"/>
      <c r="J49" s="2494">
        <v>4</v>
      </c>
      <c r="K49" s="4104" t="str">
        <f>IF(项目基本情况!E8="房地产抵押价值","房地产抵押价值","抵押担保权已注销时的房地产抵押价值")</f>
        <v>抵押担保权已注销时的房地产抵押价值</v>
      </c>
      <c r="L49" s="4104"/>
      <c r="M49" s="4126" t="str">
        <f>IF(项目基本情况!E8="房地产抵押价值",H107,H109)</f>
        <v>——</v>
      </c>
      <c r="N49" s="4126"/>
      <c r="O49" s="4126"/>
    </row>
    <row r="50" spans="1:35" ht="25.5" customHeight="1">
      <c r="A50" s="2522"/>
      <c r="B50" s="4039" t="s">
        <v>1344</v>
      </c>
      <c r="C50" s="4039"/>
      <c r="D50" s="2523"/>
      <c r="E50" s="327"/>
      <c r="F50" s="2395"/>
      <c r="G50" s="4111"/>
      <c r="H50" s="2284" t="s">
        <v>2135</v>
      </c>
      <c r="I50" s="2283"/>
      <c r="J50" s="4123" t="s">
        <v>1345</v>
      </c>
      <c r="K50" s="4123"/>
      <c r="L50" s="4123"/>
      <c r="M50" s="4123"/>
      <c r="N50" s="4123"/>
      <c r="O50" s="4123"/>
    </row>
    <row r="51" spans="1:35" ht="20.399999999999999" customHeight="1">
      <c r="A51" s="2524"/>
      <c r="B51" s="4039" t="s">
        <v>1346</v>
      </c>
      <c r="C51" s="4039"/>
      <c r="D51" s="1077"/>
      <c r="E51" s="322"/>
      <c r="F51" s="2395"/>
      <c r="G51" s="4112"/>
      <c r="H51" s="2284" t="s">
        <v>2136</v>
      </c>
      <c r="I51" s="2283"/>
      <c r="J51" s="2495" t="s">
        <v>1347</v>
      </c>
      <c r="K51" s="4104" t="s">
        <v>1348</v>
      </c>
      <c r="L51" s="4104"/>
      <c r="M51" s="2495" t="s">
        <v>1349</v>
      </c>
      <c r="N51" s="2495" t="s">
        <v>1350</v>
      </c>
      <c r="O51" s="2495" t="s">
        <v>1351</v>
      </c>
    </row>
    <row r="52" spans="1:35" ht="24" customHeight="1">
      <c r="A52" s="2307" t="s">
        <v>1352</v>
      </c>
      <c r="B52" s="4039" t="s">
        <v>1353</v>
      </c>
      <c r="C52" s="4039"/>
      <c r="D52" s="1077" t="e">
        <f ca="1">ROUND(D45*'数据-取费表'!B41/(1+'数据-取费表'!C42),0)</f>
        <v>#REF!</v>
      </c>
      <c r="E52" s="2306" t="s">
        <v>1354</v>
      </c>
      <c r="F52" s="2525">
        <f>'数据-取费表'!B41</f>
        <v>5.6000000000000001E-2</v>
      </c>
      <c r="G52" s="2526"/>
      <c r="H52" s="2515"/>
      <c r="I52" s="1784"/>
      <c r="J52" s="2494">
        <v>1</v>
      </c>
      <c r="K52" s="4105" t="s">
        <v>1355</v>
      </c>
      <c r="L52" s="4105"/>
      <c r="M52" s="2496" t="b">
        <f>D48</f>
        <v>0</v>
      </c>
      <c r="N52" s="2494" t="str">
        <f>E48</f>
        <v>销售额×税（费）率</v>
      </c>
      <c r="O52" s="2497">
        <f>F48</f>
        <v>5.6000000000000001E-2</v>
      </c>
    </row>
    <row r="53" spans="1:35" ht="12" customHeight="1">
      <c r="A53" s="2307" t="s">
        <v>1356</v>
      </c>
      <c r="B53" s="4065" t="s">
        <v>2291</v>
      </c>
      <c r="C53" s="4066"/>
      <c r="D53" s="1077" t="e">
        <f ca="1">ROUND(D45*'数据-取费表'!B41/(1+'数据-取费表'!C42),0)</f>
        <v>#REF!</v>
      </c>
      <c r="E53" s="2306" t="s">
        <v>1354</v>
      </c>
      <c r="F53" s="2525">
        <f>'数据-取费表'!B41</f>
        <v>5.6000000000000001E-2</v>
      </c>
      <c r="G53" s="2526"/>
      <c r="H53" s="2515"/>
      <c r="I53" s="1784"/>
      <c r="J53" s="2494">
        <v>2</v>
      </c>
      <c r="K53" s="4105" t="s">
        <v>1357</v>
      </c>
      <c r="L53" s="4105"/>
      <c r="M53" s="2496" t="e">
        <f t="shared" ref="M53:O54" ca="1" si="0">D55</f>
        <v>#REF!</v>
      </c>
      <c r="N53" s="2494" t="str">
        <f t="shared" si="0"/>
        <v>销售额×税（费）率</v>
      </c>
      <c r="O53" s="2497" t="str">
        <f t="shared" si="0"/>
        <v>免征</v>
      </c>
    </row>
    <row r="54" spans="1:35" ht="12" customHeight="1">
      <c r="A54" s="2307" t="s">
        <v>1358</v>
      </c>
      <c r="B54" s="4065" t="s">
        <v>2292</v>
      </c>
      <c r="C54" s="4066"/>
      <c r="D54" s="1077" t="e">
        <f ca="1">C68</f>
        <v>#REF!</v>
      </c>
      <c r="E54" s="322" t="s">
        <v>1359</v>
      </c>
      <c r="F54" s="2525">
        <f>'数据-取费表'!B41</f>
        <v>5.6000000000000001E-2</v>
      </c>
      <c r="G54" s="2526"/>
      <c r="H54" s="2527"/>
      <c r="I54" s="1784"/>
      <c r="J54" s="2494">
        <v>3</v>
      </c>
      <c r="K54" s="4105" t="s">
        <v>1360</v>
      </c>
      <c r="L54" s="4105"/>
      <c r="M54" s="2496" t="e">
        <f t="shared" ca="1" si="0"/>
        <v>#REF!</v>
      </c>
      <c r="N54" s="2494" t="str">
        <f t="shared" si="0"/>
        <v>增值额×税（费）率</v>
      </c>
      <c r="O54" s="2498" t="str">
        <f t="shared" si="0"/>
        <v>免征</v>
      </c>
    </row>
    <row r="55" spans="1:35" ht="24" customHeight="1">
      <c r="A55" s="4054" t="s">
        <v>1361</v>
      </c>
      <c r="B55" s="4055"/>
      <c r="C55" s="4055"/>
      <c r="D55" s="2296" t="e">
        <f ca="1">IF(H55="个人住宅",0,ROUND(D45*I55,0))</f>
        <v>#REF!</v>
      </c>
      <c r="E55" s="2306" t="s">
        <v>1362</v>
      </c>
      <c r="F55" s="2525" t="str">
        <f>IF(H55="正常",I55,"免征")</f>
        <v>免征</v>
      </c>
      <c r="G55" s="2526"/>
      <c r="H55" s="2521"/>
      <c r="I55" s="160">
        <f>'数据-取费表'!B49</f>
        <v>5.0000000000000001E-4</v>
      </c>
      <c r="J55" s="2494">
        <f>IF(H59="非个人房产","",4)</f>
        <v>4</v>
      </c>
      <c r="K55" s="4105" t="str">
        <f>IF(H59="非个人房产","——","个人所得税")</f>
        <v>个人所得税</v>
      </c>
      <c r="L55" s="4105"/>
      <c r="M55" s="2499" t="e">
        <f ca="1">D59</f>
        <v>#REF!</v>
      </c>
      <c r="N55" s="2012" t="str">
        <f>E59</f>
        <v>差额计税</v>
      </c>
      <c r="O55" s="2500">
        <f>F59</f>
        <v>0.01</v>
      </c>
    </row>
    <row r="56" spans="1:35" ht="25.2">
      <c r="A56" s="4054" t="s">
        <v>1363</v>
      </c>
      <c r="B56" s="4055"/>
      <c r="C56" s="4055"/>
      <c r="D56" s="2296" t="e">
        <f ca="1">IF(H56="个人住宅",D57,D58)</f>
        <v>#REF!</v>
      </c>
      <c r="E56" s="2306" t="s">
        <v>1364</v>
      </c>
      <c r="F56" s="2525" t="str">
        <f>IF(H56="正常",F58,"免征")</f>
        <v>免征</v>
      </c>
      <c r="G56" s="2528" t="s">
        <v>1365</v>
      </c>
      <c r="H56" s="2529"/>
      <c r="I56" s="1785"/>
      <c r="J56" s="2494" t="str">
        <f>IF(项目基本情况!K6="上海银行",IF(J55="",4,J55+1),"")</f>
        <v/>
      </c>
      <c r="K56" s="4128" t="str">
        <f>IF(项目基本情况!K6="上海银行","其他处置费用","")</f>
        <v/>
      </c>
      <c r="L56" s="4129"/>
      <c r="M56" s="2496" t="str">
        <f>IF(项目基本情况!K6="上海银行",M69,"")</f>
        <v/>
      </c>
      <c r="N56" s="4128" t="str">
        <f>IF(项目基本情况!K6="上海银行","包含处置中涉及的律师、诉讼、拍卖、评估等费用","")</f>
        <v/>
      </c>
      <c r="O56" s="4131"/>
    </row>
    <row r="57" spans="1:35" ht="13.2">
      <c r="A57" s="2307" t="s">
        <v>1341</v>
      </c>
      <c r="B57" s="4065" t="s">
        <v>1366</v>
      </c>
      <c r="C57" s="4066"/>
      <c r="D57" s="1577">
        <v>0</v>
      </c>
      <c r="E57" s="319" t="s">
        <v>1343</v>
      </c>
      <c r="F57" s="297"/>
      <c r="G57" s="2526"/>
      <c r="H57" s="2530"/>
      <c r="I57" s="1785"/>
      <c r="J57" s="4105">
        <f>IF(AND(J55="",J56=""),4,IF(项目基本情况!K6="上海银行",结果表!J56+1,结果表!J55+1))</f>
        <v>5</v>
      </c>
      <c r="K57" s="4105" t="s">
        <v>1367</v>
      </c>
      <c r="L57" s="2501" t="s">
        <v>1368</v>
      </c>
      <c r="M57" s="2502"/>
      <c r="N57" s="2503">
        <f ca="1">SUMIF(M52:M56,"&lt;9e307")</f>
        <v>0</v>
      </c>
      <c r="O57" s="2504"/>
      <c r="P57" s="2661" t="e">
        <f ca="1">N57/M49</f>
        <v>#VALUE!</v>
      </c>
    </row>
    <row r="58" spans="1:35" ht="25.2">
      <c r="A58" s="2307" t="s">
        <v>1352</v>
      </c>
      <c r="B58" s="4065" t="s">
        <v>1369</v>
      </c>
      <c r="C58" s="4039"/>
      <c r="D58" s="2296" t="e">
        <f ca="1">IF(H58="转让取得",C81,C97)</f>
        <v>#REF!</v>
      </c>
      <c r="E58" s="2306" t="s">
        <v>1364</v>
      </c>
      <c r="F58" s="297" t="s">
        <v>28</v>
      </c>
      <c r="G58" s="2526"/>
      <c r="H58" s="2529"/>
      <c r="I58" s="1785"/>
      <c r="J58" s="4105"/>
      <c r="K58" s="4105"/>
      <c r="L58" s="2501" t="s">
        <v>1370</v>
      </c>
      <c r="M58" s="2505"/>
      <c r="N58" s="2506" t="str">
        <f ca="1">NUMBERSTRING(INT(N57*10000),2)&amp;"元整"</f>
        <v>零元整</v>
      </c>
      <c r="O58" s="2507"/>
    </row>
    <row r="59" spans="1:35" ht="24.6" thickBot="1">
      <c r="A59" s="4108" t="s">
        <v>1371</v>
      </c>
      <c r="B59" s="4109"/>
      <c r="C59" s="4109"/>
      <c r="D59" s="2531" t="e">
        <f ca="1">IF(H59="非个人房产","——",IF(H59="个人住宅（满五唯一有凭证）",0,IF(H59="个人其他（无凭证）",ROUND(D45*F59,0),ROUND(C67*F59,0))))</f>
        <v>#REF!</v>
      </c>
      <c r="E59" s="2532" t="str">
        <f>IF(H59="非个人房产","——",IF(H59="个人其他（无凭证）","销售额×税（费）率",IF(H59="个人住宅（满五唯一有凭证）","免征","差额计税")))</f>
        <v>差额计税</v>
      </c>
      <c r="F59" s="2533">
        <f>IF(OR(H59="非个人房产",H59="个人住宅（满五唯一有凭证）"),"——",IF(H59="个人其他（有凭证）",20%,1%))</f>
        <v>0.01</v>
      </c>
      <c r="G59" s="2534" t="s">
        <v>1365</v>
      </c>
      <c r="H59" s="2286"/>
      <c r="I59" s="2285" t="s">
        <v>2137</v>
      </c>
      <c r="J59" s="4106">
        <f>J57+1</f>
        <v>6</v>
      </c>
      <c r="K59" s="4105" t="s">
        <v>1372</v>
      </c>
      <c r="L59" s="2494" t="s">
        <v>1368</v>
      </c>
      <c r="M59" s="2508"/>
      <c r="N59" s="2509" t="e">
        <f ca="1">M49-N57</f>
        <v>#VALUE!</v>
      </c>
      <c r="O59" s="2510"/>
    </row>
    <row r="60" spans="1:35" ht="12" customHeight="1">
      <c r="A60" s="1786"/>
      <c r="B60" s="1734"/>
      <c r="C60" s="1734"/>
      <c r="D60" s="1734"/>
      <c r="E60" s="1565"/>
      <c r="F60" s="1785"/>
      <c r="G60" s="1785"/>
      <c r="H60" s="1787"/>
      <c r="I60" s="129"/>
      <c r="J60" s="4107"/>
      <c r="K60" s="4105"/>
      <c r="L60" s="2501" t="s">
        <v>1370</v>
      </c>
      <c r="M60" s="2505"/>
      <c r="N60" s="2506" t="e">
        <f ca="1">NUMBERSTRING(INT(N59*10000),2)&amp;"元整"</f>
        <v>#VALUE!</v>
      </c>
      <c r="O60" s="2507"/>
    </row>
    <row r="61" spans="1:35" ht="13.8" thickBot="1">
      <c r="A61" s="4052" t="s">
        <v>1373</v>
      </c>
      <c r="B61" s="4052"/>
      <c r="C61" s="4052"/>
      <c r="D61" s="4052"/>
      <c r="E61" s="4052"/>
      <c r="F61" s="1785"/>
      <c r="G61" s="1785"/>
      <c r="H61" s="1787"/>
      <c r="I61" s="129"/>
      <c r="J61" s="2494">
        <f>J59+1</f>
        <v>7</v>
      </c>
      <c r="K61" s="4105" t="s">
        <v>1374</v>
      </c>
      <c r="L61" s="4105"/>
      <c r="M61" s="2511"/>
      <c r="N61" s="2512" t="e">
        <f ca="1">ROUND(N59*10000/'数据-汇总表'!E3,0)</f>
        <v>#VALUE!</v>
      </c>
      <c r="O61" s="2513"/>
    </row>
    <row r="62" spans="1:35" ht="13.2">
      <c r="A62" s="4070" t="s">
        <v>1375</v>
      </c>
      <c r="B62" s="4071"/>
      <c r="C62" s="1993"/>
      <c r="D62" s="1993" t="s">
        <v>1376</v>
      </c>
      <c r="E62" s="161" t="s">
        <v>1377</v>
      </c>
      <c r="F62" s="1785"/>
      <c r="G62" s="1785"/>
      <c r="H62" s="1787"/>
      <c r="I62" s="129"/>
    </row>
    <row r="63" spans="1:35" ht="13.2">
      <c r="A63" s="168" t="s">
        <v>330</v>
      </c>
      <c r="B63" s="162" t="s">
        <v>1378</v>
      </c>
      <c r="C63" s="2535" t="e">
        <f ca="1">ROUND((C64+C65)/(1+'数据-取费表'!C42),0)</f>
        <v>#REF!</v>
      </c>
      <c r="D63" s="162"/>
      <c r="E63" s="163"/>
      <c r="F63" s="1785"/>
      <c r="G63" s="1785"/>
      <c r="H63" s="1787"/>
      <c r="I63" s="129"/>
      <c r="J63" s="4130" t="s">
        <v>1379</v>
      </c>
      <c r="K63" s="1319" t="s">
        <v>1380</v>
      </c>
      <c r="L63" s="1319" t="e">
        <f>IF(M49&gt;10000,M49*0.5%,IF(AND(M49&gt;1000,M49&lt;=10000),M49*1%,IF(AND(M49&gt;100,M49&lt;=1000),M49*3%,IF(AND(M49&gt;10,M49&lt;=100),M49*5%,M49*8%))))</f>
        <v>#VALUE!</v>
      </c>
      <c r="M63" s="297" t="e">
        <f>ROUND(L63,1)</f>
        <v>#VALUE!</v>
      </c>
      <c r="N63" s="2514"/>
      <c r="Z63" s="1739"/>
      <c r="AI63" s="1740"/>
    </row>
    <row r="64" spans="1:35" ht="14.25" customHeight="1">
      <c r="A64" s="164" t="s">
        <v>325</v>
      </c>
      <c r="B64" s="165" t="s">
        <v>1381</v>
      </c>
      <c r="C64" s="2536" t="e">
        <f ca="1">D45</f>
        <v>#REF!</v>
      </c>
      <c r="D64" s="165" t="s">
        <v>26</v>
      </c>
      <c r="E64" s="167"/>
      <c r="F64" s="1785"/>
      <c r="G64" s="1785"/>
      <c r="H64" s="1787"/>
      <c r="I64" s="129"/>
      <c r="J64" s="4130"/>
      <c r="K64" s="1319" t="s">
        <v>1382</v>
      </c>
      <c r="L64" s="1319" t="e">
        <f>IF(M49&gt;2000,M49*0.5%,IF(AND(M49&gt;1000,M49&lt;=2000),M49*0.6%,IF(AND(M49&gt;500,M49&lt;=1000),M49*0.7%,IF(AND(M49&gt;200,M49&lt;=500),M49*0.8%,IF(AND(M49&gt;100,M49&lt;=200),M49*0.9%,IF(AND(M49&gt;50,M49&lt;=100),M49*1%,IF(AND(M49&gt;20,M49&lt;=50),M49*1.5%,IF(AND(M49&gt;10,M49&lt;=20),M49*2%,IF(AND(M49&gt;1,M49&lt;=10),M49*2.5%)))))))))</f>
        <v>#VALUE!</v>
      </c>
      <c r="M64" s="297" t="e">
        <f t="shared" ref="M64:M65" si="1">ROUND(L64,1)</f>
        <v>#VALUE!</v>
      </c>
      <c r="N64" s="2515" t="s">
        <v>1383</v>
      </c>
      <c r="Z64" s="1739"/>
      <c r="AI64" s="1740"/>
    </row>
    <row r="65" spans="1:35" ht="14.25" customHeight="1">
      <c r="A65" s="164" t="s">
        <v>326</v>
      </c>
      <c r="B65" s="165" t="s">
        <v>1384</v>
      </c>
      <c r="C65" s="2537"/>
      <c r="D65" s="165"/>
      <c r="E65" s="167"/>
      <c r="F65" s="1785"/>
      <c r="G65" s="1785"/>
      <c r="H65" s="1787"/>
      <c r="I65" s="129"/>
      <c r="J65" s="4130"/>
      <c r="K65" s="1319" t="s">
        <v>1385</v>
      </c>
      <c r="L65" s="1319" t="e">
        <f>IF(M49&gt;1000,M49*0.1%,IF(AND(M49&gt;500,M49&lt;=1000),M49*0.5%,IF(AND(M49&gt;50,M49&lt;=500),M49*1%,IF(AND(M49&gt;1,M49&lt;=50),M49*1.5%))))</f>
        <v>#VALUE!</v>
      </c>
      <c r="M65" s="297" t="e">
        <f t="shared" si="1"/>
        <v>#VALUE!</v>
      </c>
      <c r="N65" s="2515" t="s">
        <v>1383</v>
      </c>
      <c r="Z65" s="1739"/>
      <c r="AI65" s="1740"/>
    </row>
    <row r="66" spans="1:35" ht="14.25" customHeight="1">
      <c r="A66" s="168" t="s">
        <v>327</v>
      </c>
      <c r="B66" s="169" t="s">
        <v>1386</v>
      </c>
      <c r="C66" s="2538"/>
      <c r="D66" s="169" t="s">
        <v>26</v>
      </c>
      <c r="E66" s="1325" t="s">
        <v>671</v>
      </c>
      <c r="F66" s="1785"/>
      <c r="G66" s="1785"/>
      <c r="H66" s="1787"/>
      <c r="I66" s="129"/>
      <c r="J66" s="4130"/>
      <c r="K66" s="1319" t="s">
        <v>1387</v>
      </c>
      <c r="L66" s="1319" t="e">
        <f>M49*0.5%</f>
        <v>#VALUE!</v>
      </c>
      <c r="M66" s="297" t="e">
        <f>IF(L66&gt;0.5,0.5,ROUND(L66,0))</f>
        <v>#VALUE!</v>
      </c>
      <c r="N66" s="2515" t="s">
        <v>1388</v>
      </c>
      <c r="Z66" s="1739"/>
      <c r="AI66" s="1740"/>
    </row>
    <row r="67" spans="1:35" ht="14.25" customHeight="1">
      <c r="A67" s="168" t="s">
        <v>328</v>
      </c>
      <c r="B67" s="169" t="s">
        <v>1389</v>
      </c>
      <c r="C67" s="2539" t="e">
        <f ca="1">C63-C66</f>
        <v>#REF!</v>
      </c>
      <c r="D67" s="165" t="s">
        <v>26</v>
      </c>
      <c r="E67" s="167"/>
      <c r="F67" s="1785"/>
      <c r="G67" s="1785"/>
      <c r="H67" s="1787"/>
      <c r="I67" s="129"/>
      <c r="J67" s="4130"/>
      <c r="K67" s="1319" t="s">
        <v>1390</v>
      </c>
      <c r="L67" s="1319" t="e">
        <f>IF(M49&gt;=10000,(8.25+(M49-10000)*0.01%),IF(AND(M49&gt;=8000,M49&lt;10000),(7.85+(M49-8000)*0.02%),IF(AND(M49&gt;=5000,M49&lt;8000),(6.65+(M49-5000)*0.04%),IF(AND(M49&gt;=2000,M49&lt;5000),(4.25+(PM49-2000)*0.08%),IF(AND(M49&gt;=1000,M49&lt;2000),(2.75+(M49-1000)*0.15%),IF(AND(M49&gt;=100,M49&lt;1000),(0.5+(M49-100)*0.25%),IF(AND(M49&gt;0,M49&lt;100),M49*0.5%)))))))</f>
        <v>#VALUE!</v>
      </c>
      <c r="M67" s="297" t="e">
        <f>ROUND(L67*0.9,1)</f>
        <v>#VALUE!</v>
      </c>
      <c r="N67" s="2514"/>
      <c r="Z67" s="1739"/>
      <c r="AI67" s="1740"/>
    </row>
    <row r="68" spans="1:35" ht="14.25" customHeight="1" thickBot="1">
      <c r="A68" s="171" t="s">
        <v>329</v>
      </c>
      <c r="B68" s="172" t="s">
        <v>1391</v>
      </c>
      <c r="C68" s="2540" t="e">
        <f ca="1">IF(C67&lt;=0,0,ROUND(C67*D68,0))</f>
        <v>#REF!</v>
      </c>
      <c r="D68" s="2541">
        <f>'数据-取费表'!B41</f>
        <v>5.6000000000000001E-2</v>
      </c>
      <c r="E68" s="173"/>
      <c r="F68" s="1785"/>
      <c r="G68" s="1785"/>
      <c r="H68" s="1787"/>
      <c r="I68" s="129"/>
      <c r="J68" s="4130"/>
      <c r="K68" s="1319" t="s">
        <v>1392</v>
      </c>
      <c r="L68" s="1319" t="e">
        <f>IF(M49&gt;10000,M49*0.5%,IF(AND(M49&gt;5000,M49&lt;=10000),M49*1%,IF(AND(M49&gt;1000,M49&lt;=5000),M49*2%,IF(AND(M49&gt;200,M49&lt;=1000),M49*3%,M49*5%))))</f>
        <v>#VALUE!</v>
      </c>
      <c r="M68" s="297" t="e">
        <f>ROUND(L68,1)</f>
        <v>#VALUE!</v>
      </c>
      <c r="N68" s="2514"/>
      <c r="Z68" s="1739"/>
      <c r="AI68" s="1740"/>
    </row>
    <row r="69" spans="1:35" s="1749" customFormat="1" ht="16.5" customHeight="1">
      <c r="A69" s="1788"/>
      <c r="B69" s="1789"/>
      <c r="C69" s="1790"/>
      <c r="D69" s="1791"/>
      <c r="E69" s="1792"/>
      <c r="F69" s="1565"/>
      <c r="G69" s="1565"/>
      <c r="H69" s="1564"/>
      <c r="I69" s="1734"/>
      <c r="J69" s="4130"/>
      <c r="K69" s="1319" t="s">
        <v>1393</v>
      </c>
      <c r="L69" s="1319"/>
      <c r="M69" s="297" t="e">
        <f>ROUND(SUM(M63:M68),0)</f>
        <v>#VALUE!</v>
      </c>
      <c r="N69" s="2516" t="e">
        <f>M69/M49</f>
        <v>#VALUE!</v>
      </c>
      <c r="O69" s="715"/>
      <c r="P69" s="715"/>
      <c r="Q69" s="715"/>
      <c r="R69" s="715"/>
      <c r="S69" s="715"/>
      <c r="T69" s="715"/>
      <c r="U69" s="715"/>
      <c r="V69" s="715"/>
      <c r="W69" s="715"/>
      <c r="X69" s="715"/>
      <c r="Y69" s="715"/>
      <c r="Z69" s="1739"/>
      <c r="AA69" s="1739"/>
      <c r="AB69" s="1739"/>
      <c r="AC69" s="1739"/>
      <c r="AD69" s="1739"/>
      <c r="AE69" s="1739"/>
      <c r="AF69" s="1739"/>
      <c r="AG69" s="1739"/>
      <c r="AH69" s="1739"/>
    </row>
    <row r="70" spans="1:35" s="1794" customFormat="1" ht="14.4" thickBot="1">
      <c r="A70" s="4092" t="s">
        <v>1394</v>
      </c>
      <c r="B70" s="4093"/>
      <c r="C70" s="4093"/>
      <c r="D70" s="4093"/>
      <c r="E70" s="4093"/>
      <c r="F70" s="4093"/>
      <c r="G70" s="4093"/>
      <c r="H70" s="4093"/>
      <c r="I70" s="1793"/>
      <c r="J70" s="2662"/>
      <c r="K70" s="2662"/>
      <c r="L70" s="2662"/>
      <c r="M70" s="2662"/>
      <c r="N70" s="1795"/>
      <c r="O70" s="1795"/>
      <c r="P70" s="1795"/>
      <c r="Q70" s="1795"/>
      <c r="R70" s="1795"/>
      <c r="S70" s="1795"/>
      <c r="T70" s="1795"/>
      <c r="U70" s="1795"/>
      <c r="V70" s="1795"/>
      <c r="W70" s="1795"/>
      <c r="X70" s="1795"/>
      <c r="Y70" s="1795"/>
      <c r="Z70" s="1795"/>
      <c r="AA70" s="1796"/>
      <c r="AB70" s="1796"/>
      <c r="AC70" s="1796"/>
      <c r="AD70" s="1796"/>
      <c r="AE70" s="1796"/>
      <c r="AF70" s="1796"/>
      <c r="AG70" s="1796"/>
      <c r="AH70" s="1796"/>
      <c r="AI70" s="1796"/>
    </row>
    <row r="71" spans="1:35" s="1794" customFormat="1" ht="13.8">
      <c r="A71" s="4070" t="s">
        <v>1375</v>
      </c>
      <c r="B71" s="4071"/>
      <c r="C71" s="1993"/>
      <c r="D71" s="1993" t="s">
        <v>1376</v>
      </c>
      <c r="E71" s="174" t="s">
        <v>1377</v>
      </c>
      <c r="F71" s="175"/>
      <c r="G71" s="175"/>
      <c r="H71" s="176"/>
      <c r="I71" s="1797"/>
      <c r="J71" s="2662"/>
      <c r="K71" s="2662"/>
      <c r="L71" s="2662"/>
      <c r="M71" s="2662"/>
      <c r="N71" s="1795"/>
      <c r="O71" s="1795"/>
      <c r="P71" s="1795"/>
      <c r="Q71" s="1795"/>
      <c r="R71" s="1795"/>
      <c r="S71" s="1795"/>
      <c r="T71" s="1795"/>
      <c r="U71" s="1795"/>
      <c r="V71" s="1795"/>
      <c r="W71" s="1795"/>
      <c r="X71" s="1795"/>
      <c r="Y71" s="1795"/>
      <c r="Z71" s="1795"/>
      <c r="AA71" s="1796"/>
      <c r="AB71" s="1796"/>
      <c r="AC71" s="1796"/>
      <c r="AD71" s="1796"/>
      <c r="AE71" s="1796"/>
      <c r="AF71" s="1796"/>
      <c r="AG71" s="1796"/>
      <c r="AH71" s="1796"/>
      <c r="AI71" s="1796"/>
    </row>
    <row r="72" spans="1:35" s="1794" customFormat="1" ht="13.8">
      <c r="A72" s="168" t="s">
        <v>330</v>
      </c>
      <c r="B72" s="169" t="s">
        <v>1395</v>
      </c>
      <c r="C72" s="2539" t="e">
        <f ca="1">ROUND(D45/(1+'数据-取费表'!C42),0)</f>
        <v>#REF!</v>
      </c>
      <c r="D72" s="165" t="s">
        <v>26</v>
      </c>
      <c r="E72" s="2303"/>
      <c r="F72" s="2302"/>
      <c r="G72" s="2302"/>
      <c r="H72" s="177"/>
      <c r="I72" s="1797"/>
      <c r="J72" s="2662"/>
      <c r="K72" s="2662"/>
      <c r="L72" s="2662"/>
      <c r="M72" s="2662"/>
      <c r="N72" s="1795"/>
      <c r="O72" s="1795"/>
      <c r="P72" s="1795"/>
      <c r="Q72" s="1795"/>
      <c r="R72" s="1795"/>
      <c r="S72" s="1795"/>
      <c r="T72" s="1795"/>
      <c r="U72" s="1795"/>
      <c r="V72" s="1795"/>
      <c r="W72" s="1795"/>
      <c r="X72" s="1795"/>
      <c r="Y72" s="1795"/>
      <c r="Z72" s="1795"/>
      <c r="AA72" s="1796"/>
      <c r="AB72" s="1796"/>
      <c r="AC72" s="1796"/>
      <c r="AD72" s="1796"/>
      <c r="AE72" s="1796"/>
      <c r="AF72" s="1796"/>
      <c r="AG72" s="1796"/>
      <c r="AH72" s="1796"/>
      <c r="AI72" s="1796"/>
    </row>
    <row r="73" spans="1:35" s="1794" customFormat="1" ht="13.8">
      <c r="A73" s="168" t="s">
        <v>327</v>
      </c>
      <c r="B73" s="158" t="s">
        <v>1396</v>
      </c>
      <c r="C73" s="2539" t="e">
        <f ca="1">C74+C78</f>
        <v>#REF!</v>
      </c>
      <c r="D73" s="165" t="s">
        <v>26</v>
      </c>
      <c r="E73" s="2303"/>
      <c r="F73" s="2302"/>
      <c r="G73" s="2302"/>
      <c r="H73" s="177"/>
      <c r="I73" s="1797"/>
      <c r="J73" s="1795"/>
      <c r="K73" s="1795"/>
      <c r="L73" s="1795"/>
      <c r="M73" s="1795"/>
      <c r="N73" s="1795"/>
      <c r="O73" s="1795"/>
      <c r="P73" s="1795"/>
      <c r="Q73" s="1795"/>
      <c r="R73" s="1795"/>
      <c r="S73" s="1795"/>
      <c r="T73" s="1795"/>
      <c r="U73" s="1795"/>
      <c r="V73" s="1795"/>
      <c r="W73" s="1795"/>
      <c r="X73" s="1795"/>
      <c r="Y73" s="1795"/>
      <c r="Z73" s="1795"/>
      <c r="AA73" s="1796"/>
      <c r="AB73" s="1796"/>
      <c r="AC73" s="1796"/>
      <c r="AD73" s="1796"/>
      <c r="AE73" s="1796"/>
      <c r="AF73" s="1796"/>
      <c r="AG73" s="1796"/>
      <c r="AH73" s="1796"/>
      <c r="AI73" s="1796"/>
    </row>
    <row r="74" spans="1:35" s="1794" customFormat="1" ht="24">
      <c r="A74" s="164" t="s">
        <v>325</v>
      </c>
      <c r="B74" s="165" t="s">
        <v>1397</v>
      </c>
      <c r="C74" s="165">
        <f>ROUND(IF(G77="2016年5月1日后购买",C75/(1+'数据-取费表'!C42)+C76+C77,C75+C76+C77),0)</f>
        <v>0</v>
      </c>
      <c r="D74" s="165" t="s">
        <v>26</v>
      </c>
      <c r="E74" s="2303"/>
      <c r="F74" s="2302"/>
      <c r="G74" s="2302"/>
      <c r="H74" s="177"/>
      <c r="I74" s="1797"/>
      <c r="J74" s="1795"/>
      <c r="K74" s="1795"/>
      <c r="L74" s="1795"/>
      <c r="M74" s="1795"/>
      <c r="N74" s="1795"/>
      <c r="O74" s="1795"/>
      <c r="P74" s="1795"/>
      <c r="Q74" s="1795"/>
      <c r="R74" s="1795"/>
      <c r="S74" s="1795"/>
      <c r="T74" s="1795"/>
      <c r="U74" s="1795"/>
      <c r="V74" s="1795"/>
      <c r="W74" s="1795"/>
      <c r="X74" s="1795"/>
      <c r="Y74" s="1795"/>
      <c r="Z74" s="1795"/>
      <c r="AA74" s="1796"/>
      <c r="AB74" s="1796"/>
      <c r="AC74" s="1796"/>
      <c r="AD74" s="1796"/>
      <c r="AE74" s="1796"/>
      <c r="AF74" s="1796"/>
      <c r="AG74" s="1796"/>
      <c r="AH74" s="1796"/>
      <c r="AI74" s="1796"/>
    </row>
    <row r="75" spans="1:35" s="1794" customFormat="1" ht="28.8">
      <c r="A75" s="164" t="s">
        <v>331</v>
      </c>
      <c r="B75" s="165" t="s">
        <v>1398</v>
      </c>
      <c r="C75" s="2542"/>
      <c r="D75" s="165" t="s">
        <v>26</v>
      </c>
      <c r="E75" s="179" t="s">
        <v>1399</v>
      </c>
      <c r="F75" s="2543"/>
      <c r="G75" s="179" t="s">
        <v>1400</v>
      </c>
      <c r="H75" s="2544"/>
      <c r="I75" s="1798"/>
      <c r="J75" s="1795"/>
      <c r="K75" s="1795"/>
      <c r="L75" s="1795"/>
      <c r="M75" s="1795"/>
      <c r="N75" s="1795"/>
      <c r="O75" s="1795"/>
      <c r="P75" s="1795"/>
      <c r="Q75" s="1795"/>
      <c r="R75" s="1795"/>
      <c r="S75" s="1795"/>
      <c r="T75" s="1795"/>
      <c r="U75" s="1795"/>
      <c r="V75" s="1795"/>
      <c r="W75" s="1795"/>
      <c r="X75" s="1795"/>
      <c r="Y75" s="1795"/>
      <c r="Z75" s="1795"/>
      <c r="AA75" s="1796"/>
      <c r="AB75" s="1796"/>
      <c r="AC75" s="1796"/>
      <c r="AD75" s="1796"/>
      <c r="AE75" s="1796"/>
      <c r="AF75" s="1796"/>
      <c r="AG75" s="1796"/>
      <c r="AH75" s="1796"/>
      <c r="AI75" s="1796"/>
    </row>
    <row r="76" spans="1:35" s="1794" customFormat="1" ht="24.75" customHeight="1">
      <c r="A76" s="164" t="s">
        <v>332</v>
      </c>
      <c r="B76" s="180" t="s">
        <v>1401</v>
      </c>
      <c r="C76" s="165">
        <f>IF(F75="购房发票",ROUND(C75*H75*D76,0),0)</f>
        <v>0</v>
      </c>
      <c r="D76" s="2545">
        <v>0.05</v>
      </c>
      <c r="E76" s="4065" t="s">
        <v>1402</v>
      </c>
      <c r="F76" s="4039"/>
      <c r="G76" s="4039"/>
      <c r="H76" s="4091"/>
      <c r="I76" s="1797"/>
      <c r="J76" s="1795"/>
      <c r="K76" s="1795"/>
      <c r="L76" s="1795"/>
      <c r="M76" s="1795"/>
      <c r="N76" s="1795"/>
      <c r="O76" s="1795"/>
      <c r="P76" s="1795"/>
      <c r="Q76" s="1795"/>
      <c r="R76" s="1795"/>
      <c r="S76" s="1795"/>
      <c r="T76" s="1795"/>
      <c r="U76" s="1795"/>
      <c r="V76" s="1795"/>
      <c r="W76" s="1795"/>
      <c r="X76" s="1795"/>
      <c r="Y76" s="1795"/>
      <c r="Z76" s="1795"/>
      <c r="AA76" s="1796"/>
      <c r="AB76" s="1796"/>
      <c r="AC76" s="1796"/>
      <c r="AD76" s="1796"/>
      <c r="AE76" s="1796"/>
      <c r="AF76" s="1796"/>
      <c r="AG76" s="1796"/>
      <c r="AH76" s="1796"/>
      <c r="AI76" s="1796"/>
    </row>
    <row r="77" spans="1:35" s="1794" customFormat="1" ht="24.75" customHeight="1">
      <c r="A77" s="164" t="s">
        <v>333</v>
      </c>
      <c r="B77" s="165" t="s">
        <v>1403</v>
      </c>
      <c r="C77" s="165">
        <f>ROUND(IF(G77="个人住宅",0,IF(G77="2016年5月1日前购买",C75*D77,C75*D77/(1+'数据-取费表'!C42))),0)</f>
        <v>0</v>
      </c>
      <c r="D77" s="2546">
        <f>'数据-取费表'!B48+'数据-取费表'!B49</f>
        <v>3.0499999999999999E-2</v>
      </c>
      <c r="E77" s="2296" t="s">
        <v>1404</v>
      </c>
      <c r="F77" s="181"/>
      <c r="G77" s="1799"/>
      <c r="H77" s="2304" t="str">
        <f>IF(G77="个人买卖住房","免征印花税"," ")</f>
        <v xml:space="preserve"> </v>
      </c>
      <c r="I77" s="1797"/>
      <c r="J77" s="1795"/>
      <c r="K77" s="1795"/>
      <c r="L77" s="1795"/>
      <c r="M77" s="1795"/>
      <c r="N77" s="1795"/>
      <c r="O77" s="1795"/>
      <c r="P77" s="1795"/>
      <c r="Q77" s="1795"/>
      <c r="R77" s="1795"/>
      <c r="S77" s="1795"/>
      <c r="T77" s="1795"/>
      <c r="U77" s="1795"/>
      <c r="V77" s="1795"/>
      <c r="W77" s="1795"/>
      <c r="X77" s="1795"/>
      <c r="Y77" s="1795"/>
      <c r="Z77" s="1795"/>
      <c r="AA77" s="1796"/>
      <c r="AB77" s="1796"/>
      <c r="AC77" s="1796"/>
      <c r="AD77" s="1796"/>
      <c r="AE77" s="1796"/>
      <c r="AF77" s="1796"/>
      <c r="AG77" s="1796"/>
      <c r="AH77" s="1796"/>
      <c r="AI77" s="1796"/>
    </row>
    <row r="78" spans="1:35" s="1794" customFormat="1" ht="24.75" customHeight="1">
      <c r="A78" s="164" t="s">
        <v>326</v>
      </c>
      <c r="B78" s="165" t="s">
        <v>1405</v>
      </c>
      <c r="C78" s="2547" t="e">
        <f ca="1">ROUND(D45*D78/(1+'数据-取费表'!C42),0)</f>
        <v>#REF!</v>
      </c>
      <c r="D78" s="2548">
        <f>'数据-取费表'!B43</f>
        <v>6.000000000000001E-3</v>
      </c>
      <c r="E78" s="4049" t="s">
        <v>1406</v>
      </c>
      <c r="F78" s="4050"/>
      <c r="G78" s="4050"/>
      <c r="H78" s="4059"/>
      <c r="I78" s="1800"/>
      <c r="J78" s="1795"/>
      <c r="K78" s="1795"/>
      <c r="L78" s="1795"/>
      <c r="M78" s="1795"/>
      <c r="N78" s="1795"/>
      <c r="O78" s="1795"/>
      <c r="P78" s="1795"/>
      <c r="Q78" s="1795"/>
      <c r="R78" s="1795"/>
      <c r="S78" s="1795"/>
      <c r="T78" s="1795"/>
      <c r="U78" s="1795"/>
      <c r="V78" s="1795"/>
      <c r="W78" s="1795"/>
      <c r="X78" s="1795"/>
      <c r="Y78" s="1795"/>
      <c r="Z78" s="1795"/>
      <c r="AA78" s="1796"/>
      <c r="AB78" s="1796"/>
      <c r="AC78" s="1796"/>
      <c r="AD78" s="1796"/>
      <c r="AE78" s="1796"/>
      <c r="AF78" s="1796"/>
      <c r="AG78" s="1796"/>
      <c r="AH78" s="1796"/>
      <c r="AI78" s="1796"/>
    </row>
    <row r="79" spans="1:35" s="1794" customFormat="1" ht="13.8">
      <c r="A79" s="168" t="s">
        <v>334</v>
      </c>
      <c r="B79" s="169" t="s">
        <v>1407</v>
      </c>
      <c r="C79" s="2539" t="e">
        <f ca="1">C72-C73</f>
        <v>#REF!</v>
      </c>
      <c r="D79" s="165" t="s">
        <v>26</v>
      </c>
      <c r="E79" s="2303"/>
      <c r="F79" s="2302"/>
      <c r="G79" s="2302"/>
      <c r="H79" s="177"/>
      <c r="I79" s="1797"/>
      <c r="J79" s="1795"/>
      <c r="K79" s="1795"/>
      <c r="L79" s="1795"/>
      <c r="M79" s="1795"/>
      <c r="N79" s="1795"/>
      <c r="O79" s="1795"/>
      <c r="P79" s="1795"/>
      <c r="Q79" s="1795"/>
      <c r="R79" s="1795"/>
      <c r="S79" s="1795"/>
      <c r="T79" s="1795"/>
      <c r="U79" s="1795"/>
      <c r="V79" s="1795"/>
      <c r="W79" s="1795"/>
      <c r="X79" s="1795"/>
      <c r="Y79" s="1795"/>
      <c r="Z79" s="1795"/>
      <c r="AA79" s="1796"/>
      <c r="AB79" s="1796"/>
      <c r="AC79" s="1796"/>
      <c r="AD79" s="1796"/>
      <c r="AE79" s="1796"/>
      <c r="AF79" s="1796"/>
      <c r="AG79" s="1796"/>
      <c r="AH79" s="1796"/>
      <c r="AI79" s="1796"/>
    </row>
    <row r="80" spans="1:35" s="1794" customFormat="1" ht="24">
      <c r="A80" s="168" t="s">
        <v>335</v>
      </c>
      <c r="B80" s="169" t="s">
        <v>1408</v>
      </c>
      <c r="C80" s="2549" t="e">
        <f ca="1">IF(C79&lt;=0,0,C79/C73)</f>
        <v>#REF!</v>
      </c>
      <c r="D80" s="165" t="s">
        <v>26</v>
      </c>
      <c r="E80" s="2296" t="e">
        <f ca="1">IF(C80&gt;=200%,"增值额超过扣除项目金额200%",IF(C80&gt;=100%,"增值额超过扣除项目金额100%，未超过200%",IF(C80&gt;=50%,"增值额超过扣除项目金额50%，未超过100%",IF(C80&lt;50%,"增值额未超过扣除项目金额50%"))))</f>
        <v>#REF!</v>
      </c>
      <c r="F80" s="2302"/>
      <c r="G80" s="2302"/>
      <c r="H80" s="177"/>
      <c r="I80" s="1797"/>
      <c r="J80" s="1795"/>
      <c r="K80" s="1795"/>
      <c r="L80" s="1795"/>
      <c r="M80" s="1795"/>
      <c r="N80" s="1795"/>
      <c r="O80" s="1795"/>
      <c r="P80" s="1795"/>
      <c r="Q80" s="1795"/>
      <c r="R80" s="1795"/>
      <c r="S80" s="1795"/>
      <c r="T80" s="1795"/>
      <c r="U80" s="1795"/>
      <c r="V80" s="1795"/>
      <c r="W80" s="1795"/>
      <c r="X80" s="1795"/>
      <c r="Y80" s="1795"/>
      <c r="Z80" s="1795"/>
      <c r="AA80" s="1796"/>
      <c r="AB80" s="1796"/>
      <c r="AC80" s="1796"/>
      <c r="AD80" s="1796"/>
      <c r="AE80" s="1796"/>
      <c r="AF80" s="1796"/>
      <c r="AG80" s="1796"/>
      <c r="AH80" s="1796"/>
      <c r="AI80" s="1796"/>
    </row>
    <row r="81" spans="1:35" s="1794" customFormat="1" ht="24.6" thickBot="1">
      <c r="A81" s="171" t="s">
        <v>336</v>
      </c>
      <c r="B81" s="172" t="s">
        <v>1409</v>
      </c>
      <c r="C81" s="2550" t="e">
        <f ca="1">ROUND(IF(C79&lt;=0,0,IF(C80&gt;=200%,C79*60%-C73*35%,IF(C80&gt;=100%,C79*50%-C73*15%,IF(C80&gt;=50%,C79*40%-C73*5%,IF(C80&lt;50%,C79*30%,0))))),0)</f>
        <v>#REF!</v>
      </c>
      <c r="D81" s="2551" t="s">
        <v>26</v>
      </c>
      <c r="E81" s="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4"/>
      <c r="G81" s="184"/>
      <c r="H81" s="185"/>
      <c r="I81" s="1797"/>
      <c r="J81" s="1795"/>
      <c r="K81" s="1795"/>
      <c r="L81" s="1795"/>
      <c r="M81" s="1795"/>
      <c r="N81" s="1795"/>
      <c r="O81" s="1795"/>
      <c r="P81" s="1795"/>
      <c r="Q81" s="1795"/>
      <c r="R81" s="1795"/>
      <c r="S81" s="1795"/>
      <c r="T81" s="1795"/>
      <c r="U81" s="1795"/>
      <c r="V81" s="1795"/>
      <c r="W81" s="1795"/>
      <c r="X81" s="1795"/>
      <c r="Y81" s="1795"/>
      <c r="Z81" s="1795"/>
      <c r="AA81" s="1796"/>
      <c r="AB81" s="1796"/>
      <c r="AC81" s="1796"/>
      <c r="AD81" s="1796"/>
      <c r="AE81" s="1796"/>
      <c r="AF81" s="1796"/>
      <c r="AG81" s="1796"/>
      <c r="AH81" s="1796"/>
      <c r="AI81" s="1796"/>
    </row>
    <row r="82" spans="1:35" s="1794" customFormat="1" ht="7.5" customHeight="1">
      <c r="A82" s="672"/>
      <c r="B82" s="673"/>
      <c r="C82" s="4"/>
      <c r="D82" s="4"/>
      <c r="E82" s="673"/>
      <c r="F82" s="673"/>
      <c r="G82" s="673"/>
      <c r="H82" s="674"/>
      <c r="I82" s="1800"/>
      <c r="J82" s="1795"/>
      <c r="K82" s="1795"/>
      <c r="L82" s="1795"/>
      <c r="M82" s="1795"/>
      <c r="N82" s="1795"/>
      <c r="O82" s="1795"/>
      <c r="P82" s="1795"/>
      <c r="Q82" s="1795"/>
      <c r="R82" s="1795"/>
      <c r="S82" s="1795"/>
      <c r="T82" s="1795"/>
      <c r="U82" s="1795"/>
      <c r="V82" s="1795"/>
      <c r="W82" s="1795"/>
      <c r="X82" s="1795"/>
      <c r="Y82" s="1795"/>
      <c r="Z82" s="1795"/>
      <c r="AA82" s="1796"/>
      <c r="AB82" s="1796"/>
      <c r="AC82" s="1796"/>
      <c r="AD82" s="1796"/>
      <c r="AE82" s="1796"/>
      <c r="AF82" s="1796"/>
      <c r="AG82" s="1796"/>
      <c r="AH82" s="1796"/>
      <c r="AI82" s="1796"/>
    </row>
    <row r="83" spans="1:35" s="1794" customFormat="1" ht="14.4" thickBot="1">
      <c r="A83" s="4092" t="s">
        <v>1410</v>
      </c>
      <c r="B83" s="4093"/>
      <c r="C83" s="4093"/>
      <c r="D83" s="4093"/>
      <c r="E83" s="4093"/>
      <c r="F83" s="4093"/>
      <c r="G83" s="4093"/>
      <c r="H83" s="4093"/>
      <c r="I83" s="1798"/>
      <c r="J83" s="1795"/>
      <c r="K83" s="1795"/>
      <c r="L83" s="1795"/>
      <c r="M83" s="1795"/>
      <c r="N83" s="1795"/>
      <c r="O83" s="1795"/>
      <c r="P83" s="1795"/>
      <c r="Q83" s="1795"/>
      <c r="R83" s="1795"/>
      <c r="S83" s="1795"/>
      <c r="T83" s="1795"/>
      <c r="U83" s="1795"/>
      <c r="V83" s="1795"/>
      <c r="W83" s="1795"/>
      <c r="X83" s="1795"/>
      <c r="Y83" s="1795"/>
      <c r="Z83" s="1795"/>
      <c r="AA83" s="1796"/>
      <c r="AB83" s="1796"/>
      <c r="AC83" s="1796"/>
      <c r="AD83" s="1796"/>
      <c r="AE83" s="1796"/>
      <c r="AF83" s="1796"/>
      <c r="AG83" s="1796"/>
      <c r="AH83" s="1796"/>
      <c r="AI83" s="1796"/>
    </row>
    <row r="84" spans="1:35" s="1794" customFormat="1" ht="13.8">
      <c r="A84" s="4070" t="s">
        <v>1375</v>
      </c>
      <c r="B84" s="4071"/>
      <c r="C84" s="1993"/>
      <c r="D84" s="1993" t="s">
        <v>1376</v>
      </c>
      <c r="E84" s="174" t="s">
        <v>1377</v>
      </c>
      <c r="F84" s="175"/>
      <c r="G84" s="175"/>
      <c r="H84" s="186"/>
      <c r="I84" s="1798"/>
      <c r="J84" s="1795"/>
      <c r="K84" s="1795"/>
      <c r="L84" s="1795"/>
      <c r="M84" s="1795"/>
      <c r="N84" s="1795"/>
      <c r="O84" s="1795"/>
      <c r="P84" s="1795"/>
      <c r="Q84" s="1795"/>
      <c r="R84" s="1795"/>
      <c r="S84" s="1795"/>
      <c r="T84" s="1795"/>
      <c r="U84" s="1795"/>
      <c r="V84" s="1795"/>
      <c r="W84" s="1795"/>
      <c r="X84" s="1795"/>
      <c r="Y84" s="1795"/>
      <c r="Z84" s="1795"/>
      <c r="AA84" s="1796"/>
      <c r="AB84" s="1796"/>
      <c r="AC84" s="1796"/>
      <c r="AD84" s="1796"/>
      <c r="AE84" s="1796"/>
      <c r="AF84" s="1796"/>
      <c r="AG84" s="1796"/>
      <c r="AH84" s="1796"/>
      <c r="AI84" s="1796"/>
    </row>
    <row r="85" spans="1:35" s="1794" customFormat="1" ht="13.8">
      <c r="A85" s="168" t="s">
        <v>330</v>
      </c>
      <c r="B85" s="169" t="s">
        <v>1395</v>
      </c>
      <c r="C85" s="2539" t="e">
        <f ca="1">ROUND(D45/(1+'数据-取费表'!C42),0)</f>
        <v>#REF!</v>
      </c>
      <c r="D85" s="165" t="s">
        <v>26</v>
      </c>
      <c r="E85" s="2303"/>
      <c r="F85" s="2302"/>
      <c r="G85" s="2302"/>
      <c r="H85" s="187"/>
      <c r="I85" s="1798"/>
      <c r="J85" s="1795"/>
      <c r="K85" s="1795"/>
      <c r="L85" s="1795"/>
      <c r="M85" s="1795"/>
      <c r="N85" s="1795"/>
      <c r="O85" s="1795"/>
      <c r="P85" s="1795"/>
      <c r="Q85" s="1795"/>
      <c r="R85" s="1795"/>
      <c r="S85" s="1795"/>
      <c r="T85" s="1795"/>
      <c r="U85" s="1795"/>
      <c r="V85" s="1795"/>
      <c r="W85" s="1795"/>
      <c r="X85" s="1795"/>
      <c r="Y85" s="1795"/>
      <c r="Z85" s="1795"/>
      <c r="AA85" s="1796"/>
      <c r="AB85" s="1796"/>
      <c r="AC85" s="1796"/>
      <c r="AD85" s="1796"/>
      <c r="AE85" s="1796"/>
      <c r="AF85" s="1796"/>
      <c r="AG85" s="1796"/>
      <c r="AH85" s="1796"/>
      <c r="AI85" s="1796"/>
    </row>
    <row r="86" spans="1:35" s="1794" customFormat="1" ht="13.8">
      <c r="A86" s="168" t="s">
        <v>327</v>
      </c>
      <c r="B86" s="158" t="s">
        <v>1396</v>
      </c>
      <c r="C86" s="2539" t="e">
        <f ca="1">IF(H88="仅含出让金",C87+C90+C91+C92+C93+C94,C87+C91+C92+C93+C94)</f>
        <v>#REF!</v>
      </c>
      <c r="D86" s="2552"/>
      <c r="E86" s="2303"/>
      <c r="F86" s="2302"/>
      <c r="G86" s="2302"/>
      <c r="H86" s="187"/>
      <c r="I86" s="1798"/>
      <c r="J86" s="1795"/>
      <c r="K86" s="1795"/>
      <c r="L86" s="1795"/>
      <c r="M86" s="1795"/>
      <c r="N86" s="1795"/>
      <c r="O86" s="1795"/>
      <c r="P86" s="1795"/>
      <c r="Q86" s="1795"/>
      <c r="R86" s="1795"/>
      <c r="S86" s="1795"/>
      <c r="T86" s="1795"/>
      <c r="U86" s="1795"/>
      <c r="V86" s="1795"/>
      <c r="W86" s="1795"/>
      <c r="X86" s="1795"/>
      <c r="Y86" s="1795"/>
      <c r="Z86" s="1795"/>
      <c r="AA86" s="1796"/>
      <c r="AB86" s="1796"/>
      <c r="AC86" s="1796"/>
      <c r="AD86" s="1796"/>
      <c r="AE86" s="1796"/>
      <c r="AF86" s="1796"/>
      <c r="AG86" s="1796"/>
      <c r="AH86" s="1796"/>
      <c r="AI86" s="1796"/>
    </row>
    <row r="87" spans="1:35" s="1794" customFormat="1" ht="13.8">
      <c r="A87" s="164" t="s">
        <v>325</v>
      </c>
      <c r="B87" s="165" t="s">
        <v>1411</v>
      </c>
      <c r="C87" s="2547">
        <f>C88+C89</f>
        <v>0</v>
      </c>
      <c r="D87" s="2548"/>
      <c r="E87" s="2298"/>
      <c r="F87" s="2299"/>
      <c r="G87" s="2299"/>
      <c r="H87" s="2300"/>
      <c r="I87" s="1798"/>
      <c r="J87" s="1795"/>
      <c r="K87" s="1795"/>
      <c r="L87" s="1795"/>
      <c r="M87" s="1795"/>
      <c r="N87" s="1795"/>
      <c r="O87" s="1795"/>
      <c r="P87" s="1795"/>
      <c r="Q87" s="1795"/>
      <c r="R87" s="1795"/>
      <c r="S87" s="1795"/>
      <c r="T87" s="1795"/>
      <c r="U87" s="1795"/>
      <c r="V87" s="1795"/>
      <c r="W87" s="1795"/>
      <c r="X87" s="1795"/>
      <c r="Y87" s="1795"/>
      <c r="Z87" s="1795"/>
      <c r="AA87" s="1796"/>
      <c r="AB87" s="1796"/>
      <c r="AC87" s="1796"/>
      <c r="AD87" s="1796"/>
      <c r="AE87" s="1796"/>
      <c r="AF87" s="1796"/>
      <c r="AG87" s="1796"/>
      <c r="AH87" s="1796"/>
      <c r="AI87" s="1796"/>
    </row>
    <row r="88" spans="1:35" s="1794" customFormat="1" ht="14.4">
      <c r="A88" s="164" t="s">
        <v>331</v>
      </c>
      <c r="B88" s="165" t="s">
        <v>1412</v>
      </c>
      <c r="C88" s="2553"/>
      <c r="D88" s="2548"/>
      <c r="E88" s="188" t="s">
        <v>1413</v>
      </c>
      <c r="F88" s="2299"/>
      <c r="G88" s="189" t="s">
        <v>1414</v>
      </c>
      <c r="H88" s="1801"/>
      <c r="I88" s="1798"/>
      <c r="J88" s="2492" t="s">
        <v>2288</v>
      </c>
      <c r="K88" s="1795"/>
      <c r="L88" s="1795"/>
      <c r="M88" s="1795"/>
      <c r="N88" s="1795"/>
      <c r="O88" s="1795"/>
      <c r="P88" s="1795"/>
      <c r="Q88" s="1795"/>
      <c r="R88" s="1795"/>
      <c r="S88" s="1795"/>
      <c r="T88" s="1795"/>
      <c r="U88" s="1795"/>
      <c r="V88" s="1795"/>
      <c r="W88" s="1795"/>
      <c r="X88" s="1795"/>
      <c r="Y88" s="1795"/>
      <c r="Z88" s="1795"/>
      <c r="AA88" s="1796"/>
      <c r="AB88" s="1796"/>
      <c r="AC88" s="1796"/>
      <c r="AD88" s="1796"/>
      <c r="AE88" s="1796"/>
      <c r="AF88" s="1796"/>
      <c r="AG88" s="1796"/>
      <c r="AH88" s="1796"/>
      <c r="AI88" s="1796"/>
    </row>
    <row r="89" spans="1:35" s="1794" customFormat="1" ht="13.8">
      <c r="A89" s="164" t="s">
        <v>332</v>
      </c>
      <c r="B89" s="165" t="s">
        <v>1403</v>
      </c>
      <c r="C89" s="2547">
        <f>ROUND(C88*D89,0)</f>
        <v>0</v>
      </c>
      <c r="D89" s="2548">
        <f>'数据-取费表'!B48+'数据-取费表'!B49</f>
        <v>3.0499999999999999E-2</v>
      </c>
      <c r="E89" s="188" t="s">
        <v>1415</v>
      </c>
      <c r="F89" s="2299"/>
      <c r="G89" s="2299"/>
      <c r="H89" s="2300"/>
      <c r="I89" s="1798"/>
      <c r="J89" s="1795"/>
      <c r="K89" s="1795"/>
      <c r="L89" s="1795"/>
      <c r="M89" s="1795"/>
      <c r="N89" s="1795"/>
      <c r="O89" s="1795"/>
      <c r="P89" s="1795"/>
      <c r="Q89" s="1795"/>
      <c r="R89" s="1795"/>
      <c r="S89" s="1795"/>
      <c r="T89" s="1795"/>
      <c r="U89" s="1795"/>
      <c r="V89" s="1795"/>
      <c r="W89" s="1795"/>
      <c r="X89" s="1795"/>
      <c r="Y89" s="1795"/>
      <c r="Z89" s="1795"/>
      <c r="AA89" s="1796"/>
      <c r="AB89" s="1796"/>
      <c r="AC89" s="1796"/>
      <c r="AD89" s="1796"/>
      <c r="AE89" s="1796"/>
      <c r="AF89" s="1796"/>
      <c r="AG89" s="1796"/>
      <c r="AH89" s="1796"/>
      <c r="AI89" s="1796"/>
    </row>
    <row r="90" spans="1:35" s="1794" customFormat="1" ht="14.4">
      <c r="A90" s="164" t="s">
        <v>326</v>
      </c>
      <c r="B90" s="165" t="s">
        <v>1416</v>
      </c>
      <c r="C90" s="2553"/>
      <c r="D90" s="2548"/>
      <c r="E90" s="188" t="str">
        <f>IF(H88="-","土地取得成本中已包含该笔费用"," ")</f>
        <v xml:space="preserve"> </v>
      </c>
      <c r="F90" s="2299"/>
      <c r="G90" s="4132" t="s">
        <v>2129</v>
      </c>
      <c r="H90" s="4133"/>
      <c r="I90" s="1798"/>
      <c r="J90" s="2492" t="s">
        <v>2289</v>
      </c>
      <c r="K90" s="1795"/>
      <c r="L90" s="1795"/>
      <c r="M90" s="1795"/>
      <c r="N90" s="1795"/>
      <c r="O90" s="1795"/>
      <c r="P90" s="1795"/>
      <c r="Q90" s="1795"/>
      <c r="R90" s="1795"/>
      <c r="S90" s="1795"/>
      <c r="T90" s="1795"/>
      <c r="U90" s="1795"/>
      <c r="V90" s="1795"/>
      <c r="W90" s="1795"/>
      <c r="X90" s="1795"/>
      <c r="Y90" s="1795"/>
      <c r="Z90" s="1795"/>
      <c r="AA90" s="1796"/>
      <c r="AB90" s="1796"/>
      <c r="AC90" s="1796"/>
      <c r="AD90" s="1796"/>
      <c r="AE90" s="1796"/>
      <c r="AF90" s="1796"/>
      <c r="AG90" s="1796"/>
      <c r="AH90" s="1796"/>
      <c r="AI90" s="1796"/>
    </row>
    <row r="91" spans="1:35" s="1794" customFormat="1" ht="27.75" customHeight="1">
      <c r="A91" s="164" t="s">
        <v>1417</v>
      </c>
      <c r="B91" s="165" t="s">
        <v>1418</v>
      </c>
      <c r="C91" s="2547">
        <f>IF(H91="——",成本法!C33,I91)</f>
        <v>0</v>
      </c>
      <c r="D91" s="2548"/>
      <c r="E91" s="4049" t="s">
        <v>1419</v>
      </c>
      <c r="F91" s="4050"/>
      <c r="G91" s="4050"/>
      <c r="H91" s="1802"/>
      <c r="I91" s="1803"/>
      <c r="J91" s="1795"/>
      <c r="K91" s="1795"/>
      <c r="L91" s="1795"/>
      <c r="M91" s="1795"/>
      <c r="N91" s="1795"/>
      <c r="O91" s="1795"/>
      <c r="P91" s="1795"/>
      <c r="Q91" s="1795"/>
      <c r="R91" s="1795"/>
      <c r="S91" s="1795"/>
      <c r="T91" s="1795"/>
      <c r="U91" s="1795"/>
      <c r="V91" s="1795"/>
      <c r="W91" s="1795"/>
      <c r="X91" s="1795"/>
      <c r="Y91" s="1795"/>
      <c r="Z91" s="1795"/>
      <c r="AA91" s="1796"/>
      <c r="AB91" s="1796"/>
      <c r="AC91" s="1796"/>
      <c r="AD91" s="1796"/>
      <c r="AE91" s="1796"/>
      <c r="AF91" s="1796"/>
      <c r="AG91" s="1796"/>
      <c r="AH91" s="1796"/>
      <c r="AI91" s="1796"/>
    </row>
    <row r="92" spans="1:35" s="1794" customFormat="1" ht="25.5" customHeight="1">
      <c r="A92" s="164" t="s">
        <v>1420</v>
      </c>
      <c r="B92" s="165" t="s">
        <v>1421</v>
      </c>
      <c r="C92" s="2547">
        <f>ROUND((C87+C90+C91)*D92,0)</f>
        <v>0</v>
      </c>
      <c r="D92" s="2554"/>
      <c r="E92" s="4049" t="s">
        <v>1422</v>
      </c>
      <c r="F92" s="4050"/>
      <c r="G92" s="4050"/>
      <c r="H92" s="4059"/>
      <c r="I92" s="1798"/>
      <c r="J92" s="2493" t="s">
        <v>2290</v>
      </c>
      <c r="K92" s="1795"/>
      <c r="L92" s="1795"/>
      <c r="M92" s="1795"/>
      <c r="N92" s="1795"/>
      <c r="O92" s="1795"/>
      <c r="P92" s="1795"/>
      <c r="Q92" s="1795"/>
      <c r="R92" s="1795"/>
      <c r="S92" s="1795"/>
      <c r="T92" s="1795"/>
      <c r="U92" s="1795"/>
      <c r="V92" s="1795"/>
      <c r="W92" s="1795"/>
      <c r="X92" s="1795"/>
      <c r="Y92" s="1795"/>
      <c r="Z92" s="1795"/>
      <c r="AA92" s="1796"/>
      <c r="AB92" s="1796"/>
      <c r="AC92" s="1796"/>
      <c r="AD92" s="1796"/>
      <c r="AE92" s="1796"/>
      <c r="AF92" s="1796"/>
      <c r="AG92" s="1796"/>
      <c r="AH92" s="1796"/>
      <c r="AI92" s="1796"/>
    </row>
    <row r="93" spans="1:35" s="1794" customFormat="1" ht="25.5" customHeight="1">
      <c r="A93" s="164" t="s">
        <v>1423</v>
      </c>
      <c r="B93" s="165" t="s">
        <v>1405</v>
      </c>
      <c r="C93" s="2547" t="e">
        <f ca="1">ROUND(D45*D93/(1+'数据-取费表'!C42),0)</f>
        <v>#REF!</v>
      </c>
      <c r="D93" s="2548">
        <f>'数据-取费表'!B43</f>
        <v>6.000000000000001E-3</v>
      </c>
      <c r="E93" s="4049" t="s">
        <v>1406</v>
      </c>
      <c r="F93" s="4050"/>
      <c r="G93" s="4050"/>
      <c r="H93" s="4059"/>
      <c r="I93" s="1798"/>
      <c r="J93" s="1795"/>
      <c r="K93" s="1795"/>
      <c r="L93" s="1795"/>
      <c r="M93" s="1795"/>
      <c r="N93" s="1795"/>
      <c r="O93" s="1795"/>
      <c r="P93" s="1795"/>
      <c r="Q93" s="1795"/>
      <c r="R93" s="1795"/>
      <c r="S93" s="1795"/>
      <c r="T93" s="1795"/>
      <c r="U93" s="1795"/>
      <c r="V93" s="1795"/>
      <c r="W93" s="1795"/>
      <c r="X93" s="1795"/>
      <c r="Y93" s="1795"/>
      <c r="Z93" s="1795"/>
      <c r="AA93" s="1796"/>
      <c r="AB93" s="1796"/>
      <c r="AC93" s="1796"/>
      <c r="AD93" s="1796"/>
      <c r="AE93" s="1796"/>
      <c r="AF93" s="1796"/>
      <c r="AG93" s="1796"/>
      <c r="AH93" s="1796"/>
      <c r="AI93" s="1796"/>
    </row>
    <row r="94" spans="1:35" s="1794" customFormat="1" ht="36.75" customHeight="1">
      <c r="A94" s="164" t="s">
        <v>1424</v>
      </c>
      <c r="B94" s="165" t="s">
        <v>1425</v>
      </c>
      <c r="C94" s="2553">
        <f>ROUND((C87+C90+C91)*D94,0)</f>
        <v>0</v>
      </c>
      <c r="D94" s="2548">
        <v>0.2</v>
      </c>
      <c r="E94" s="4060" t="s">
        <v>1426</v>
      </c>
      <c r="F94" s="4061"/>
      <c r="G94" s="4061"/>
      <c r="H94" s="4062"/>
      <c r="I94" s="1798"/>
      <c r="J94" s="1795"/>
      <c r="K94" s="1795"/>
      <c r="L94" s="1795"/>
      <c r="M94" s="1795"/>
      <c r="N94" s="1795"/>
      <c r="O94" s="1795"/>
      <c r="P94" s="1795"/>
      <c r="Q94" s="1795"/>
      <c r="R94" s="1795"/>
      <c r="S94" s="1795"/>
      <c r="T94" s="1795"/>
      <c r="U94" s="1795"/>
      <c r="V94" s="1795"/>
      <c r="W94" s="1795"/>
      <c r="X94" s="1795"/>
      <c r="Y94" s="1795"/>
      <c r="Z94" s="1795"/>
      <c r="AA94" s="1796"/>
      <c r="AB94" s="1796"/>
      <c r="AC94" s="1796"/>
      <c r="AD94" s="1796"/>
      <c r="AE94" s="1796"/>
      <c r="AF94" s="1796"/>
      <c r="AG94" s="1796"/>
      <c r="AH94" s="1796"/>
      <c r="AI94" s="1796"/>
    </row>
    <row r="95" spans="1:35" s="1794" customFormat="1" ht="13.8">
      <c r="A95" s="168" t="s">
        <v>334</v>
      </c>
      <c r="B95" s="169" t="s">
        <v>1407</v>
      </c>
      <c r="C95" s="2539" t="e">
        <f ca="1">ROUND(C85-C86,0)</f>
        <v>#REF!</v>
      </c>
      <c r="D95" s="165" t="s">
        <v>26</v>
      </c>
      <c r="E95" s="2303"/>
      <c r="F95" s="2302"/>
      <c r="G95" s="2302"/>
      <c r="H95" s="187"/>
      <c r="I95" s="1798"/>
      <c r="J95" s="1795"/>
      <c r="K95" s="1795"/>
      <c r="L95" s="1795"/>
      <c r="M95" s="1795"/>
      <c r="N95" s="1795"/>
      <c r="O95" s="1795"/>
      <c r="P95" s="1795"/>
      <c r="Q95" s="1795"/>
      <c r="R95" s="1795"/>
      <c r="S95" s="1795"/>
      <c r="T95" s="1795"/>
      <c r="U95" s="1795"/>
      <c r="V95" s="1795"/>
      <c r="W95" s="1795"/>
      <c r="X95" s="1795"/>
      <c r="Y95" s="1795"/>
      <c r="Z95" s="1795"/>
      <c r="AA95" s="1796"/>
      <c r="AB95" s="1796"/>
      <c r="AC95" s="1796"/>
      <c r="AD95" s="1796"/>
      <c r="AE95" s="1796"/>
      <c r="AF95" s="1796"/>
      <c r="AG95" s="1796"/>
      <c r="AH95" s="1796"/>
      <c r="AI95" s="1796"/>
    </row>
    <row r="96" spans="1:35" s="1794" customFormat="1" ht="24">
      <c r="A96" s="168" t="s">
        <v>335</v>
      </c>
      <c r="B96" s="169" t="s">
        <v>1408</v>
      </c>
      <c r="C96" s="2549" t="e">
        <f ca="1">IF(C95&lt;=0,0,C95/C86)</f>
        <v>#REF!</v>
      </c>
      <c r="D96" s="165" t="s">
        <v>26</v>
      </c>
      <c r="E96" s="2296" t="e">
        <f ca="1">IF(C96&gt;=200%,"增值额超过扣除项目金额200%",IF(C96&gt;=100%,"增值额超过扣除项目金额100%，未超过200%",IF(C96&gt;=50%,"增值额超过扣除项目金额50%，未超过100%",IF(C96&lt;50%,"增值额未超过扣除项目金额50%"))))</f>
        <v>#REF!</v>
      </c>
      <c r="F96" s="2302"/>
      <c r="G96" s="2302"/>
      <c r="H96" s="187"/>
      <c r="I96" s="1798"/>
      <c r="J96" s="1795"/>
      <c r="K96" s="1795"/>
      <c r="L96" s="1795"/>
      <c r="M96" s="1795"/>
      <c r="N96" s="1795"/>
      <c r="O96" s="1795"/>
      <c r="P96" s="1795"/>
      <c r="Q96" s="1795"/>
      <c r="R96" s="1795"/>
      <c r="S96" s="1795"/>
      <c r="T96" s="1795"/>
      <c r="U96" s="1795"/>
      <c r="V96" s="1795"/>
      <c r="W96" s="1795"/>
      <c r="X96" s="1795"/>
      <c r="Y96" s="1795"/>
      <c r="Z96" s="1795"/>
      <c r="AA96" s="1796"/>
      <c r="AB96" s="1796"/>
      <c r="AC96" s="1796"/>
      <c r="AD96" s="1796"/>
      <c r="AE96" s="1796"/>
      <c r="AF96" s="1796"/>
      <c r="AG96" s="1796"/>
      <c r="AH96" s="1796"/>
      <c r="AI96" s="1796"/>
    </row>
    <row r="97" spans="1:35" s="1794" customFormat="1" ht="24.6" thickBot="1">
      <c r="A97" s="171" t="s">
        <v>336</v>
      </c>
      <c r="B97" s="172" t="s">
        <v>1409</v>
      </c>
      <c r="C97" s="2550" t="e">
        <f ca="1">ROUND(IF(C95&lt;=0,0,IF(C96&gt;=200%,C95*60%-C86*35%,IF(C96&gt;=100%,C95*50%-C86*15%,IF(C96&gt;=50%,C95*40%-C86*5%,IF(C96&lt;50%,C95*30%,0))))),0)</f>
        <v>#REF!</v>
      </c>
      <c r="D97" s="2551" t="s">
        <v>26</v>
      </c>
      <c r="E97" s="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4"/>
      <c r="G97" s="184"/>
      <c r="H97" s="190"/>
      <c r="I97" s="1798"/>
      <c r="J97" s="1795"/>
      <c r="K97" s="1795"/>
      <c r="L97" s="1795"/>
      <c r="M97" s="1795"/>
      <c r="N97" s="1795"/>
      <c r="O97" s="1795"/>
      <c r="P97" s="1795"/>
      <c r="Q97" s="1795"/>
      <c r="R97" s="1795"/>
      <c r="S97" s="1795"/>
      <c r="T97" s="1795"/>
      <c r="U97" s="1795"/>
      <c r="V97" s="1795"/>
      <c r="W97" s="1795"/>
      <c r="X97" s="1795"/>
      <c r="Y97" s="1795"/>
      <c r="Z97" s="1795"/>
      <c r="AA97" s="1796"/>
      <c r="AB97" s="1796"/>
      <c r="AC97" s="1796"/>
      <c r="AD97" s="1796"/>
      <c r="AE97" s="1796"/>
      <c r="AF97" s="1796"/>
      <c r="AG97" s="1796"/>
      <c r="AH97" s="1796"/>
      <c r="AI97" s="1796"/>
    </row>
    <row r="98" spans="1:35" ht="21.75" customHeight="1">
      <c r="A98" s="1786"/>
      <c r="B98" s="1734"/>
      <c r="C98" s="1734"/>
      <c r="D98" s="1734"/>
      <c r="E98" s="1565"/>
      <c r="F98" s="1565"/>
      <c r="G98" s="1565"/>
      <c r="H98" s="1564"/>
      <c r="I98" s="129"/>
    </row>
    <row r="99" spans="1:35" ht="21.75" customHeight="1" thickBot="1">
      <c r="A99" s="1777" t="s">
        <v>1427</v>
      </c>
      <c r="B99" s="1734"/>
      <c r="C99" s="1734"/>
      <c r="D99" s="1734"/>
      <c r="E99" s="1565"/>
      <c r="F99" s="1565"/>
      <c r="G99" s="1565"/>
      <c r="H99" s="1564"/>
      <c r="I99" s="129"/>
    </row>
    <row r="100" spans="1:35" ht="18.75" customHeight="1">
      <c r="A100" s="4033" t="s">
        <v>1428</v>
      </c>
      <c r="B100" s="4034"/>
      <c r="C100" s="4034"/>
      <c r="D100" s="4051"/>
      <c r="E100" s="4034" t="s">
        <v>1429</v>
      </c>
      <c r="F100" s="4034"/>
      <c r="G100" s="4034"/>
      <c r="H100" s="4051"/>
      <c r="I100" s="129"/>
    </row>
    <row r="101" spans="1:35" ht="18.75" customHeight="1">
      <c r="A101" s="4113" t="s">
        <v>1430</v>
      </c>
      <c r="B101" s="4114"/>
      <c r="C101" s="2556" t="str">
        <f>C4</f>
        <v>成本法 (元)</v>
      </c>
      <c r="D101" s="2557" t="str">
        <f>D4</f>
        <v>比较法-住宅</v>
      </c>
      <c r="E101" s="4127" t="s">
        <v>1431</v>
      </c>
      <c r="F101" s="4083"/>
      <c r="G101" s="1804" t="s">
        <v>1432</v>
      </c>
      <c r="H101" s="2566" t="e">
        <f ca="1">H118</f>
        <v>#REF!</v>
      </c>
      <c r="I101" s="129"/>
    </row>
    <row r="102" spans="1:35" ht="18.75" customHeight="1">
      <c r="A102" s="4086" t="s">
        <v>1433</v>
      </c>
      <c r="B102" s="2555" t="s">
        <v>1432</v>
      </c>
      <c r="C102" s="2556" t="e">
        <f ca="1">IF(D32="楼面单价",ROUND(C19,0),C19)</f>
        <v>#REF!</v>
      </c>
      <c r="D102" s="2557">
        <f ca="1">IF(D32="楼面单价",ROUND(D19,0),D19)</f>
        <v>57.653700000000001</v>
      </c>
      <c r="E102" s="4127"/>
      <c r="F102" s="4083"/>
      <c r="G102" s="1804" t="s">
        <v>1434</v>
      </c>
      <c r="H102" s="2526" t="e">
        <f ca="1">I118</f>
        <v>#REF!</v>
      </c>
      <c r="I102" s="129"/>
    </row>
    <row r="103" spans="1:35" ht="42.75" customHeight="1">
      <c r="A103" s="4086"/>
      <c r="B103" s="2555" t="s">
        <v>1434</v>
      </c>
      <c r="C103" s="2558" t="e">
        <f ca="1">C20</f>
        <v>#REF!</v>
      </c>
      <c r="D103" s="2559">
        <f ca="1">D20</f>
        <v>6494</v>
      </c>
      <c r="E103" s="4121" t="s">
        <v>1435</v>
      </c>
      <c r="F103" s="4122"/>
      <c r="G103" s="1805" t="s">
        <v>1436</v>
      </c>
      <c r="H103" s="2566">
        <f>IF(D36="正常操作",H104+H105+H106,H105+H106)</f>
        <v>0</v>
      </c>
      <c r="I103" s="129"/>
    </row>
    <row r="104" spans="1:35" ht="18.75" customHeight="1">
      <c r="A104" s="4086" t="s">
        <v>1437</v>
      </c>
      <c r="B104" s="2560" t="s">
        <v>1432</v>
      </c>
      <c r="C104" s="2561" t="e">
        <f ca="1">H118</f>
        <v>#REF!</v>
      </c>
      <c r="D104" s="2562"/>
      <c r="E104" s="1661" t="s">
        <v>1438</v>
      </c>
      <c r="F104" s="1653"/>
      <c r="G104" s="1805" t="s">
        <v>1436</v>
      </c>
      <c r="H104" s="2567">
        <f>IF(D36="同一抵押权人同一抵押物续贷",C36&amp;"（续贷，未扣减，详见特别提示）",C36)</f>
        <v>0</v>
      </c>
      <c r="I104" s="129"/>
    </row>
    <row r="105" spans="1:35" ht="18.75" customHeight="1" thickBot="1">
      <c r="A105" s="4087"/>
      <c r="B105" s="2563" t="s">
        <v>1434</v>
      </c>
      <c r="C105" s="2564" t="e">
        <f ca="1">I118</f>
        <v>#REF!</v>
      </c>
      <c r="D105" s="2565"/>
      <c r="E105" s="1661" t="s">
        <v>1439</v>
      </c>
      <c r="F105" s="1653"/>
      <c r="G105" s="1805" t="s">
        <v>1436</v>
      </c>
      <c r="H105" s="2568">
        <f>C37</f>
        <v>0</v>
      </c>
      <c r="I105" s="129"/>
    </row>
    <row r="106" spans="1:35" ht="18.75" customHeight="1">
      <c r="A106" s="1734" t="s">
        <v>1440</v>
      </c>
      <c r="B106" s="1734"/>
      <c r="C106" s="1734"/>
      <c r="D106" s="1734"/>
      <c r="E106" s="1806" t="s">
        <v>1441</v>
      </c>
      <c r="F106" s="1653"/>
      <c r="G106" s="1805" t="s">
        <v>1436</v>
      </c>
      <c r="H106" s="2568">
        <f>C38</f>
        <v>0</v>
      </c>
      <c r="I106" s="129"/>
    </row>
    <row r="107" spans="1:35" ht="18.75" customHeight="1">
      <c r="A107" s="129"/>
      <c r="B107" s="129"/>
      <c r="C107" s="129"/>
      <c r="D107" s="129"/>
      <c r="E107" s="4082" t="str">
        <f>IF(项目基本情况!E8="已注销","——","3.房地产抵押价值")</f>
        <v>3.房地产抵押价值</v>
      </c>
      <c r="F107" s="4083"/>
      <c r="G107" s="1804" t="s">
        <v>1432</v>
      </c>
      <c r="H107" s="2566" t="e">
        <f ca="1">IF(E107="——","——",H101-H103)</f>
        <v>#REF!</v>
      </c>
      <c r="I107" s="129"/>
    </row>
    <row r="108" spans="1:35" ht="18.75" customHeight="1">
      <c r="A108" s="129"/>
      <c r="B108" s="129"/>
      <c r="C108" s="129"/>
      <c r="D108" s="129"/>
      <c r="E108" s="4082"/>
      <c r="F108" s="4083"/>
      <c r="G108" s="1804" t="s">
        <v>1434</v>
      </c>
      <c r="H108" s="2526">
        <f ca="1">IF(H107=H101,H102,ROUND(H107*10000/'数据-汇总表'!E3,0))</f>
        <v>0</v>
      </c>
      <c r="I108" s="129"/>
    </row>
    <row r="109" spans="1:35" ht="18.75" customHeight="1">
      <c r="A109" s="129"/>
      <c r="B109" s="129"/>
      <c r="C109" s="129"/>
      <c r="D109" s="129"/>
      <c r="E109" s="4082" t="str">
        <f>IF(项目基本情况!E8="已注销及未注销","4.抵押担保权已注销时的房地产抵押价值",IF(项目基本情况!E8="已注销","3.抵押担保权已注销时的房地产抵押价值","——"))</f>
        <v>——</v>
      </c>
      <c r="F109" s="4083"/>
      <c r="G109" s="1804" t="s">
        <v>1432</v>
      </c>
      <c r="H109" s="2569" t="str">
        <f>IF(E109="——","——",H101-H105-H106)</f>
        <v>——</v>
      </c>
      <c r="I109" s="129"/>
    </row>
    <row r="110" spans="1:35" ht="18.75" customHeight="1">
      <c r="A110" s="129"/>
      <c r="B110" s="129"/>
      <c r="C110" s="129"/>
      <c r="D110" s="129"/>
      <c r="E110" s="4082"/>
      <c r="F110" s="4083"/>
      <c r="G110" s="1804" t="s">
        <v>1434</v>
      </c>
      <c r="H110" s="2526" t="str">
        <f>IF(H109="——","——",ROUND(H109*10000/'数据-汇总表'!E3,0))</f>
        <v>——</v>
      </c>
      <c r="I110" s="129"/>
    </row>
    <row r="111" spans="1:35" ht="18.75" customHeight="1">
      <c r="A111" s="129"/>
      <c r="B111" s="129"/>
      <c r="C111" s="129"/>
      <c r="D111" s="129"/>
      <c r="E111" s="4115" t="str">
        <f>IF(项目基本情况!E9="抵押净值",IF(OR(项目基本情况!E8="已注销",项目基本情况!E8="房地产抵押价值"),"4.抵押净值","5.抵押净值"),"——")</f>
        <v>——</v>
      </c>
      <c r="F111" s="4085"/>
      <c r="G111" s="1804" t="s">
        <v>1432</v>
      </c>
      <c r="H111" s="2566" t="str">
        <f>IF(E111="——","——",N59)</f>
        <v>——</v>
      </c>
      <c r="I111" s="129"/>
    </row>
    <row r="112" spans="1:35" ht="18.75" customHeight="1" thickBot="1">
      <c r="A112" s="129"/>
      <c r="B112" s="129"/>
      <c r="C112" s="129"/>
      <c r="D112" s="129"/>
      <c r="E112" s="4116"/>
      <c r="F112" s="4117"/>
      <c r="G112" s="1807" t="s">
        <v>1434</v>
      </c>
      <c r="H112" s="2570" t="str">
        <f>IF(E111="——","——",N61)</f>
        <v>——</v>
      </c>
      <c r="I112" s="129"/>
    </row>
    <row r="113" spans="1:27" ht="18.75" customHeight="1">
      <c r="A113" s="129"/>
      <c r="B113" s="129"/>
      <c r="C113" s="129"/>
      <c r="D113" s="129"/>
      <c r="E113" s="4088" t="s">
        <v>1440</v>
      </c>
      <c r="F113" s="4088"/>
      <c r="G113" s="4088"/>
      <c r="H113" s="4088"/>
      <c r="I113" s="129"/>
    </row>
    <row r="114" spans="1:27" ht="3.75" customHeight="1">
      <c r="A114" s="1734"/>
      <c r="B114" s="1734"/>
      <c r="C114" s="1734"/>
      <c r="D114" s="1734"/>
      <c r="E114" s="1786"/>
      <c r="F114" s="1786"/>
      <c r="G114" s="1786"/>
      <c r="H114" s="1786"/>
      <c r="I114" s="1734"/>
    </row>
    <row r="115" spans="1:27" ht="18.75" customHeight="1">
      <c r="A115" s="4098" t="s">
        <v>1442</v>
      </c>
      <c r="B115" s="4099"/>
      <c r="C115" s="4099"/>
      <c r="D115" s="4099"/>
      <c r="E115" s="4099"/>
      <c r="F115" s="4099"/>
      <c r="G115" s="4099"/>
      <c r="H115" s="4099"/>
      <c r="I115" s="4100"/>
    </row>
    <row r="116" spans="1:27" ht="27" customHeight="1">
      <c r="A116" s="4084" t="s">
        <v>1443</v>
      </c>
      <c r="B116" s="4089" t="s">
        <v>1444</v>
      </c>
      <c r="C116" s="4089" t="s">
        <v>1445</v>
      </c>
      <c r="D116" s="4102" t="s">
        <v>1446</v>
      </c>
      <c r="E116" s="4103"/>
      <c r="F116" s="4097" t="s">
        <v>1447</v>
      </c>
      <c r="G116" s="4097"/>
      <c r="H116" s="4084" t="s">
        <v>1448</v>
      </c>
      <c r="I116" s="4084"/>
    </row>
    <row r="117" spans="1:27" ht="18.75" customHeight="1">
      <c r="A117" s="4084"/>
      <c r="B117" s="4090"/>
      <c r="C117" s="4090"/>
      <c r="D117" s="2301" t="s">
        <v>1449</v>
      </c>
      <c r="E117" s="2301" t="s">
        <v>1450</v>
      </c>
      <c r="F117" s="2301" t="s">
        <v>1449</v>
      </c>
      <c r="G117" s="2301" t="s">
        <v>1451</v>
      </c>
      <c r="H117" s="2301" t="s">
        <v>1449</v>
      </c>
      <c r="I117" s="2301" t="s">
        <v>1451</v>
      </c>
    </row>
    <row r="118" spans="1:27" ht="24.75" customHeight="1">
      <c r="A118" s="2571" t="str">
        <f>项目基本情况!S2</f>
        <v>北京市房地产</v>
      </c>
      <c r="B118" s="2301">
        <f>M18</f>
        <v>88.78</v>
      </c>
      <c r="C118" s="2301">
        <f>M19</f>
        <v>0</v>
      </c>
      <c r="D118" s="2301" t="e">
        <f ca="1">ROUND(IF(D32="总价",C34,E118*B118/10000),0)</f>
        <v>#REF!</v>
      </c>
      <c r="E118" s="2301" t="e">
        <f ca="1">ROUND(IF(C33="自定义",IF(D32="楼面单价",C34,D118*10000/B118),I118-G118),0)</f>
        <v>#REF!</v>
      </c>
      <c r="F118" s="2301" t="e">
        <f ca="1">ROUND(IF(D32="总价",C35,G118*B118/10000),0)</f>
        <v>#REF!</v>
      </c>
      <c r="G118" s="2301" t="e">
        <f ca="1">ROUND(IF(D32="楼面单价",C35,F118*10000/B118),0)</f>
        <v>#REF!</v>
      </c>
      <c r="H118" s="2301" t="e">
        <f ca="1">ROUND(IF(D32="总价",C32,I118*B118/10000),0)</f>
        <v>#REF!</v>
      </c>
      <c r="I118" s="2301" t="e">
        <f ca="1">ROUND(IF(D32="楼面单价",C32,H118*10000/B118),0)</f>
        <v>#REF!</v>
      </c>
    </row>
    <row r="119" spans="1:27" ht="18.75" customHeight="1">
      <c r="A119" s="4084" t="s">
        <v>1452</v>
      </c>
      <c r="B119" s="4084"/>
      <c r="C119" s="4084"/>
      <c r="D119" s="4094" t="e">
        <f ca="1">NUMBERSTRING(INT(D118*10000),2)&amp;"元整"</f>
        <v>#REF!</v>
      </c>
      <c r="E119" s="4096"/>
      <c r="F119" s="4094" t="e">
        <f ca="1">NUMBERSTRING(INT(F118*10000),2)&amp;"元整"</f>
        <v>#REF!</v>
      </c>
      <c r="G119" s="4096"/>
      <c r="H119" s="4094" t="e">
        <f ca="1">NUMBERSTRING(INT(H118*10000),2)&amp;"元整"</f>
        <v>#REF!</v>
      </c>
      <c r="I119" s="4096"/>
    </row>
    <row r="120" spans="1:27" ht="18.75" customHeight="1">
      <c r="A120" s="4118" t="str">
        <f>IF(项目基本情况!B9="房地产市场价值","",MID(E103,3,LEN(E103)-2))</f>
        <v/>
      </c>
      <c r="B120" s="4119"/>
      <c r="C120" s="4120"/>
      <c r="D120" s="4118">
        <f>H103</f>
        <v>0</v>
      </c>
      <c r="E120" s="4119"/>
      <c r="F120" s="4119"/>
      <c r="G120" s="4119"/>
      <c r="H120" s="4119"/>
      <c r="I120" s="4120"/>
      <c r="J120" s="1739"/>
      <c r="K120" s="1739" t="str">
        <f>IF(D120=0,"故，本次评估不存在"&amp;A120,"故，本次评估"&amp;A120&amp;"为人民币"&amp;D120&amp;"万元整。")</f>
        <v>故，本次评估不存在</v>
      </c>
      <c r="L120" s="1739"/>
      <c r="M120" s="1739"/>
      <c r="N120" s="1739"/>
      <c r="O120" s="1739"/>
      <c r="P120" s="1739"/>
      <c r="Q120" s="1739"/>
      <c r="R120" s="1739"/>
      <c r="S120" s="1739"/>
    </row>
    <row r="121" spans="1:27" ht="18.75" customHeight="1">
      <c r="A121" s="4094" t="s">
        <v>1452</v>
      </c>
      <c r="B121" s="4095"/>
      <c r="C121" s="4096"/>
      <c r="D121" s="4094" t="str">
        <f>IF(D120=0,"零元整",NUMBERSTRING(INT(D120*10000),2)&amp;"元整")</f>
        <v>零元整</v>
      </c>
      <c r="E121" s="4095"/>
      <c r="F121" s="4095"/>
      <c r="G121" s="4095"/>
      <c r="H121" s="4095"/>
      <c r="I121" s="4096"/>
      <c r="AA121" s="715"/>
    </row>
    <row r="122" spans="1:27" ht="18.75" customHeight="1">
      <c r="A122" s="4085" t="str">
        <f>IF(项目基本情况!B9="房地产市场价值","",MID(E107,3,LEN(E107)-2))</f>
        <v/>
      </c>
      <c r="B122" s="4085"/>
      <c r="C122" s="4085"/>
      <c r="D122" s="4118" t="e">
        <f ca="1">H107</f>
        <v>#REF!</v>
      </c>
      <c r="E122" s="4119"/>
      <c r="F122" s="4119"/>
      <c r="G122" s="4119"/>
      <c r="H122" s="4119"/>
      <c r="I122" s="4120"/>
      <c r="AA122" s="715"/>
    </row>
    <row r="123" spans="1:27" ht="18.75" customHeight="1">
      <c r="A123" s="4084" t="s">
        <v>1452</v>
      </c>
      <c r="B123" s="4084"/>
      <c r="C123" s="4084"/>
      <c r="D123" s="4094" t="e">
        <f ca="1">NUMBERSTRING(INT(D122*10000),2)&amp;"元整"</f>
        <v>#REF!</v>
      </c>
      <c r="E123" s="4095"/>
      <c r="F123" s="4095"/>
      <c r="G123" s="4095"/>
      <c r="H123" s="4095"/>
      <c r="I123" s="4096"/>
      <c r="AA123" s="715"/>
    </row>
    <row r="124" spans="1:27" ht="18.75" customHeight="1">
      <c r="A124" s="4085" t="str">
        <f>IF(项目基本情况!B9="房地产市场价值","",MID(E109,3,LEN(E109)-2))</f>
        <v/>
      </c>
      <c r="B124" s="4085"/>
      <c r="C124" s="4085"/>
      <c r="D124" s="4118" t="str">
        <f>H109</f>
        <v>——</v>
      </c>
      <c r="E124" s="4119"/>
      <c r="F124" s="4119"/>
      <c r="G124" s="4119"/>
      <c r="H124" s="4119"/>
      <c r="I124" s="4120"/>
      <c r="AA124" s="715"/>
    </row>
    <row r="125" spans="1:27" ht="18.75" customHeight="1">
      <c r="A125" s="4084" t="s">
        <v>1452</v>
      </c>
      <c r="B125" s="4084"/>
      <c r="C125" s="4084"/>
      <c r="D125" s="4094" t="e">
        <f>NUMBERSTRING(INT(D124*10000),2)&amp;"元整"</f>
        <v>#VALUE!</v>
      </c>
      <c r="E125" s="4095"/>
      <c r="F125" s="4095"/>
      <c r="G125" s="4095"/>
      <c r="H125" s="4095"/>
      <c r="I125" s="4096"/>
      <c r="AA125" s="715"/>
    </row>
    <row r="126" spans="1:27" ht="18.75" customHeight="1">
      <c r="A126" s="4085" t="str">
        <f>IF(项目基本情况!B9="房地产市场价值","",MID(E111,3,LEN(E111)-2))</f>
        <v/>
      </c>
      <c r="B126" s="4085"/>
      <c r="C126" s="4085"/>
      <c r="D126" s="4118" t="str">
        <f>H111</f>
        <v>——</v>
      </c>
      <c r="E126" s="4119"/>
      <c r="F126" s="4119"/>
      <c r="G126" s="4119"/>
      <c r="H126" s="4119"/>
      <c r="I126" s="4120"/>
      <c r="AA126" s="715"/>
    </row>
    <row r="127" spans="1:27" ht="18.75" customHeight="1">
      <c r="A127" s="4084" t="s">
        <v>1452</v>
      </c>
      <c r="B127" s="4084"/>
      <c r="C127" s="4084"/>
      <c r="D127" s="4094" t="e">
        <f>NUMBERSTRING(INT(D126*10000),2)&amp;"元整"</f>
        <v>#VALUE!</v>
      </c>
      <c r="E127" s="4095"/>
      <c r="F127" s="4095"/>
      <c r="G127" s="4095"/>
      <c r="H127" s="4095"/>
      <c r="I127" s="4096"/>
      <c r="AA127" s="715"/>
    </row>
    <row r="128" spans="1:27" ht="21.75" customHeight="1">
      <c r="A128" s="4101" t="s">
        <v>1453</v>
      </c>
      <c r="B128" s="4101"/>
      <c r="C128" s="4101"/>
      <c r="D128" s="4101"/>
      <c r="E128" s="4101"/>
      <c r="F128" s="4101"/>
      <c r="G128" s="4101"/>
      <c r="H128" s="4101"/>
      <c r="I128" s="4101"/>
      <c r="AA128" s="715"/>
    </row>
    <row r="129" spans="1:35" ht="21.75" customHeight="1">
      <c r="A129" s="1808" t="s">
        <v>1454</v>
      </c>
      <c r="B129" s="1809"/>
      <c r="C129" s="1810" t="s">
        <v>1455</v>
      </c>
      <c r="D129" s="1811"/>
      <c r="E129" s="1811"/>
      <c r="F129" s="1811"/>
      <c r="G129" s="1811"/>
      <c r="H129" s="1812"/>
      <c r="I129" s="1813"/>
      <c r="AA129" s="715"/>
    </row>
    <row r="130" spans="1:35" ht="21.75" customHeight="1">
      <c r="A130" s="1814">
        <v>1</v>
      </c>
      <c r="B130" s="1815"/>
      <c r="C130" s="1815"/>
      <c r="D130" s="1816"/>
      <c r="E130" s="1816"/>
      <c r="F130" s="1816"/>
      <c r="G130" s="1816"/>
      <c r="H130" s="1817"/>
      <c r="I130" s="1818"/>
      <c r="AA130" s="715"/>
    </row>
    <row r="131" spans="1:35" ht="21.75" customHeight="1">
      <c r="A131" s="1814">
        <v>2</v>
      </c>
      <c r="B131" s="1815"/>
      <c r="C131" s="1815"/>
      <c r="D131" s="1816"/>
      <c r="E131" s="1816"/>
      <c r="F131" s="1816"/>
      <c r="G131" s="1816"/>
      <c r="H131" s="1817"/>
      <c r="I131" s="1818"/>
      <c r="AA131" s="715"/>
    </row>
    <row r="132" spans="1:35" ht="21.75" customHeight="1">
      <c r="A132" s="1814">
        <v>3</v>
      </c>
      <c r="B132" s="1815"/>
      <c r="C132" s="1815"/>
      <c r="D132" s="1816"/>
      <c r="E132" s="1816"/>
      <c r="F132" s="1816"/>
      <c r="G132" s="1816"/>
      <c r="H132" s="1817"/>
      <c r="I132" s="1818"/>
      <c r="AA132" s="715"/>
    </row>
    <row r="133" spans="1:35" ht="21.75" customHeight="1">
      <c r="A133" s="1819"/>
      <c r="B133" s="1820"/>
      <c r="C133" s="1820"/>
      <c r="D133" s="1821"/>
      <c r="E133" s="1821"/>
      <c r="F133" s="1821"/>
      <c r="G133" s="1821"/>
      <c r="H133" s="1822"/>
      <c r="I133" s="1823"/>
    </row>
    <row r="134" spans="1:35" ht="21.75" customHeight="1">
      <c r="A134" s="1815"/>
      <c r="B134" s="1815"/>
      <c r="C134" s="1815"/>
      <c r="D134" s="1816"/>
      <c r="E134" s="1816"/>
      <c r="F134" s="1816"/>
      <c r="G134" s="1816"/>
      <c r="H134" s="1817"/>
      <c r="I134" s="715"/>
    </row>
    <row r="135" spans="1:35" ht="21.75" customHeight="1">
      <c r="A135" s="715"/>
      <c r="B135" s="715"/>
      <c r="C135" s="715"/>
      <c r="D135" s="715"/>
      <c r="E135" s="715"/>
      <c r="F135" s="1824" t="s">
        <v>1456</v>
      </c>
      <c r="G135" s="1825"/>
      <c r="H135" s="1825"/>
      <c r="I135" s="1826" t="s">
        <v>1457</v>
      </c>
    </row>
    <row r="136" spans="1:35" ht="21.75" customHeight="1">
      <c r="A136" s="715"/>
      <c r="B136" s="1827" t="s">
        <v>1458</v>
      </c>
      <c r="C136" s="715"/>
      <c r="D136" s="715"/>
      <c r="E136" s="715"/>
      <c r="F136" s="715"/>
      <c r="G136" s="715"/>
      <c r="H136" s="715"/>
      <c r="I136" s="715"/>
    </row>
    <row r="137" spans="1:35" ht="21.75" customHeight="1">
      <c r="A137" s="715"/>
      <c r="B137" s="715"/>
      <c r="C137" s="715"/>
      <c r="D137" s="715"/>
      <c r="E137" s="715"/>
      <c r="F137" s="715"/>
      <c r="G137" s="715"/>
      <c r="H137" s="715"/>
      <c r="I137" s="715"/>
    </row>
    <row r="138" spans="1:35" ht="21.75" customHeight="1">
      <c r="A138" s="715"/>
      <c r="B138" s="1825"/>
      <c r="C138" s="1825"/>
      <c r="D138" s="1825"/>
      <c r="E138" s="1825"/>
      <c r="F138" s="1825"/>
      <c r="G138" s="1825"/>
      <c r="H138" s="1825"/>
      <c r="I138" s="1826" t="s">
        <v>1459</v>
      </c>
    </row>
    <row r="139" spans="1:35" ht="21.75" customHeight="1">
      <c r="A139" s="715"/>
      <c r="B139" s="1827" t="s">
        <v>1460</v>
      </c>
      <c r="C139" s="715"/>
      <c r="D139" s="715"/>
      <c r="E139" s="715"/>
      <c r="F139" s="715"/>
      <c r="G139" s="715"/>
      <c r="H139" s="715"/>
      <c r="I139" s="715"/>
    </row>
    <row r="140" spans="1:35" ht="21.75" customHeight="1">
      <c r="A140" s="715"/>
      <c r="B140" s="1827"/>
      <c r="C140" s="715"/>
      <c r="D140" s="715"/>
      <c r="E140" s="715"/>
      <c r="F140" s="715"/>
      <c r="G140" s="715"/>
      <c r="H140" s="715"/>
      <c r="I140" s="715"/>
    </row>
    <row r="141" spans="1:35" ht="21.75" customHeight="1">
      <c r="A141" s="715"/>
      <c r="B141" s="1825"/>
      <c r="C141" s="1825"/>
      <c r="D141" s="1825"/>
      <c r="E141" s="1825"/>
      <c r="F141" s="1825"/>
      <c r="G141" s="1825"/>
      <c r="H141" s="1825"/>
      <c r="I141" s="1826" t="s">
        <v>1459</v>
      </c>
    </row>
    <row r="142" spans="1:35" ht="21.75" customHeight="1">
      <c r="A142" s="715"/>
      <c r="B142" s="1827"/>
      <c r="C142" s="1828"/>
      <c r="D142" s="1829"/>
      <c r="E142" s="1829"/>
      <c r="F142" s="1728"/>
      <c r="G142" s="715"/>
      <c r="H142" s="715"/>
      <c r="I142" s="715"/>
    </row>
    <row r="143" spans="1:35" s="130" customFormat="1" ht="21.75" customHeight="1">
      <c r="A143" s="715"/>
      <c r="B143" s="1827"/>
      <c r="C143" s="1828"/>
      <c r="D143" s="1829"/>
      <c r="E143" s="1829"/>
      <c r="F143" s="1728"/>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pans="1:35" s="130" customFormat="1" ht="21.75" customHeight="1">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pans="1:35" s="130" customFormat="1" ht="21.75" customHeight="1">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pans="1:35" s="715" customFormat="1" ht="21.75" customHeight="1"/>
    <row r="147" spans="1:35" s="715" customFormat="1" ht="21.75" customHeight="1"/>
    <row r="148" spans="1:35" s="715" customFormat="1" ht="21.75" customHeight="1"/>
    <row r="149" spans="1:35" s="715" customFormat="1" ht="21.75" customHeight="1"/>
    <row r="150" spans="1:35" s="715" customFormat="1" ht="21.75" customHeight="1"/>
    <row r="151" spans="1:35" s="715" customFormat="1" ht="21.75" customHeight="1"/>
    <row r="152" spans="1:35" s="715" customFormat="1" ht="21.75" customHeight="1"/>
    <row r="153" spans="1:35" s="715" customFormat="1" ht="21.75" customHeight="1"/>
    <row r="154" spans="1:35" s="715" customFormat="1" ht="21.75" customHeight="1"/>
    <row r="155" spans="1:35" s="715" customFormat="1" ht="21.75" customHeight="1"/>
    <row r="156" spans="1:35" s="715" customFormat="1" ht="21.75" customHeight="1"/>
    <row r="157" spans="1:35" s="715" customFormat="1" ht="21.75" customHeight="1"/>
    <row r="158" spans="1:35" s="715" customFormat="1" ht="21.75" customHeight="1"/>
    <row r="159" spans="1:35" s="715" customFormat="1" ht="21.75" customHeight="1"/>
    <row r="160" spans="1:35" s="715" customFormat="1" ht="21.75" customHeight="1"/>
    <row r="161" s="715" customFormat="1" ht="21.75" customHeight="1"/>
    <row r="162" s="715" customFormat="1" ht="21.75" customHeight="1"/>
    <row r="163" s="715" customFormat="1" ht="21.75" customHeight="1"/>
    <row r="164" s="715" customFormat="1" ht="21.75" customHeight="1"/>
    <row r="165" s="715" customFormat="1" ht="21.75" customHeight="1"/>
    <row r="166" s="715" customFormat="1" ht="21.75" customHeight="1"/>
    <row r="167" s="715" customFormat="1" ht="21.75" customHeight="1"/>
    <row r="168" s="715" customFormat="1" ht="21.75" customHeight="1"/>
    <row r="169" s="715" customFormat="1" ht="21.75" customHeight="1"/>
    <row r="170" s="715" customFormat="1" ht="21.75" customHeight="1"/>
    <row r="171" s="715" customFormat="1" ht="21.75" customHeight="1"/>
    <row r="172" s="715" customFormat="1" ht="21.75" customHeight="1"/>
    <row r="173" s="715" customFormat="1" ht="21.75" customHeight="1"/>
    <row r="174" s="715" customFormat="1" ht="21.75" customHeight="1"/>
    <row r="175" s="715" customFormat="1" ht="21.75" customHeight="1"/>
    <row r="176" s="715" customFormat="1" ht="21.75" customHeight="1"/>
    <row r="177" s="715" customFormat="1" ht="21.75" customHeight="1"/>
    <row r="178" s="715" customFormat="1" ht="21.75" customHeight="1"/>
    <row r="179" s="715" customFormat="1" ht="21.75" customHeight="1"/>
    <row r="180" s="715" customFormat="1" ht="21.75" customHeight="1"/>
    <row r="181" s="715" customFormat="1" ht="21.75" customHeight="1"/>
    <row r="182" s="715" customFormat="1" ht="21.75" customHeight="1"/>
    <row r="183" s="715" customFormat="1" ht="21.75" customHeight="1"/>
    <row r="184" s="715" customFormat="1" ht="21.75" customHeight="1"/>
    <row r="185" s="715" customFormat="1" ht="21.75" customHeight="1"/>
    <row r="186" s="715" customFormat="1" ht="21.75" customHeight="1"/>
    <row r="187" s="715" customFormat="1" ht="21.75" customHeight="1"/>
    <row r="188" s="715" customFormat="1" ht="21.75" customHeight="1"/>
    <row r="189" s="715" customFormat="1" ht="21.75" customHeight="1"/>
    <row r="190" s="715" customFormat="1" ht="21.75" customHeight="1"/>
    <row r="191" s="715" customFormat="1" ht="21.75" customHeight="1"/>
    <row r="192" s="715" customFormat="1" ht="21.75" customHeight="1"/>
    <row r="193" s="715" customFormat="1" ht="21.75" customHeight="1"/>
    <row r="194" s="715" customFormat="1" ht="21.75" customHeight="1"/>
    <row r="195" s="715" customFormat="1" ht="21.75" customHeight="1"/>
    <row r="196" s="715" customFormat="1" ht="21.75" customHeight="1"/>
    <row r="197" s="715" customFormat="1" ht="21.75" customHeight="1"/>
    <row r="198" s="715" customFormat="1" ht="21.75" customHeight="1"/>
    <row r="199" s="715" customFormat="1" ht="21.75" customHeight="1"/>
    <row r="200" s="715" customFormat="1" ht="21.75" customHeight="1"/>
    <row r="201" s="715" customFormat="1" ht="21.75" customHeight="1"/>
    <row r="202" s="715" customFormat="1" ht="21.75" customHeight="1"/>
    <row r="203" s="715" customFormat="1" ht="21.75" customHeight="1"/>
    <row r="204" s="715" customFormat="1" ht="21.75" customHeight="1"/>
    <row r="205" s="715" customFormat="1" ht="21.75" customHeight="1"/>
    <row r="206" s="715" customFormat="1" ht="21.75" customHeight="1"/>
    <row r="207" s="715" customFormat="1" ht="21.75" customHeight="1"/>
    <row r="208" s="715" customFormat="1" ht="21.75" customHeight="1"/>
    <row r="209" s="715" customFormat="1" ht="21.75" customHeight="1"/>
    <row r="210" s="715" customFormat="1" ht="21.75" customHeight="1"/>
    <row r="211" s="715" customFormat="1" ht="21.75" customHeight="1"/>
    <row r="212" s="715" customFormat="1" ht="21.75" customHeight="1"/>
    <row r="213" s="715" customFormat="1" ht="21.75" customHeight="1"/>
    <row r="214" s="715" customFormat="1" ht="21.75" customHeight="1"/>
    <row r="215" s="715" customFormat="1" ht="21.75" customHeight="1"/>
    <row r="216" s="715" customFormat="1" ht="21.75" customHeight="1"/>
    <row r="217" s="715" customFormat="1" ht="21.75" customHeight="1"/>
    <row r="218" s="715" customFormat="1" ht="21.75" customHeight="1"/>
    <row r="219" s="715" customFormat="1" ht="21.75" customHeight="1"/>
    <row r="220" s="715" customFormat="1" ht="21.75" customHeight="1"/>
    <row r="221" s="715" customFormat="1" ht="21.75" customHeight="1"/>
    <row r="222" s="715" customFormat="1" ht="21.75" customHeight="1"/>
    <row r="223" s="715" customFormat="1" ht="21.75" customHeight="1"/>
    <row r="224" s="715" customFormat="1" ht="21.75" customHeight="1"/>
    <row r="225" s="715" customFormat="1" ht="21.75" customHeight="1"/>
    <row r="226" s="715" customFormat="1" ht="21.75" customHeight="1"/>
    <row r="227" s="715" customFormat="1" ht="21.75" customHeight="1"/>
    <row r="228" s="715" customFormat="1" ht="21.75" customHeight="1"/>
    <row r="229" s="715" customFormat="1" ht="21.75" customHeight="1"/>
    <row r="230" s="715" customFormat="1" ht="21.75" customHeight="1"/>
    <row r="231" s="715" customFormat="1" ht="21.75" customHeight="1"/>
    <row r="232" s="715" customFormat="1" ht="21.75" customHeight="1"/>
    <row r="233" s="715" customFormat="1" ht="21.75" customHeight="1"/>
    <row r="234" s="715" customFormat="1" ht="21.75" customHeight="1"/>
    <row r="235" s="715" customFormat="1" ht="21.75" customHeight="1"/>
    <row r="236" s="715" customFormat="1" ht="21.75" customHeight="1"/>
    <row r="237" s="715" customFormat="1" ht="21.75" customHeight="1"/>
    <row r="238" s="715" customFormat="1" ht="21.75" customHeight="1"/>
    <row r="239" s="715" customFormat="1" ht="21.75" customHeight="1"/>
    <row r="240" s="715" customFormat="1" ht="21.75" customHeight="1"/>
    <row r="241" s="715" customFormat="1" ht="21.75" customHeight="1"/>
    <row r="242" s="715" customFormat="1" ht="21.75" customHeight="1"/>
    <row r="243" s="715" customFormat="1" ht="21.75" customHeight="1"/>
    <row r="244" s="715" customFormat="1" ht="21.75" customHeight="1"/>
    <row r="245" s="715" customFormat="1" ht="21.75" customHeight="1"/>
    <row r="246" s="715" customFormat="1" ht="21.75" customHeight="1"/>
    <row r="247" s="715" customFormat="1" ht="21.75" customHeight="1"/>
    <row r="248" s="715" customFormat="1" ht="21.75" customHeight="1"/>
    <row r="249" s="715" customFormat="1" ht="21.75" customHeight="1"/>
    <row r="250" s="715" customFormat="1" ht="21.75" customHeight="1"/>
    <row r="251" s="715" customFormat="1" ht="21.75" customHeight="1"/>
    <row r="252" s="715" customFormat="1" ht="21.75" customHeight="1"/>
    <row r="253" s="715" customFormat="1" ht="21.75" customHeight="1"/>
    <row r="254" s="715" customFormat="1" ht="21.75" customHeight="1"/>
    <row r="255" s="715" customFormat="1" ht="21.75" customHeight="1"/>
    <row r="256" s="715" customFormat="1" ht="21.75" customHeight="1"/>
    <row r="257" s="715" customFormat="1" ht="21.75" customHeight="1"/>
    <row r="258" s="715" customFormat="1" ht="21.75" customHeight="1"/>
    <row r="259" s="715" customFormat="1" ht="21.75" customHeight="1"/>
    <row r="260" s="715" customFormat="1" ht="21.75" customHeight="1"/>
    <row r="261" s="715" customFormat="1" ht="21.75" customHeight="1"/>
    <row r="262" s="715" customFormat="1" ht="21.75" customHeight="1"/>
    <row r="263" s="715" customFormat="1" ht="21.75" customHeight="1"/>
    <row r="264" s="715" customFormat="1" ht="21.75" customHeight="1"/>
    <row r="265" s="715" customFormat="1" ht="21.75" customHeight="1"/>
    <row r="266" s="715" customFormat="1" ht="21.75" customHeight="1"/>
    <row r="267" s="715" customFormat="1" ht="21.75" customHeight="1"/>
    <row r="268" s="715" customFormat="1" ht="21.75" customHeight="1"/>
    <row r="269" s="715" customFormat="1" ht="21.75" customHeight="1"/>
    <row r="270" s="715" customFormat="1" ht="21.75" customHeight="1"/>
    <row r="271" s="715" customFormat="1" ht="21.75" customHeight="1"/>
    <row r="272" s="715" customFormat="1" ht="21.75" customHeight="1"/>
    <row r="273" s="715" customFormat="1" ht="21.75" customHeight="1"/>
    <row r="274" s="715" customFormat="1" ht="21.75" customHeight="1"/>
    <row r="275" s="715" customFormat="1" ht="21.75" customHeight="1"/>
    <row r="276" s="715" customFormat="1" ht="21.75" customHeight="1"/>
    <row r="277" s="715" customFormat="1" ht="21.75" customHeight="1"/>
    <row r="278" s="715" customFormat="1" ht="21.75" customHeight="1"/>
    <row r="279" s="715" customFormat="1" ht="21.75" customHeight="1"/>
    <row r="280" s="715" customFormat="1" ht="21.75" customHeight="1"/>
    <row r="281" s="715" customFormat="1" ht="21.75" customHeight="1"/>
    <row r="282" s="715" customFormat="1" ht="21.75" customHeight="1"/>
    <row r="283" s="715" customFormat="1" ht="21.75" customHeight="1"/>
    <row r="284" s="715" customFormat="1" ht="21.75" customHeight="1"/>
    <row r="285" s="715" customFormat="1" ht="21.75" customHeight="1"/>
    <row r="286" s="715" customFormat="1" ht="21.75" customHeight="1"/>
    <row r="287" s="715" customFormat="1" ht="21.75" customHeight="1"/>
    <row r="288" s="715" customFormat="1" ht="21.75" customHeight="1"/>
    <row r="289" s="715" customFormat="1" ht="21.75" customHeight="1"/>
    <row r="290" s="715" customFormat="1" ht="21.75" customHeight="1"/>
    <row r="291" s="715" customFormat="1" ht="21.75" customHeight="1"/>
    <row r="292" s="715" customFormat="1" ht="21.75" customHeight="1"/>
    <row r="293" s="715" customFormat="1" ht="21.75" customHeight="1"/>
    <row r="294" s="715" customFormat="1" ht="21.75" customHeight="1"/>
    <row r="295" s="715" customFormat="1" ht="21.75" customHeight="1"/>
    <row r="296" s="715" customFormat="1" ht="21.75" customHeight="1"/>
    <row r="297" s="715" customFormat="1" ht="21.75" customHeight="1"/>
    <row r="298" s="715" customFormat="1" ht="21.75" customHeight="1"/>
    <row r="299" s="715" customFormat="1" ht="21.75" customHeight="1"/>
    <row r="300" s="715" customFormat="1" ht="21.75" customHeight="1"/>
    <row r="301" s="715" customFormat="1" ht="21.75" customHeight="1"/>
    <row r="302" s="715" customFormat="1" ht="21.75" customHeight="1"/>
    <row r="303" s="715" customFormat="1" ht="21.75" customHeight="1"/>
    <row r="304" s="715" customFormat="1" ht="21.75" customHeight="1"/>
    <row r="305" s="715" customFormat="1" ht="21.75" customHeight="1"/>
    <row r="306" s="715" customFormat="1" ht="21.75" customHeight="1"/>
    <row r="307" s="715" customFormat="1" ht="21.75" customHeight="1"/>
    <row r="308" s="715" customFormat="1" ht="21.75" customHeight="1"/>
    <row r="309" s="715" customFormat="1" ht="21.75" customHeight="1"/>
    <row r="310" s="715" customFormat="1" ht="21.75" customHeight="1"/>
    <row r="311" s="715" customFormat="1" ht="21.75" customHeight="1"/>
    <row r="312" s="715" customFormat="1" ht="21.75" customHeight="1"/>
    <row r="313" s="715" customFormat="1" ht="21.75" customHeight="1"/>
    <row r="314" s="715" customFormat="1" ht="21.75" customHeight="1"/>
    <row r="315" s="715" customFormat="1" ht="21.75" customHeight="1"/>
    <row r="316" s="715" customFormat="1" ht="21.75" customHeight="1"/>
    <row r="317" s="715" customFormat="1" ht="21.75" customHeight="1"/>
    <row r="318" s="715" customFormat="1" ht="21.75" customHeight="1"/>
    <row r="319" s="715" customFormat="1" ht="21.75" customHeight="1"/>
    <row r="320" s="715" customFormat="1" ht="21.75" customHeight="1"/>
    <row r="321" s="715" customFormat="1" ht="21.75" customHeight="1"/>
    <row r="322" s="715" customFormat="1" ht="21.75" customHeight="1"/>
    <row r="323" s="715" customFormat="1" ht="21.75" customHeight="1"/>
    <row r="324" s="715" customFormat="1" ht="21.75" customHeight="1"/>
    <row r="325" s="715" customFormat="1" ht="21.75" customHeight="1"/>
    <row r="326" s="715" customFormat="1" ht="21.75" customHeight="1"/>
    <row r="327" s="715" customFormat="1" ht="21.75" customHeight="1"/>
    <row r="328" s="715" customFormat="1" ht="21.75" customHeight="1"/>
    <row r="329" s="715" customFormat="1" ht="21.75" customHeight="1"/>
    <row r="330" s="715" customFormat="1" ht="21.75" customHeight="1"/>
    <row r="331" s="715" customFormat="1" ht="21.75" customHeight="1"/>
    <row r="332" s="715" customFormat="1" ht="21.75" customHeight="1"/>
    <row r="333" s="715" customFormat="1" ht="21.75" customHeight="1"/>
    <row r="334" s="715" customFormat="1" ht="21.75" customHeight="1"/>
    <row r="335" s="715" customFormat="1" ht="21.75" customHeight="1"/>
    <row r="336" s="715" customFormat="1" ht="21.75" customHeight="1"/>
    <row r="337" s="715" customFormat="1" ht="21.75" customHeight="1"/>
    <row r="338" s="715" customFormat="1" ht="21.75" customHeight="1"/>
    <row r="339" s="715" customFormat="1" ht="21.75" customHeight="1"/>
    <row r="340" s="715" customFormat="1" ht="21.75" customHeight="1"/>
    <row r="341" s="715" customFormat="1" ht="21.75" customHeight="1"/>
    <row r="342" s="715" customFormat="1" ht="21.75" customHeight="1"/>
    <row r="343" s="715" customFormat="1" ht="21.75" customHeight="1"/>
    <row r="344" s="715" customFormat="1" ht="21.75" customHeight="1"/>
    <row r="345" s="715" customFormat="1" ht="21.75" customHeight="1"/>
    <row r="346" s="715" customFormat="1" ht="21.75" customHeight="1"/>
    <row r="347" s="715" customFormat="1" ht="21.75" customHeight="1"/>
    <row r="348" s="715" customFormat="1" ht="21.75" customHeight="1"/>
    <row r="349" s="715" customFormat="1" ht="21.75" customHeight="1"/>
    <row r="350" s="715" customFormat="1" ht="21.75" customHeight="1"/>
    <row r="351" s="715" customFormat="1" ht="21.75" customHeight="1"/>
    <row r="352" s="715" customFormat="1" ht="21.75" customHeight="1"/>
    <row r="353" s="715" customFormat="1" ht="21.75" customHeight="1"/>
    <row r="354" s="715" customFormat="1" ht="21.75" customHeight="1"/>
    <row r="355" s="715" customFormat="1" ht="21.75" customHeight="1"/>
    <row r="356" s="715" customFormat="1" ht="21.75" customHeight="1"/>
    <row r="357" s="715" customFormat="1" ht="21.75" customHeight="1"/>
    <row r="358" s="715" customFormat="1" ht="21.75" customHeight="1"/>
    <row r="359" s="715" customFormat="1" ht="21.75" customHeight="1"/>
    <row r="360" s="715" customFormat="1" ht="21.75" customHeight="1"/>
    <row r="361" s="715" customFormat="1" ht="21.75" customHeight="1"/>
    <row r="362" s="715" customFormat="1" ht="21.75" customHeight="1"/>
    <row r="363" s="715" customFormat="1" ht="21.75" customHeight="1"/>
    <row r="364" s="715" customFormat="1" ht="21.75" customHeight="1"/>
    <row r="365" s="715" customFormat="1" ht="21.75" customHeight="1"/>
    <row r="366" s="715" customFormat="1" ht="21.75" customHeight="1"/>
    <row r="367" s="715" customFormat="1" ht="21.75" customHeight="1"/>
    <row r="368" s="715" customFormat="1" ht="21.75" customHeight="1"/>
    <row r="369" s="715" customFormat="1" ht="21.75" customHeight="1"/>
    <row r="370" s="715" customFormat="1" ht="21.75" customHeight="1"/>
    <row r="371" s="715" customFormat="1" ht="21.75" customHeight="1"/>
    <row r="372" s="715" customFormat="1" ht="21.75" customHeight="1"/>
    <row r="373" s="715" customFormat="1" ht="21.75" customHeight="1"/>
    <row r="374" s="715" customFormat="1" ht="21.75" customHeight="1"/>
    <row r="375" s="715" customFormat="1" ht="21.75" customHeight="1"/>
    <row r="376" s="715" customFormat="1" ht="21.75" customHeight="1"/>
    <row r="377" s="715" customFormat="1" ht="21.75" customHeight="1"/>
    <row r="378" s="715" customFormat="1" ht="21.75" customHeight="1"/>
    <row r="379" s="715" customFormat="1" ht="21.75" customHeight="1"/>
    <row r="380" s="715" customFormat="1" ht="21.75" customHeight="1"/>
    <row r="381" s="715" customFormat="1" ht="21.75" customHeight="1"/>
    <row r="382" s="715" customFormat="1" ht="21.75" customHeight="1"/>
    <row r="383" s="715" customFormat="1" ht="21.75" customHeight="1"/>
    <row r="384" s="715" customFormat="1" ht="21.75" customHeight="1"/>
    <row r="385" s="715" customFormat="1" ht="21.75" customHeight="1"/>
    <row r="386" s="715" customFormat="1" ht="21.75" customHeight="1"/>
    <row r="387" s="715" customFormat="1" ht="21.75" customHeight="1"/>
    <row r="388" s="715" customFormat="1" ht="21.75" customHeight="1"/>
    <row r="389" s="715" customFormat="1" ht="21.75" customHeight="1"/>
    <row r="390" s="715" customFormat="1" ht="21.75" customHeight="1"/>
    <row r="391" s="715" customFormat="1" ht="21.75" customHeight="1"/>
    <row r="392" s="715" customFormat="1" ht="21.75" customHeight="1"/>
    <row r="393" s="715" customFormat="1" ht="21.75" customHeight="1"/>
    <row r="394" s="715" customFormat="1" ht="21.75" customHeight="1"/>
    <row r="395" s="715" customFormat="1" ht="21.75" customHeight="1"/>
    <row r="396" s="715" customFormat="1" ht="21.75" customHeight="1"/>
    <row r="397" s="715" customFormat="1" ht="21.75" customHeight="1"/>
    <row r="398" s="715" customFormat="1" ht="21.75" customHeight="1"/>
    <row r="399" s="715" customFormat="1" ht="21.75" customHeight="1"/>
    <row r="400" s="715" customFormat="1" ht="21.75" customHeight="1"/>
    <row r="401" spans="10:26" s="715" customFormat="1" ht="21.75" customHeight="1"/>
    <row r="402" spans="10:26" s="715" customFormat="1" ht="21.75" customHeight="1"/>
    <row r="403" spans="10:26" s="715" customFormat="1" ht="21.75" customHeight="1"/>
    <row r="404" spans="10:26" s="715" customFormat="1" ht="21.75" customHeight="1"/>
    <row r="405" spans="10:26" s="715" customFormat="1" ht="21.75" customHeight="1"/>
    <row r="406" spans="10:26" s="715" customFormat="1" ht="21.75" customHeight="1"/>
    <row r="407" spans="10:26" s="715" customFormat="1" ht="21.75" customHeight="1"/>
    <row r="408" spans="10:26" s="715" customFormat="1" ht="21.75" customHeight="1"/>
    <row r="409" spans="10:26" s="1739" customFormat="1" ht="21.75" customHeight="1">
      <c r="J409" s="715"/>
      <c r="K409" s="715"/>
      <c r="L409" s="715"/>
      <c r="M409" s="715"/>
      <c r="N409" s="715"/>
      <c r="O409" s="715"/>
      <c r="P409" s="715"/>
      <c r="Q409" s="715"/>
      <c r="R409" s="715"/>
      <c r="S409" s="715"/>
      <c r="T409" s="715"/>
      <c r="U409" s="715"/>
      <c r="V409" s="715"/>
      <c r="W409" s="715"/>
      <c r="X409" s="715"/>
      <c r="Y409" s="715"/>
      <c r="Z409" s="715"/>
    </row>
    <row r="410" spans="10:26" s="1739" customFormat="1" ht="21.75" customHeight="1">
      <c r="J410" s="715"/>
      <c r="K410" s="715"/>
      <c r="L410" s="715"/>
      <c r="M410" s="715"/>
      <c r="N410" s="715"/>
      <c r="O410" s="715"/>
      <c r="P410" s="715"/>
      <c r="Q410" s="715"/>
      <c r="R410" s="715"/>
      <c r="S410" s="715"/>
      <c r="T410" s="715"/>
      <c r="U410" s="715"/>
      <c r="V410" s="715"/>
      <c r="W410" s="715"/>
      <c r="X410" s="715"/>
      <c r="Y410" s="715"/>
      <c r="Z410" s="715"/>
    </row>
    <row r="411" spans="10:26" s="1739" customFormat="1" ht="21.75" customHeight="1">
      <c r="J411" s="715"/>
      <c r="K411" s="715"/>
      <c r="L411" s="715"/>
      <c r="M411" s="715"/>
      <c r="N411" s="715"/>
      <c r="O411" s="715"/>
      <c r="P411" s="715"/>
      <c r="Q411" s="715"/>
      <c r="R411" s="715"/>
      <c r="S411" s="715"/>
      <c r="T411" s="715"/>
      <c r="U411" s="715"/>
      <c r="V411" s="715"/>
      <c r="W411" s="715"/>
      <c r="X411" s="715"/>
      <c r="Y411" s="715"/>
      <c r="Z411" s="715"/>
    </row>
    <row r="412" spans="10:26" s="1739" customFormat="1" ht="21.75" customHeight="1">
      <c r="J412" s="715"/>
      <c r="K412" s="715"/>
      <c r="L412" s="715"/>
      <c r="M412" s="715"/>
      <c r="N412" s="715"/>
      <c r="O412" s="715"/>
      <c r="P412" s="715"/>
      <c r="Q412" s="715"/>
      <c r="R412" s="715"/>
      <c r="S412" s="715"/>
      <c r="T412" s="715"/>
      <c r="U412" s="715"/>
      <c r="V412" s="715"/>
      <c r="W412" s="715"/>
      <c r="X412" s="715"/>
      <c r="Y412" s="715"/>
      <c r="Z412" s="715"/>
    </row>
    <row r="413" spans="10:26" s="1739" customFormat="1" ht="21.75" customHeight="1">
      <c r="J413" s="715"/>
      <c r="K413" s="715"/>
      <c r="L413" s="715"/>
      <c r="M413" s="715"/>
      <c r="N413" s="715"/>
      <c r="O413" s="715"/>
      <c r="P413" s="715"/>
      <c r="Q413" s="715"/>
      <c r="R413" s="715"/>
      <c r="S413" s="715"/>
      <c r="T413" s="715"/>
      <c r="U413" s="715"/>
      <c r="V413" s="715"/>
      <c r="W413" s="715"/>
      <c r="X413" s="715"/>
      <c r="Y413" s="715"/>
      <c r="Z413" s="715"/>
    </row>
    <row r="414" spans="10:26" s="1739" customFormat="1" ht="21.75" customHeight="1">
      <c r="J414" s="715"/>
      <c r="K414" s="715"/>
      <c r="L414" s="715"/>
      <c r="M414" s="715"/>
      <c r="N414" s="715"/>
      <c r="O414" s="715"/>
      <c r="P414" s="715"/>
      <c r="Q414" s="715"/>
      <c r="R414" s="715"/>
      <c r="S414" s="715"/>
      <c r="T414" s="715"/>
      <c r="U414" s="715"/>
      <c r="V414" s="715"/>
      <c r="W414" s="715"/>
      <c r="X414" s="715"/>
      <c r="Y414" s="715"/>
      <c r="Z414" s="715"/>
    </row>
    <row r="415" spans="10:26" s="1739" customFormat="1" ht="21.75" customHeight="1">
      <c r="J415" s="715"/>
      <c r="K415" s="715"/>
      <c r="L415" s="715"/>
      <c r="M415" s="715"/>
      <c r="N415" s="715"/>
      <c r="O415" s="715"/>
      <c r="P415" s="715"/>
      <c r="Q415" s="715"/>
      <c r="R415" s="715"/>
      <c r="S415" s="715"/>
      <c r="T415" s="715"/>
      <c r="U415" s="715"/>
      <c r="V415" s="715"/>
      <c r="W415" s="715"/>
      <c r="X415" s="715"/>
      <c r="Y415" s="715"/>
      <c r="Z415" s="715"/>
    </row>
    <row r="416" spans="10:26" s="1739" customFormat="1" ht="21.75" customHeight="1">
      <c r="J416" s="715"/>
      <c r="K416" s="715"/>
      <c r="L416" s="715"/>
      <c r="M416" s="715"/>
      <c r="N416" s="715"/>
      <c r="O416" s="715"/>
      <c r="P416" s="715"/>
      <c r="Q416" s="715"/>
      <c r="R416" s="715"/>
      <c r="S416" s="715"/>
      <c r="T416" s="715"/>
      <c r="U416" s="715"/>
      <c r="V416" s="715"/>
      <c r="W416" s="715"/>
      <c r="X416" s="715"/>
      <c r="Y416" s="715"/>
      <c r="Z416" s="715"/>
    </row>
    <row r="417" spans="10:26" s="1739" customFormat="1" ht="21.75" customHeight="1">
      <c r="J417" s="715"/>
      <c r="K417" s="715"/>
      <c r="L417" s="715"/>
      <c r="M417" s="715"/>
      <c r="N417" s="715"/>
      <c r="O417" s="715"/>
      <c r="P417" s="715"/>
      <c r="Q417" s="715"/>
      <c r="R417" s="715"/>
      <c r="S417" s="715"/>
      <c r="T417" s="715"/>
      <c r="U417" s="715"/>
      <c r="V417" s="715"/>
      <c r="W417" s="715"/>
      <c r="X417" s="715"/>
      <c r="Y417" s="715"/>
      <c r="Z417" s="715"/>
    </row>
    <row r="418" spans="10:26" s="1739" customFormat="1" ht="21.75" customHeight="1">
      <c r="J418" s="715"/>
      <c r="K418" s="715"/>
      <c r="L418" s="715"/>
      <c r="M418" s="715"/>
      <c r="N418" s="715"/>
      <c r="O418" s="715"/>
      <c r="P418" s="715"/>
      <c r="Q418" s="715"/>
      <c r="R418" s="715"/>
      <c r="S418" s="715"/>
      <c r="T418" s="715"/>
      <c r="U418" s="715"/>
      <c r="V418" s="715"/>
      <c r="W418" s="715"/>
      <c r="X418" s="715"/>
      <c r="Y418" s="715"/>
      <c r="Z418" s="715"/>
    </row>
    <row r="419" spans="10:26" s="1739" customFormat="1" ht="21.75" customHeight="1">
      <c r="J419" s="715"/>
      <c r="K419" s="715"/>
      <c r="L419" s="715"/>
      <c r="M419" s="715"/>
      <c r="N419" s="715"/>
      <c r="O419" s="715"/>
      <c r="P419" s="715"/>
      <c r="Q419" s="715"/>
      <c r="R419" s="715"/>
      <c r="S419" s="715"/>
      <c r="T419" s="715"/>
      <c r="U419" s="715"/>
      <c r="V419" s="715"/>
      <c r="W419" s="715"/>
      <c r="X419" s="715"/>
      <c r="Y419" s="715"/>
      <c r="Z419" s="715"/>
    </row>
    <row r="420" spans="10:26" s="1739" customFormat="1" ht="21.75" customHeight="1">
      <c r="J420" s="715"/>
      <c r="K420" s="715"/>
      <c r="L420" s="715"/>
      <c r="M420" s="715"/>
      <c r="N420" s="715"/>
      <c r="O420" s="715"/>
      <c r="P420" s="715"/>
      <c r="Q420" s="715"/>
      <c r="R420" s="715"/>
      <c r="S420" s="715"/>
      <c r="T420" s="715"/>
      <c r="U420" s="715"/>
      <c r="V420" s="715"/>
      <c r="W420" s="715"/>
      <c r="X420" s="715"/>
      <c r="Y420" s="715"/>
      <c r="Z420" s="715"/>
    </row>
    <row r="421" spans="10:26" s="1739" customFormat="1" ht="21.75" customHeight="1">
      <c r="J421" s="715"/>
      <c r="K421" s="715"/>
      <c r="L421" s="715"/>
      <c r="M421" s="715"/>
      <c r="N421" s="715"/>
      <c r="O421" s="715"/>
      <c r="P421" s="715"/>
      <c r="Q421" s="715"/>
      <c r="R421" s="715"/>
      <c r="S421" s="715"/>
      <c r="T421" s="715"/>
      <c r="U421" s="715"/>
      <c r="V421" s="715"/>
      <c r="W421" s="715"/>
      <c r="X421" s="715"/>
      <c r="Y421" s="715"/>
      <c r="Z421" s="715"/>
    </row>
    <row r="422" spans="10:26" s="1739" customFormat="1" ht="21.75" customHeight="1">
      <c r="J422" s="715"/>
      <c r="K422" s="715"/>
      <c r="L422" s="715"/>
      <c r="M422" s="715"/>
      <c r="N422" s="715"/>
      <c r="O422" s="715"/>
      <c r="P422" s="715"/>
      <c r="Q422" s="715"/>
      <c r="R422" s="715"/>
      <c r="S422" s="715"/>
      <c r="T422" s="715"/>
      <c r="U422" s="715"/>
      <c r="V422" s="715"/>
      <c r="W422" s="715"/>
      <c r="X422" s="715"/>
      <c r="Y422" s="715"/>
      <c r="Z422" s="715"/>
    </row>
    <row r="423" spans="10:26" s="1739" customFormat="1" ht="21.75" customHeight="1">
      <c r="J423" s="715"/>
      <c r="K423" s="715"/>
      <c r="L423" s="715"/>
      <c r="M423" s="715"/>
      <c r="N423" s="715"/>
      <c r="O423" s="715"/>
      <c r="P423" s="715"/>
      <c r="Q423" s="715"/>
      <c r="R423" s="715"/>
      <c r="S423" s="715"/>
      <c r="T423" s="715"/>
      <c r="U423" s="715"/>
      <c r="V423" s="715"/>
      <c r="W423" s="715"/>
      <c r="X423" s="715"/>
      <c r="Y423" s="715"/>
      <c r="Z423" s="715"/>
    </row>
    <row r="424" spans="10:26" s="1739" customFormat="1" ht="21.75" customHeight="1">
      <c r="J424" s="715"/>
      <c r="K424" s="715"/>
      <c r="L424" s="715"/>
      <c r="M424" s="715"/>
      <c r="N424" s="715"/>
      <c r="O424" s="715"/>
      <c r="P424" s="715"/>
      <c r="Q424" s="715"/>
      <c r="R424" s="715"/>
      <c r="S424" s="715"/>
      <c r="T424" s="715"/>
      <c r="U424" s="715"/>
      <c r="V424" s="715"/>
      <c r="W424" s="715"/>
      <c r="X424" s="715"/>
      <c r="Y424" s="715"/>
      <c r="Z424" s="715"/>
    </row>
    <row r="425" spans="10:26" s="1739" customFormat="1" ht="21.75" customHeight="1">
      <c r="J425" s="715"/>
      <c r="K425" s="715"/>
      <c r="L425" s="715"/>
      <c r="M425" s="715"/>
      <c r="N425" s="715"/>
      <c r="O425" s="715"/>
      <c r="P425" s="715"/>
      <c r="Q425" s="715"/>
      <c r="R425" s="715"/>
      <c r="S425" s="715"/>
      <c r="T425" s="715"/>
      <c r="U425" s="715"/>
      <c r="V425" s="715"/>
      <c r="W425" s="715"/>
      <c r="X425" s="715"/>
      <c r="Y425" s="715"/>
      <c r="Z425" s="715"/>
    </row>
    <row r="426" spans="10:26" s="1739" customFormat="1" ht="21.75" customHeight="1">
      <c r="J426" s="715"/>
      <c r="K426" s="715"/>
      <c r="L426" s="715"/>
      <c r="M426" s="715"/>
      <c r="N426" s="715"/>
      <c r="O426" s="715"/>
      <c r="P426" s="715"/>
      <c r="Q426" s="715"/>
      <c r="R426" s="715"/>
      <c r="S426" s="715"/>
      <c r="T426" s="715"/>
      <c r="U426" s="715"/>
      <c r="V426" s="715"/>
      <c r="W426" s="715"/>
      <c r="X426" s="715"/>
      <c r="Y426" s="715"/>
      <c r="Z426" s="715"/>
    </row>
    <row r="427" spans="10:26" s="1739" customFormat="1" ht="21.75" customHeight="1">
      <c r="J427" s="715"/>
      <c r="K427" s="715"/>
      <c r="L427" s="715"/>
      <c r="M427" s="715"/>
      <c r="N427" s="715"/>
      <c r="O427" s="715"/>
      <c r="P427" s="715"/>
      <c r="Q427" s="715"/>
      <c r="R427" s="715"/>
      <c r="S427" s="715"/>
      <c r="T427" s="715"/>
      <c r="U427" s="715"/>
      <c r="V427" s="715"/>
      <c r="W427" s="715"/>
      <c r="X427" s="715"/>
      <c r="Y427" s="715"/>
      <c r="Z427" s="715"/>
    </row>
    <row r="428" spans="10:26" s="1739" customFormat="1" ht="21.75" customHeight="1">
      <c r="J428" s="715"/>
      <c r="K428" s="715"/>
      <c r="L428" s="715"/>
      <c r="M428" s="715"/>
      <c r="N428" s="715"/>
      <c r="O428" s="715"/>
      <c r="P428" s="715"/>
      <c r="Q428" s="715"/>
      <c r="R428" s="715"/>
      <c r="S428" s="715"/>
      <c r="T428" s="715"/>
      <c r="U428" s="715"/>
      <c r="V428" s="715"/>
      <c r="W428" s="715"/>
      <c r="X428" s="715"/>
      <c r="Y428" s="715"/>
      <c r="Z428" s="715"/>
    </row>
    <row r="429" spans="10:26" s="1739" customFormat="1" ht="21.75" customHeight="1">
      <c r="J429" s="715"/>
      <c r="K429" s="715"/>
      <c r="L429" s="715"/>
      <c r="M429" s="715"/>
      <c r="N429" s="715"/>
      <c r="O429" s="715"/>
      <c r="P429" s="715"/>
      <c r="Q429" s="715"/>
      <c r="R429" s="715"/>
      <c r="S429" s="715"/>
      <c r="T429" s="715"/>
      <c r="U429" s="715"/>
      <c r="V429" s="715"/>
      <c r="W429" s="715"/>
      <c r="X429" s="715"/>
      <c r="Y429" s="715"/>
      <c r="Z429" s="715"/>
    </row>
    <row r="430" spans="10:26" s="1739" customFormat="1" ht="21.75" customHeight="1">
      <c r="J430" s="715"/>
      <c r="K430" s="715"/>
      <c r="L430" s="715"/>
      <c r="M430" s="715"/>
      <c r="N430" s="715"/>
      <c r="O430" s="715"/>
      <c r="P430" s="715"/>
      <c r="Q430" s="715"/>
      <c r="R430" s="715"/>
      <c r="S430" s="715"/>
      <c r="T430" s="715"/>
      <c r="U430" s="715"/>
      <c r="V430" s="715"/>
      <c r="W430" s="715"/>
      <c r="X430" s="715"/>
      <c r="Y430" s="715"/>
      <c r="Z430" s="715"/>
    </row>
    <row r="431" spans="10:26" s="1739" customFormat="1" ht="21.75" customHeight="1">
      <c r="J431" s="715"/>
      <c r="K431" s="715"/>
      <c r="L431" s="715"/>
      <c r="M431" s="715"/>
      <c r="N431" s="715"/>
      <c r="O431" s="715"/>
      <c r="P431" s="715"/>
      <c r="Q431" s="715"/>
      <c r="R431" s="715"/>
      <c r="S431" s="715"/>
      <c r="T431" s="715"/>
      <c r="U431" s="715"/>
      <c r="V431" s="715"/>
      <c r="W431" s="715"/>
      <c r="X431" s="715"/>
      <c r="Y431" s="715"/>
      <c r="Z431" s="715"/>
    </row>
    <row r="432" spans="10:26" s="1739" customFormat="1" ht="21.75" customHeight="1">
      <c r="J432" s="715"/>
      <c r="K432" s="715"/>
      <c r="L432" s="715"/>
      <c r="M432" s="715"/>
      <c r="N432" s="715"/>
      <c r="O432" s="715"/>
      <c r="P432" s="715"/>
      <c r="Q432" s="715"/>
      <c r="R432" s="715"/>
      <c r="S432" s="715"/>
      <c r="T432" s="715"/>
      <c r="U432" s="715"/>
      <c r="V432" s="715"/>
      <c r="W432" s="715"/>
      <c r="X432" s="715"/>
      <c r="Y432" s="715"/>
      <c r="Z432" s="715"/>
    </row>
    <row r="433" spans="10:26" s="1739" customFormat="1" ht="21.75" customHeight="1">
      <c r="J433" s="715"/>
      <c r="K433" s="715"/>
      <c r="L433" s="715"/>
      <c r="M433" s="715"/>
      <c r="N433" s="715"/>
      <c r="O433" s="715"/>
      <c r="P433" s="715"/>
      <c r="Q433" s="715"/>
      <c r="R433" s="715"/>
      <c r="S433" s="715"/>
      <c r="T433" s="715"/>
      <c r="U433" s="715"/>
      <c r="V433" s="715"/>
      <c r="W433" s="715"/>
      <c r="X433" s="715"/>
      <c r="Y433" s="715"/>
      <c r="Z433" s="715"/>
    </row>
    <row r="434" spans="10:26" s="1739" customFormat="1" ht="21.75" customHeight="1">
      <c r="J434" s="715"/>
      <c r="K434" s="715"/>
      <c r="L434" s="715"/>
      <c r="M434" s="715"/>
      <c r="N434" s="715"/>
      <c r="O434" s="715"/>
      <c r="P434" s="715"/>
      <c r="Q434" s="715"/>
      <c r="R434" s="715"/>
      <c r="S434" s="715"/>
      <c r="T434" s="715"/>
      <c r="U434" s="715"/>
      <c r="V434" s="715"/>
      <c r="W434" s="715"/>
      <c r="X434" s="715"/>
      <c r="Y434" s="715"/>
      <c r="Z434" s="715"/>
    </row>
    <row r="435" spans="10:26" s="1739" customFormat="1" ht="21.75" customHeight="1">
      <c r="J435" s="715"/>
      <c r="K435" s="715"/>
      <c r="L435" s="715"/>
      <c r="M435" s="715"/>
      <c r="N435" s="715"/>
      <c r="O435" s="715"/>
      <c r="P435" s="715"/>
      <c r="Q435" s="715"/>
      <c r="R435" s="715"/>
      <c r="S435" s="715"/>
      <c r="T435" s="715"/>
      <c r="U435" s="715"/>
      <c r="V435" s="715"/>
      <c r="W435" s="715"/>
      <c r="X435" s="715"/>
      <c r="Y435" s="715"/>
      <c r="Z435" s="715"/>
    </row>
    <row r="436" spans="10:26" s="1739" customFormat="1" ht="21.75" customHeight="1">
      <c r="J436" s="715"/>
      <c r="K436" s="715"/>
      <c r="L436" s="715"/>
      <c r="M436" s="715"/>
      <c r="N436" s="715"/>
      <c r="O436" s="715"/>
      <c r="P436" s="715"/>
      <c r="Q436" s="715"/>
      <c r="R436" s="715"/>
      <c r="S436" s="715"/>
      <c r="T436" s="715"/>
      <c r="U436" s="715"/>
      <c r="V436" s="715"/>
      <c r="W436" s="715"/>
      <c r="X436" s="715"/>
      <c r="Y436" s="715"/>
      <c r="Z436" s="715"/>
    </row>
    <row r="437" spans="10:26" s="1739" customFormat="1" ht="21.75" customHeight="1">
      <c r="J437" s="715"/>
      <c r="K437" s="715"/>
      <c r="L437" s="715"/>
      <c r="M437" s="715"/>
      <c r="N437" s="715"/>
      <c r="O437" s="715"/>
      <c r="P437" s="715"/>
      <c r="Q437" s="715"/>
      <c r="R437" s="715"/>
      <c r="S437" s="715"/>
      <c r="T437" s="715"/>
      <c r="U437" s="715"/>
      <c r="V437" s="715"/>
      <c r="W437" s="715"/>
      <c r="X437" s="715"/>
      <c r="Y437" s="715"/>
      <c r="Z437" s="715"/>
    </row>
    <row r="438" spans="10:26" s="1739" customFormat="1" ht="21.75" customHeight="1">
      <c r="J438" s="715"/>
      <c r="K438" s="715"/>
      <c r="L438" s="715"/>
      <c r="M438" s="715"/>
      <c r="N438" s="715"/>
      <c r="O438" s="715"/>
      <c r="P438" s="715"/>
      <c r="Q438" s="715"/>
      <c r="R438" s="715"/>
      <c r="S438" s="715"/>
      <c r="T438" s="715"/>
      <c r="U438" s="715"/>
      <c r="V438" s="715"/>
      <c r="W438" s="715"/>
      <c r="X438" s="715"/>
      <c r="Y438" s="715"/>
      <c r="Z438" s="715"/>
    </row>
    <row r="439" spans="10:26" s="1739" customFormat="1" ht="21.75" customHeight="1">
      <c r="J439" s="715"/>
      <c r="K439" s="715"/>
      <c r="L439" s="715"/>
      <c r="M439" s="715"/>
      <c r="N439" s="715"/>
      <c r="O439" s="715"/>
      <c r="P439" s="715"/>
      <c r="Q439" s="715"/>
      <c r="R439" s="715"/>
      <c r="S439" s="715"/>
      <c r="T439" s="715"/>
      <c r="U439" s="715"/>
      <c r="V439" s="715"/>
      <c r="W439" s="715"/>
      <c r="X439" s="715"/>
      <c r="Y439" s="715"/>
      <c r="Z439" s="715"/>
    </row>
    <row r="440" spans="10:26" s="1739" customFormat="1" ht="21.75" customHeight="1">
      <c r="J440" s="715"/>
      <c r="K440" s="715"/>
      <c r="L440" s="715"/>
      <c r="M440" s="715"/>
      <c r="N440" s="715"/>
      <c r="O440" s="715"/>
      <c r="P440" s="715"/>
      <c r="Q440" s="715"/>
      <c r="R440" s="715"/>
      <c r="S440" s="715"/>
      <c r="T440" s="715"/>
      <c r="U440" s="715"/>
      <c r="V440" s="715"/>
      <c r="W440" s="715"/>
      <c r="X440" s="715"/>
      <c r="Y440" s="715"/>
      <c r="Z440" s="715"/>
    </row>
    <row r="441" spans="10:26" s="1739" customFormat="1" ht="21.75" customHeight="1">
      <c r="J441" s="715"/>
      <c r="K441" s="715"/>
      <c r="L441" s="715"/>
      <c r="M441" s="715"/>
      <c r="N441" s="715"/>
      <c r="O441" s="715"/>
      <c r="P441" s="715"/>
      <c r="Q441" s="715"/>
      <c r="R441" s="715"/>
      <c r="S441" s="715"/>
      <c r="T441" s="715"/>
      <c r="U441" s="715"/>
      <c r="V441" s="715"/>
      <c r="W441" s="715"/>
      <c r="X441" s="715"/>
      <c r="Y441" s="715"/>
      <c r="Z441" s="715"/>
    </row>
    <row r="442" spans="10:26" s="1739" customFormat="1" ht="21.75" customHeight="1">
      <c r="J442" s="715"/>
      <c r="K442" s="715"/>
      <c r="L442" s="715"/>
      <c r="M442" s="715"/>
      <c r="N442" s="715"/>
      <c r="O442" s="715"/>
      <c r="P442" s="715"/>
      <c r="Q442" s="715"/>
      <c r="R442" s="715"/>
      <c r="S442" s="715"/>
      <c r="T442" s="715"/>
      <c r="U442" s="715"/>
      <c r="V442" s="715"/>
      <c r="W442" s="715"/>
      <c r="X442" s="715"/>
      <c r="Y442" s="715"/>
      <c r="Z442" s="715"/>
    </row>
    <row r="443" spans="10:26" s="1739" customFormat="1" ht="21.75" customHeight="1">
      <c r="J443" s="715"/>
      <c r="K443" s="715"/>
      <c r="L443" s="715"/>
      <c r="M443" s="715"/>
      <c r="N443" s="715"/>
      <c r="O443" s="715"/>
      <c r="P443" s="715"/>
      <c r="Q443" s="715"/>
      <c r="R443" s="715"/>
      <c r="S443" s="715"/>
      <c r="T443" s="715"/>
      <c r="U443" s="715"/>
      <c r="V443" s="715"/>
      <c r="W443" s="715"/>
      <c r="X443" s="715"/>
      <c r="Y443" s="715"/>
      <c r="Z443" s="715"/>
    </row>
    <row r="444" spans="10:26" s="1739" customFormat="1" ht="21.75" customHeight="1">
      <c r="J444" s="715"/>
      <c r="K444" s="715"/>
      <c r="L444" s="715"/>
      <c r="M444" s="715"/>
      <c r="N444" s="715"/>
      <c r="O444" s="715"/>
      <c r="P444" s="715"/>
      <c r="Q444" s="715"/>
      <c r="R444" s="715"/>
      <c r="S444" s="715"/>
      <c r="T444" s="715"/>
      <c r="U444" s="715"/>
      <c r="V444" s="715"/>
      <c r="W444" s="715"/>
      <c r="X444" s="715"/>
      <c r="Y444" s="715"/>
      <c r="Z444" s="715"/>
    </row>
    <row r="445" spans="10:26" s="1739" customFormat="1" ht="21.75" customHeight="1">
      <c r="J445" s="715"/>
      <c r="K445" s="715"/>
      <c r="L445" s="715"/>
      <c r="M445" s="715"/>
      <c r="N445" s="715"/>
      <c r="O445" s="715"/>
      <c r="P445" s="715"/>
      <c r="Q445" s="715"/>
      <c r="R445" s="715"/>
      <c r="S445" s="715"/>
      <c r="T445" s="715"/>
      <c r="U445" s="715"/>
      <c r="V445" s="715"/>
      <c r="W445" s="715"/>
      <c r="X445" s="715"/>
      <c r="Y445" s="715"/>
      <c r="Z445" s="715"/>
    </row>
    <row r="446" spans="10:26" s="1739" customFormat="1" ht="21.75" customHeight="1">
      <c r="J446" s="715"/>
      <c r="K446" s="715"/>
      <c r="L446" s="715"/>
      <c r="M446" s="715"/>
      <c r="N446" s="715"/>
      <c r="O446" s="715"/>
      <c r="P446" s="715"/>
      <c r="Q446" s="715"/>
      <c r="R446" s="715"/>
      <c r="S446" s="715"/>
      <c r="T446" s="715"/>
      <c r="U446" s="715"/>
      <c r="V446" s="715"/>
      <c r="W446" s="715"/>
      <c r="X446" s="715"/>
      <c r="Y446" s="715"/>
      <c r="Z446" s="715"/>
    </row>
    <row r="447" spans="10:26" s="1739" customFormat="1" ht="21.75" customHeight="1">
      <c r="J447" s="715"/>
      <c r="K447" s="715"/>
      <c r="L447" s="715"/>
      <c r="M447" s="715"/>
      <c r="N447" s="715"/>
      <c r="O447" s="715"/>
      <c r="P447" s="715"/>
      <c r="Q447" s="715"/>
      <c r="R447" s="715"/>
      <c r="S447" s="715"/>
      <c r="T447" s="715"/>
      <c r="U447" s="715"/>
      <c r="V447" s="715"/>
      <c r="W447" s="715"/>
      <c r="X447" s="715"/>
      <c r="Y447" s="715"/>
      <c r="Z447" s="715"/>
    </row>
    <row r="448" spans="10:26" s="1739" customFormat="1" ht="21.75" customHeight="1">
      <c r="J448" s="715"/>
      <c r="K448" s="715"/>
      <c r="L448" s="715"/>
      <c r="M448" s="715"/>
      <c r="N448" s="715"/>
      <c r="O448" s="715"/>
      <c r="P448" s="715"/>
      <c r="Q448" s="715"/>
      <c r="R448" s="715"/>
      <c r="S448" s="715"/>
      <c r="T448" s="715"/>
      <c r="U448" s="715"/>
      <c r="V448" s="715"/>
      <c r="W448" s="715"/>
      <c r="X448" s="715"/>
      <c r="Y448" s="715"/>
      <c r="Z448" s="715"/>
    </row>
    <row r="449" spans="10:26" s="1739" customFormat="1" ht="21.75" customHeight="1">
      <c r="J449" s="715"/>
      <c r="K449" s="715"/>
      <c r="L449" s="715"/>
      <c r="M449" s="715"/>
      <c r="N449" s="715"/>
      <c r="O449" s="715"/>
      <c r="P449" s="715"/>
      <c r="Q449" s="715"/>
      <c r="R449" s="715"/>
      <c r="S449" s="715"/>
      <c r="T449" s="715"/>
      <c r="U449" s="715"/>
      <c r="V449" s="715"/>
      <c r="W449" s="715"/>
      <c r="X449" s="715"/>
      <c r="Y449" s="715"/>
      <c r="Z449" s="715"/>
    </row>
    <row r="450" spans="10:26" s="1739" customFormat="1" ht="21.75" customHeight="1">
      <c r="J450" s="715"/>
      <c r="K450" s="715"/>
      <c r="L450" s="715"/>
      <c r="M450" s="715"/>
      <c r="N450" s="715"/>
      <c r="O450" s="715"/>
      <c r="P450" s="715"/>
      <c r="Q450" s="715"/>
      <c r="R450" s="715"/>
      <c r="S450" s="715"/>
      <c r="T450" s="715"/>
      <c r="U450" s="715"/>
      <c r="V450" s="715"/>
      <c r="W450" s="715"/>
      <c r="X450" s="715"/>
      <c r="Y450" s="715"/>
      <c r="Z450" s="715"/>
    </row>
    <row r="451" spans="10:26" s="1739" customFormat="1" ht="21.75" customHeight="1">
      <c r="J451" s="715"/>
      <c r="K451" s="715"/>
      <c r="L451" s="715"/>
      <c r="M451" s="715"/>
      <c r="N451" s="715"/>
      <c r="O451" s="715"/>
      <c r="P451" s="715"/>
      <c r="Q451" s="715"/>
      <c r="R451" s="715"/>
      <c r="S451" s="715"/>
      <c r="T451" s="715"/>
      <c r="U451" s="715"/>
      <c r="V451" s="715"/>
      <c r="W451" s="715"/>
      <c r="X451" s="715"/>
      <c r="Y451" s="715"/>
      <c r="Z451" s="715"/>
    </row>
    <row r="452" spans="10:26" s="1739" customFormat="1" ht="21.75" customHeight="1">
      <c r="J452" s="715"/>
      <c r="K452" s="715"/>
      <c r="L452" s="715"/>
      <c r="M452" s="715"/>
      <c r="N452" s="715"/>
      <c r="O452" s="715"/>
      <c r="P452" s="715"/>
      <c r="Q452" s="715"/>
      <c r="R452" s="715"/>
      <c r="S452" s="715"/>
      <c r="T452" s="715"/>
      <c r="U452" s="715"/>
      <c r="V452" s="715"/>
      <c r="W452" s="715"/>
      <c r="X452" s="715"/>
      <c r="Y452" s="715"/>
      <c r="Z452" s="715"/>
    </row>
    <row r="453" spans="10:26" s="1739" customFormat="1" ht="21.75" customHeight="1">
      <c r="J453" s="715"/>
      <c r="K453" s="715"/>
      <c r="L453" s="715"/>
      <c r="M453" s="715"/>
      <c r="N453" s="715"/>
      <c r="O453" s="715"/>
      <c r="P453" s="715"/>
      <c r="Q453" s="715"/>
      <c r="R453" s="715"/>
      <c r="S453" s="715"/>
      <c r="T453" s="715"/>
      <c r="U453" s="715"/>
      <c r="V453" s="715"/>
      <c r="W453" s="715"/>
      <c r="X453" s="715"/>
      <c r="Y453" s="715"/>
      <c r="Z453" s="715"/>
    </row>
    <row r="454" spans="10:26" s="1739" customFormat="1" ht="21.75" customHeight="1">
      <c r="J454" s="715"/>
      <c r="K454" s="715"/>
      <c r="L454" s="715"/>
      <c r="M454" s="715"/>
      <c r="N454" s="715"/>
      <c r="O454" s="715"/>
      <c r="P454" s="715"/>
      <c r="Q454" s="715"/>
      <c r="R454" s="715"/>
      <c r="S454" s="715"/>
      <c r="T454" s="715"/>
      <c r="U454" s="715"/>
      <c r="V454" s="715"/>
      <c r="W454" s="715"/>
      <c r="X454" s="715"/>
      <c r="Y454" s="715"/>
      <c r="Z454" s="715"/>
    </row>
    <row r="455" spans="10:26" s="1739" customFormat="1" ht="21.75" customHeight="1">
      <c r="J455" s="715"/>
      <c r="K455" s="715"/>
      <c r="L455" s="715"/>
      <c r="M455" s="715"/>
      <c r="N455" s="715"/>
      <c r="O455" s="715"/>
      <c r="P455" s="715"/>
      <c r="Q455" s="715"/>
      <c r="R455" s="715"/>
      <c r="S455" s="715"/>
      <c r="T455" s="715"/>
      <c r="U455" s="715"/>
      <c r="V455" s="715"/>
      <c r="W455" s="715"/>
      <c r="X455" s="715"/>
      <c r="Y455" s="715"/>
      <c r="Z455" s="715"/>
    </row>
    <row r="456" spans="10:26" s="1739" customFormat="1" ht="21.75" customHeight="1">
      <c r="J456" s="715"/>
      <c r="K456" s="715"/>
      <c r="L456" s="715"/>
      <c r="M456" s="715"/>
      <c r="N456" s="715"/>
      <c r="O456" s="715"/>
      <c r="P456" s="715"/>
      <c r="Q456" s="715"/>
      <c r="R456" s="715"/>
      <c r="S456" s="715"/>
      <c r="T456" s="715"/>
      <c r="U456" s="715"/>
      <c r="V456" s="715"/>
      <c r="W456" s="715"/>
      <c r="X456" s="715"/>
      <c r="Y456" s="715"/>
      <c r="Z456" s="715"/>
    </row>
    <row r="457" spans="10:26" s="1739" customFormat="1" ht="21.75" customHeight="1">
      <c r="J457" s="715"/>
      <c r="K457" s="715"/>
      <c r="L457" s="715"/>
      <c r="M457" s="715"/>
      <c r="N457" s="715"/>
      <c r="O457" s="715"/>
      <c r="P457" s="715"/>
      <c r="Q457" s="715"/>
      <c r="R457" s="715"/>
      <c r="S457" s="715"/>
      <c r="T457" s="715"/>
      <c r="U457" s="715"/>
      <c r="V457" s="715"/>
      <c r="W457" s="715"/>
      <c r="X457" s="715"/>
      <c r="Y457" s="715"/>
      <c r="Z457" s="715"/>
    </row>
    <row r="458" spans="10:26" s="1739" customFormat="1" ht="21.75" customHeight="1">
      <c r="J458" s="715"/>
      <c r="K458" s="715"/>
      <c r="L458" s="715"/>
      <c r="M458" s="715"/>
      <c r="N458" s="715"/>
      <c r="O458" s="715"/>
      <c r="P458" s="715"/>
      <c r="Q458" s="715"/>
      <c r="R458" s="715"/>
      <c r="S458" s="715"/>
      <c r="T458" s="715"/>
      <c r="U458" s="715"/>
      <c r="V458" s="715"/>
      <c r="W458" s="715"/>
      <c r="X458" s="715"/>
      <c r="Y458" s="715"/>
      <c r="Z458" s="715"/>
    </row>
    <row r="459" spans="10:26" s="1739" customFormat="1" ht="21.75" customHeight="1">
      <c r="J459" s="715"/>
      <c r="K459" s="715"/>
      <c r="L459" s="715"/>
      <c r="M459" s="715"/>
      <c r="N459" s="715"/>
      <c r="O459" s="715"/>
      <c r="P459" s="715"/>
      <c r="Q459" s="715"/>
      <c r="R459" s="715"/>
      <c r="S459" s="715"/>
      <c r="T459" s="715"/>
      <c r="U459" s="715"/>
      <c r="V459" s="715"/>
      <c r="W459" s="715"/>
      <c r="X459" s="715"/>
      <c r="Y459" s="715"/>
      <c r="Z459" s="715"/>
    </row>
    <row r="460" spans="10:26" s="1739" customFormat="1" ht="21.75" customHeight="1">
      <c r="J460" s="715"/>
      <c r="K460" s="715"/>
      <c r="L460" s="715"/>
      <c r="M460" s="715"/>
      <c r="N460" s="715"/>
      <c r="O460" s="715"/>
      <c r="P460" s="715"/>
      <c r="Q460" s="715"/>
      <c r="R460" s="715"/>
      <c r="S460" s="715"/>
      <c r="T460" s="715"/>
      <c r="U460" s="715"/>
      <c r="V460" s="715"/>
      <c r="W460" s="715"/>
      <c r="X460" s="715"/>
      <c r="Y460" s="715"/>
      <c r="Z460" s="715"/>
    </row>
    <row r="461" spans="10:26" s="1739" customFormat="1" ht="21.75" customHeight="1">
      <c r="J461" s="715"/>
      <c r="K461" s="715"/>
      <c r="L461" s="715"/>
      <c r="M461" s="715"/>
      <c r="N461" s="715"/>
      <c r="O461" s="715"/>
      <c r="P461" s="715"/>
      <c r="Q461" s="715"/>
      <c r="R461" s="715"/>
      <c r="S461" s="715"/>
      <c r="T461" s="715"/>
      <c r="U461" s="715"/>
      <c r="V461" s="715"/>
      <c r="W461" s="715"/>
      <c r="X461" s="715"/>
      <c r="Y461" s="715"/>
      <c r="Z461" s="715"/>
    </row>
    <row r="462" spans="10:26" s="1739" customFormat="1" ht="21.75" customHeight="1">
      <c r="J462" s="715"/>
      <c r="K462" s="715"/>
      <c r="L462" s="715"/>
      <c r="M462" s="715"/>
      <c r="N462" s="715"/>
      <c r="O462" s="715"/>
      <c r="P462" s="715"/>
      <c r="Q462" s="715"/>
      <c r="R462" s="715"/>
      <c r="S462" s="715"/>
      <c r="T462" s="715"/>
      <c r="U462" s="715"/>
      <c r="V462" s="715"/>
      <c r="W462" s="715"/>
      <c r="X462" s="715"/>
      <c r="Y462" s="715"/>
      <c r="Z462" s="715"/>
    </row>
    <row r="463" spans="10:26" s="1739" customFormat="1" ht="21.75" customHeight="1">
      <c r="J463" s="715"/>
      <c r="K463" s="715"/>
      <c r="L463" s="715"/>
      <c r="M463" s="715"/>
      <c r="N463" s="715"/>
      <c r="O463" s="715"/>
      <c r="P463" s="715"/>
      <c r="Q463" s="715"/>
      <c r="R463" s="715"/>
      <c r="S463" s="715"/>
      <c r="T463" s="715"/>
      <c r="U463" s="715"/>
      <c r="V463" s="715"/>
      <c r="W463" s="715"/>
      <c r="X463" s="715"/>
      <c r="Y463" s="715"/>
      <c r="Z463" s="715"/>
    </row>
    <row r="464" spans="10:26" s="1739" customFormat="1" ht="21.75" customHeight="1">
      <c r="J464" s="715"/>
      <c r="K464" s="715"/>
      <c r="L464" s="715"/>
      <c r="M464" s="715"/>
      <c r="N464" s="715"/>
      <c r="O464" s="715"/>
      <c r="P464" s="715"/>
      <c r="Q464" s="715"/>
      <c r="R464" s="715"/>
      <c r="S464" s="715"/>
      <c r="T464" s="715"/>
      <c r="U464" s="715"/>
      <c r="V464" s="715"/>
      <c r="W464" s="715"/>
      <c r="X464" s="715"/>
      <c r="Y464" s="715"/>
      <c r="Z464" s="715"/>
    </row>
    <row r="465" spans="10:26" s="1739" customFormat="1" ht="21.75" customHeight="1">
      <c r="J465" s="715"/>
      <c r="K465" s="715"/>
      <c r="L465" s="715"/>
      <c r="M465" s="715"/>
      <c r="N465" s="715"/>
      <c r="O465" s="715"/>
      <c r="P465" s="715"/>
      <c r="Q465" s="715"/>
      <c r="R465" s="715"/>
      <c r="S465" s="715"/>
      <c r="T465" s="715"/>
      <c r="U465" s="715"/>
      <c r="V465" s="715"/>
      <c r="W465" s="715"/>
      <c r="X465" s="715"/>
      <c r="Y465" s="715"/>
      <c r="Z465" s="715"/>
    </row>
    <row r="466" spans="10:26" s="1739" customFormat="1" ht="21.75" customHeight="1">
      <c r="J466" s="715"/>
      <c r="K466" s="715"/>
      <c r="L466" s="715"/>
      <c r="M466" s="715"/>
      <c r="N466" s="715"/>
      <c r="O466" s="715"/>
      <c r="P466" s="715"/>
      <c r="Q466" s="715"/>
      <c r="R466" s="715"/>
      <c r="S466" s="715"/>
      <c r="T466" s="715"/>
      <c r="U466" s="715"/>
      <c r="V466" s="715"/>
      <c r="W466" s="715"/>
      <c r="X466" s="715"/>
      <c r="Y466" s="715"/>
      <c r="Z466" s="715"/>
    </row>
    <row r="467" spans="10:26" s="1739" customFormat="1" ht="21.75" customHeight="1">
      <c r="J467" s="715"/>
      <c r="K467" s="715"/>
      <c r="L467" s="715"/>
      <c r="M467" s="715"/>
      <c r="N467" s="715"/>
      <c r="O467" s="715"/>
      <c r="P467" s="715"/>
      <c r="Q467" s="715"/>
      <c r="R467" s="715"/>
      <c r="S467" s="715"/>
      <c r="T467" s="715"/>
      <c r="U467" s="715"/>
      <c r="V467" s="715"/>
      <c r="W467" s="715"/>
      <c r="X467" s="715"/>
      <c r="Y467" s="715"/>
      <c r="Z467" s="715"/>
    </row>
    <row r="468" spans="10:26" s="1739" customFormat="1" ht="21.75" customHeight="1">
      <c r="J468" s="715"/>
      <c r="K468" s="715"/>
      <c r="L468" s="715"/>
      <c r="M468" s="715"/>
      <c r="N468" s="715"/>
      <c r="O468" s="715"/>
      <c r="P468" s="715"/>
      <c r="Q468" s="715"/>
      <c r="R468" s="715"/>
      <c r="S468" s="715"/>
      <c r="T468" s="715"/>
      <c r="U468" s="715"/>
      <c r="V468" s="715"/>
      <c r="W468" s="715"/>
      <c r="X468" s="715"/>
      <c r="Y468" s="715"/>
      <c r="Z468" s="715"/>
    </row>
    <row r="469" spans="10:26" s="1739" customFormat="1" ht="21.75" customHeight="1">
      <c r="J469" s="715"/>
      <c r="K469" s="715"/>
      <c r="L469" s="715"/>
      <c r="M469" s="715"/>
      <c r="N469" s="715"/>
      <c r="O469" s="715"/>
      <c r="P469" s="715"/>
      <c r="Q469" s="715"/>
      <c r="R469" s="715"/>
      <c r="S469" s="715"/>
      <c r="T469" s="715"/>
      <c r="U469" s="715"/>
      <c r="V469" s="715"/>
      <c r="W469" s="715"/>
      <c r="X469" s="715"/>
      <c r="Y469" s="715"/>
      <c r="Z469" s="715"/>
    </row>
    <row r="470" spans="10:26" s="1739" customFormat="1" ht="21.75" customHeight="1">
      <c r="J470" s="715"/>
      <c r="K470" s="715"/>
      <c r="L470" s="715"/>
      <c r="M470" s="715"/>
      <c r="N470" s="715"/>
      <c r="O470" s="715"/>
      <c r="P470" s="715"/>
      <c r="Q470" s="715"/>
      <c r="R470" s="715"/>
      <c r="S470" s="715"/>
      <c r="T470" s="715"/>
      <c r="U470" s="715"/>
      <c r="V470" s="715"/>
      <c r="W470" s="715"/>
      <c r="X470" s="715"/>
      <c r="Y470" s="715"/>
      <c r="Z470" s="715"/>
    </row>
    <row r="471" spans="10:26" s="1739" customFormat="1" ht="21.75" customHeight="1">
      <c r="J471" s="715"/>
      <c r="K471" s="715"/>
      <c r="L471" s="715"/>
      <c r="M471" s="715"/>
      <c r="N471" s="715"/>
      <c r="O471" s="715"/>
      <c r="P471" s="715"/>
      <c r="Q471" s="715"/>
      <c r="R471" s="715"/>
      <c r="S471" s="715"/>
      <c r="T471" s="715"/>
      <c r="U471" s="715"/>
      <c r="V471" s="715"/>
      <c r="W471" s="715"/>
      <c r="X471" s="715"/>
      <c r="Y471" s="715"/>
      <c r="Z471" s="715"/>
    </row>
    <row r="472" spans="10:26" s="1739" customFormat="1" ht="21.75" customHeight="1">
      <c r="J472" s="715"/>
      <c r="K472" s="715"/>
      <c r="L472" s="715"/>
      <c r="M472" s="715"/>
      <c r="N472" s="715"/>
      <c r="O472" s="715"/>
      <c r="P472" s="715"/>
      <c r="Q472" s="715"/>
      <c r="R472" s="715"/>
      <c r="S472" s="715"/>
      <c r="T472" s="715"/>
      <c r="U472" s="715"/>
      <c r="V472" s="715"/>
      <c r="W472" s="715"/>
      <c r="X472" s="715"/>
      <c r="Y472" s="715"/>
      <c r="Z472" s="715"/>
    </row>
    <row r="473" spans="10:26" s="1739" customFormat="1" ht="21.75" customHeight="1">
      <c r="J473" s="715"/>
      <c r="K473" s="715"/>
      <c r="L473" s="715"/>
      <c r="M473" s="715"/>
      <c r="N473" s="715"/>
      <c r="O473" s="715"/>
      <c r="P473" s="715"/>
      <c r="Q473" s="715"/>
      <c r="R473" s="715"/>
      <c r="S473" s="715"/>
      <c r="T473" s="715"/>
      <c r="U473" s="715"/>
      <c r="V473" s="715"/>
      <c r="W473" s="715"/>
      <c r="X473" s="715"/>
      <c r="Y473" s="715"/>
      <c r="Z473" s="715"/>
    </row>
    <row r="474" spans="10:26" s="1739" customFormat="1" ht="21.75" customHeight="1">
      <c r="J474" s="715"/>
      <c r="K474" s="715"/>
      <c r="L474" s="715"/>
      <c r="M474" s="715"/>
      <c r="N474" s="715"/>
      <c r="O474" s="715"/>
      <c r="P474" s="715"/>
      <c r="Q474" s="715"/>
      <c r="R474" s="715"/>
      <c r="S474" s="715"/>
      <c r="T474" s="715"/>
      <c r="U474" s="715"/>
      <c r="V474" s="715"/>
      <c r="W474" s="715"/>
      <c r="X474" s="715"/>
      <c r="Y474" s="715"/>
      <c r="Z474" s="715"/>
    </row>
    <row r="475" spans="10:26" s="1739" customFormat="1" ht="21.75" customHeight="1">
      <c r="J475" s="715"/>
      <c r="K475" s="715"/>
      <c r="L475" s="715"/>
      <c r="M475" s="715"/>
      <c r="N475" s="715"/>
      <c r="O475" s="715"/>
      <c r="P475" s="715"/>
      <c r="Q475" s="715"/>
      <c r="R475" s="715"/>
      <c r="S475" s="715"/>
      <c r="T475" s="715"/>
      <c r="U475" s="715"/>
      <c r="V475" s="715"/>
      <c r="W475" s="715"/>
      <c r="X475" s="715"/>
      <c r="Y475" s="715"/>
      <c r="Z475" s="715"/>
    </row>
    <row r="476" spans="10:26" s="1739" customFormat="1" ht="21.75" customHeight="1">
      <c r="J476" s="715"/>
      <c r="K476" s="715"/>
      <c r="L476" s="715"/>
      <c r="M476" s="715"/>
      <c r="N476" s="715"/>
      <c r="O476" s="715"/>
      <c r="P476" s="715"/>
      <c r="Q476" s="715"/>
      <c r="R476" s="715"/>
      <c r="S476" s="715"/>
      <c r="T476" s="715"/>
      <c r="U476" s="715"/>
      <c r="V476" s="715"/>
      <c r="W476" s="715"/>
      <c r="X476" s="715"/>
      <c r="Y476" s="715"/>
      <c r="Z476" s="715"/>
    </row>
    <row r="477" spans="10:26" s="1739" customFormat="1" ht="21.75" customHeight="1">
      <c r="J477" s="715"/>
      <c r="K477" s="715"/>
      <c r="L477" s="715"/>
      <c r="M477" s="715"/>
      <c r="N477" s="715"/>
      <c r="O477" s="715"/>
      <c r="P477" s="715"/>
      <c r="Q477" s="715"/>
      <c r="R477" s="715"/>
      <c r="S477" s="715"/>
      <c r="T477" s="715"/>
      <c r="U477" s="715"/>
      <c r="V477" s="715"/>
      <c r="W477" s="715"/>
      <c r="X477" s="715"/>
      <c r="Y477" s="715"/>
      <c r="Z477" s="715"/>
    </row>
    <row r="478" spans="10:26" s="1739" customFormat="1" ht="21.75" customHeight="1">
      <c r="J478" s="715"/>
      <c r="K478" s="715"/>
      <c r="L478" s="715"/>
      <c r="M478" s="715"/>
      <c r="N478" s="715"/>
      <c r="O478" s="715"/>
      <c r="P478" s="715"/>
      <c r="Q478" s="715"/>
      <c r="R478" s="715"/>
      <c r="S478" s="715"/>
      <c r="T478" s="715"/>
      <c r="U478" s="715"/>
      <c r="V478" s="715"/>
      <c r="W478" s="715"/>
      <c r="X478" s="715"/>
      <c r="Y478" s="715"/>
      <c r="Z478" s="715"/>
    </row>
    <row r="479" spans="10:26" s="1739" customFormat="1" ht="21.75" customHeight="1">
      <c r="J479" s="715"/>
      <c r="K479" s="715"/>
      <c r="L479" s="715"/>
      <c r="M479" s="715"/>
      <c r="N479" s="715"/>
      <c r="O479" s="715"/>
      <c r="P479" s="715"/>
      <c r="Q479" s="715"/>
      <c r="R479" s="715"/>
      <c r="S479" s="715"/>
      <c r="T479" s="715"/>
      <c r="U479" s="715"/>
      <c r="V479" s="715"/>
      <c r="W479" s="715"/>
      <c r="X479" s="715"/>
      <c r="Y479" s="715"/>
      <c r="Z479" s="715"/>
    </row>
    <row r="480" spans="10:26" s="1739" customFormat="1" ht="21.75" customHeight="1">
      <c r="J480" s="715"/>
      <c r="K480" s="715"/>
      <c r="L480" s="715"/>
      <c r="M480" s="715"/>
      <c r="N480" s="715"/>
      <c r="O480" s="715"/>
      <c r="P480" s="715"/>
      <c r="Q480" s="715"/>
      <c r="R480" s="715"/>
      <c r="S480" s="715"/>
      <c r="T480" s="715"/>
      <c r="U480" s="715"/>
      <c r="V480" s="715"/>
      <c r="W480" s="715"/>
      <c r="X480" s="715"/>
      <c r="Y480" s="715"/>
      <c r="Z480" s="715"/>
    </row>
    <row r="481" spans="10:26" s="1739" customFormat="1" ht="21.75" customHeight="1">
      <c r="J481" s="715"/>
      <c r="K481" s="715"/>
      <c r="L481" s="715"/>
      <c r="M481" s="715"/>
      <c r="N481" s="715"/>
      <c r="O481" s="715"/>
      <c r="P481" s="715"/>
      <c r="Q481" s="715"/>
      <c r="R481" s="715"/>
      <c r="S481" s="715"/>
      <c r="T481" s="715"/>
      <c r="U481" s="715"/>
      <c r="V481" s="715"/>
      <c r="W481" s="715"/>
      <c r="X481" s="715"/>
      <c r="Y481" s="715"/>
      <c r="Z481" s="715"/>
    </row>
    <row r="482" spans="10:26" s="1739" customFormat="1" ht="21.75" customHeight="1">
      <c r="J482" s="715"/>
      <c r="K482" s="715"/>
      <c r="L482" s="715"/>
      <c r="M482" s="715"/>
      <c r="N482" s="715"/>
      <c r="O482" s="715"/>
      <c r="P482" s="715"/>
      <c r="Q482" s="715"/>
      <c r="R482" s="715"/>
      <c r="S482" s="715"/>
      <c r="T482" s="715"/>
      <c r="U482" s="715"/>
      <c r="V482" s="715"/>
      <c r="W482" s="715"/>
      <c r="X482" s="715"/>
      <c r="Y482" s="715"/>
      <c r="Z482" s="715"/>
    </row>
    <row r="483" spans="10:26" s="1739" customFormat="1" ht="21.75" customHeight="1">
      <c r="J483" s="715"/>
      <c r="K483" s="715"/>
      <c r="L483" s="715"/>
      <c r="M483" s="715"/>
      <c r="N483" s="715"/>
      <c r="O483" s="715"/>
      <c r="P483" s="715"/>
      <c r="Q483" s="715"/>
      <c r="R483" s="715"/>
      <c r="S483" s="715"/>
      <c r="T483" s="715"/>
      <c r="U483" s="715"/>
      <c r="V483" s="715"/>
      <c r="W483" s="715"/>
      <c r="X483" s="715"/>
      <c r="Y483" s="715"/>
      <c r="Z483" s="715"/>
    </row>
    <row r="484" spans="10:26" s="1739" customFormat="1" ht="21.75" customHeight="1">
      <c r="J484" s="715"/>
      <c r="K484" s="715"/>
      <c r="L484" s="715"/>
      <c r="M484" s="715"/>
      <c r="N484" s="715"/>
      <c r="O484" s="715"/>
      <c r="P484" s="715"/>
      <c r="Q484" s="715"/>
      <c r="R484" s="715"/>
      <c r="S484" s="715"/>
      <c r="T484" s="715"/>
      <c r="U484" s="715"/>
      <c r="V484" s="715"/>
      <c r="W484" s="715"/>
      <c r="X484" s="715"/>
      <c r="Y484" s="715"/>
      <c r="Z484" s="715"/>
    </row>
    <row r="485" spans="10:26" s="1739" customFormat="1" ht="21.75" customHeight="1">
      <c r="J485" s="715"/>
      <c r="K485" s="715"/>
      <c r="L485" s="715"/>
      <c r="M485" s="715"/>
      <c r="N485" s="715"/>
      <c r="O485" s="715"/>
      <c r="P485" s="715"/>
      <c r="Q485" s="715"/>
      <c r="R485" s="715"/>
      <c r="S485" s="715"/>
      <c r="T485" s="715"/>
      <c r="U485" s="715"/>
      <c r="V485" s="715"/>
      <c r="W485" s="715"/>
      <c r="X485" s="715"/>
      <c r="Y485" s="715"/>
      <c r="Z485" s="715"/>
    </row>
    <row r="486" spans="10:26" s="1739" customFormat="1" ht="21.75" customHeight="1">
      <c r="J486" s="715"/>
      <c r="K486" s="715"/>
      <c r="L486" s="715"/>
      <c r="M486" s="715"/>
      <c r="N486" s="715"/>
      <c r="O486" s="715"/>
      <c r="P486" s="715"/>
      <c r="Q486" s="715"/>
      <c r="R486" s="715"/>
      <c r="S486" s="715"/>
      <c r="T486" s="715"/>
      <c r="U486" s="715"/>
      <c r="V486" s="715"/>
      <c r="W486" s="715"/>
      <c r="X486" s="715"/>
      <c r="Y486" s="715"/>
      <c r="Z486" s="715"/>
    </row>
    <row r="487" spans="10:26" s="1739" customFormat="1" ht="21.75" customHeight="1">
      <c r="J487" s="715"/>
      <c r="K487" s="715"/>
      <c r="L487" s="715"/>
      <c r="M487" s="715"/>
      <c r="N487" s="715"/>
      <c r="O487" s="715"/>
      <c r="P487" s="715"/>
      <c r="Q487" s="715"/>
      <c r="R487" s="715"/>
      <c r="S487" s="715"/>
      <c r="T487" s="715"/>
      <c r="U487" s="715"/>
      <c r="V487" s="715"/>
      <c r="W487" s="715"/>
      <c r="X487" s="715"/>
      <c r="Y487" s="715"/>
      <c r="Z487" s="715"/>
    </row>
    <row r="488" spans="10:26" s="1739" customFormat="1" ht="21.75" customHeight="1">
      <c r="J488" s="715"/>
      <c r="K488" s="715"/>
      <c r="L488" s="715"/>
      <c r="M488" s="715"/>
      <c r="N488" s="715"/>
      <c r="O488" s="715"/>
      <c r="P488" s="715"/>
      <c r="Q488" s="715"/>
      <c r="R488" s="715"/>
      <c r="S488" s="715"/>
      <c r="T488" s="715"/>
      <c r="U488" s="715"/>
      <c r="V488" s="715"/>
      <c r="W488" s="715"/>
      <c r="X488" s="715"/>
      <c r="Y488" s="715"/>
      <c r="Z488" s="715"/>
    </row>
    <row r="489" spans="10:26" s="1739" customFormat="1" ht="21.75" customHeight="1">
      <c r="J489" s="715"/>
      <c r="K489" s="715"/>
      <c r="L489" s="715"/>
      <c r="M489" s="715"/>
      <c r="N489" s="715"/>
      <c r="O489" s="715"/>
      <c r="P489" s="715"/>
      <c r="Q489" s="715"/>
      <c r="R489" s="715"/>
      <c r="S489" s="715"/>
      <c r="T489" s="715"/>
      <c r="U489" s="715"/>
      <c r="V489" s="715"/>
      <c r="W489" s="715"/>
      <c r="X489" s="715"/>
      <c r="Y489" s="715"/>
      <c r="Z489" s="715"/>
    </row>
    <row r="490" spans="10:26" s="1739" customFormat="1" ht="21.75" customHeight="1">
      <c r="J490" s="715"/>
      <c r="K490" s="715"/>
      <c r="L490" s="715"/>
      <c r="M490" s="715"/>
      <c r="N490" s="715"/>
      <c r="O490" s="715"/>
      <c r="P490" s="715"/>
      <c r="Q490" s="715"/>
      <c r="R490" s="715"/>
      <c r="S490" s="715"/>
      <c r="T490" s="715"/>
      <c r="U490" s="715"/>
      <c r="V490" s="715"/>
      <c r="W490" s="715"/>
      <c r="X490" s="715"/>
      <c r="Y490" s="715"/>
      <c r="Z490" s="715"/>
    </row>
    <row r="491" spans="10:26" s="1739" customFormat="1" ht="21.75" customHeight="1">
      <c r="J491" s="715"/>
      <c r="K491" s="715"/>
      <c r="L491" s="715"/>
      <c r="M491" s="715"/>
      <c r="N491" s="715"/>
      <c r="O491" s="715"/>
      <c r="P491" s="715"/>
      <c r="Q491" s="715"/>
      <c r="R491" s="715"/>
      <c r="S491" s="715"/>
      <c r="T491" s="715"/>
      <c r="U491" s="715"/>
      <c r="V491" s="715"/>
      <c r="W491" s="715"/>
      <c r="X491" s="715"/>
      <c r="Y491" s="715"/>
      <c r="Z491" s="715"/>
    </row>
    <row r="492" spans="10:26" s="1739" customFormat="1" ht="21.75" customHeight="1">
      <c r="J492" s="715"/>
      <c r="K492" s="715"/>
      <c r="L492" s="715"/>
      <c r="M492" s="715"/>
      <c r="N492" s="715"/>
      <c r="O492" s="715"/>
      <c r="P492" s="715"/>
      <c r="Q492" s="715"/>
      <c r="R492" s="715"/>
      <c r="S492" s="715"/>
      <c r="T492" s="715"/>
      <c r="U492" s="715"/>
      <c r="V492" s="715"/>
      <c r="W492" s="715"/>
      <c r="X492" s="715"/>
      <c r="Y492" s="715"/>
      <c r="Z492" s="715"/>
    </row>
    <row r="493" spans="10:26" s="1739" customFormat="1" ht="21.75" customHeight="1">
      <c r="J493" s="715"/>
      <c r="K493" s="715"/>
      <c r="L493" s="715"/>
      <c r="M493" s="715"/>
      <c r="N493" s="715"/>
      <c r="O493" s="715"/>
      <c r="P493" s="715"/>
      <c r="Q493" s="715"/>
      <c r="R493" s="715"/>
      <c r="S493" s="715"/>
      <c r="T493" s="715"/>
      <c r="U493" s="715"/>
      <c r="V493" s="715"/>
      <c r="W493" s="715"/>
      <c r="X493" s="715"/>
      <c r="Y493" s="715"/>
      <c r="Z493" s="715"/>
    </row>
    <row r="494" spans="10:26" s="1739" customFormat="1" ht="21.75" customHeight="1">
      <c r="J494" s="715"/>
      <c r="K494" s="715"/>
      <c r="L494" s="715"/>
      <c r="M494" s="715"/>
      <c r="N494" s="715"/>
      <c r="O494" s="715"/>
      <c r="P494" s="715"/>
      <c r="Q494" s="715"/>
      <c r="R494" s="715"/>
      <c r="S494" s="715"/>
      <c r="T494" s="715"/>
      <c r="U494" s="715"/>
      <c r="V494" s="715"/>
      <c r="W494" s="715"/>
      <c r="X494" s="715"/>
      <c r="Y494" s="715"/>
      <c r="Z494" s="715"/>
    </row>
    <row r="495" spans="10:26" s="1739" customFormat="1" ht="21.75" customHeight="1">
      <c r="J495" s="715"/>
      <c r="K495" s="715"/>
      <c r="L495" s="715"/>
      <c r="M495" s="715"/>
      <c r="N495" s="715"/>
      <c r="O495" s="715"/>
      <c r="P495" s="715"/>
      <c r="Q495" s="715"/>
      <c r="R495" s="715"/>
      <c r="S495" s="715"/>
      <c r="T495" s="715"/>
      <c r="U495" s="715"/>
      <c r="V495" s="715"/>
      <c r="W495" s="715"/>
      <c r="X495" s="715"/>
      <c r="Y495" s="715"/>
      <c r="Z495" s="715"/>
    </row>
    <row r="496" spans="10:26" s="1739" customFormat="1" ht="21.75" customHeight="1">
      <c r="J496" s="715"/>
      <c r="K496" s="715"/>
      <c r="L496" s="715"/>
      <c r="M496" s="715"/>
      <c r="N496" s="715"/>
      <c r="O496" s="715"/>
      <c r="P496" s="715"/>
      <c r="Q496" s="715"/>
      <c r="R496" s="715"/>
      <c r="S496" s="715"/>
      <c r="T496" s="715"/>
      <c r="U496" s="715"/>
      <c r="V496" s="715"/>
      <c r="W496" s="715"/>
      <c r="X496" s="715"/>
      <c r="Y496" s="715"/>
      <c r="Z496" s="715"/>
    </row>
    <row r="497" spans="10:26" s="1739" customFormat="1" ht="21.75" customHeight="1">
      <c r="J497" s="715"/>
      <c r="K497" s="715"/>
      <c r="L497" s="715"/>
      <c r="M497" s="715"/>
      <c r="N497" s="715"/>
      <c r="O497" s="715"/>
      <c r="P497" s="715"/>
      <c r="Q497" s="715"/>
      <c r="R497" s="715"/>
      <c r="S497" s="715"/>
      <c r="T497" s="715"/>
      <c r="U497" s="715"/>
      <c r="V497" s="715"/>
      <c r="W497" s="715"/>
      <c r="X497" s="715"/>
      <c r="Y497" s="715"/>
      <c r="Z497" s="715"/>
    </row>
    <row r="498" spans="10:26" s="1739" customFormat="1" ht="21.75" customHeight="1">
      <c r="J498" s="715"/>
      <c r="K498" s="715"/>
      <c r="L498" s="715"/>
      <c r="M498" s="715"/>
      <c r="N498" s="715"/>
      <c r="O498" s="715"/>
      <c r="P498" s="715"/>
      <c r="Q498" s="715"/>
      <c r="R498" s="715"/>
      <c r="S498" s="715"/>
      <c r="T498" s="715"/>
      <c r="U498" s="715"/>
      <c r="V498" s="715"/>
      <c r="W498" s="715"/>
      <c r="X498" s="715"/>
      <c r="Y498" s="715"/>
      <c r="Z498" s="715"/>
    </row>
    <row r="499" spans="10:26" s="1739" customFormat="1" ht="21.75" customHeight="1">
      <c r="J499" s="715"/>
      <c r="K499" s="715"/>
      <c r="L499" s="715"/>
      <c r="M499" s="715"/>
      <c r="N499" s="715"/>
      <c r="O499" s="715"/>
      <c r="P499" s="715"/>
      <c r="Q499" s="715"/>
      <c r="R499" s="715"/>
      <c r="S499" s="715"/>
      <c r="T499" s="715"/>
      <c r="U499" s="715"/>
      <c r="V499" s="715"/>
      <c r="W499" s="715"/>
      <c r="X499" s="715"/>
      <c r="Y499" s="715"/>
      <c r="Z499" s="715"/>
    </row>
    <row r="500" spans="10:26" s="1739" customFormat="1" ht="21.75" customHeight="1">
      <c r="J500" s="715"/>
      <c r="K500" s="715"/>
      <c r="L500" s="715"/>
      <c r="M500" s="715"/>
      <c r="N500" s="715"/>
      <c r="O500" s="715"/>
      <c r="P500" s="715"/>
      <c r="Q500" s="715"/>
      <c r="R500" s="715"/>
      <c r="S500" s="715"/>
      <c r="T500" s="715"/>
      <c r="U500" s="715"/>
      <c r="V500" s="715"/>
      <c r="W500" s="715"/>
      <c r="X500" s="715"/>
      <c r="Y500" s="715"/>
      <c r="Z500" s="715"/>
    </row>
    <row r="501" spans="10:26" s="1739" customFormat="1" ht="21.75" customHeight="1">
      <c r="J501" s="715"/>
      <c r="K501" s="715"/>
      <c r="L501" s="715"/>
      <c r="M501" s="715"/>
      <c r="N501" s="715"/>
      <c r="O501" s="715"/>
      <c r="P501" s="715"/>
      <c r="Q501" s="715"/>
      <c r="R501" s="715"/>
      <c r="S501" s="715"/>
      <c r="T501" s="715"/>
      <c r="U501" s="715"/>
      <c r="V501" s="715"/>
      <c r="W501" s="715"/>
      <c r="X501" s="715"/>
      <c r="Y501" s="715"/>
      <c r="Z501" s="715"/>
    </row>
    <row r="502" spans="10:26" s="1739" customFormat="1" ht="21.75" customHeight="1">
      <c r="J502" s="715"/>
      <c r="K502" s="715"/>
      <c r="L502" s="715"/>
      <c r="M502" s="715"/>
      <c r="N502" s="715"/>
      <c r="O502" s="715"/>
      <c r="P502" s="715"/>
      <c r="Q502" s="715"/>
      <c r="R502" s="715"/>
      <c r="S502" s="715"/>
      <c r="T502" s="715"/>
      <c r="U502" s="715"/>
      <c r="V502" s="715"/>
      <c r="W502" s="715"/>
      <c r="X502" s="715"/>
      <c r="Y502" s="715"/>
      <c r="Z502" s="715"/>
    </row>
    <row r="503" spans="10:26" s="1739" customFormat="1" ht="21.75" customHeight="1">
      <c r="J503" s="715"/>
      <c r="K503" s="715"/>
      <c r="L503" s="715"/>
      <c r="M503" s="715"/>
      <c r="N503" s="715"/>
      <c r="O503" s="715"/>
      <c r="P503" s="715"/>
      <c r="Q503" s="715"/>
      <c r="R503" s="715"/>
      <c r="S503" s="715"/>
      <c r="T503" s="715"/>
      <c r="U503" s="715"/>
      <c r="V503" s="715"/>
      <c r="W503" s="715"/>
      <c r="X503" s="715"/>
      <c r="Y503" s="715"/>
      <c r="Z503" s="715"/>
    </row>
    <row r="504" spans="10:26" s="1739" customFormat="1" ht="21.75" customHeight="1">
      <c r="J504" s="715"/>
      <c r="K504" s="715"/>
      <c r="L504" s="715"/>
      <c r="M504" s="715"/>
      <c r="N504" s="715"/>
      <c r="O504" s="715"/>
      <c r="P504" s="715"/>
      <c r="Q504" s="715"/>
      <c r="R504" s="715"/>
      <c r="S504" s="715"/>
      <c r="T504" s="715"/>
      <c r="U504" s="715"/>
      <c r="V504" s="715"/>
      <c r="W504" s="715"/>
      <c r="X504" s="715"/>
      <c r="Y504" s="715"/>
      <c r="Z504" s="715"/>
    </row>
    <row r="505" spans="10:26" s="1739" customFormat="1" ht="21.75" customHeight="1">
      <c r="J505" s="715"/>
      <c r="K505" s="715"/>
      <c r="L505" s="715"/>
      <c r="M505" s="715"/>
      <c r="N505" s="715"/>
      <c r="O505" s="715"/>
      <c r="P505" s="715"/>
      <c r="Q505" s="715"/>
      <c r="R505" s="715"/>
      <c r="S505" s="715"/>
      <c r="T505" s="715"/>
      <c r="U505" s="715"/>
      <c r="V505" s="715"/>
      <c r="W505" s="715"/>
      <c r="X505" s="715"/>
      <c r="Y505" s="715"/>
      <c r="Z505" s="715"/>
    </row>
    <row r="506" spans="10:26" s="1739" customFormat="1" ht="21.75" customHeight="1">
      <c r="J506" s="715"/>
      <c r="K506" s="715"/>
      <c r="L506" s="715"/>
      <c r="M506" s="715"/>
      <c r="N506" s="715"/>
      <c r="O506" s="715"/>
      <c r="P506" s="715"/>
      <c r="Q506" s="715"/>
      <c r="R506" s="715"/>
      <c r="S506" s="715"/>
      <c r="T506" s="715"/>
      <c r="U506" s="715"/>
      <c r="V506" s="715"/>
      <c r="W506" s="715"/>
      <c r="X506" s="715"/>
      <c r="Y506" s="715"/>
      <c r="Z506" s="715"/>
    </row>
    <row r="507" spans="10:26" s="1739" customFormat="1" ht="21.75" customHeight="1">
      <c r="J507" s="715"/>
      <c r="K507" s="715"/>
      <c r="L507" s="715"/>
      <c r="M507" s="715"/>
      <c r="N507" s="715"/>
      <c r="O507" s="715"/>
      <c r="P507" s="715"/>
      <c r="Q507" s="715"/>
      <c r="R507" s="715"/>
      <c r="S507" s="715"/>
      <c r="T507" s="715"/>
      <c r="U507" s="715"/>
      <c r="V507" s="715"/>
      <c r="W507" s="715"/>
      <c r="X507" s="715"/>
      <c r="Y507" s="715"/>
      <c r="Z507" s="715"/>
    </row>
    <row r="508" spans="10:26" s="1739" customFormat="1" ht="21.75" customHeight="1">
      <c r="J508" s="715"/>
      <c r="K508" s="715"/>
      <c r="L508" s="715"/>
      <c r="M508" s="715"/>
      <c r="N508" s="715"/>
      <c r="O508" s="715"/>
      <c r="P508" s="715"/>
      <c r="Q508" s="715"/>
      <c r="R508" s="715"/>
      <c r="S508" s="715"/>
      <c r="T508" s="715"/>
      <c r="U508" s="715"/>
      <c r="V508" s="715"/>
      <c r="W508" s="715"/>
      <c r="X508" s="715"/>
      <c r="Y508" s="715"/>
      <c r="Z508" s="715"/>
    </row>
    <row r="509" spans="10:26" s="1739" customFormat="1" ht="21.75" customHeight="1">
      <c r="J509" s="715"/>
      <c r="K509" s="715"/>
      <c r="L509" s="715"/>
      <c r="M509" s="715"/>
      <c r="N509" s="715"/>
      <c r="O509" s="715"/>
      <c r="P509" s="715"/>
      <c r="Q509" s="715"/>
      <c r="R509" s="715"/>
      <c r="S509" s="715"/>
      <c r="T509" s="715"/>
      <c r="U509" s="715"/>
      <c r="V509" s="715"/>
      <c r="W509" s="715"/>
      <c r="X509" s="715"/>
      <c r="Y509" s="715"/>
      <c r="Z509" s="715"/>
    </row>
    <row r="510" spans="10:26" s="1739" customFormat="1" ht="21.75" customHeight="1">
      <c r="J510" s="715"/>
      <c r="K510" s="715"/>
      <c r="L510" s="715"/>
      <c r="M510" s="715"/>
      <c r="N510" s="715"/>
      <c r="O510" s="715"/>
      <c r="P510" s="715"/>
      <c r="Q510" s="715"/>
      <c r="R510" s="715"/>
      <c r="S510" s="715"/>
      <c r="T510" s="715"/>
      <c r="U510" s="715"/>
      <c r="V510" s="715"/>
      <c r="W510" s="715"/>
      <c r="X510" s="715"/>
      <c r="Y510" s="715"/>
      <c r="Z510" s="715"/>
    </row>
    <row r="511" spans="10:26" s="1739" customFormat="1" ht="21.75" customHeight="1">
      <c r="J511" s="715"/>
      <c r="K511" s="715"/>
      <c r="L511" s="715"/>
      <c r="M511" s="715"/>
      <c r="N511" s="715"/>
      <c r="O511" s="715"/>
      <c r="P511" s="715"/>
      <c r="Q511" s="715"/>
      <c r="R511" s="715"/>
      <c r="S511" s="715"/>
      <c r="T511" s="715"/>
      <c r="U511" s="715"/>
      <c r="V511" s="715"/>
      <c r="W511" s="715"/>
      <c r="X511" s="715"/>
      <c r="Y511" s="715"/>
      <c r="Z511" s="715"/>
    </row>
    <row r="512" spans="10:26" s="1739" customFormat="1" ht="21.75" customHeight="1">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9" s="195" customFormat="1" ht="21">
      <c r="A1" s="191" t="s">
        <v>1461</v>
      </c>
      <c r="B1" s="1457"/>
      <c r="C1" s="193"/>
      <c r="D1" s="193"/>
      <c r="E1" s="193"/>
      <c r="F1" s="193"/>
      <c r="G1" s="1116">
        <f>MATCH(B1,'数据-取费表'!A6:A16,0)+5</f>
        <v>7</v>
      </c>
    </row>
    <row r="2" spans="1:9" s="195" customFormat="1" ht="18" customHeight="1">
      <c r="A2" s="196" t="s">
        <v>1462</v>
      </c>
      <c r="B2" s="197">
        <f ca="1">IF(D2="——",C52,C52-E2)</f>
        <v>29</v>
      </c>
      <c r="C2" s="194" t="s">
        <v>1463</v>
      </c>
      <c r="D2" s="1830" t="s">
        <v>43</v>
      </c>
      <c r="E2" s="1156" t="e">
        <f ca="1">SUMIF(INDIRECT("'"&amp;G2&amp;"'"&amp;"!A:A"),"承租人权益价值",INDIRECT("'"&amp;G2&amp;"'"&amp;"!c:c"))</f>
        <v>#REF!</v>
      </c>
      <c r="F2" s="1831" t="s">
        <v>1463</v>
      </c>
      <c r="G2" s="1832"/>
    </row>
    <row r="3" spans="1:9" s="195" customFormat="1" ht="18" customHeight="1" thickBot="1">
      <c r="A3" s="198" t="s">
        <v>1464</v>
      </c>
      <c r="B3" s="199">
        <f ca="1">ROUND(B2*10000/(IF(B1="",'数据-汇总表'!E3,INDIRECT("'数据-取费表'!k"&amp;$G$1))),0)</f>
        <v>3267</v>
      </c>
      <c r="C3" s="194" t="s">
        <v>1465</v>
      </c>
      <c r="D3" s="194"/>
      <c r="E3" s="194"/>
      <c r="F3" s="194"/>
      <c r="G3" s="194"/>
    </row>
    <row r="4" spans="1:9" s="203" customFormat="1" ht="16.2">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68" t="s">
        <v>1472</v>
      </c>
      <c r="B6" s="210" t="s">
        <v>1473</v>
      </c>
      <c r="C6" s="211"/>
      <c r="D6" s="212"/>
      <c r="E6" s="213"/>
      <c r="F6" s="213"/>
      <c r="G6" s="214"/>
    </row>
    <row r="7" spans="1:9" s="209" customFormat="1" ht="13.5" customHeight="1">
      <c r="A7" s="768" t="s">
        <v>1474</v>
      </c>
      <c r="B7" s="210" t="s">
        <v>1475</v>
      </c>
      <c r="C7" s="215">
        <f>ROUND(C6*F7,0)</f>
        <v>0</v>
      </c>
      <c r="D7" s="215"/>
      <c r="E7" s="213"/>
      <c r="F7" s="216">
        <f>IF(项目基本情况!B8="出让",0,'数据-取费表'!B48+'数据-取费表'!B49)</f>
        <v>3.0499999999999999E-2</v>
      </c>
      <c r="G7" s="214"/>
    </row>
    <row r="8" spans="1:9" s="218" customFormat="1">
      <c r="A8" s="768" t="s">
        <v>1476</v>
      </c>
      <c r="B8" s="210" t="s">
        <v>1477</v>
      </c>
      <c r="C8" s="215">
        <f>IF(G8="已包含在土地购买价格中","0",IF(B1="",'数据-取费表'!B29,IF(G9="全部缴纳",C9+C10,H9)))</f>
        <v>0</v>
      </c>
      <c r="D8" s="217"/>
      <c r="E8" s="215"/>
      <c r="F8" s="216"/>
      <c r="G8" s="1833"/>
    </row>
    <row r="9" spans="1:9" s="209" customFormat="1" ht="13.5" customHeight="1">
      <c r="A9" s="769" t="s">
        <v>355</v>
      </c>
      <c r="B9" s="219" t="s">
        <v>1478</v>
      </c>
      <c r="C9" s="220">
        <f ca="1">ROUND(D9*E9/10000,0)</f>
        <v>1</v>
      </c>
      <c r="D9" s="835">
        <f ca="1">IF(B1="",'数据-汇总表'!E5,IF(INDIRECT("'数据-取费表'!c"&amp;$G$1)="住宅",INDIRECT("'数据-取费表'!k"&amp;$G$1),0))</f>
        <v>88.78</v>
      </c>
      <c r="E9" s="220">
        <f>'数据-取费表'!B27</f>
        <v>160</v>
      </c>
      <c r="F9" s="216"/>
      <c r="G9" s="1834"/>
      <c r="H9" s="1125"/>
      <c r="I9" s="1835" t="s">
        <v>1479</v>
      </c>
    </row>
    <row r="10" spans="1:9" s="209" customFormat="1" ht="13.5" customHeight="1">
      <c r="A10" s="769" t="s">
        <v>356</v>
      </c>
      <c r="B10" s="219" t="s">
        <v>1480</v>
      </c>
      <c r="C10" s="220">
        <f ca="1">ROUND(D10*E10/10000,0)</f>
        <v>0</v>
      </c>
      <c r="D10" s="835">
        <f ca="1">IF(B1="",'数据-汇总表'!E6,IF(INDIRECT("'数据-取费表'!c"&amp;$G$1)="住宅",INDIRECT("'数据-取费表'!s"&amp;$G$1),INDIRECT("'数据-取费表'!k"&amp;$G$1)+INDIRECT("'数据-取费表'!s"&amp;$G$1)))</f>
        <v>0</v>
      </c>
      <c r="E10" s="220">
        <f>'数据-取费表'!B28</f>
        <v>200</v>
      </c>
      <c r="F10" s="216"/>
      <c r="G10" s="221"/>
    </row>
    <row r="11" spans="1:9" s="209" customFormat="1" ht="13.5" hidden="1" customHeight="1">
      <c r="A11" s="222" t="s">
        <v>4</v>
      </c>
      <c r="B11" s="210" t="s">
        <v>1481</v>
      </c>
      <c r="C11" s="206"/>
      <c r="D11" s="837"/>
      <c r="E11" s="213"/>
      <c r="F11" s="213"/>
      <c r="G11" s="214"/>
    </row>
    <row r="12" spans="1:9" s="209" customFormat="1" ht="13.5" hidden="1" customHeight="1">
      <c r="A12" s="222" t="s">
        <v>5</v>
      </c>
      <c r="B12" s="210" t="s">
        <v>1482</v>
      </c>
      <c r="C12" s="206">
        <v>0</v>
      </c>
      <c r="D12" s="837"/>
      <c r="E12" s="223"/>
      <c r="F12" s="216">
        <v>3.0499999999999999E-2</v>
      </c>
      <c r="G12" s="214"/>
    </row>
    <row r="13" spans="1:9" s="209" customFormat="1" ht="13.5" hidden="1" customHeight="1">
      <c r="A13" s="222" t="s">
        <v>6</v>
      </c>
      <c r="B13" s="210" t="s">
        <v>1483</v>
      </c>
      <c r="C13" s="206"/>
      <c r="D13" s="837"/>
      <c r="E13" s="213"/>
      <c r="F13" s="213"/>
      <c r="G13" s="214"/>
    </row>
    <row r="14" spans="1:9" s="209" customFormat="1" ht="13.5" hidden="1" customHeight="1">
      <c r="A14" s="222" t="s">
        <v>7</v>
      </c>
      <c r="B14" s="210" t="s">
        <v>1484</v>
      </c>
      <c r="C14" s="206"/>
      <c r="D14" s="837"/>
      <c r="E14" s="213"/>
      <c r="F14" s="213"/>
      <c r="G14" s="214" t="s">
        <v>1485</v>
      </c>
    </row>
    <row r="15" spans="1:9" s="209" customFormat="1" ht="13.5" hidden="1" customHeight="1">
      <c r="A15" s="222" t="s">
        <v>8</v>
      </c>
      <c r="B15" s="210" t="s">
        <v>1486</v>
      </c>
      <c r="C15" s="215"/>
      <c r="D15" s="837"/>
      <c r="E15" s="213"/>
      <c r="F15" s="213"/>
      <c r="G15" s="214" t="s">
        <v>1487</v>
      </c>
    </row>
    <row r="16" spans="1:9" s="209" customFormat="1" ht="13.5" hidden="1" customHeight="1">
      <c r="A16" s="222" t="s">
        <v>9</v>
      </c>
      <c r="B16" s="210" t="s">
        <v>1484</v>
      </c>
      <c r="C16" s="215"/>
      <c r="D16" s="837"/>
      <c r="E16" s="213"/>
      <c r="F16" s="213"/>
      <c r="G16" s="214"/>
    </row>
    <row r="17" spans="1:7" s="209" customFormat="1" ht="13.5" hidden="1" customHeight="1">
      <c r="A17" s="222" t="s">
        <v>10</v>
      </c>
      <c r="B17" s="210" t="s">
        <v>1488</v>
      </c>
      <c r="C17" s="224"/>
      <c r="D17" s="838"/>
      <c r="E17" s="224"/>
      <c r="F17" s="224"/>
      <c r="G17" s="214" t="s">
        <v>1487</v>
      </c>
    </row>
    <row r="18" spans="1:7" s="209" customFormat="1" ht="13.5" hidden="1" customHeight="1">
      <c r="A18" s="222" t="s">
        <v>11</v>
      </c>
      <c r="B18" s="210" t="s">
        <v>1489</v>
      </c>
      <c r="C18" s="215">
        <v>0</v>
      </c>
      <c r="D18" s="837"/>
      <c r="E18" s="213"/>
      <c r="F18" s="216">
        <v>3.0499999999999999E-2</v>
      </c>
      <c r="G18" s="214" t="s">
        <v>1490</v>
      </c>
    </row>
    <row r="19" spans="1:7" s="218" customFormat="1" ht="13.5" customHeight="1">
      <c r="A19" s="250" t="s">
        <v>1491</v>
      </c>
      <c r="B19" s="205" t="s">
        <v>1492</v>
      </c>
      <c r="C19" s="206">
        <f ca="1">IF(G19="已包含在土地取得成本中","0",ROUND(D19*E19/10000,0))</f>
        <v>2</v>
      </c>
      <c r="D19" s="839">
        <f ca="1">D9+D10</f>
        <v>88.78</v>
      </c>
      <c r="E19" s="206">
        <f>'数据-取费表'!B31</f>
        <v>200</v>
      </c>
      <c r="F19" s="226"/>
      <c r="G19" s="1833"/>
    </row>
    <row r="20" spans="1:7" s="209" customFormat="1" ht="13.5" customHeight="1">
      <c r="A20" s="250" t="s">
        <v>1493</v>
      </c>
      <c r="B20" s="205" t="s">
        <v>1494</v>
      </c>
      <c r="C20" s="227">
        <f ca="1">ROUND((C5+C19)*F20,0)</f>
        <v>0</v>
      </c>
      <c r="D20" s="227"/>
      <c r="E20" s="227"/>
      <c r="F20" s="228">
        <f>'数据-取费表'!B37</f>
        <v>0.01</v>
      </c>
      <c r="G20" s="229" t="s">
        <v>1495</v>
      </c>
    </row>
    <row r="21" spans="1:7" s="209" customFormat="1" ht="13.5" customHeight="1">
      <c r="A21" s="250" t="s">
        <v>1496</v>
      </c>
      <c r="B21" s="205" t="s">
        <v>1497</v>
      </c>
      <c r="C21" s="230">
        <f>F21</f>
        <v>0.01</v>
      </c>
      <c r="D21" s="231" t="s">
        <v>1498</v>
      </c>
      <c r="E21" s="227"/>
      <c r="F21" s="228">
        <f>'数据-取费表'!B38</f>
        <v>0.01</v>
      </c>
      <c r="G21" s="229" t="s">
        <v>1499</v>
      </c>
    </row>
    <row r="22" spans="1:7" s="209" customFormat="1" ht="13.5" customHeight="1">
      <c r="A22" s="250" t="s">
        <v>1500</v>
      </c>
      <c r="B22" s="205" t="s">
        <v>1501</v>
      </c>
      <c r="C22" s="1094">
        <f ca="1">ROUND(SUM(C23:C25),0)</f>
        <v>0</v>
      </c>
      <c r="D22" s="230">
        <f ca="1">C26</f>
        <v>5.0000000000000001E-4</v>
      </c>
      <c r="E22" s="231" t="s">
        <v>1498</v>
      </c>
      <c r="F22" s="232">
        <f ca="1">'数据-取费表'!B40</f>
        <v>5.4900000000000004E-2</v>
      </c>
      <c r="G22" s="229" t="str">
        <f>IF('数据-取费表'!B22&lt;=1,"单利计息","复利计息")</f>
        <v>复利计息</v>
      </c>
    </row>
    <row r="23" spans="1:7" s="209" customFormat="1" ht="13.5" customHeight="1">
      <c r="A23" s="770" t="s">
        <v>1502</v>
      </c>
      <c r="B23" s="210" t="s">
        <v>1503</v>
      </c>
      <c r="C23" s="1095">
        <f ca="1">ROUND(IF('数据-取费表'!B22&lt;=1,C5*F22*'数据-取费表'!B23,C5*(POWER((1+F22),'数据-取费表'!B23)-1)),0)</f>
        <v>0</v>
      </c>
      <c r="D23" s="233"/>
      <c r="E23" s="233"/>
      <c r="F23" s="234"/>
      <c r="G23" s="235" t="s">
        <v>1504</v>
      </c>
    </row>
    <row r="24" spans="1:7" s="209" customFormat="1" ht="13.5" customHeight="1">
      <c r="A24" s="770" t="s">
        <v>1505</v>
      </c>
      <c r="B24" s="210" t="s">
        <v>1506</v>
      </c>
      <c r="C24" s="1095">
        <f ca="1">ROUND(IF('数据-取费表'!B22&lt;=1,C19*F22*('数据-取费表'!B19/2+'数据-取费表'!B21),C19*(POWER((1+F22),('数据-取费表'!B19/2+'数据-取费表'!B21))-1)),0)</f>
        <v>0</v>
      </c>
      <c r="D24" s="233"/>
      <c r="E24" s="233"/>
      <c r="F24" s="234"/>
      <c r="G24" s="235" t="s">
        <v>1507</v>
      </c>
    </row>
    <row r="25" spans="1:7" s="209" customFormat="1" ht="24">
      <c r="A25" s="770" t="s">
        <v>1508</v>
      </c>
      <c r="B25" s="210" t="s">
        <v>1509</v>
      </c>
      <c r="C25" s="1095">
        <f ca="1">ROUND(IF('数据-取费表'!B22&lt;=1,C20*F22*'数据-取费表'!B23/2,C20*(POWER((1+F22),'数据-取费表'!B23/2)-1)),0)</f>
        <v>0</v>
      </c>
      <c r="D25" s="233"/>
      <c r="E25" s="236"/>
      <c r="F25" s="234"/>
      <c r="G25" s="237" t="s">
        <v>1510</v>
      </c>
    </row>
    <row r="26" spans="1:7" s="209" customFormat="1">
      <c r="A26" s="770" t="s">
        <v>350</v>
      </c>
      <c r="B26" s="210" t="s">
        <v>1511</v>
      </c>
      <c r="C26" s="233">
        <f ca="1">ROUND(IF('数据-取费表'!B22&lt;=1,F21*F22*'数据-取费表'!B23/2,F21*(POWER((1+F22),'数据-取费表'!B23/2)-1)),4)</f>
        <v>5.0000000000000001E-4</v>
      </c>
      <c r="D26" s="233"/>
      <c r="E26" s="236"/>
      <c r="F26" s="234"/>
      <c r="G26" s="238"/>
    </row>
    <row r="27" spans="1:7" s="209" customFormat="1" ht="26.4">
      <c r="A27" s="250" t="s">
        <v>1512</v>
      </c>
      <c r="B27" s="239" t="s">
        <v>1513</v>
      </c>
      <c r="C27" s="240">
        <f ca="1">C28</f>
        <v>0</v>
      </c>
      <c r="D27" s="230">
        <f ca="1">C29</f>
        <v>1.1999999999999999E-3</v>
      </c>
      <c r="E27" s="231" t="s">
        <v>1514</v>
      </c>
      <c r="F27" s="241">
        <f ca="1">IF(B1="",'数据-取费表'!Q16,INDIRECT("'数据-取费表'!q"&amp;$G$1))</f>
        <v>0.12</v>
      </c>
      <c r="G27" s="242" t="s">
        <v>1515</v>
      </c>
    </row>
    <row r="28" spans="1:7" s="209" customFormat="1" ht="13.5" customHeight="1">
      <c r="A28" s="770" t="s">
        <v>346</v>
      </c>
      <c r="B28" s="243" t="s">
        <v>1516</v>
      </c>
      <c r="C28" s="244">
        <f ca="1">ROUND((C5+C19+C20)*F27*'数据-取费表'!B21/'数据-取费表'!B20,0)</f>
        <v>0</v>
      </c>
      <c r="D28" s="230"/>
      <c r="E28" s="231"/>
      <c r="F28" s="241"/>
      <c r="G28" s="242"/>
    </row>
    <row r="29" spans="1:7" s="209" customFormat="1" ht="13.5" customHeight="1">
      <c r="A29" s="770" t="s">
        <v>347</v>
      </c>
      <c r="B29" s="243" t="s">
        <v>1517</v>
      </c>
      <c r="C29" s="233">
        <f ca="1">ROUND(C21*F27*'数据-取费表'!B21/'数据-取费表'!B20,4)</f>
        <v>1.1999999999999999E-3</v>
      </c>
      <c r="D29" s="230"/>
      <c r="E29" s="231"/>
      <c r="F29" s="241"/>
      <c r="G29" s="242"/>
    </row>
    <row r="30" spans="1:7" s="209" customFormat="1" ht="13.5" customHeight="1">
      <c r="A30" s="250" t="s">
        <v>1518</v>
      </c>
      <c r="B30" s="205" t="s">
        <v>1519</v>
      </c>
      <c r="C30" s="230">
        <f>ROUND(F30/(1+'数据-取费表'!C42),4)</f>
        <v>5.6000000000000001E-2</v>
      </c>
      <c r="D30" s="231" t="s">
        <v>1514</v>
      </c>
      <c r="E30" s="236"/>
      <c r="F30" s="232">
        <f>'数据-取费表'!B41</f>
        <v>5.6000000000000001E-2</v>
      </c>
      <c r="G30" s="229" t="s">
        <v>1520</v>
      </c>
    </row>
    <row r="31" spans="1:7" ht="16.5" customHeight="1">
      <c r="A31" s="204">
        <v>1</v>
      </c>
      <c r="B31" s="205" t="s">
        <v>1521</v>
      </c>
      <c r="C31" s="206">
        <f ca="1">ROUND((C5+C19+C20+C22+C27)/(1-C21-D22-D27-C30),0)</f>
        <v>2</v>
      </c>
      <c r="D31" s="225"/>
      <c r="E31" s="206"/>
      <c r="F31" s="245"/>
      <c r="G31" s="229" t="s">
        <v>1522</v>
      </c>
    </row>
    <row r="32" spans="1:7" s="203" customFormat="1" ht="16.2">
      <c r="A32" s="247" t="s">
        <v>1523</v>
      </c>
      <c r="B32" s="248"/>
      <c r="C32" s="248"/>
      <c r="D32" s="248"/>
      <c r="E32" s="248"/>
      <c r="F32" s="248"/>
      <c r="G32" s="249"/>
    </row>
    <row r="33" spans="1:7" s="209" customFormat="1" ht="13.5" customHeight="1">
      <c r="A33" s="250" t="s">
        <v>337</v>
      </c>
      <c r="B33" s="205" t="s">
        <v>1524</v>
      </c>
      <c r="C33" s="251">
        <f ca="1">SUM(C34:C38)</f>
        <v>22</v>
      </c>
      <c r="D33" s="227"/>
      <c r="E33" s="207"/>
      <c r="F33" s="236"/>
      <c r="G33" s="229"/>
    </row>
    <row r="34" spans="1:7" s="253" customFormat="1" ht="13.5" customHeight="1">
      <c r="A34" s="770" t="s">
        <v>346</v>
      </c>
      <c r="B34" s="210" t="s">
        <v>1525</v>
      </c>
      <c r="C34" s="215">
        <f ca="1">IF(B1="",IF(F34=100%,'数据-取费表'!M16,'数据-取费表'!O16),IF(F34=100%,INDIRECT("'数据-取费表'!m"&amp;$G$1)+INDIRECT("'数据-取费表'!t"&amp;$G$1),INDIRECT("'数据-取费表'!o"&amp;$G$1)+INDIRECT("'数据-取费表'!aq"&amp;$G$1)))</f>
        <v>18</v>
      </c>
      <c r="D34" s="212"/>
      <c r="E34" s="215"/>
      <c r="F34" s="252">
        <f ca="1">IF('数据-取费表'!B24=0,1,IF(B1="",'数据-取费表'!N16,INDIRECT("'数据-取费表'!n"&amp;$G$1)))</f>
        <v>1</v>
      </c>
      <c r="G34" s="214" t="s">
        <v>1526</v>
      </c>
    </row>
    <row r="35" spans="1:7" ht="13.5" customHeight="1">
      <c r="A35" s="770" t="s">
        <v>351</v>
      </c>
      <c r="B35" s="210" t="s">
        <v>1527</v>
      </c>
      <c r="C35" s="215">
        <f ca="1">ROUND(C34*F35,0)</f>
        <v>1</v>
      </c>
      <c r="D35" s="215"/>
      <c r="E35" s="215"/>
      <c r="F35" s="254">
        <f>'数据-取费表'!B33</f>
        <v>0.03</v>
      </c>
      <c r="G35" s="214" t="s">
        <v>1528</v>
      </c>
    </row>
    <row r="36" spans="1:7" ht="24">
      <c r="A36" s="770" t="s">
        <v>352</v>
      </c>
      <c r="B36" s="210" t="s">
        <v>1529</v>
      </c>
      <c r="C36" s="215">
        <f ca="1">ROUND(IF(B1="",SUMIF('数据-取费表'!C:C,"住宅",IF(F34=100%,'数据-取费表'!M:M,'数据-取费表'!O:O))*F36,IF(INDIRECT("'数据-取费表'!c"&amp;$G$1)="住宅",IF(F34=100%,INDIRECT("'数据-取费表'!m"&amp;$G$1)*F36,INDIRECT("'数据-取费表'!o"&amp;$G$1)*F36),0)),0)</f>
        <v>1</v>
      </c>
      <c r="D36" s="215"/>
      <c r="E36" s="215"/>
      <c r="F36" s="254">
        <f>'数据-取费表'!B34</f>
        <v>0.05</v>
      </c>
      <c r="G36" s="255" t="s">
        <v>1530</v>
      </c>
    </row>
    <row r="37" spans="1:7" s="253" customFormat="1" ht="13.5" customHeight="1">
      <c r="A37" s="770" t="s">
        <v>353</v>
      </c>
      <c r="B37" s="210" t="s">
        <v>1531</v>
      </c>
      <c r="C37" s="244">
        <f ca="1">ROUND(E37*D37*F34/10000,0)</f>
        <v>2</v>
      </c>
      <c r="D37" s="212">
        <f ca="1">D19</f>
        <v>88.78</v>
      </c>
      <c r="E37" s="244">
        <f>'数据-取费表'!B35</f>
        <v>200</v>
      </c>
      <c r="F37" s="254"/>
      <c r="G37" s="256" t="s">
        <v>1532</v>
      </c>
    </row>
    <row r="38" spans="1:7" ht="13.5" customHeight="1">
      <c r="A38" s="770" t="s">
        <v>354</v>
      </c>
      <c r="B38" s="210" t="s">
        <v>1533</v>
      </c>
      <c r="C38" s="215">
        <f ca="1">ROUND(C34*F38,0)</f>
        <v>0</v>
      </c>
      <c r="D38" s="215"/>
      <c r="E38" s="215"/>
      <c r="F38" s="254">
        <f>'数据-取费表'!B36</f>
        <v>1.4999999999999999E-2</v>
      </c>
      <c r="G38" s="214" t="s">
        <v>1528</v>
      </c>
    </row>
    <row r="39" spans="1:7" s="209" customFormat="1" ht="13.5" customHeight="1">
      <c r="A39" s="250" t="s">
        <v>1534</v>
      </c>
      <c r="B39" s="205" t="s">
        <v>1535</v>
      </c>
      <c r="C39" s="227">
        <f ca="1">ROUND(C33*F20,0)</f>
        <v>0</v>
      </c>
      <c r="D39" s="227"/>
      <c r="E39" s="227"/>
      <c r="F39" s="228">
        <f>F20</f>
        <v>0.01</v>
      </c>
      <c r="G39" s="229" t="s">
        <v>1536</v>
      </c>
    </row>
    <row r="40" spans="1:7" s="209" customFormat="1" ht="13.5" customHeight="1">
      <c r="A40" s="250" t="s">
        <v>1537</v>
      </c>
      <c r="B40" s="205" t="s">
        <v>1538</v>
      </c>
      <c r="C40" s="1314">
        <f>F21</f>
        <v>0.01</v>
      </c>
      <c r="D40" s="231" t="s">
        <v>1539</v>
      </c>
      <c r="E40" s="227"/>
      <c r="F40" s="228">
        <f>F21</f>
        <v>0.01</v>
      </c>
      <c r="G40" s="229" t="s">
        <v>1540</v>
      </c>
    </row>
    <row r="41" spans="1:7" s="209" customFormat="1" ht="13.5" customHeight="1">
      <c r="A41" s="250" t="s">
        <v>1541</v>
      </c>
      <c r="B41" s="205" t="s">
        <v>1542</v>
      </c>
      <c r="C41" s="227">
        <f ca="1">ROUND(SUM(C42:C43),0)</f>
        <v>1</v>
      </c>
      <c r="D41" s="230">
        <f ca="1">C44</f>
        <v>5.0000000000000001E-4</v>
      </c>
      <c r="E41" s="231" t="s">
        <v>1539</v>
      </c>
      <c r="F41" s="232">
        <f ca="1">F22</f>
        <v>5.4900000000000004E-2</v>
      </c>
      <c r="G41" s="229" t="str">
        <f>IF('数据-取费表'!B22&lt;=1,"单利计息","复利计息")</f>
        <v>复利计息</v>
      </c>
    </row>
    <row r="42" spans="1:7" ht="13.5" customHeight="1">
      <c r="A42" s="770" t="s">
        <v>346</v>
      </c>
      <c r="B42" s="210" t="s">
        <v>1543</v>
      </c>
      <c r="C42" s="233">
        <f ca="1">ROUND(IF('数据-取费表'!B22&lt;=1,C33*F22*'数据-取费表'!B21/2,C33*(POWER((1+F22),'数据-取费表'!B21/2)-1)),0)</f>
        <v>1</v>
      </c>
      <c r="D42" s="233"/>
      <c r="E42" s="233"/>
      <c r="F42" s="234"/>
      <c r="G42" s="4134" t="s">
        <v>1544</v>
      </c>
    </row>
    <row r="43" spans="1:7" ht="13.5" customHeight="1">
      <c r="A43" s="770" t="s">
        <v>347</v>
      </c>
      <c r="B43" s="210" t="s">
        <v>1545</v>
      </c>
      <c r="C43" s="233">
        <f ca="1">ROUND(IF('数据-取费表'!B22&lt;=1,C39*F22*'数据-取费表'!B21/2,C39*(POWER((1+F22),'数据-取费表'!B21/2)-1)),0)</f>
        <v>0</v>
      </c>
      <c r="D43" s="233"/>
      <c r="E43" s="233"/>
      <c r="F43" s="234"/>
      <c r="G43" s="4135"/>
    </row>
    <row r="44" spans="1:7" ht="13.5" customHeight="1">
      <c r="A44" s="770" t="s">
        <v>348</v>
      </c>
      <c r="B44" s="210" t="s">
        <v>1546</v>
      </c>
      <c r="C44" s="233">
        <f ca="1">ROUND(IF('数据-取费表'!B22&lt;=1,C40*F22*'数据-取费表'!B21/2,C40*(POWER((1+F22),'数据-取费表'!B21/2)-1)),4)</f>
        <v>5.0000000000000001E-4</v>
      </c>
      <c r="D44" s="233"/>
      <c r="E44" s="233"/>
      <c r="F44" s="234"/>
      <c r="G44" s="4136"/>
    </row>
    <row r="45" spans="1:7" s="209" customFormat="1" ht="13.5" customHeight="1">
      <c r="A45" s="250" t="s">
        <v>1547</v>
      </c>
      <c r="B45" s="239" t="s">
        <v>1513</v>
      </c>
      <c r="C45" s="240">
        <f ca="1">C46</f>
        <v>3</v>
      </c>
      <c r="D45" s="230">
        <f ca="1">C47</f>
        <v>1.1999999999999999E-3</v>
      </c>
      <c r="E45" s="231" t="s">
        <v>1539</v>
      </c>
      <c r="F45" s="241">
        <f ca="1">F27</f>
        <v>0.12</v>
      </c>
      <c r="G45" s="242" t="s">
        <v>1548</v>
      </c>
    </row>
    <row r="46" spans="1:7" s="209" customFormat="1" ht="13.5" customHeight="1">
      <c r="A46" s="770" t="s">
        <v>346</v>
      </c>
      <c r="B46" s="243" t="s">
        <v>1549</v>
      </c>
      <c r="C46" s="244">
        <f ca="1">ROUND((C33+C39)*F27,0)</f>
        <v>3</v>
      </c>
      <c r="D46" s="258"/>
      <c r="E46" s="231"/>
      <c r="F46" s="241"/>
      <c r="G46" s="242"/>
    </row>
    <row r="47" spans="1:7" s="209" customFormat="1" ht="13.5" customHeight="1">
      <c r="A47" s="770" t="s">
        <v>347</v>
      </c>
      <c r="B47" s="243" t="s">
        <v>1550</v>
      </c>
      <c r="C47" s="233">
        <f ca="1">ROUND(C40*F27,4)</f>
        <v>1.1999999999999999E-3</v>
      </c>
      <c r="D47" s="258"/>
      <c r="E47" s="231"/>
      <c r="F47" s="241"/>
      <c r="G47" s="242"/>
    </row>
    <row r="48" spans="1:7" s="209" customFormat="1" ht="13.5" customHeight="1">
      <c r="A48" s="250" t="s">
        <v>1512</v>
      </c>
      <c r="B48" s="205" t="s">
        <v>1551</v>
      </c>
      <c r="C48" s="1314">
        <f>ROUND(F30/(1+'数据-取费表'!C42),4)</f>
        <v>5.6000000000000001E-2</v>
      </c>
      <c r="D48" s="231" t="s">
        <v>1539</v>
      </c>
      <c r="E48" s="227"/>
      <c r="F48" s="232">
        <f>F30</f>
        <v>5.6000000000000001E-2</v>
      </c>
      <c r="G48" s="229" t="s">
        <v>1552</v>
      </c>
    </row>
    <row r="49" spans="1:7" ht="16.5" customHeight="1">
      <c r="A49" s="250" t="s">
        <v>1518</v>
      </c>
      <c r="B49" s="205" t="s">
        <v>1553</v>
      </c>
      <c r="C49" s="227">
        <f ca="1">ROUND((C33+C39+C41+C45)/(1-C40-D41-D45-C48),0)</f>
        <v>28</v>
      </c>
      <c r="D49" s="227"/>
      <c r="E49" s="227"/>
      <c r="F49" s="259"/>
      <c r="G49" s="229" t="s">
        <v>1554</v>
      </c>
    </row>
    <row r="50" spans="1:7" s="253" customFormat="1" ht="24">
      <c r="A50" s="250" t="s">
        <v>1555</v>
      </c>
      <c r="B50" s="205" t="s">
        <v>1556</v>
      </c>
      <c r="C50" s="227"/>
      <c r="D50" s="227"/>
      <c r="E50" s="227"/>
      <c r="F50" s="259">
        <f>IF('数据-取费表'!B24=0,'数据-取费表'!N16,1)</f>
        <v>0.95</v>
      </c>
      <c r="G50" s="242" t="s">
        <v>1557</v>
      </c>
    </row>
    <row r="51" spans="1:7" ht="16.5" customHeight="1">
      <c r="A51" s="250" t="s">
        <v>1558</v>
      </c>
      <c r="B51" s="205" t="s">
        <v>1559</v>
      </c>
      <c r="C51" s="227">
        <f ca="1">ROUND(C49*F50,0)</f>
        <v>27</v>
      </c>
      <c r="D51" s="227"/>
      <c r="E51" s="227"/>
      <c r="F51" s="259"/>
      <c r="G51" s="229" t="s">
        <v>1560</v>
      </c>
    </row>
    <row r="52" spans="1:7" s="203" customFormat="1" ht="16.8" thickBot="1">
      <c r="A52" s="260" t="s">
        <v>1561</v>
      </c>
      <c r="B52" s="261"/>
      <c r="C52" s="262">
        <f ca="1">C31+C51</f>
        <v>29</v>
      </c>
      <c r="D52" s="261"/>
      <c r="E52" s="261"/>
      <c r="F52" s="261"/>
      <c r="G52" s="263"/>
    </row>
    <row r="55" spans="1:7" ht="15">
      <c r="B55" s="265" t="s">
        <v>1562</v>
      </c>
      <c r="C55" s="266"/>
    </row>
    <row r="56" spans="1:7">
      <c r="B56" s="268" t="s">
        <v>802</v>
      </c>
      <c r="C56" s="270">
        <f ca="1">1-C57</f>
        <v>6.899999999999995E-2</v>
      </c>
    </row>
    <row r="57" spans="1:7">
      <c r="B57" s="268" t="s">
        <v>803</v>
      </c>
      <c r="C57" s="269">
        <f ca="1">ROUND(C51/C52,3)</f>
        <v>0.93100000000000005</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3" customWidth="1"/>
    <col min="2" max="9" width="10" style="833" customWidth="1"/>
    <col min="10" max="16384" width="9" style="833"/>
  </cols>
  <sheetData>
    <row r="36" spans="1:9">
      <c r="A36" s="832" t="s">
        <v>371</v>
      </c>
      <c r="B36" s="832" t="s">
        <v>372</v>
      </c>
    </row>
    <row r="37" spans="1:9" ht="27.75" customHeight="1">
      <c r="A37" s="832"/>
      <c r="B37" s="3950" t="str">
        <f>项目基本情况!B1</f>
        <v>北京市房地产市场价值预评估</v>
      </c>
      <c r="C37" s="3950"/>
      <c r="D37" s="3950"/>
      <c r="E37" s="3950"/>
      <c r="F37" s="3950"/>
      <c r="G37" s="3950"/>
      <c r="H37" s="3950"/>
      <c r="I37" s="3950"/>
    </row>
    <row r="38" spans="1:9">
      <c r="A38" s="834"/>
      <c r="B38" s="834"/>
    </row>
    <row r="39" spans="1:9">
      <c r="A39" s="832" t="s">
        <v>371</v>
      </c>
      <c r="B39" s="832" t="s">
        <v>373</v>
      </c>
    </row>
    <row r="40" spans="1:9">
      <c r="A40" s="832"/>
      <c r="B40" s="1461">
        <f>项目基本情况!B5</f>
        <v>0</v>
      </c>
    </row>
    <row r="41" spans="1:9">
      <c r="A41" s="832"/>
      <c r="B41" s="832"/>
    </row>
    <row r="42" spans="1:9">
      <c r="A42" s="832" t="s">
        <v>371</v>
      </c>
      <c r="B42" s="832" t="s">
        <v>374</v>
      </c>
    </row>
    <row r="43" spans="1:9">
      <c r="A43" s="832"/>
      <c r="B43" s="1461" t="s">
        <v>375</v>
      </c>
    </row>
    <row r="44" spans="1:9">
      <c r="A44" s="832"/>
      <c r="B44" s="832"/>
    </row>
    <row r="45" spans="1:9">
      <c r="A45" s="832" t="s">
        <v>371</v>
      </c>
      <c r="B45" s="832" t="s">
        <v>376</v>
      </c>
    </row>
    <row r="46" spans="1:9" s="832" customFormat="1">
      <c r="B46" s="1461" t="str">
        <f>项目基本情况!K4</f>
        <v>（注册号：0)、（注册号：0)</v>
      </c>
    </row>
    <row r="47" spans="1:9">
      <c r="A47" s="832"/>
      <c r="B47" s="832" t="str">
        <f>项目基本情况!K5</f>
        <v>（注册号：0)、（注册号：0)</v>
      </c>
    </row>
    <row r="48" spans="1:9">
      <c r="A48" s="832" t="s">
        <v>371</v>
      </c>
      <c r="B48" s="832" t="s">
        <v>377</v>
      </c>
    </row>
    <row r="49" spans="2:2">
      <c r="B49" s="1461"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8" width="10.77734375" style="246" customWidth="1"/>
    <col min="9" max="254" width="9" style="246" customWidth="1"/>
    <col min="255" max="16384" width="8.33203125" style="246"/>
  </cols>
  <sheetData>
    <row r="1" spans="1:8" s="195" customFormat="1" ht="21">
      <c r="A1" s="191" t="s">
        <v>1461</v>
      </c>
      <c r="B1" s="1457" t="s">
        <v>3390</v>
      </c>
      <c r="C1" s="1836" t="s">
        <v>1563</v>
      </c>
      <c r="D1" s="193"/>
      <c r="E1" s="193"/>
      <c r="F1" s="193"/>
      <c r="G1" s="1116">
        <f>MATCH(B1,'数据-取费表'!A6:A16,0)+5</f>
        <v>6</v>
      </c>
      <c r="H1" s="1051" t="str">
        <f>IF(ISERROR(FIND("住宅",B1)),"非住宅","住宅")</f>
        <v>住宅</v>
      </c>
    </row>
    <row r="2" spans="1:8" s="195" customFormat="1" ht="18" customHeight="1">
      <c r="A2" s="196" t="s">
        <v>1462</v>
      </c>
      <c r="B2" s="3395" t="e">
        <f ca="1">ROUND(IF(D2="——",C52/10000,C52/10000-E2),4)</f>
        <v>#REF!</v>
      </c>
      <c r="C2" s="194" t="s">
        <v>1463</v>
      </c>
      <c r="D2" s="1830" t="s">
        <v>43</v>
      </c>
      <c r="E2" s="1156" t="e">
        <f ca="1">SUMIF(INDIRECT("'"&amp;G2&amp;"'"&amp;"!A:A"),"承租人权益价值",INDIRECT("'"&amp;G2&amp;"'"&amp;"!c:c"))</f>
        <v>#REF!</v>
      </c>
      <c r="F2" s="1831" t="s">
        <v>1463</v>
      </c>
      <c r="G2" s="1832"/>
    </row>
    <row r="3" spans="1:8" s="195" customFormat="1" ht="18" customHeight="1" thickBot="1">
      <c r="A3" s="198" t="s">
        <v>1464</v>
      </c>
      <c r="B3" s="3718" t="e">
        <f ca="1">ROUND(B2*10000/(IF(B1="",'数据-汇总表'!E3,INDIRECT("'数据-取费表'!k"&amp;$G$1))),0)</f>
        <v>#REF!</v>
      </c>
      <c r="C3" s="194" t="s">
        <v>1465</v>
      </c>
      <c r="D3" s="194"/>
      <c r="E3" s="194"/>
      <c r="F3" s="194"/>
      <c r="G3" s="194"/>
    </row>
    <row r="4" spans="1:8" s="203" customFormat="1" ht="16.2">
      <c r="A4" s="200" t="s">
        <v>1466</v>
      </c>
      <c r="B4" s="201"/>
      <c r="C4" s="201"/>
      <c r="D4" s="201"/>
      <c r="E4" s="201"/>
      <c r="F4" s="201"/>
      <c r="G4" s="202"/>
    </row>
    <row r="5" spans="1:8" s="209" customFormat="1" ht="13.5" customHeight="1">
      <c r="A5" s="250" t="s">
        <v>1467</v>
      </c>
      <c r="B5" s="205" t="s">
        <v>1468</v>
      </c>
      <c r="C5" s="3706" t="e">
        <f>C6+C7+C8</f>
        <v>#REF!</v>
      </c>
      <c r="D5" s="206" t="s">
        <v>1469</v>
      </c>
      <c r="E5" s="207" t="s">
        <v>1470</v>
      </c>
      <c r="F5" s="207" t="s">
        <v>1471</v>
      </c>
      <c r="G5" s="208"/>
    </row>
    <row r="6" spans="1:8" s="209" customFormat="1" ht="13.5" customHeight="1">
      <c r="A6" s="768" t="s">
        <v>1472</v>
      </c>
      <c r="B6" s="210" t="s">
        <v>1473</v>
      </c>
      <c r="C6" s="3707" t="e">
        <f>ROUND(#REF!*#REF!,0)</f>
        <v>#REF!</v>
      </c>
      <c r="D6" s="3708"/>
      <c r="E6" s="213"/>
      <c r="F6" s="213"/>
      <c r="G6" s="214"/>
    </row>
    <row r="7" spans="1:8" s="209" customFormat="1" ht="13.5" customHeight="1">
      <c r="A7" s="768" t="s">
        <v>1474</v>
      </c>
      <c r="B7" s="210" t="s">
        <v>1475</v>
      </c>
      <c r="C7" s="3708" t="e">
        <f>ROUND(C6*F7,0)</f>
        <v>#REF!</v>
      </c>
      <c r="D7" s="3708"/>
      <c r="E7" s="213"/>
      <c r="F7" s="216">
        <f>IF(项目基本情况!B8="出让",0,'数据-取费表'!B48+'数据-取费表'!B49)</f>
        <v>3.0499999999999999E-2</v>
      </c>
      <c r="G7" s="214"/>
    </row>
    <row r="8" spans="1:8" s="218" customFormat="1">
      <c r="A8" s="768" t="s">
        <v>1476</v>
      </c>
      <c r="B8" s="210" t="s">
        <v>1477</v>
      </c>
      <c r="C8" s="3708">
        <f>IF(G8="已包含在土地购买价格中",0,C9+C10)</f>
        <v>0</v>
      </c>
      <c r="D8" s="3719"/>
      <c r="E8" s="215"/>
      <c r="F8" s="216"/>
      <c r="G8" s="1833" t="s">
        <v>451</v>
      </c>
    </row>
    <row r="9" spans="1:8" s="209" customFormat="1" ht="13.5" customHeight="1">
      <c r="A9" s="769" t="s">
        <v>355</v>
      </c>
      <c r="B9" s="219" t="s">
        <v>1478</v>
      </c>
      <c r="C9" s="3709">
        <f ca="1">ROUND(D9*E9,0)</f>
        <v>14205</v>
      </c>
      <c r="D9" s="3720">
        <f ca="1">IF(B1="",'数据-汇总表'!E5,IF(INDIRECT("'数据-取费表'!c"&amp;$G$1)="住宅",INDIRECT("'数据-取费表'!k"&amp;$G$1),0))</f>
        <v>88.78</v>
      </c>
      <c r="E9" s="220">
        <f>'数据-取费表'!B27</f>
        <v>160</v>
      </c>
      <c r="F9" s="216"/>
      <c r="G9" s="221"/>
    </row>
    <row r="10" spans="1:8" s="209" customFormat="1" ht="13.5" customHeight="1">
      <c r="A10" s="769" t="s">
        <v>356</v>
      </c>
      <c r="B10" s="219" t="s">
        <v>1480</v>
      </c>
      <c r="C10" s="3709">
        <f ca="1">ROUND(D10*E10,0)</f>
        <v>0</v>
      </c>
      <c r="D10" s="3720">
        <f ca="1">IF(B1="",'数据-汇总表'!E6,IF(INDIRECT("'数据-取费表'!c"&amp;$G$1)="住宅",INDIRECT("'数据-取费表'!s"&amp;$G$1),INDIRECT("'数据-取费表'!k"&amp;$G$1)+INDIRECT("'数据-取费表'!s"&amp;$G$1)))</f>
        <v>0</v>
      </c>
      <c r="E10" s="220">
        <f>'数据-取费表'!B28</f>
        <v>200</v>
      </c>
      <c r="F10" s="216"/>
      <c r="G10" s="221"/>
    </row>
    <row r="11" spans="1:8" s="209" customFormat="1" ht="13.5" hidden="1" customHeight="1">
      <c r="A11" s="222" t="s">
        <v>4</v>
      </c>
      <c r="B11" s="210" t="s">
        <v>1481</v>
      </c>
      <c r="C11" s="3706"/>
      <c r="D11" s="3708"/>
      <c r="E11" s="213"/>
      <c r="F11" s="213"/>
      <c r="G11" s="214"/>
    </row>
    <row r="12" spans="1:8" s="209" customFormat="1" ht="13.5" hidden="1" customHeight="1">
      <c r="A12" s="222" t="s">
        <v>5</v>
      </c>
      <c r="B12" s="210" t="s">
        <v>1564</v>
      </c>
      <c r="C12" s="3706">
        <v>0</v>
      </c>
      <c r="D12" s="3708"/>
      <c r="E12" s="223"/>
      <c r="F12" s="216">
        <v>3.0499999999999999E-2</v>
      </c>
      <c r="G12" s="214"/>
    </row>
    <row r="13" spans="1:8" s="209" customFormat="1" ht="13.5" hidden="1" customHeight="1">
      <c r="A13" s="222" t="s">
        <v>6</v>
      </c>
      <c r="B13" s="210" t="s">
        <v>1565</v>
      </c>
      <c r="C13" s="3706"/>
      <c r="D13" s="3708"/>
      <c r="E13" s="213"/>
      <c r="F13" s="213"/>
      <c r="G13" s="214"/>
    </row>
    <row r="14" spans="1:8" s="209" customFormat="1" ht="13.5" hidden="1" customHeight="1">
      <c r="A14" s="222" t="s">
        <v>7</v>
      </c>
      <c r="B14" s="210" t="s">
        <v>1477</v>
      </c>
      <c r="C14" s="3706"/>
      <c r="D14" s="3708"/>
      <c r="E14" s="213"/>
      <c r="F14" s="213"/>
      <c r="G14" s="214" t="s">
        <v>1566</v>
      </c>
    </row>
    <row r="15" spans="1:8" s="209" customFormat="1" ht="13.5" hidden="1" customHeight="1">
      <c r="A15" s="222" t="s">
        <v>8</v>
      </c>
      <c r="B15" s="210" t="s">
        <v>1567</v>
      </c>
      <c r="C15" s="3708"/>
      <c r="D15" s="3708"/>
      <c r="E15" s="213"/>
      <c r="F15" s="213"/>
      <c r="G15" s="214" t="s">
        <v>1568</v>
      </c>
    </row>
    <row r="16" spans="1:8" s="209" customFormat="1" ht="13.5" hidden="1" customHeight="1">
      <c r="A16" s="222" t="s">
        <v>9</v>
      </c>
      <c r="B16" s="210" t="s">
        <v>1477</v>
      </c>
      <c r="C16" s="3708"/>
      <c r="D16" s="3708"/>
      <c r="E16" s="213"/>
      <c r="F16" s="213"/>
      <c r="G16" s="214"/>
    </row>
    <row r="17" spans="1:7" s="209" customFormat="1" ht="13.5" hidden="1" customHeight="1">
      <c r="A17" s="222" t="s">
        <v>10</v>
      </c>
      <c r="B17" s="210" t="s">
        <v>1569</v>
      </c>
      <c r="C17" s="3710"/>
      <c r="D17" s="3710"/>
      <c r="E17" s="224"/>
      <c r="F17" s="224"/>
      <c r="G17" s="214" t="s">
        <v>1568</v>
      </c>
    </row>
    <row r="18" spans="1:7" s="209" customFormat="1" ht="13.5" hidden="1" customHeight="1">
      <c r="A18" s="222" t="s">
        <v>11</v>
      </c>
      <c r="B18" s="210" t="s">
        <v>1570</v>
      </c>
      <c r="C18" s="3708">
        <v>0</v>
      </c>
      <c r="D18" s="3708"/>
      <c r="E18" s="213"/>
      <c r="F18" s="216">
        <v>3.0499999999999999E-2</v>
      </c>
      <c r="G18" s="214" t="s">
        <v>1571</v>
      </c>
    </row>
    <row r="19" spans="1:7" s="218" customFormat="1" ht="13.5" customHeight="1">
      <c r="A19" s="250" t="s">
        <v>1572</v>
      </c>
      <c r="B19" s="205" t="s">
        <v>1573</v>
      </c>
      <c r="C19" s="3706" t="str">
        <f>IF(G19="已包含在土地取得成本中","0",ROUND(D19*E19,0))</f>
        <v>0</v>
      </c>
      <c r="D19" s="3706">
        <f ca="1">D9+D10</f>
        <v>88.78</v>
      </c>
      <c r="E19" s="206">
        <f>'数据-取费表'!B31</f>
        <v>200</v>
      </c>
      <c r="F19" s="226"/>
      <c r="G19" s="1833" t="s">
        <v>3411</v>
      </c>
    </row>
    <row r="20" spans="1:7" s="209" customFormat="1" ht="13.5" customHeight="1">
      <c r="A20" s="250" t="s">
        <v>1574</v>
      </c>
      <c r="B20" s="205" t="s">
        <v>1575</v>
      </c>
      <c r="C20" s="3711" t="e">
        <f>ROUND((C5+C19)*F20,0)</f>
        <v>#REF!</v>
      </c>
      <c r="D20" s="3711"/>
      <c r="E20" s="227"/>
      <c r="F20" s="228">
        <f>'数据-取费表'!B37</f>
        <v>0.01</v>
      </c>
      <c r="G20" s="229" t="s">
        <v>1576</v>
      </c>
    </row>
    <row r="21" spans="1:7" s="209" customFormat="1" ht="13.5" customHeight="1">
      <c r="A21" s="250" t="s">
        <v>1577</v>
      </c>
      <c r="B21" s="205" t="s">
        <v>1578</v>
      </c>
      <c r="C21" s="3712">
        <f>F21</f>
        <v>0.01</v>
      </c>
      <c r="D21" s="3721" t="s">
        <v>1579</v>
      </c>
      <c r="E21" s="227"/>
      <c r="F21" s="228">
        <f>'数据-取费表'!B38</f>
        <v>0.01</v>
      </c>
      <c r="G21" s="229" t="s">
        <v>1580</v>
      </c>
    </row>
    <row r="22" spans="1:7" s="209" customFormat="1" ht="13.5" customHeight="1">
      <c r="A22" s="250" t="s">
        <v>1581</v>
      </c>
      <c r="B22" s="205" t="s">
        <v>1582</v>
      </c>
      <c r="C22" s="3711" t="e">
        <f ca="1">ROUND(SUM(C23:C25),0)</f>
        <v>#REF!</v>
      </c>
      <c r="D22" s="3712">
        <f ca="1">C26</f>
        <v>5.0000000000000001E-4</v>
      </c>
      <c r="E22" s="231" t="s">
        <v>1579</v>
      </c>
      <c r="F22" s="232">
        <f ca="1">'数据-取费表'!B40</f>
        <v>5.4900000000000004E-2</v>
      </c>
      <c r="G22" s="229" t="str">
        <f>IF('数据-取费表'!B22&lt;=1,"单利计息","复利计息")</f>
        <v>复利计息</v>
      </c>
    </row>
    <row r="23" spans="1:7" s="209" customFormat="1" ht="13.5" customHeight="1">
      <c r="A23" s="770" t="s">
        <v>1472</v>
      </c>
      <c r="B23" s="210" t="s">
        <v>1583</v>
      </c>
      <c r="C23" s="3713" t="e">
        <f ca="1">ROUND(IF('数据-取费表'!B22&lt;=1,C5*F22*'数据-取费表'!B22,C5*(POWER((1+F22),'数据-取费表'!B22)-1)),0)</f>
        <v>#REF!</v>
      </c>
      <c r="D23" s="3713"/>
      <c r="E23" s="233"/>
      <c r="F23" s="234"/>
      <c r="G23" s="235" t="s">
        <v>1584</v>
      </c>
    </row>
    <row r="24" spans="1:7" s="209" customFormat="1" ht="13.5" customHeight="1">
      <c r="A24" s="770" t="s">
        <v>1474</v>
      </c>
      <c r="B24" s="210" t="s">
        <v>1585</v>
      </c>
      <c r="C24" s="3713">
        <f ca="1">ROUND(IF('数据-取费表'!B22&lt;=1,C19*F22*('数据-取费表'!B19/2+'数据-取费表'!B20),C19*(POWER((1+F22),('数据-取费表'!B19/2+'数据-取费表'!B20))-1)),0)</f>
        <v>0</v>
      </c>
      <c r="D24" s="3713"/>
      <c r="E24" s="233"/>
      <c r="F24" s="234"/>
      <c r="G24" s="235" t="s">
        <v>1586</v>
      </c>
    </row>
    <row r="25" spans="1:7" s="209" customFormat="1" ht="24">
      <c r="A25" s="770" t="s">
        <v>1476</v>
      </c>
      <c r="B25" s="210" t="s">
        <v>1587</v>
      </c>
      <c r="C25" s="3713" t="e">
        <f ca="1">ROUND(IF('数据-取费表'!B22&lt;=1,C20*F22*'数据-取费表'!B22/2,C20*(POWER((1+F22),'数据-取费表'!B22/2)-1)),0)</f>
        <v>#REF!</v>
      </c>
      <c r="D25" s="3713"/>
      <c r="E25" s="236"/>
      <c r="F25" s="234"/>
      <c r="G25" s="237" t="s">
        <v>1588</v>
      </c>
    </row>
    <row r="26" spans="1:7" s="209" customFormat="1">
      <c r="A26" s="770" t="s">
        <v>350</v>
      </c>
      <c r="B26" s="210" t="s">
        <v>1511</v>
      </c>
      <c r="C26" s="3713">
        <f ca="1">ROUND(IF('数据-取费表'!B22&lt;=1,F21*F22*'数据-取费表'!B22/2,F21*(POWER((1+F22),'数据-取费表'!B22/2)-1)),4)</f>
        <v>5.0000000000000001E-4</v>
      </c>
      <c r="D26" s="3713"/>
      <c r="E26" s="236"/>
      <c r="F26" s="234"/>
      <c r="G26" s="238"/>
    </row>
    <row r="27" spans="1:7" s="209" customFormat="1" ht="26.4">
      <c r="A27" s="250" t="s">
        <v>1512</v>
      </c>
      <c r="B27" s="239" t="s">
        <v>1513</v>
      </c>
      <c r="C27" s="3714" t="e">
        <f ca="1">C28</f>
        <v>#REF!</v>
      </c>
      <c r="D27" s="3712">
        <f ca="1">C29</f>
        <v>1.1999999999999999E-3</v>
      </c>
      <c r="E27" s="231" t="s">
        <v>1514</v>
      </c>
      <c r="F27" s="241">
        <f ca="1">IF(B1="",'数据-取费表'!Q16,INDIRECT("'数据-取费表'!q"&amp;$G$1))</f>
        <v>0.12</v>
      </c>
      <c r="G27" s="242" t="s">
        <v>1515</v>
      </c>
    </row>
    <row r="28" spans="1:7" s="209" customFormat="1" ht="13.5" customHeight="1">
      <c r="A28" s="770" t="s">
        <v>346</v>
      </c>
      <c r="B28" s="243" t="s">
        <v>1516</v>
      </c>
      <c r="C28" s="3715" t="e">
        <f ca="1">ROUND((C5+C19+C20)*F27,0)</f>
        <v>#REF!</v>
      </c>
      <c r="D28" s="3712"/>
      <c r="E28" s="231"/>
      <c r="F28" s="241"/>
      <c r="G28" s="242"/>
    </row>
    <row r="29" spans="1:7" s="209" customFormat="1" ht="13.5" customHeight="1">
      <c r="A29" s="770" t="s">
        <v>347</v>
      </c>
      <c r="B29" s="243" t="s">
        <v>1517</v>
      </c>
      <c r="C29" s="3713">
        <f ca="1">ROUND(C21*F27,4)</f>
        <v>1.1999999999999999E-3</v>
      </c>
      <c r="D29" s="3712"/>
      <c r="E29" s="231"/>
      <c r="F29" s="241"/>
      <c r="G29" s="242"/>
    </row>
    <row r="30" spans="1:7" s="209" customFormat="1" ht="13.5" customHeight="1">
      <c r="A30" s="250" t="s">
        <v>1518</v>
      </c>
      <c r="B30" s="205" t="s">
        <v>1519</v>
      </c>
      <c r="C30" s="3712">
        <f>ROUND(F30/(1+'数据-取费表'!C42),4)</f>
        <v>5.6000000000000001E-2</v>
      </c>
      <c r="D30" s="3721" t="s">
        <v>1514</v>
      </c>
      <c r="E30" s="236"/>
      <c r="F30" s="232">
        <f>'数据-取费表'!B41</f>
        <v>5.6000000000000001E-2</v>
      </c>
      <c r="G30" s="229" t="s">
        <v>1520</v>
      </c>
    </row>
    <row r="31" spans="1:7" ht="16.5" customHeight="1">
      <c r="A31" s="204">
        <v>1</v>
      </c>
      <c r="B31" s="205" t="s">
        <v>1521</v>
      </c>
      <c r="C31" s="3706" t="e">
        <f ca="1">ROUND((C5+C19+C20+C22+C27)/(1-C21-D22-D27-C30),0)</f>
        <v>#REF!</v>
      </c>
      <c r="D31" s="3706"/>
      <c r="E31" s="206"/>
      <c r="F31" s="245"/>
      <c r="G31" s="229" t="s">
        <v>1522</v>
      </c>
    </row>
    <row r="32" spans="1:7" s="203" customFormat="1" ht="16.2">
      <c r="A32" s="247" t="s">
        <v>1589</v>
      </c>
      <c r="B32" s="248"/>
      <c r="C32" s="3716"/>
      <c r="D32" s="3716"/>
      <c r="E32" s="248"/>
      <c r="F32" s="248"/>
      <c r="G32" s="249"/>
    </row>
    <row r="33" spans="1:7" s="209" customFormat="1" ht="13.5" customHeight="1">
      <c r="A33" s="250" t="s">
        <v>337</v>
      </c>
      <c r="B33" s="205" t="s">
        <v>1590</v>
      </c>
      <c r="C33" s="3711">
        <f ca="1">SUM(C34:C38)</f>
        <v>212184</v>
      </c>
      <c r="D33" s="3711"/>
      <c r="E33" s="207"/>
      <c r="F33" s="236"/>
      <c r="G33" s="229"/>
    </row>
    <row r="34" spans="1:7" s="253" customFormat="1" ht="13.5" customHeight="1">
      <c r="A34" s="770" t="s">
        <v>346</v>
      </c>
      <c r="B34" s="210" t="s">
        <v>1525</v>
      </c>
      <c r="C34" s="3708">
        <f ca="1">ROUND(IF(B1="",SUMPRODUCT('数据-取费表'!K6:K14,'数据-取费表'!L6:L14),INDIRECT("'数据-取费表'!l"&amp;$G$1)*INDIRECT("'数据-取费表'!k"&amp;$G$1)+'数据-取费表'!L14*INDIRECT("'数据-取费表'!S"&amp;$G$1)),0)</f>
        <v>177560</v>
      </c>
      <c r="D34" s="3708"/>
      <c r="E34" s="215"/>
      <c r="F34" s="252"/>
      <c r="G34" s="214"/>
    </row>
    <row r="35" spans="1:7" ht="13.5" customHeight="1">
      <c r="A35" s="770" t="s">
        <v>351</v>
      </c>
      <c r="B35" s="210" t="s">
        <v>1527</v>
      </c>
      <c r="C35" s="3708">
        <f ca="1">ROUND(C34*F35,0)</f>
        <v>5327</v>
      </c>
      <c r="D35" s="3708"/>
      <c r="E35" s="215"/>
      <c r="F35" s="254">
        <f>'数据-取费表'!B33</f>
        <v>0.03</v>
      </c>
      <c r="G35" s="214" t="s">
        <v>1528</v>
      </c>
    </row>
    <row r="36" spans="1:7" ht="24">
      <c r="A36" s="770" t="s">
        <v>352</v>
      </c>
      <c r="B36" s="210" t="s">
        <v>1529</v>
      </c>
      <c r="C36" s="3708">
        <f ca="1">ROUND(IF(B1="",SUM('数据-取费表'!AP6:AP13)*F36,IF(INDIRECT("'数据-取费表'!c"&amp;$G$1)="住宅",INDIRECT("'数据-取费表'!k"&amp;$G$1)*INDIRECT("'数据-取费表'!l"&amp;$G$1)*F36,0)),0)</f>
        <v>8878</v>
      </c>
      <c r="D36" s="3708"/>
      <c r="E36" s="215"/>
      <c r="F36" s="254">
        <f>'数据-取费表'!B34</f>
        <v>0.05</v>
      </c>
      <c r="G36" s="255" t="s">
        <v>1530</v>
      </c>
    </row>
    <row r="37" spans="1:7" s="253" customFormat="1" ht="13.5" customHeight="1">
      <c r="A37" s="770" t="s">
        <v>353</v>
      </c>
      <c r="B37" s="210" t="s">
        <v>1531</v>
      </c>
      <c r="C37" s="3715">
        <f ca="1">ROUND(E37*D37,0)</f>
        <v>17756</v>
      </c>
      <c r="D37" s="3708">
        <f ca="1">D19</f>
        <v>88.78</v>
      </c>
      <c r="E37" s="244">
        <f>'数据-取费表'!B35</f>
        <v>200</v>
      </c>
      <c r="F37" s="254"/>
      <c r="G37" s="256"/>
    </row>
    <row r="38" spans="1:7" ht="13.5" customHeight="1">
      <c r="A38" s="770" t="s">
        <v>354</v>
      </c>
      <c r="B38" s="210" t="s">
        <v>1533</v>
      </c>
      <c r="C38" s="3708">
        <f ca="1">ROUND(C34*F38,0)</f>
        <v>2663</v>
      </c>
      <c r="D38" s="3708"/>
      <c r="E38" s="215"/>
      <c r="F38" s="254">
        <f>'数据-取费表'!B36</f>
        <v>1.4999999999999999E-2</v>
      </c>
      <c r="G38" s="214" t="s">
        <v>1528</v>
      </c>
    </row>
    <row r="39" spans="1:7" s="209" customFormat="1" ht="13.5" customHeight="1">
      <c r="A39" s="250" t="s">
        <v>1534</v>
      </c>
      <c r="B39" s="205" t="s">
        <v>1535</v>
      </c>
      <c r="C39" s="3711">
        <f ca="1">ROUND(C33*F20,0)</f>
        <v>2122</v>
      </c>
      <c r="D39" s="3711"/>
      <c r="E39" s="227"/>
      <c r="F39" s="228">
        <f>F20</f>
        <v>0.01</v>
      </c>
      <c r="G39" s="229" t="s">
        <v>1536</v>
      </c>
    </row>
    <row r="40" spans="1:7" s="209" customFormat="1" ht="13.5" customHeight="1">
      <c r="A40" s="250" t="s">
        <v>1537</v>
      </c>
      <c r="B40" s="205" t="s">
        <v>1538</v>
      </c>
      <c r="C40" s="3712">
        <f>F21</f>
        <v>0.01</v>
      </c>
      <c r="D40" s="3721" t="s">
        <v>1539</v>
      </c>
      <c r="E40" s="227"/>
      <c r="F40" s="228">
        <f>F21</f>
        <v>0.01</v>
      </c>
      <c r="G40" s="229" t="s">
        <v>1540</v>
      </c>
    </row>
    <row r="41" spans="1:7" s="209" customFormat="1" ht="13.5" customHeight="1">
      <c r="A41" s="250" t="s">
        <v>1541</v>
      </c>
      <c r="B41" s="205" t="s">
        <v>1542</v>
      </c>
      <c r="C41" s="3711">
        <f ca="1">ROUND(SUM(C42:C43),0)</f>
        <v>11765</v>
      </c>
      <c r="D41" s="3712">
        <f ca="1">C44</f>
        <v>5.0000000000000001E-4</v>
      </c>
      <c r="E41" s="231" t="s">
        <v>1539</v>
      </c>
      <c r="F41" s="232">
        <f ca="1">F22</f>
        <v>5.4900000000000004E-2</v>
      </c>
      <c r="G41" s="229" t="str">
        <f>IF('数据-取费表'!B22&lt;=1,"单利计息","复利计息")</f>
        <v>复利计息</v>
      </c>
    </row>
    <row r="42" spans="1:7" ht="13.5" customHeight="1">
      <c r="A42" s="770" t="s">
        <v>346</v>
      </c>
      <c r="B42" s="210" t="s">
        <v>1543</v>
      </c>
      <c r="C42" s="3713">
        <f ca="1">ROUND(IF('数据-取费表'!B22&lt;=1,C33*F22*'数据-取费表'!B20/2,C33*(POWER((1+F22),'数据-取费表'!B20/2)-1)),0)</f>
        <v>11649</v>
      </c>
      <c r="D42" s="3713"/>
      <c r="E42" s="233"/>
      <c r="F42" s="234"/>
      <c r="G42" s="4134" t="s">
        <v>1591</v>
      </c>
    </row>
    <row r="43" spans="1:7" ht="13.5" customHeight="1">
      <c r="A43" s="770" t="s">
        <v>347</v>
      </c>
      <c r="B43" s="210" t="s">
        <v>1545</v>
      </c>
      <c r="C43" s="3713">
        <f ca="1">ROUND(IF('数据-取费表'!B22&lt;=1,C39*F22*'数据-取费表'!B20/2,C39*(POWER((1+F22),'数据-取费表'!B20/2)-1)),0)</f>
        <v>116</v>
      </c>
      <c r="D43" s="3713"/>
      <c r="E43" s="233"/>
      <c r="F43" s="234"/>
      <c r="G43" s="4135"/>
    </row>
    <row r="44" spans="1:7" ht="13.5" customHeight="1">
      <c r="A44" s="770" t="s">
        <v>348</v>
      </c>
      <c r="B44" s="210" t="s">
        <v>1546</v>
      </c>
      <c r="C44" s="3713">
        <f ca="1">ROUND(IF('数据-取费表'!B22&lt;=1,C40*F22*'数据-取费表'!B20/2,C40*(POWER((1+F22),'数据-取费表'!B20/2)-1)),4)</f>
        <v>5.0000000000000001E-4</v>
      </c>
      <c r="D44" s="3713"/>
      <c r="E44" s="233"/>
      <c r="F44" s="234"/>
      <c r="G44" s="4136"/>
    </row>
    <row r="45" spans="1:7" s="209" customFormat="1" ht="13.5" customHeight="1">
      <c r="A45" s="250" t="s">
        <v>1547</v>
      </c>
      <c r="B45" s="239" t="s">
        <v>1513</v>
      </c>
      <c r="C45" s="3714">
        <f ca="1">C46</f>
        <v>25717</v>
      </c>
      <c r="D45" s="3712">
        <f ca="1">C47</f>
        <v>1.1999999999999999E-3</v>
      </c>
      <c r="E45" s="231" t="s">
        <v>1539</v>
      </c>
      <c r="F45" s="241">
        <f ca="1">F27</f>
        <v>0.12</v>
      </c>
      <c r="G45" s="242" t="s">
        <v>1548</v>
      </c>
    </row>
    <row r="46" spans="1:7" s="209" customFormat="1" ht="13.5" customHeight="1">
      <c r="A46" s="770" t="s">
        <v>346</v>
      </c>
      <c r="B46" s="243" t="s">
        <v>1549</v>
      </c>
      <c r="C46" s="3715">
        <f ca="1">ROUND((C33+C39)*F27,0)</f>
        <v>25717</v>
      </c>
      <c r="D46" s="3712"/>
      <c r="E46" s="231"/>
      <c r="F46" s="241"/>
      <c r="G46" s="242"/>
    </row>
    <row r="47" spans="1:7" s="209" customFormat="1" ht="13.5" customHeight="1">
      <c r="A47" s="770" t="s">
        <v>347</v>
      </c>
      <c r="B47" s="243" t="s">
        <v>1550</v>
      </c>
      <c r="C47" s="3713">
        <f ca="1">ROUND(C40*F27,4)</f>
        <v>1.1999999999999999E-3</v>
      </c>
      <c r="D47" s="3712"/>
      <c r="E47" s="231"/>
      <c r="F47" s="241"/>
      <c r="G47" s="242"/>
    </row>
    <row r="48" spans="1:7" s="209" customFormat="1" ht="13.5" customHeight="1">
      <c r="A48" s="250" t="s">
        <v>1512</v>
      </c>
      <c r="B48" s="205" t="s">
        <v>1551</v>
      </c>
      <c r="C48" s="3712">
        <f>ROUND(F30/(1+'数据-取费表'!C42),4)</f>
        <v>5.6000000000000001E-2</v>
      </c>
      <c r="D48" s="3721" t="s">
        <v>1539</v>
      </c>
      <c r="E48" s="227"/>
      <c r="F48" s="232">
        <f>F30</f>
        <v>5.6000000000000001E-2</v>
      </c>
      <c r="G48" s="229" t="s">
        <v>1552</v>
      </c>
    </row>
    <row r="49" spans="1:7" ht="16.5" customHeight="1">
      <c r="A49" s="250" t="s">
        <v>1518</v>
      </c>
      <c r="B49" s="205" t="s">
        <v>1592</v>
      </c>
      <c r="C49" s="3711">
        <f ca="1">ROUND((C33+C39+C41+C45)/(1-C40-D41-D45-C48),0)</f>
        <v>270072</v>
      </c>
      <c r="D49" s="3711"/>
      <c r="E49" s="227"/>
      <c r="F49" s="259"/>
      <c r="G49" s="229" t="s">
        <v>1554</v>
      </c>
    </row>
    <row r="50" spans="1:7" s="253" customFormat="1">
      <c r="A50" s="250" t="s">
        <v>1555</v>
      </c>
      <c r="B50" s="205" t="s">
        <v>1556</v>
      </c>
      <c r="C50" s="3711"/>
      <c r="D50" s="3711"/>
      <c r="E50" s="227"/>
      <c r="F50" s="259">
        <f>IF('数据-取费表'!B24=0,'数据-取费表'!N16,1)</f>
        <v>0.95</v>
      </c>
      <c r="G50" s="242"/>
    </row>
    <row r="51" spans="1:7" ht="16.5" customHeight="1">
      <c r="A51" s="250" t="s">
        <v>1558</v>
      </c>
      <c r="B51" s="205" t="s">
        <v>1593</v>
      </c>
      <c r="C51" s="3711">
        <f ca="1">ROUND(C49*F50,0)</f>
        <v>256568</v>
      </c>
      <c r="D51" s="3711"/>
      <c r="E51" s="227"/>
      <c r="F51" s="259"/>
      <c r="G51" s="229" t="s">
        <v>1560</v>
      </c>
    </row>
    <row r="52" spans="1:7" s="203" customFormat="1" ht="16.8" thickBot="1">
      <c r="A52" s="260" t="s">
        <v>1561</v>
      </c>
      <c r="B52" s="261"/>
      <c r="C52" s="3717" t="e">
        <f ca="1">C31+C51</f>
        <v>#REF!</v>
      </c>
      <c r="D52" s="261"/>
      <c r="E52" s="261"/>
      <c r="F52" s="261"/>
      <c r="G52" s="263"/>
    </row>
    <row r="55" spans="1:7" ht="15">
      <c r="B55" s="265" t="s">
        <v>1562</v>
      </c>
      <c r="C55" s="266"/>
    </row>
    <row r="56" spans="1:7">
      <c r="B56" s="268" t="s">
        <v>802</v>
      </c>
      <c r="C56" s="270" t="e">
        <f ca="1">1-C57</f>
        <v>#REF!</v>
      </c>
    </row>
    <row r="57" spans="1:7">
      <c r="B57" s="268" t="s">
        <v>803</v>
      </c>
      <c r="C57" s="269" t="e">
        <f ca="1">ROUND(C51/C52,3)</f>
        <v>#REF!</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18" customWidth="1"/>
    <col min="2" max="2" width="25.77734375" style="771" customWidth="1"/>
    <col min="3" max="3" width="10.33203125" style="813" customWidth="1"/>
    <col min="4" max="4" width="9.88671875" style="771" customWidth="1"/>
    <col min="5" max="5" width="9.44140625" style="718" customWidth="1"/>
    <col min="6" max="6" width="10.109375" style="771" customWidth="1"/>
    <col min="7" max="7" width="10.77734375" style="771" customWidth="1"/>
    <col min="8" max="8" width="10" style="771" customWidth="1"/>
    <col min="9" max="11" width="9.44140625" style="771" customWidth="1"/>
    <col min="12" max="12" width="9" style="771" customWidth="1"/>
    <col min="13" max="13" width="10.44140625" style="771" bestFit="1" customWidth="1"/>
    <col min="14" max="254" width="9" style="771" customWidth="1"/>
    <col min="255" max="16384" width="6.6640625" style="771"/>
  </cols>
  <sheetData>
    <row r="1" spans="1:33" ht="21">
      <c r="A1" s="191" t="s">
        <v>1594</v>
      </c>
      <c r="B1" s="1178"/>
      <c r="C1" s="1179"/>
      <c r="D1" s="1177"/>
      <c r="E1" s="2777"/>
      <c r="F1" s="2777"/>
      <c r="G1" s="2642"/>
      <c r="H1" s="2777"/>
      <c r="I1" s="2777"/>
      <c r="J1" s="2777"/>
      <c r="K1" s="2778">
        <f>MATCH(C1,'数据-取费表'!A6:A16,0)+5</f>
        <v>7</v>
      </c>
    </row>
    <row r="2" spans="1:33" ht="18" customHeight="1">
      <c r="A2" s="196" t="s">
        <v>1462</v>
      </c>
      <c r="B2" s="199">
        <f ca="1">C32</f>
        <v>-1</v>
      </c>
      <c r="C2" s="271" t="s">
        <v>1595</v>
      </c>
      <c r="D2" s="271"/>
      <c r="E2" s="2777"/>
      <c r="F2" s="2777"/>
      <c r="G2" s="2777"/>
      <c r="H2" s="2777"/>
      <c r="I2" s="2777"/>
      <c r="J2" s="2777"/>
      <c r="K2" s="2777"/>
    </row>
    <row r="3" spans="1:33" ht="18" customHeight="1" thickBot="1">
      <c r="A3" s="198" t="s">
        <v>1464</v>
      </c>
      <c r="B3" s="199">
        <f ca="1">ROUND(B2*10000/IF(C1="",'数据-汇总表'!E3,INDIRECT("'数据-取费表'!K"&amp;$K$1)),0)</f>
        <v>-113</v>
      </c>
      <c r="C3" s="271" t="s">
        <v>1596</v>
      </c>
      <c r="D3" s="271"/>
      <c r="E3" s="2777"/>
      <c r="F3" s="2777"/>
      <c r="G3" s="2777"/>
      <c r="H3" s="2777"/>
      <c r="I3" s="2777"/>
      <c r="J3" s="2777"/>
      <c r="K3" s="2777"/>
    </row>
    <row r="4" spans="1:33" s="775" customFormat="1" ht="16.5" customHeight="1">
      <c r="A4" s="772" t="s">
        <v>1597</v>
      </c>
      <c r="B4" s="773"/>
      <c r="C4" s="814">
        <f>SUM(C8:K8)</f>
        <v>0</v>
      </c>
      <c r="D4" s="773"/>
      <c r="E4" s="773"/>
      <c r="F4" s="773"/>
      <c r="G4" s="773"/>
      <c r="H4" s="773"/>
      <c r="I4" s="773"/>
      <c r="J4" s="773"/>
      <c r="K4" s="774"/>
    </row>
    <row r="5" spans="1:33" s="779" customFormat="1" ht="14.4">
      <c r="A5" s="776" t="s">
        <v>1598</v>
      </c>
      <c r="B5" s="777" t="s">
        <v>1599</v>
      </c>
      <c r="C5" s="1837"/>
      <c r="D5" s="1837"/>
      <c r="E5" s="1837"/>
      <c r="F5" s="1837"/>
      <c r="G5" s="1837"/>
      <c r="H5" s="1837"/>
      <c r="I5" s="1837"/>
      <c r="J5" s="1837"/>
      <c r="K5" s="1837"/>
      <c r="L5" s="778"/>
      <c r="M5" s="778"/>
      <c r="N5" s="778"/>
      <c r="O5" s="778"/>
      <c r="P5" s="778"/>
      <c r="Q5" s="778"/>
      <c r="R5" s="778"/>
      <c r="S5" s="778"/>
      <c r="T5" s="778"/>
      <c r="U5" s="778"/>
      <c r="V5" s="778"/>
      <c r="W5" s="778"/>
      <c r="X5" s="778"/>
      <c r="Y5" s="778"/>
      <c r="Z5" s="778"/>
      <c r="AA5" s="778"/>
      <c r="AB5" s="778"/>
      <c r="AC5" s="778"/>
      <c r="AD5" s="778"/>
      <c r="AE5" s="778"/>
      <c r="AF5" s="778"/>
      <c r="AG5" s="778"/>
    </row>
    <row r="6" spans="1:33" s="784" customFormat="1" ht="13.5" customHeight="1">
      <c r="A6" s="780" t="s">
        <v>357</v>
      </c>
      <c r="B6" s="131" t="s">
        <v>1600</v>
      </c>
      <c r="C6" s="781"/>
      <c r="D6" s="781"/>
      <c r="E6" s="781"/>
      <c r="F6" s="781"/>
      <c r="G6" s="781"/>
      <c r="H6" s="781"/>
      <c r="I6" s="781"/>
      <c r="J6" s="781"/>
      <c r="K6" s="782"/>
      <c r="L6" s="783"/>
      <c r="M6" s="783"/>
      <c r="N6" s="783"/>
      <c r="O6" s="783"/>
      <c r="P6" s="783"/>
      <c r="Q6" s="783"/>
      <c r="R6" s="783"/>
      <c r="S6" s="783"/>
      <c r="T6" s="783"/>
      <c r="U6" s="783"/>
      <c r="V6" s="783"/>
      <c r="W6" s="783"/>
      <c r="X6" s="783"/>
      <c r="Y6" s="783"/>
      <c r="Z6" s="783"/>
      <c r="AA6" s="783"/>
      <c r="AB6" s="783"/>
      <c r="AC6" s="783"/>
      <c r="AD6" s="783"/>
      <c r="AE6" s="783"/>
      <c r="AF6" s="783"/>
      <c r="AG6" s="783"/>
    </row>
    <row r="7" spans="1:33" s="784" customFormat="1" ht="13.5" customHeight="1">
      <c r="A7" s="780" t="s">
        <v>1601</v>
      </c>
      <c r="B7" s="131"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3"/>
      <c r="M7" s="783"/>
      <c r="N7" s="783"/>
      <c r="O7" s="783"/>
      <c r="P7" s="783"/>
      <c r="Q7" s="783"/>
      <c r="R7" s="783"/>
      <c r="S7" s="783"/>
      <c r="T7" s="783"/>
      <c r="U7" s="783"/>
      <c r="V7" s="783"/>
      <c r="W7" s="783"/>
      <c r="X7" s="783"/>
      <c r="Y7" s="783"/>
      <c r="Z7" s="783"/>
      <c r="AA7" s="783"/>
      <c r="AB7" s="783"/>
      <c r="AC7" s="783"/>
      <c r="AD7" s="783"/>
      <c r="AE7" s="783"/>
      <c r="AF7" s="783"/>
      <c r="AG7" s="783"/>
    </row>
    <row r="8" spans="1:33" s="784" customFormat="1" ht="13.5" customHeight="1" thickBot="1">
      <c r="A8" s="1838" t="s">
        <v>1603</v>
      </c>
      <c r="B8" s="159" t="s">
        <v>1604</v>
      </c>
      <c r="C8" s="815"/>
      <c r="D8" s="815"/>
      <c r="E8" s="815"/>
      <c r="F8" s="816"/>
      <c r="G8" s="816"/>
      <c r="H8" s="816"/>
      <c r="I8" s="816"/>
      <c r="J8" s="816"/>
      <c r="K8" s="817"/>
      <c r="L8" s="783"/>
      <c r="M8" s="783"/>
      <c r="N8" s="783"/>
      <c r="O8" s="783"/>
      <c r="P8" s="783"/>
      <c r="Q8" s="783"/>
      <c r="R8" s="783"/>
      <c r="S8" s="783"/>
      <c r="T8" s="783"/>
      <c r="U8" s="783"/>
      <c r="V8" s="783"/>
      <c r="W8" s="783"/>
      <c r="X8" s="783"/>
      <c r="Y8" s="783"/>
      <c r="Z8" s="783"/>
      <c r="AA8" s="783"/>
      <c r="AB8" s="783"/>
      <c r="AC8" s="783"/>
      <c r="AD8" s="783"/>
      <c r="AE8" s="783"/>
      <c r="AF8" s="783"/>
      <c r="AG8" s="783"/>
    </row>
    <row r="9" spans="1:33" s="775" customFormat="1" ht="16.5" customHeight="1">
      <c r="A9" s="772" t="s">
        <v>1605</v>
      </c>
      <c r="B9" s="773"/>
      <c r="C9" s="773"/>
      <c r="D9" s="773"/>
      <c r="E9" s="773"/>
      <c r="F9" s="773"/>
      <c r="G9" s="773"/>
      <c r="H9" s="773"/>
      <c r="I9" s="773"/>
      <c r="J9" s="773"/>
      <c r="K9" s="774"/>
    </row>
    <row r="10" spans="1:33" s="789" customFormat="1" ht="13.5" customHeight="1">
      <c r="A10" s="776" t="s">
        <v>1606</v>
      </c>
      <c r="B10" s="5" t="s">
        <v>1607</v>
      </c>
      <c r="C10" s="785" t="s">
        <v>1608</v>
      </c>
      <c r="D10" s="786" t="s">
        <v>1609</v>
      </c>
      <c r="E10" s="786" t="s">
        <v>1610</v>
      </c>
      <c r="F10" s="786" t="s">
        <v>1611</v>
      </c>
      <c r="G10" s="5"/>
      <c r="H10" s="787"/>
      <c r="I10" s="787"/>
      <c r="J10" s="787"/>
      <c r="K10" s="788"/>
    </row>
    <row r="11" spans="1:33" s="793" customFormat="1" ht="13.5" customHeight="1">
      <c r="A11" s="790" t="s">
        <v>635</v>
      </c>
      <c r="B11" s="791" t="s">
        <v>1612</v>
      </c>
      <c r="C11" s="274">
        <f ca="1">IF(C1="",'数据-取费表'!P16,INDIRECT("'数据-取费表'!p"&amp;$K$1)+INDIRECT("'数据-取费表'!ar"&amp;$K$1))</f>
        <v>0</v>
      </c>
      <c r="D11" s="792"/>
      <c r="E11" s="324"/>
      <c r="F11" s="802">
        <f ca="1">1-IF('数据-取费表'!B24=0,1,IF(C1="",'数据-取费表'!N16,INDIRECT("'数据-取费表'!n"&amp;$K$1)))</f>
        <v>0</v>
      </c>
      <c r="G11" s="5"/>
      <c r="H11" s="787"/>
      <c r="I11" s="787"/>
      <c r="J11" s="787"/>
      <c r="K11" s="788"/>
    </row>
    <row r="12" spans="1:33" s="793" customFormat="1" ht="13.5" customHeight="1">
      <c r="A12" s="790" t="s">
        <v>636</v>
      </c>
      <c r="B12" s="791" t="s">
        <v>1613</v>
      </c>
      <c r="C12" s="21">
        <f ca="1">ROUND(C11*F12,0)</f>
        <v>0</v>
      </c>
      <c r="D12" s="792"/>
      <c r="E12" s="324"/>
      <c r="F12" s="802">
        <f>'数据-取费表'!B33</f>
        <v>0.03</v>
      </c>
      <c r="G12" s="5" t="s">
        <v>1614</v>
      </c>
      <c r="H12" s="787"/>
      <c r="I12" s="787"/>
      <c r="J12" s="787"/>
      <c r="K12" s="788"/>
    </row>
    <row r="13" spans="1:33" s="793" customFormat="1" ht="13.5" customHeight="1">
      <c r="A13" s="790" t="s">
        <v>637</v>
      </c>
      <c r="B13" s="791" t="s">
        <v>1615</v>
      </c>
      <c r="C13" s="21">
        <f ca="1">ROUND(IF(C1="",SUMIF('数据-取费表'!C:C,"住宅",'数据-取费表'!P:P)*F13,IF(INDIRECT("'数据-取费表'!c"&amp;$K$1)="住宅",INDIRECT("'数据-取费表'!P"&amp;$K$1)*F13,0)),0)</f>
        <v>0</v>
      </c>
      <c r="D13" s="836"/>
      <c r="E13" s="324"/>
      <c r="F13" s="802">
        <f>'数据-取费表'!B34</f>
        <v>0.05</v>
      </c>
      <c r="G13" s="5" t="s">
        <v>1616</v>
      </c>
      <c r="H13" s="787"/>
      <c r="I13" s="787"/>
      <c r="J13" s="787"/>
      <c r="K13" s="788"/>
    </row>
    <row r="14" spans="1:33" s="795" customFormat="1" ht="13.5" customHeight="1">
      <c r="A14" s="790" t="s">
        <v>638</v>
      </c>
      <c r="B14" s="791" t="s">
        <v>1617</v>
      </c>
      <c r="C14" s="21">
        <f ca="1">ROUND(D14*E14*F11/10000,0)</f>
        <v>0</v>
      </c>
      <c r="D14" s="836">
        <f ca="1">IF(C1="",'数据-汇总表'!E3,INDIRECT("'数据-取费表'!K"&amp;$K$1)+INDIRECT("'数据-取费表'!S"&amp;$K$1))</f>
        <v>88.78</v>
      </c>
      <c r="E14" s="21">
        <f>'数据-取费表'!B35</f>
        <v>200</v>
      </c>
      <c r="F14" s="794"/>
      <c r="G14" s="5" t="s">
        <v>1618</v>
      </c>
      <c r="H14" s="787"/>
      <c r="I14" s="787"/>
      <c r="J14" s="787"/>
      <c r="K14" s="788"/>
      <c r="L14" s="793"/>
      <c r="M14" s="793"/>
      <c r="N14" s="793"/>
      <c r="O14" s="793"/>
      <c r="P14" s="793"/>
      <c r="Q14" s="793"/>
      <c r="R14" s="793"/>
      <c r="S14" s="793"/>
      <c r="T14" s="793"/>
      <c r="U14" s="793"/>
      <c r="V14" s="793"/>
      <c r="W14" s="793"/>
      <c r="X14" s="793"/>
      <c r="Y14" s="793"/>
      <c r="Z14" s="793"/>
      <c r="AA14" s="793"/>
      <c r="AB14" s="793"/>
      <c r="AC14" s="793"/>
      <c r="AD14" s="793"/>
      <c r="AE14" s="793"/>
      <c r="AF14" s="793"/>
      <c r="AG14" s="793"/>
    </row>
    <row r="15" spans="1:33" s="795" customFormat="1" ht="13.5" customHeight="1">
      <c r="A15" s="790" t="s">
        <v>639</v>
      </c>
      <c r="B15" s="791" t="s">
        <v>1619</v>
      </c>
      <c r="C15" s="801">
        <f ca="1">ROUND(C11*F15,0)</f>
        <v>0</v>
      </c>
      <c r="D15" s="796"/>
      <c r="E15" s="801"/>
      <c r="F15" s="802">
        <f>'数据-取费表'!B36</f>
        <v>1.4999999999999999E-2</v>
      </c>
      <c r="G15" s="131" t="s">
        <v>1620</v>
      </c>
      <c r="H15" s="797"/>
      <c r="I15" s="797"/>
      <c r="J15" s="797"/>
      <c r="K15" s="798"/>
      <c r="L15" s="793"/>
      <c r="M15" s="793"/>
      <c r="N15" s="793"/>
      <c r="O15" s="793"/>
      <c r="P15" s="793"/>
      <c r="Q15" s="793"/>
      <c r="R15" s="793"/>
      <c r="S15" s="793"/>
      <c r="T15" s="793"/>
      <c r="U15" s="793"/>
      <c r="V15" s="793"/>
      <c r="W15" s="793"/>
      <c r="X15" s="793"/>
      <c r="Y15" s="793"/>
      <c r="Z15" s="793"/>
      <c r="AA15" s="793"/>
      <c r="AB15" s="793"/>
      <c r="AC15" s="793"/>
      <c r="AD15" s="793"/>
      <c r="AE15" s="793"/>
      <c r="AF15" s="793"/>
      <c r="AG15" s="793"/>
    </row>
    <row r="16" spans="1:33" s="795" customFormat="1" ht="13.5" customHeight="1">
      <c r="A16" s="790" t="s">
        <v>358</v>
      </c>
      <c r="B16" s="791" t="s">
        <v>1621</v>
      </c>
      <c r="C16" s="801">
        <f ca="1">SUM(C11:C15)</f>
        <v>0</v>
      </c>
      <c r="D16" s="796"/>
      <c r="E16" s="801"/>
      <c r="F16" s="802"/>
      <c r="G16" s="131"/>
      <c r="H16" s="1175"/>
      <c r="I16" s="797"/>
      <c r="J16" s="797"/>
      <c r="K16" s="798"/>
      <c r="L16" s="793"/>
      <c r="M16" s="793"/>
      <c r="N16" s="793"/>
      <c r="O16" s="793"/>
      <c r="P16" s="793"/>
      <c r="Q16" s="793"/>
      <c r="R16" s="793"/>
      <c r="S16" s="793"/>
      <c r="T16" s="793"/>
      <c r="U16" s="793"/>
      <c r="V16" s="793"/>
      <c r="W16" s="793"/>
      <c r="X16" s="793"/>
      <c r="Y16" s="793"/>
      <c r="Z16" s="793"/>
      <c r="AA16" s="793"/>
      <c r="AB16" s="793"/>
      <c r="AC16" s="793"/>
      <c r="AD16" s="793"/>
      <c r="AE16" s="793"/>
      <c r="AF16" s="793"/>
      <c r="AG16" s="793"/>
    </row>
    <row r="17" spans="1:33" s="795" customFormat="1" ht="13.5" customHeight="1">
      <c r="A17" s="790" t="s">
        <v>359</v>
      </c>
      <c r="B17" s="791" t="s">
        <v>1622</v>
      </c>
      <c r="C17" s="21">
        <f ca="1">ROUND(D17*E17/10000,0)</f>
        <v>0</v>
      </c>
      <c r="D17" s="836">
        <f ca="1">D14</f>
        <v>88.78</v>
      </c>
      <c r="E17" s="21">
        <f>'数据-取费表'!B32</f>
        <v>0</v>
      </c>
      <c r="F17" s="796"/>
      <c r="G17" s="131" t="s">
        <v>1623</v>
      </c>
      <c r="H17" s="1175"/>
      <c r="I17" s="797"/>
      <c r="J17" s="797"/>
      <c r="K17" s="798"/>
      <c r="L17" s="793"/>
      <c r="M17" s="793"/>
      <c r="N17" s="793"/>
      <c r="O17" s="793"/>
      <c r="P17" s="793"/>
      <c r="Q17" s="793"/>
      <c r="R17" s="793"/>
      <c r="S17" s="793"/>
      <c r="T17" s="793"/>
      <c r="U17" s="793"/>
      <c r="V17" s="793"/>
      <c r="W17" s="793"/>
      <c r="X17" s="793"/>
      <c r="Y17" s="793"/>
      <c r="Z17" s="793"/>
      <c r="AA17" s="793"/>
      <c r="AB17" s="793"/>
      <c r="AC17" s="793"/>
      <c r="AD17" s="793"/>
      <c r="AE17" s="793"/>
      <c r="AF17" s="793"/>
      <c r="AG17" s="793"/>
    </row>
    <row r="18" spans="1:33" s="793" customFormat="1" ht="13.5" customHeight="1">
      <c r="A18" s="790" t="s">
        <v>640</v>
      </c>
      <c r="B18" s="791" t="s">
        <v>1624</v>
      </c>
      <c r="C18" s="21">
        <f ca="1">C19+C20-IF(C1="",'数据-取费表'!B29,IF(G18="已全部缴纳",C19+C20,H18))</f>
        <v>1</v>
      </c>
      <c r="D18" s="836"/>
      <c r="E18" s="21"/>
      <c r="F18" s="794"/>
      <c r="G18" s="1839"/>
      <c r="H18" s="1174"/>
      <c r="I18" s="1840" t="s">
        <v>1625</v>
      </c>
      <c r="J18" s="797"/>
      <c r="K18" s="798"/>
    </row>
    <row r="19" spans="1:33" s="793" customFormat="1" ht="13.5" customHeight="1">
      <c r="A19" s="790" t="s">
        <v>360</v>
      </c>
      <c r="B19" s="791" t="s">
        <v>1626</v>
      </c>
      <c r="C19" s="21">
        <f ca="1">ROUND(D19*E19/10000,0)</f>
        <v>1</v>
      </c>
      <c r="D19" s="836">
        <f ca="1">IF(C1="",'数据-汇总表'!E5,IF(INDIRECT("'数据-取费表'!c"&amp;$K$1)="住宅",INDIRECT("'数据-取费表'!k"&amp;$K$1),0))</f>
        <v>88.78</v>
      </c>
      <c r="E19" s="21">
        <f>'数据-取费表'!B27</f>
        <v>160</v>
      </c>
      <c r="F19" s="794"/>
      <c r="G19" s="12"/>
      <c r="H19" s="1176"/>
      <c r="I19" s="799"/>
      <c r="J19" s="799"/>
      <c r="K19" s="800"/>
    </row>
    <row r="20" spans="1:33" s="793" customFormat="1" ht="13.5" customHeight="1">
      <c r="A20" s="790" t="s">
        <v>361</v>
      </c>
      <c r="B20" s="791" t="s">
        <v>1627</v>
      </c>
      <c r="C20" s="21">
        <f ca="1">ROUND(D20*E20/10000,0)</f>
        <v>0</v>
      </c>
      <c r="D20" s="836">
        <f ca="1">IF(C1="",'数据-汇总表'!E6,IF(INDIRECT("'数据-取费表'!c"&amp;$K$1)="住宅",INDIRECT("'数据-取费表'!s"&amp;$K$1),INDIRECT("'数据-取费表'!k"&amp;$K$1)+INDIRECT("'数据-取费表'!s"&amp;$K$1)))</f>
        <v>0</v>
      </c>
      <c r="E20" s="21">
        <f>'数据-取费表'!B28</f>
        <v>200</v>
      </c>
      <c r="F20" s="794"/>
      <c r="G20" s="12"/>
      <c r="H20" s="799"/>
      <c r="I20" s="799"/>
      <c r="J20" s="799"/>
      <c r="K20" s="800"/>
    </row>
    <row r="21" spans="1:33" s="793" customFormat="1" ht="13.5" customHeight="1">
      <c r="A21" s="780" t="s">
        <v>357</v>
      </c>
      <c r="B21" s="803" t="s">
        <v>1628</v>
      </c>
      <c r="C21" s="804">
        <f ca="1">C16+C17+C18</f>
        <v>1</v>
      </c>
      <c r="D21" s="805"/>
      <c r="E21" s="276"/>
      <c r="F21" s="276"/>
      <c r="G21" s="131" t="s">
        <v>1629</v>
      </c>
      <c r="H21" s="797"/>
      <c r="I21" s="797"/>
      <c r="J21" s="797"/>
      <c r="K21" s="798"/>
    </row>
    <row r="22" spans="1:33" s="793" customFormat="1" ht="13.5" customHeight="1">
      <c r="A22" s="780" t="s">
        <v>1601</v>
      </c>
      <c r="B22" s="803" t="s">
        <v>1630</v>
      </c>
      <c r="C22" s="804">
        <f ca="1">ROUND(C21*F22,0)</f>
        <v>0</v>
      </c>
      <c r="D22" s="276"/>
      <c r="E22" s="276"/>
      <c r="F22" s="806">
        <f>'数据-取费表'!B37</f>
        <v>0.01</v>
      </c>
      <c r="G22" s="5" t="s">
        <v>1631</v>
      </c>
      <c r="H22" s="787"/>
      <c r="I22" s="787"/>
      <c r="J22" s="787"/>
      <c r="K22" s="788"/>
    </row>
    <row r="23" spans="1:33" s="793" customFormat="1" ht="13.5" customHeight="1">
      <c r="A23" s="780" t="s">
        <v>1603</v>
      </c>
      <c r="B23" s="803" t="s">
        <v>1632</v>
      </c>
      <c r="C23" s="804">
        <f ca="1">ROUND(C4*F23*F11,0)</f>
        <v>0</v>
      </c>
      <c r="D23" s="276"/>
      <c r="E23" s="276"/>
      <c r="F23" s="806">
        <f>'数据-取费表'!B38</f>
        <v>0.01</v>
      </c>
      <c r="G23" s="5" t="s">
        <v>1633</v>
      </c>
      <c r="H23" s="787"/>
      <c r="I23" s="787"/>
      <c r="J23" s="787"/>
      <c r="K23" s="788"/>
    </row>
    <row r="24" spans="1:33" s="793" customFormat="1" ht="13.5" customHeight="1">
      <c r="A24" s="780" t="s">
        <v>1634</v>
      </c>
      <c r="B24" s="803" t="s">
        <v>1635</v>
      </c>
      <c r="C24" s="275">
        <f>ROUND(F24/(1+'数据-取费表'!C42),4)</f>
        <v>3.0499999999999999E-2</v>
      </c>
      <c r="D24" s="276" t="s">
        <v>12</v>
      </c>
      <c r="E24" s="276"/>
      <c r="F24" s="806">
        <f>IF(项目基本情况!B8="出让",0,'数据-取费表'!B48+'数据-取费表'!B49)</f>
        <v>3.0499999999999999E-2</v>
      </c>
      <c r="G24" s="5" t="s">
        <v>1636</v>
      </c>
      <c r="H24" s="808"/>
      <c r="I24" s="808"/>
      <c r="J24" s="808"/>
      <c r="K24" s="809"/>
    </row>
    <row r="25" spans="1:33" s="793" customFormat="1" ht="13.5" customHeight="1">
      <c r="A25" s="780" t="s">
        <v>1637</v>
      </c>
      <c r="B25" s="805" t="s">
        <v>1638</v>
      </c>
      <c r="C25" s="1096">
        <f ca="1">C27</f>
        <v>0</v>
      </c>
      <c r="D25" s="275">
        <f ca="1">C26</f>
        <v>0</v>
      </c>
      <c r="E25" s="277" t="s">
        <v>12</v>
      </c>
      <c r="F25" s="278">
        <f ca="1">'数据-取费表'!B40</f>
        <v>5.4900000000000004E-2</v>
      </c>
      <c r="G25" s="131" t="str">
        <f>IF('数据-取费表'!B22&lt;=1,"单利计息。","复利计息。")&amp;"后续开发成本、管理费用及销售费用产生的利息。"</f>
        <v>复利计息。后续开发成本、管理费用及销售费用产生的利息。</v>
      </c>
      <c r="H25" s="808"/>
      <c r="I25" s="808"/>
      <c r="J25" s="808"/>
      <c r="K25" s="809"/>
    </row>
    <row r="26" spans="1:33" s="811" customFormat="1" ht="13.5" customHeight="1">
      <c r="A26" s="790" t="s">
        <v>358</v>
      </c>
      <c r="B26" s="810" t="s">
        <v>1639</v>
      </c>
      <c r="C26" s="1097">
        <f ca="1">ROUND(IF('数据-取费表'!B22&lt;=1,(1+C24)*F25*'数据-取费表'!B24,(1+C24)*(POWER((1+F25),'数据-取费表'!B24)-1)),4)</f>
        <v>0</v>
      </c>
      <c r="D26" s="279"/>
      <c r="E26" s="280"/>
      <c r="F26" s="281"/>
      <c r="G26" s="1841" t="str">
        <f>IF('数据-取费表'!B22&lt;=1,"（(1)+取得税费率/(1+5%)）×年利率×建设期","（(1)+取得税费率）/(1+5%)×((1+年利率)^建设期-1)")</f>
        <v>（(1)+取得税费率）/(1+5%)×((1+年利率)^建设期-1)</v>
      </c>
      <c r="H26" s="797"/>
      <c r="I26" s="797"/>
      <c r="J26" s="797"/>
      <c r="K26" s="798"/>
    </row>
    <row r="27" spans="1:33" s="811" customFormat="1" ht="13.5" customHeight="1">
      <c r="A27" s="790" t="s">
        <v>359</v>
      </c>
      <c r="B27" s="810" t="s">
        <v>1640</v>
      </c>
      <c r="C27" s="1098">
        <f ca="1">ROUND(IF('数据-取费表'!B22&lt;=1,(C21+C22+C23)*F25*'数据-取费表'!B24/2,(C21+C22+C23)*(POWER((1+F25),'数据-取费表'!B24/2)-1)),0)</f>
        <v>0</v>
      </c>
      <c r="D27" s="279"/>
      <c r="E27" s="280"/>
      <c r="F27" s="281"/>
      <c r="G27" s="1841" t="str">
        <f>IF('数据-取费表'!B22&lt;=1,"（1）-（3）项×年利率×建设期÷2","（1）-（3）项×((1+年利率)^(建设期÷2)-1)")</f>
        <v>（1）-（3）项×((1+年利率)^(建设期÷2)-1)</v>
      </c>
      <c r="H27" s="797"/>
      <c r="I27" s="797"/>
      <c r="J27" s="797"/>
      <c r="K27" s="798"/>
    </row>
    <row r="28" spans="1:33" s="284" customFormat="1" ht="13.5" customHeight="1">
      <c r="A28" s="780" t="s">
        <v>1641</v>
      </c>
      <c r="B28" s="1842" t="s">
        <v>1642</v>
      </c>
      <c r="C28" s="282">
        <f ca="1">C30</f>
        <v>0</v>
      </c>
      <c r="D28" s="275">
        <f ca="1">C29</f>
        <v>0</v>
      </c>
      <c r="E28" s="277" t="s">
        <v>12</v>
      </c>
      <c r="F28" s="283">
        <f ca="1">IF(C1="",'数据-取费表'!Q16,INDIRECT("'数据-取费表'!q"&amp;$K$1))</f>
        <v>0.12</v>
      </c>
      <c r="G28" s="807"/>
      <c r="H28" s="808"/>
      <c r="I28" s="808"/>
      <c r="J28" s="808"/>
      <c r="K28" s="809"/>
    </row>
    <row r="29" spans="1:33" s="286" customFormat="1" ht="13.5" customHeight="1">
      <c r="A29" s="790" t="s">
        <v>358</v>
      </c>
      <c r="B29" s="812" t="s">
        <v>1643</v>
      </c>
      <c r="C29" s="279">
        <f ca="1">ROUND((1+C24)*F28*'数据-取费表'!B24/'数据-取费表'!B20,4)</f>
        <v>0</v>
      </c>
      <c r="D29" s="279"/>
      <c r="E29" s="280"/>
      <c r="F29" s="285"/>
      <c r="G29" s="131" t="s">
        <v>1644</v>
      </c>
      <c r="H29" s="797"/>
      <c r="I29" s="797"/>
      <c r="J29" s="797"/>
      <c r="K29" s="798"/>
    </row>
    <row r="30" spans="1:33" s="286" customFormat="1" ht="13.5" customHeight="1">
      <c r="A30" s="790" t="s">
        <v>359</v>
      </c>
      <c r="B30" s="812" t="s">
        <v>1645</v>
      </c>
      <c r="C30" s="287">
        <f ca="1">ROUND((C21+C22+C23)*F28,0)</f>
        <v>0</v>
      </c>
      <c r="D30" s="279"/>
      <c r="E30" s="280"/>
      <c r="F30" s="285"/>
      <c r="G30" s="131"/>
      <c r="H30" s="797"/>
      <c r="I30" s="797"/>
      <c r="J30" s="797"/>
      <c r="K30" s="798"/>
    </row>
    <row r="31" spans="1:33" s="793" customFormat="1" ht="13.5" customHeight="1" thickBot="1">
      <c r="A31" s="1843" t="s">
        <v>1646</v>
      </c>
      <c r="B31" s="823" t="s">
        <v>1647</v>
      </c>
      <c r="C31" s="824">
        <f>ROUND(C4*F31/(1+'数据-取费表'!C42),0)</f>
        <v>0</v>
      </c>
      <c r="D31" s="825"/>
      <c r="E31" s="826"/>
      <c r="F31" s="827">
        <f>'数据-取费表'!B41</f>
        <v>5.6000000000000001E-2</v>
      </c>
      <c r="G31" s="828" t="s">
        <v>1648</v>
      </c>
      <c r="H31" s="829"/>
      <c r="I31" s="829"/>
      <c r="J31" s="829"/>
      <c r="K31" s="830"/>
    </row>
    <row r="32" spans="1:33" s="789" customFormat="1" ht="13.5" customHeight="1" thickBot="1">
      <c r="A32" s="818" t="s">
        <v>1649</v>
      </c>
      <c r="B32" s="819"/>
      <c r="C32" s="820">
        <f ca="1">ROUND((C4-C21-C22-C23-C25-C28-C31)/(1+C24+D25+D28),0)</f>
        <v>-1</v>
      </c>
      <c r="D32" s="819"/>
      <c r="E32" s="819"/>
      <c r="F32" s="819"/>
      <c r="G32" s="821" t="s">
        <v>1650</v>
      </c>
      <c r="H32" s="819"/>
      <c r="I32" s="819"/>
      <c r="J32" s="819"/>
      <c r="K32" s="82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3" customWidth="1"/>
    <col min="2" max="2" width="20.6640625" style="647" customWidth="1"/>
    <col min="3" max="3" width="11.88671875" style="647"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5.109375" style="1455" customWidth="1"/>
    <col min="12" max="12" width="16.33203125" style="253" customWidth="1"/>
    <col min="13" max="13" width="13" style="253" customWidth="1"/>
    <col min="14" max="14" width="13.77734375" style="1371" customWidth="1"/>
    <col min="15" max="15" width="5.109375" style="1371" customWidth="1"/>
    <col min="16" max="16" width="25.77734375" style="1371" customWidth="1"/>
    <col min="17" max="17" width="13.77734375" style="1371" customWidth="1"/>
    <col min="18" max="18" width="20.44140625" style="1371" customWidth="1"/>
    <col min="19" max="19" width="13.21875" style="1371" customWidth="1"/>
    <col min="20" max="37" width="9" style="1371"/>
    <col min="38" max="16384" width="9" style="253"/>
  </cols>
  <sheetData>
    <row r="1" spans="1:37" s="288" customFormat="1" ht="21.6">
      <c r="A1" s="1362" t="s">
        <v>877</v>
      </c>
      <c r="B1" s="705"/>
      <c r="C1" s="1366"/>
      <c r="D1" s="1349" t="s">
        <v>43</v>
      </c>
      <c r="E1" s="1350" t="s">
        <v>678</v>
      </c>
      <c r="F1" s="1052">
        <f ca="1">J53</f>
        <v>0</v>
      </c>
      <c r="G1" s="1365">
        <f>MATCH(C1,'数据-取费表'!A6:A16,0)+5</f>
        <v>7</v>
      </c>
      <c r="H1" s="2663"/>
      <c r="I1" s="2664"/>
      <c r="J1" s="2664"/>
      <c r="K1" s="2665"/>
      <c r="L1" s="2664"/>
      <c r="M1" s="2664"/>
      <c r="N1" s="714"/>
      <c r="O1" s="714"/>
      <c r="P1" s="714"/>
      <c r="Q1" s="714"/>
      <c r="R1" s="714"/>
      <c r="S1" s="714"/>
      <c r="T1" s="714"/>
      <c r="U1" s="714"/>
      <c r="V1" s="714"/>
      <c r="W1" s="714"/>
      <c r="X1" s="714"/>
      <c r="Y1" s="714"/>
      <c r="Z1" s="714"/>
      <c r="AA1" s="714"/>
      <c r="AB1" s="714"/>
      <c r="AC1" s="714"/>
      <c r="AD1" s="714"/>
      <c r="AE1" s="714"/>
      <c r="AF1" s="714"/>
      <c r="AG1" s="714"/>
      <c r="AH1" s="714"/>
      <c r="AI1" s="714"/>
      <c r="AJ1" s="714"/>
      <c r="AK1" s="714"/>
    </row>
    <row r="2" spans="1:37" ht="18" customHeight="1">
      <c r="A2" s="1372" t="s">
        <v>804</v>
      </c>
      <c r="B2" s="1373" t="e">
        <f ca="1">C40+J29+L46</f>
        <v>#DIV/0!</v>
      </c>
      <c r="C2" s="1374" t="s">
        <v>805</v>
      </c>
      <c r="D2" s="1374"/>
      <c r="E2" s="1375"/>
      <c r="F2" s="1376"/>
      <c r="G2" s="2677"/>
      <c r="H2" s="2666"/>
      <c r="I2" s="2666"/>
      <c r="J2" s="2666"/>
      <c r="K2" s="2667"/>
      <c r="L2" s="2666"/>
      <c r="M2" s="2666"/>
    </row>
    <row r="3" spans="1:37" ht="18" customHeight="1" thickBot="1">
      <c r="A3" s="1377" t="s">
        <v>806</v>
      </c>
      <c r="B3" s="1378">
        <f ca="1">IF(ISERROR(B2*10000/F43),0,ROUND(B2*10000/F43,0))</f>
        <v>0</v>
      </c>
      <c r="C3" s="1374" t="s">
        <v>807</v>
      </c>
      <c r="D3" s="1374"/>
      <c r="E3" s="1375"/>
      <c r="F3" s="1376"/>
      <c r="G3" s="2677"/>
      <c r="H3" s="675" t="s">
        <v>876</v>
      </c>
      <c r="I3" s="1369"/>
      <c r="J3" s="1369"/>
      <c r="K3" s="1370"/>
      <c r="L3" s="1369"/>
      <c r="M3" s="1369"/>
    </row>
    <row r="4" spans="1:37" ht="18" customHeight="1">
      <c r="A4" s="290" t="s">
        <v>687</v>
      </c>
      <c r="B4" s="291" t="s">
        <v>688</v>
      </c>
      <c r="C4" s="291" t="s">
        <v>689</v>
      </c>
      <c r="D4" s="291" t="s">
        <v>690</v>
      </c>
      <c r="E4" s="292" t="s">
        <v>691</v>
      </c>
      <c r="F4" s="293"/>
      <c r="G4" s="1371"/>
      <c r="H4" s="290" t="s">
        <v>687</v>
      </c>
      <c r="I4" s="291" t="s">
        <v>688</v>
      </c>
      <c r="J4" s="291" t="s">
        <v>689</v>
      </c>
      <c r="K4" s="291" t="s">
        <v>690</v>
      </c>
      <c r="L4" s="292" t="s">
        <v>691</v>
      </c>
      <c r="M4" s="293"/>
    </row>
    <row r="5" spans="1:37" ht="18" customHeight="1">
      <c r="A5" s="294">
        <v>1</v>
      </c>
      <c r="B5" s="295" t="s">
        <v>692</v>
      </c>
      <c r="C5" s="1060">
        <f ca="1">C6+C10+C12</f>
        <v>0</v>
      </c>
      <c r="D5" s="1351" t="s">
        <v>693</v>
      </c>
      <c r="E5" s="1061"/>
      <c r="F5" s="1062"/>
      <c r="G5" s="1371"/>
      <c r="H5" s="294">
        <v>1</v>
      </c>
      <c r="I5" s="295" t="s">
        <v>692</v>
      </c>
      <c r="J5" s="1060">
        <f ca="1">J6+J10+J12</f>
        <v>0</v>
      </c>
      <c r="K5" s="1351" t="s">
        <v>693</v>
      </c>
      <c r="L5" s="1061"/>
      <c r="M5" s="1062"/>
    </row>
    <row r="6" spans="1:37" ht="18" customHeight="1">
      <c r="A6" s="1059" t="s">
        <v>398</v>
      </c>
      <c r="B6" s="4139" t="s">
        <v>694</v>
      </c>
      <c r="C6" s="1064">
        <f ca="1">ROUND(F6*F8*F7*(1-F9)/10000,0)</f>
        <v>0</v>
      </c>
      <c r="D6" s="150" t="s">
        <v>2109</v>
      </c>
      <c r="E6" s="297" t="s">
        <v>696</v>
      </c>
      <c r="F6" s="298">
        <f ca="1">INDIRECT("'数据-取费表'!u"&amp;$G$1)</f>
        <v>0</v>
      </c>
      <c r="G6" s="1371"/>
      <c r="H6" s="1059" t="s">
        <v>398</v>
      </c>
      <c r="I6" s="4139" t="s">
        <v>694</v>
      </c>
      <c r="J6" s="296">
        <f ca="1">ROUND(M6*M8*M7*(1-M9)/10000,0)</f>
        <v>0</v>
      </c>
      <c r="K6" s="150" t="s">
        <v>2108</v>
      </c>
      <c r="L6" s="297" t="s">
        <v>696</v>
      </c>
      <c r="M6" s="298">
        <f ca="1">INDIRECT("'数据-取费表'!z"&amp;$G$1)</f>
        <v>0</v>
      </c>
    </row>
    <row r="7" spans="1:37" ht="18" customHeight="1">
      <c r="A7" s="1063"/>
      <c r="B7" s="4140"/>
      <c r="C7" s="1065"/>
      <c r="D7" s="302"/>
      <c r="E7" s="1066" t="s">
        <v>697</v>
      </c>
      <c r="F7" s="298">
        <f ca="1">IF(INDIRECT("'数据-取费表'!ah"&amp;$G$1)="",INDIRECT("'数据-取费表'!k"&amp;$G$1),INDIRECT("'数据-取费表'!ah"&amp;$G$1))</f>
        <v>0</v>
      </c>
      <c r="G7" s="1371"/>
      <c r="H7" s="299"/>
      <c r="I7" s="4140"/>
      <c r="J7" s="301"/>
      <c r="K7" s="302"/>
      <c r="L7" s="297" t="s">
        <v>697</v>
      </c>
      <c r="M7" s="298">
        <f ca="1">F7</f>
        <v>0</v>
      </c>
    </row>
    <row r="8" spans="1:37" ht="18" customHeight="1">
      <c r="A8" s="299"/>
      <c r="B8" s="4140"/>
      <c r="C8" s="301"/>
      <c r="D8" s="302"/>
      <c r="E8" s="297" t="s">
        <v>698</v>
      </c>
      <c r="F8" s="298">
        <f ca="1">INDIRECT("'数据-取费表'!ai"&amp;$G$1)</f>
        <v>0</v>
      </c>
      <c r="G8" s="1371"/>
      <c r="H8" s="299"/>
      <c r="I8" s="4140"/>
      <c r="J8" s="301"/>
      <c r="K8" s="302"/>
      <c r="L8" s="297" t="s">
        <v>698</v>
      </c>
      <c r="M8" s="298">
        <f ca="1">INDIRECT("'数据-取费表'!ai"&amp;$G$1)</f>
        <v>0</v>
      </c>
    </row>
    <row r="9" spans="1:37" ht="18" customHeight="1">
      <c r="A9" s="299"/>
      <c r="B9" s="4141"/>
      <c r="C9" s="301"/>
      <c r="D9" s="302"/>
      <c r="E9" s="297" t="s">
        <v>699</v>
      </c>
      <c r="F9" s="307">
        <f ca="1">INDIRECT("'数据-取费表'!w"&amp;$G$1)</f>
        <v>0</v>
      </c>
      <c r="G9" s="1371"/>
      <c r="H9" s="299"/>
      <c r="I9" s="4141"/>
      <c r="J9" s="301"/>
      <c r="K9" s="302"/>
      <c r="L9" s="308" t="s">
        <v>699</v>
      </c>
      <c r="M9" s="309">
        <f ca="1">INDIRECT("'数据-取费表'!ab"&amp;$G$1)</f>
        <v>0</v>
      </c>
    </row>
    <row r="10" spans="1:37" ht="18" customHeight="1">
      <c r="A10" s="1059" t="s">
        <v>402</v>
      </c>
      <c r="B10" s="1352" t="s">
        <v>700</v>
      </c>
      <c r="C10" s="311">
        <f ca="1">ROUND(IF(F10="押一",C6/12*F11,IF(F10="押二",C6/12*2*F11,IF(F10="押三",C6/12*3*F11,C11*F11))),0)</f>
        <v>0</v>
      </c>
      <c r="D10" s="1353" t="s">
        <v>2117</v>
      </c>
      <c r="E10" s="308" t="s">
        <v>701</v>
      </c>
      <c r="F10" s="1106"/>
      <c r="G10" s="1371"/>
      <c r="H10" s="1059" t="s">
        <v>402</v>
      </c>
      <c r="I10" s="1352" t="s">
        <v>700</v>
      </c>
      <c r="J10" s="296">
        <f ca="1">ROUND(IF(M10="押一",J6/12*M11,IF(M10="押二",J6/12*2*M11,IF(M10="押三",J6/12*3*M11,J11*M11))),0)</f>
        <v>0</v>
      </c>
      <c r="K10" s="1353" t="s">
        <v>2116</v>
      </c>
      <c r="L10" s="308" t="s">
        <v>701</v>
      </c>
      <c r="M10" s="1106"/>
    </row>
    <row r="11" spans="1:37" ht="18" customHeight="1">
      <c r="A11" s="303"/>
      <c r="B11" s="1354" t="s">
        <v>679</v>
      </c>
      <c r="C11" s="949"/>
      <c r="D11" s="1355"/>
      <c r="E11" s="308" t="s">
        <v>702</v>
      </c>
      <c r="F11" s="309">
        <f ca="1">'数据-取费表'!B39</f>
        <v>1.9799999999999998E-2</v>
      </c>
      <c r="G11" s="1371"/>
      <c r="H11" s="1067"/>
      <c r="I11" s="1354" t="s">
        <v>679</v>
      </c>
      <c r="J11" s="949"/>
      <c r="K11" s="676"/>
      <c r="L11" s="308" t="s">
        <v>702</v>
      </c>
      <c r="M11" s="852">
        <f ca="1">'数据-取费表'!B39</f>
        <v>1.9799999999999998E-2</v>
      </c>
    </row>
    <row r="12" spans="1:37" ht="18" customHeight="1" thickBot="1">
      <c r="A12" s="1073" t="s">
        <v>437</v>
      </c>
      <c r="B12" s="1356" t="s">
        <v>703</v>
      </c>
      <c r="C12" s="1074"/>
      <c r="D12" s="1075"/>
      <c r="E12" s="1080"/>
      <c r="F12" s="1076"/>
      <c r="G12" s="1371"/>
      <c r="H12" s="1073" t="s">
        <v>437</v>
      </c>
      <c r="I12" s="1356"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1"/>
      <c r="H13" s="1069">
        <v>2</v>
      </c>
      <c r="I13" s="1070" t="s">
        <v>704</v>
      </c>
      <c r="J13" s="1058">
        <f ca="1">ROUND(J14*J15,0)</f>
        <v>0</v>
      </c>
      <c r="K13" s="1077" t="s">
        <v>705</v>
      </c>
      <c r="L13" s="1379"/>
      <c r="M13" s="1380"/>
    </row>
    <row r="14" spans="1:37" ht="18" customHeight="1">
      <c r="A14" s="972" t="s">
        <v>397</v>
      </c>
      <c r="B14" s="297" t="s">
        <v>707</v>
      </c>
      <c r="C14" s="313">
        <f ca="1">INDIRECT("'数据-取费表'!m"&amp;$G$1)+INDIRECT("'数据-取费表'!t"&amp;$G$1)</f>
        <v>0</v>
      </c>
      <c r="D14" s="1332" t="s">
        <v>708</v>
      </c>
      <c r="E14" s="1329"/>
      <c r="F14" s="314"/>
      <c r="G14" s="1371"/>
      <c r="H14" s="972" t="s">
        <v>398</v>
      </c>
      <c r="I14" s="297" t="s">
        <v>709</v>
      </c>
      <c r="J14" s="21">
        <f ca="1">C29</f>
        <v>0</v>
      </c>
      <c r="K14" s="12"/>
      <c r="L14" s="797"/>
      <c r="M14" s="798"/>
    </row>
    <row r="15" spans="1:37" s="1384" customFormat="1" ht="18" customHeight="1" thickBot="1">
      <c r="A15" s="972" t="s">
        <v>399</v>
      </c>
      <c r="B15" s="297" t="s">
        <v>710</v>
      </c>
      <c r="C15" s="21">
        <f ca="1">ROUND(C14*F15,0)</f>
        <v>0</v>
      </c>
      <c r="D15" s="315" t="s">
        <v>711</v>
      </c>
      <c r="E15" s="315" t="s">
        <v>712</v>
      </c>
      <c r="F15" s="316">
        <f>'数据-取费表'!B33</f>
        <v>0.03</v>
      </c>
      <c r="G15" s="1383"/>
      <c r="H15" s="1079" t="s">
        <v>402</v>
      </c>
      <c r="I15" s="1080" t="s">
        <v>706</v>
      </c>
      <c r="J15" s="1089">
        <f ca="1">INDIRECT("'数据-取费表'!ad"&amp;$G$1)</f>
        <v>0</v>
      </c>
      <c r="K15" s="1090"/>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1"/>
      <c r="H16" s="1069" t="s">
        <v>393</v>
      </c>
      <c r="I16" s="1070" t="s">
        <v>714</v>
      </c>
      <c r="J16" s="305">
        <f ca="1">ROUND(J17+J22+J23+J24,0)</f>
        <v>0</v>
      </c>
      <c r="K16" s="1077" t="s">
        <v>715</v>
      </c>
      <c r="L16" s="1078"/>
      <c r="M16" s="1062"/>
    </row>
    <row r="17" spans="1:37" s="1384" customFormat="1" ht="18" customHeight="1">
      <c r="A17" s="972" t="s">
        <v>681</v>
      </c>
      <c r="B17" s="297" t="s">
        <v>716</v>
      </c>
      <c r="C17" s="21">
        <f ca="1">ROUND(F17*(F43+INDIRECT("'数据-取费表'!S"&amp;$G$1))/10000,0)</f>
        <v>0</v>
      </c>
      <c r="D17" s="297" t="s">
        <v>717</v>
      </c>
      <c r="E17" s="297" t="s">
        <v>718</v>
      </c>
      <c r="F17" s="23">
        <f>'数据-取费表'!B35</f>
        <v>200</v>
      </c>
      <c r="G17" s="1383"/>
      <c r="H17" s="972" t="s">
        <v>398</v>
      </c>
      <c r="I17" s="297" t="s">
        <v>719</v>
      </c>
      <c r="J17" s="2288">
        <f ca="1">ROUND(IF(AND(项目基本情况!B11="自然人",项目基本情况!B10="北京市"),J6*M17/(1+'数据-取费表'!C42),J18+J19+J20),2)</f>
        <v>0</v>
      </c>
      <c r="K17" s="1332" t="s">
        <v>720</v>
      </c>
      <c r="L17" s="1331" t="s">
        <v>721</v>
      </c>
      <c r="M17" s="2287">
        <f ca="1">IF(项目基本情况!B11="企业","",IF('数据-取费表'!B10="住宅",IF(M6*M7*M8/12/(1+'数据-取费表'!F30)&gt;100000,4%,2.5%),IF(M6*M7*M8/12/(1+'数据-取费表'!F30)&gt;100000,12%,7%)))</f>
        <v>7.0000000000000007E-2</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72" t="s">
        <v>682</v>
      </c>
      <c r="B18" s="297" t="s">
        <v>722</v>
      </c>
      <c r="C18" s="21">
        <f ca="1">ROUND(C14*F18,0)</f>
        <v>0</v>
      </c>
      <c r="D18" s="297" t="s">
        <v>711</v>
      </c>
      <c r="E18" s="297" t="s">
        <v>712</v>
      </c>
      <c r="F18" s="317">
        <f>'数据-取费表'!B36</f>
        <v>1.4999999999999999E-2</v>
      </c>
      <c r="G18" s="1383"/>
      <c r="H18" s="972" t="s">
        <v>397</v>
      </c>
      <c r="I18" s="297" t="s">
        <v>723</v>
      </c>
      <c r="J18" s="21">
        <f ca="1">ROUND(J6*M18/(1+'数据-取费表'!C42),2)</f>
        <v>0</v>
      </c>
      <c r="K18" s="1331" t="s">
        <v>724</v>
      </c>
      <c r="L18" s="297" t="s">
        <v>712</v>
      </c>
      <c r="M18" s="317">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72" t="s">
        <v>398</v>
      </c>
      <c r="B19" s="297" t="s">
        <v>725</v>
      </c>
      <c r="C19" s="21">
        <f ca="1">SUM(C14:C18)</f>
        <v>0</v>
      </c>
      <c r="D19" s="131" t="s">
        <v>726</v>
      </c>
      <c r="E19" s="1347"/>
      <c r="F19" s="23"/>
      <c r="G19" s="1371"/>
      <c r="H19" s="972" t="s">
        <v>399</v>
      </c>
      <c r="I19" s="297" t="s">
        <v>727</v>
      </c>
      <c r="J19" s="21">
        <f ca="1">IF(K19="按租金收入计税",ROUND(J6*M19/(1+'数据-取费表'!C42),2),ROUND(C29*M19*0.7,2))</f>
        <v>0</v>
      </c>
      <c r="K19" s="1357" t="s">
        <v>3338</v>
      </c>
      <c r="L19" s="297" t="s">
        <v>712</v>
      </c>
      <c r="M19" s="317">
        <f>IF(K19="按租金收入计税",'数据-取费表'!B51,'数据-取费表'!B50)</f>
        <v>0.12</v>
      </c>
    </row>
    <row r="20" spans="1:37" s="1384" customFormat="1" ht="18" customHeight="1">
      <c r="A20" s="972" t="s">
        <v>402</v>
      </c>
      <c r="B20" s="297" t="s">
        <v>728</v>
      </c>
      <c r="C20" s="21">
        <f ca="1">ROUND(C19*F20,0)</f>
        <v>0</v>
      </c>
      <c r="D20" s="318" t="s">
        <v>729</v>
      </c>
      <c r="E20" s="297" t="s">
        <v>712</v>
      </c>
      <c r="F20" s="317">
        <f>'数据-取费表'!B37</f>
        <v>0.01</v>
      </c>
      <c r="G20" s="1383"/>
      <c r="H20" s="972" t="s">
        <v>680</v>
      </c>
      <c r="I20" s="150" t="s">
        <v>730</v>
      </c>
      <c r="J20" s="22">
        <f ca="1">ROUND(M20*M21/10000,2)</f>
        <v>0</v>
      </c>
      <c r="K20" s="319" t="s">
        <v>731</v>
      </c>
      <c r="L20" s="297" t="s">
        <v>732</v>
      </c>
      <c r="M20" s="320">
        <f>'数据-取费表'!B52</f>
        <v>0</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72" t="s">
        <v>437</v>
      </c>
      <c r="B21" s="297" t="s">
        <v>733</v>
      </c>
      <c r="C21" s="21" t="s">
        <v>15</v>
      </c>
      <c r="D21" s="318" t="s">
        <v>734</v>
      </c>
      <c r="E21" s="297" t="s">
        <v>735</v>
      </c>
      <c r="F21" s="317">
        <f>'数据-取费表'!B38</f>
        <v>0.01</v>
      </c>
      <c r="G21" s="1383"/>
      <c r="H21" s="321"/>
      <c r="I21" s="306"/>
      <c r="J21" s="26"/>
      <c r="K21" s="322"/>
      <c r="L21" s="297" t="s">
        <v>736</v>
      </c>
      <c r="M21" s="298">
        <f ca="1">INDIRECT("'数据-取费表'!r"&amp;$G$1)</f>
        <v>0</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72" t="s">
        <v>683</v>
      </c>
      <c r="B22" s="297" t="s">
        <v>737</v>
      </c>
      <c r="C22" s="21"/>
      <c r="D22" s="131" t="str">
        <f>IF(F23&lt;=1,"单利计息。","复利计息。")&amp;"建造成本、管理费用、销售费用产生的利息。"</f>
        <v>复利计息。建造成本、管理费用、销售费用产生的利息。</v>
      </c>
      <c r="E22" s="1347"/>
      <c r="F22" s="23"/>
      <c r="G22" s="1371"/>
      <c r="H22" s="972" t="s">
        <v>402</v>
      </c>
      <c r="I22" s="297" t="s">
        <v>738</v>
      </c>
      <c r="J22" s="21">
        <f ca="1">ROUND(J14*M22,2)</f>
        <v>0</v>
      </c>
      <c r="K22" s="1331" t="s">
        <v>739</v>
      </c>
      <c r="L22" s="297" t="s">
        <v>712</v>
      </c>
      <c r="M22" s="323">
        <f ca="1">INDIRECT("'数据-取费表'!Ak"&amp;$G$1)</f>
        <v>0</v>
      </c>
    </row>
    <row r="23" spans="1:37" s="1384"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3"/>
      <c r="H23" s="972" t="s">
        <v>437</v>
      </c>
      <c r="I23" s="297" t="s">
        <v>742</v>
      </c>
      <c r="J23" s="21">
        <f ca="1">ROUND(J13*M23,2)</f>
        <v>0</v>
      </c>
      <c r="K23" s="1331" t="s">
        <v>743</v>
      </c>
      <c r="L23" s="297" t="s">
        <v>744</v>
      </c>
      <c r="M23" s="325">
        <f ca="1">INDIRECT("'数据-取费表'!Al"&amp;$G$1)</f>
        <v>0</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72"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3"/>
      <c r="H24" s="1079" t="s">
        <v>684</v>
      </c>
      <c r="I24" s="1080" t="s">
        <v>728</v>
      </c>
      <c r="J24" s="1081">
        <f ca="1">ROUND(J5*M24,2)</f>
        <v>0</v>
      </c>
      <c r="K24" s="1082" t="s">
        <v>748</v>
      </c>
      <c r="L24" s="1080" t="s">
        <v>744</v>
      </c>
      <c r="M24" s="1076">
        <f ca="1">INDIRECT("'数据-取费表'!Am"&amp;$G$1)</f>
        <v>0</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24" customHeight="1" thickTop="1">
      <c r="A25" s="972" t="s">
        <v>749</v>
      </c>
      <c r="B25" s="297" t="s">
        <v>750</v>
      </c>
      <c r="C25" s="21"/>
      <c r="D25" s="131" t="s">
        <v>751</v>
      </c>
      <c r="E25" s="1347"/>
      <c r="F25" s="23"/>
      <c r="G25" s="1371"/>
      <c r="H25" s="1069" t="s">
        <v>394</v>
      </c>
      <c r="I25" s="1084" t="s">
        <v>752</v>
      </c>
      <c r="J25" s="305">
        <f ca="1">J5-J16</f>
        <v>0</v>
      </c>
      <c r="K25" s="1085" t="s">
        <v>753</v>
      </c>
      <c r="L25" s="1086"/>
      <c r="M25" s="1087"/>
    </row>
    <row r="26" spans="1:37">
      <c r="A26" s="972" t="s">
        <v>397</v>
      </c>
      <c r="B26" s="297" t="s">
        <v>754</v>
      </c>
      <c r="C26" s="21">
        <f ca="1">ROUND((C19+C20)*F26,0)</f>
        <v>0</v>
      </c>
      <c r="D26" s="318" t="s">
        <v>755</v>
      </c>
      <c r="E26" s="308" t="s">
        <v>756</v>
      </c>
      <c r="F26" s="307">
        <f ca="1">INDIRECT("'数据-取费表'!q"&amp;$G$1)</f>
        <v>0</v>
      </c>
      <c r="G26" s="1371"/>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1"/>
      <c r="H27" s="299"/>
      <c r="I27" s="300"/>
      <c r="J27" s="301"/>
      <c r="K27" s="327" t="s">
        <v>762</v>
      </c>
      <c r="L27" s="297" t="s">
        <v>763</v>
      </c>
      <c r="M27" s="328">
        <f ca="1">INDIRECT("'数据-取费表'!ag"&amp;$G$1)</f>
        <v>0</v>
      </c>
    </row>
    <row r="28" spans="1:37" s="1384" customFormat="1" ht="18" customHeight="1">
      <c r="A28" s="972" t="s">
        <v>400</v>
      </c>
      <c r="B28" s="297" t="s">
        <v>764</v>
      </c>
      <c r="C28" s="21">
        <f>ROUND(F28/(1+'数据-取费表'!C42),4)</f>
        <v>5.6000000000000001E-2</v>
      </c>
      <c r="D28" s="318" t="s">
        <v>765</v>
      </c>
      <c r="E28" s="297" t="s">
        <v>712</v>
      </c>
      <c r="F28" s="317">
        <f>'数据-取费表'!B41</f>
        <v>5.6000000000000001E-2</v>
      </c>
      <c r="G28" s="1383"/>
      <c r="H28" s="303"/>
      <c r="I28" s="304"/>
      <c r="J28" s="305"/>
      <c r="K28" s="322"/>
      <c r="L28" s="297" t="s">
        <v>766</v>
      </c>
      <c r="M28" s="307">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9" t="s">
        <v>401</v>
      </c>
      <c r="B29" s="1080" t="s">
        <v>767</v>
      </c>
      <c r="C29" s="1081">
        <f ca="1">ROUND((C19+C20+C23+C26)/(1-F21-C24-C27-C28),0)</f>
        <v>0</v>
      </c>
      <c r="D29" s="1082"/>
      <c r="E29" s="1080"/>
      <c r="F29" s="1083"/>
      <c r="G29" s="1383"/>
      <c r="H29" s="329" t="s">
        <v>396</v>
      </c>
      <c r="I29" s="330" t="s">
        <v>768</v>
      </c>
      <c r="J29" s="331">
        <f ca="1">ROUND(J26/(1+F40)^F41,0)</f>
        <v>0</v>
      </c>
      <c r="K29" s="332" t="s">
        <v>769</v>
      </c>
      <c r="L29" s="333"/>
      <c r="M29" s="334">
        <f ca="1">INDIRECT("'数据-取费表'!k"&amp;$G$1)</f>
        <v>0</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9" t="s">
        <v>393</v>
      </c>
      <c r="B30" s="1070" t="s">
        <v>714</v>
      </c>
      <c r="C30" s="305">
        <f ca="1">ROUND(C31+C36+C37+C38,0)</f>
        <v>0</v>
      </c>
      <c r="D30" s="1077" t="s">
        <v>715</v>
      </c>
      <c r="E30" s="1078"/>
      <c r="F30" s="1062"/>
      <c r="G30" s="1371"/>
      <c r="H30" s="2668"/>
      <c r="I30" s="1385"/>
      <c r="J30" s="1386"/>
      <c r="K30" s="2446"/>
      <c r="L30" s="2669"/>
      <c r="M30" s="2670"/>
    </row>
    <row r="31" spans="1:37" ht="18" customHeight="1">
      <c r="A31" s="972" t="s">
        <v>398</v>
      </c>
      <c r="B31" s="297" t="s">
        <v>719</v>
      </c>
      <c r="C31" s="2288">
        <f ca="1">ROUND(IF(AND(项目基本情况!B11="自然人",项目基本情况!B10="北京市"),C6*F31/(1+'数据-取费表'!C42),C32+C33+C34),2)</f>
        <v>0</v>
      </c>
      <c r="D31" s="1332" t="s">
        <v>720</v>
      </c>
      <c r="E31" s="1331" t="s">
        <v>770</v>
      </c>
      <c r="F31" s="2287">
        <f ca="1">IF(项目基本情况!B11="企业","——",IF(M47="住宅",IF(F6*F7*F8/12/(1+'数据-取费表'!F30)&gt;100000,4%,2.5%),IF(F6*F7*F8/12/(1+'数据-取费表'!F30)&gt;100000,12%,7%)))</f>
        <v>7.0000000000000007E-2</v>
      </c>
      <c r="G31" s="1371"/>
      <c r="H31" s="2779" t="s">
        <v>2308</v>
      </c>
      <c r="I31" s="1385"/>
      <c r="J31" s="1386"/>
      <c r="K31" s="2446"/>
      <c r="L31" s="2669"/>
      <c r="M31" s="2670"/>
    </row>
    <row r="32" spans="1:37" ht="18" customHeight="1">
      <c r="A32" s="972" t="s">
        <v>397</v>
      </c>
      <c r="B32" s="297" t="s">
        <v>723</v>
      </c>
      <c r="C32" s="21" t="str">
        <f>IF(项目基本情况!B11="自然人","——",ROUND(C6*F32/(1+'数据-取费表'!C42),2))</f>
        <v>——</v>
      </c>
      <c r="D32" s="1331" t="s">
        <v>724</v>
      </c>
      <c r="E32" s="297" t="s">
        <v>712</v>
      </c>
      <c r="F32" s="326">
        <f>'数据-取费表'!B41</f>
        <v>5.6000000000000001E-2</v>
      </c>
      <c r="G32" s="1371"/>
      <c r="H32" s="2668"/>
      <c r="I32" s="1385"/>
      <c r="J32" s="1386"/>
      <c r="K32" s="2446"/>
      <c r="L32" s="2669"/>
      <c r="M32" s="2670"/>
    </row>
    <row r="33" spans="1:18" ht="18" customHeight="1">
      <c r="A33" s="972" t="s">
        <v>399</v>
      </c>
      <c r="B33" s="297" t="s">
        <v>727</v>
      </c>
      <c r="C33" s="21" t="str">
        <f ca="1">IF(项目基本情况!B11="自然人","——",IF(D33="按租金收入计税",ROUND(C6*F33/(1+'数据-取费表'!C42),2),IF(D33="按房产原值计税",ROUND(C29*F33*0.7,2),INDIRECT("'数据-取费表'!Aj"&amp;$G$1))))</f>
        <v>——</v>
      </c>
      <c r="D33" s="1357" t="s">
        <v>3338</v>
      </c>
      <c r="E33" s="297" t="s">
        <v>712</v>
      </c>
      <c r="F33" s="317">
        <f>IF(D33="按票据","——",IF(D33="按租金收入计税",'数据-取费表'!B51,'数据-取费表'!B50))</f>
        <v>0.12</v>
      </c>
      <c r="G33" s="1371"/>
      <c r="H33" s="2671"/>
      <c r="I33" s="1385"/>
      <c r="J33" s="1386"/>
      <c r="K33" s="2672"/>
      <c r="L33" s="2671"/>
      <c r="M33" s="2671"/>
    </row>
    <row r="34" spans="1:18" ht="18" customHeight="1">
      <c r="A34" s="1059" t="s">
        <v>680</v>
      </c>
      <c r="B34" s="150" t="s">
        <v>730</v>
      </c>
      <c r="C34" s="22" t="str">
        <f>IF(项目基本情况!B11="自然人","——",ROUND(F34*F35/10000,2))</f>
        <v>——</v>
      </c>
      <c r="D34" s="319" t="s">
        <v>731</v>
      </c>
      <c r="E34" s="297" t="s">
        <v>732</v>
      </c>
      <c r="F34" s="320">
        <f>'数据-取费表'!B52</f>
        <v>0</v>
      </c>
      <c r="G34" s="1371"/>
      <c r="H34" s="2668"/>
      <c r="I34" s="1385"/>
      <c r="J34" s="1386"/>
      <c r="K34" s="2673"/>
      <c r="L34" s="2674"/>
      <c r="M34" s="2674"/>
    </row>
    <row r="35" spans="1:18" ht="18" customHeight="1">
      <c r="A35" s="1093"/>
      <c r="B35" s="1091"/>
      <c r="C35" s="26"/>
      <c r="D35" s="322"/>
      <c r="E35" s="297" t="s">
        <v>736</v>
      </c>
      <c r="F35" s="298">
        <f ca="1">INDIRECT("'数据-取费表'!r"&amp;$G$1)</f>
        <v>0</v>
      </c>
      <c r="G35" s="1371"/>
      <c r="H35" s="2668"/>
      <c r="I35" s="1385"/>
      <c r="J35" s="1386"/>
      <c r="K35" s="2672"/>
      <c r="L35" s="2671"/>
      <c r="M35" s="2671"/>
    </row>
    <row r="36" spans="1:18" ht="18" customHeight="1">
      <c r="A36" s="1092" t="s">
        <v>402</v>
      </c>
      <c r="B36" s="297" t="s">
        <v>738</v>
      </c>
      <c r="C36" s="21">
        <f ca="1">ROUND(C29*F36,2)</f>
        <v>0</v>
      </c>
      <c r="D36" s="1331" t="s">
        <v>771</v>
      </c>
      <c r="E36" s="297" t="s">
        <v>712</v>
      </c>
      <c r="F36" s="323">
        <f ca="1">INDIRECT("'数据-取费表'!Ak"&amp;$G$1)</f>
        <v>0</v>
      </c>
      <c r="G36" s="1371"/>
      <c r="H36" s="2671"/>
      <c r="I36" s="1385"/>
      <c r="J36" s="1386"/>
      <c r="K36" s="2515"/>
      <c r="L36" s="2671"/>
      <c r="M36" s="2671"/>
    </row>
    <row r="37" spans="1:18" ht="18" customHeight="1">
      <c r="A37" s="972" t="s">
        <v>437</v>
      </c>
      <c r="B37" s="297" t="s">
        <v>742</v>
      </c>
      <c r="C37" s="21">
        <f ca="1">ROUND(C13*F37,2)</f>
        <v>0</v>
      </c>
      <c r="D37" s="1331" t="s">
        <v>743</v>
      </c>
      <c r="E37" s="297" t="s">
        <v>744</v>
      </c>
      <c r="F37" s="325">
        <f ca="1">INDIRECT("'数据-取费表'!Al"&amp;$G$1)</f>
        <v>0</v>
      </c>
      <c r="G37" s="1371"/>
      <c r="H37" s="2671"/>
      <c r="I37" s="1385"/>
      <c r="J37" s="1386"/>
      <c r="K37" s="2515"/>
      <c r="L37" s="2671"/>
      <c r="M37" s="2671"/>
    </row>
    <row r="38" spans="1:18" ht="18" customHeight="1" thickBot="1">
      <c r="A38" s="1079" t="s">
        <v>684</v>
      </c>
      <c r="B38" s="1080" t="s">
        <v>728</v>
      </c>
      <c r="C38" s="1081">
        <f ca="1">ROUND(C5*F38,2)</f>
        <v>0</v>
      </c>
      <c r="D38" s="1082" t="s">
        <v>748</v>
      </c>
      <c r="E38" s="1080" t="s">
        <v>744</v>
      </c>
      <c r="F38" s="1076">
        <f ca="1">INDIRECT("'数据-取费表'!Am"&amp;$G$1)</f>
        <v>0</v>
      </c>
      <c r="G38" s="1371"/>
      <c r="H38" s="2671"/>
      <c r="I38" s="1385"/>
      <c r="J38" s="1386"/>
      <c r="K38" s="2675"/>
      <c r="L38" s="2671"/>
      <c r="M38" s="2671"/>
    </row>
    <row r="39" spans="1:18" ht="24.6" customHeight="1" thickTop="1">
      <c r="A39" s="1069" t="s">
        <v>394</v>
      </c>
      <c r="B39" s="1084" t="s">
        <v>772</v>
      </c>
      <c r="C39" s="305">
        <f ca="1">C5-C30</f>
        <v>0</v>
      </c>
      <c r="D39" s="1085" t="s">
        <v>773</v>
      </c>
      <c r="E39" s="1086"/>
      <c r="F39" s="1087"/>
      <c r="G39" s="1371"/>
      <c r="H39" s="2671"/>
      <c r="I39" s="1385"/>
      <c r="J39" s="1386"/>
      <c r="K39" s="2675"/>
      <c r="L39" s="2671"/>
      <c r="M39" s="2671"/>
    </row>
    <row r="40" spans="1:18" ht="18" customHeight="1">
      <c r="A40" s="294" t="s">
        <v>395</v>
      </c>
      <c r="B40" s="295" t="s">
        <v>774</v>
      </c>
      <c r="C40" s="296" t="e">
        <f ca="1">ROUND(C39*(1-((1+F42)/(1+F40))^F41)/(F40-F42),0)</f>
        <v>#DIV/0!</v>
      </c>
      <c r="D40" s="319" t="s">
        <v>758</v>
      </c>
      <c r="E40" s="297" t="s">
        <v>759</v>
      </c>
      <c r="F40" s="307">
        <f ca="1">INDIRECT("'数据-取费表'!I"&amp;$G$1)</f>
        <v>0</v>
      </c>
      <c r="G40" s="1371"/>
      <c r="H40" s="1448"/>
      <c r="I40" s="1385"/>
      <c r="J40" s="1386"/>
      <c r="K40" s="2675"/>
      <c r="L40" s="1448"/>
      <c r="M40" s="1448"/>
    </row>
    <row r="41" spans="1:18" ht="18" customHeight="1">
      <c r="A41" s="299"/>
      <c r="B41" s="300"/>
      <c r="C41" s="301"/>
      <c r="D41" s="327" t="s">
        <v>775</v>
      </c>
      <c r="E41" s="297" t="s">
        <v>763</v>
      </c>
      <c r="F41" s="328">
        <f ca="1">IF(INDIRECT("'数据-取费表'!af"&amp;$G$1)=0,INDIRECT("'数据-取费表'!ae"&amp;$G$1),INDIRECT("'数据-取费表'!af"&amp;$G$1))</f>
        <v>0</v>
      </c>
      <c r="G41" s="1371"/>
      <c r="H41" s="1178"/>
      <c r="I41" s="1385"/>
      <c r="J41" s="1386"/>
      <c r="K41" s="2515"/>
      <c r="L41" s="1178"/>
      <c r="M41" s="1178"/>
    </row>
    <row r="42" spans="1:18" ht="18" customHeight="1">
      <c r="A42" s="303"/>
      <c r="B42" s="304"/>
      <c r="C42" s="305"/>
      <c r="D42" s="322"/>
      <c r="E42" s="297" t="s">
        <v>766</v>
      </c>
      <c r="F42" s="307">
        <f ca="1">INDIRECT("'数据-取费表'!v"&amp;$G$1)</f>
        <v>0</v>
      </c>
      <c r="G42" s="1371"/>
      <c r="H42" s="1178"/>
      <c r="I42" s="1385"/>
      <c r="J42" s="1386"/>
      <c r="K42" s="2515"/>
      <c r="L42" s="1178"/>
      <c r="M42" s="1178"/>
    </row>
    <row r="43" spans="1:18" ht="18" customHeight="1" thickBot="1">
      <c r="A43" s="329" t="s">
        <v>396</v>
      </c>
      <c r="B43" s="330" t="s">
        <v>776</v>
      </c>
      <c r="C43" s="331" t="e">
        <f ca="1">ROUND(C40*10000/F43,0)</f>
        <v>#DIV/0!</v>
      </c>
      <c r="D43" s="332" t="s">
        <v>777</v>
      </c>
      <c r="E43" s="333" t="s">
        <v>778</v>
      </c>
      <c r="F43" s="334">
        <f ca="1">INDIRECT("'数据-取费表'!k"&amp;$G$1)</f>
        <v>0</v>
      </c>
      <c r="G43" s="1371"/>
      <c r="H43" s="1178"/>
      <c r="I43" s="1178"/>
      <c r="J43" s="1178"/>
      <c r="K43" s="2515"/>
      <c r="L43" s="1178"/>
      <c r="M43" s="1178"/>
    </row>
    <row r="44" spans="1:18" s="1371" customFormat="1" ht="18" customHeight="1">
      <c r="A44" s="1387"/>
      <c r="B44" s="1387"/>
      <c r="C44" s="1388"/>
      <c r="D44" s="1387"/>
      <c r="E44" s="1387"/>
      <c r="F44" s="1387"/>
      <c r="K44" s="1389"/>
    </row>
    <row r="45" spans="1:18" s="1371" customFormat="1" ht="18" customHeight="1" thickBot="1">
      <c r="A45" s="1387"/>
      <c r="B45" s="1387"/>
      <c r="C45" s="1388"/>
      <c r="D45" s="1387"/>
      <c r="E45" s="1387"/>
      <c r="F45" s="1387"/>
      <c r="J45" s="716"/>
      <c r="O45" s="2676" t="s">
        <v>808</v>
      </c>
      <c r="P45" s="1448"/>
      <c r="Q45" s="1448"/>
      <c r="R45" s="1448"/>
    </row>
    <row r="46" spans="1:18" s="1371" customFormat="1" ht="13.8" thickBot="1">
      <c r="A46" s="1391" t="s">
        <v>809</v>
      </c>
      <c r="C46" s="1392" t="e">
        <f ca="1">C68-C40</f>
        <v>#DIV/0!</v>
      </c>
      <c r="D46" s="1393" t="str">
        <f>C2</f>
        <v>万元</v>
      </c>
      <c r="E46" s="1387"/>
      <c r="F46" s="1387"/>
      <c r="I46" s="1394" t="s">
        <v>810</v>
      </c>
      <c r="J46" s="1395"/>
      <c r="K46" s="1396"/>
      <c r="L46" s="1397" t="e">
        <f ca="1">IF(M47="住宅",0,IF(L48&gt;J51,L60,J60))</f>
        <v>#DIV/0!</v>
      </c>
      <c r="O46" s="1398" t="s">
        <v>811</v>
      </c>
      <c r="P46" s="1399" t="s">
        <v>812</v>
      </c>
      <c r="Q46" s="1400" t="s">
        <v>813</v>
      </c>
      <c r="R46" s="1400" t="s">
        <v>814</v>
      </c>
    </row>
    <row r="47" spans="1:18" s="1371" customFormat="1" ht="13.8" thickBot="1">
      <c r="A47" s="936" t="s">
        <v>687</v>
      </c>
      <c r="B47" s="968" t="s">
        <v>688</v>
      </c>
      <c r="C47" s="1107" t="s">
        <v>689</v>
      </c>
      <c r="D47" s="968" t="s">
        <v>690</v>
      </c>
      <c r="E47" s="1048" t="s">
        <v>691</v>
      </c>
      <c r="F47" s="1049"/>
      <c r="G47" s="712"/>
      <c r="I47" s="1401" t="s">
        <v>815</v>
      </c>
      <c r="J47" s="1402"/>
      <c r="K47" s="1403" t="s">
        <v>816</v>
      </c>
      <c r="L47" s="1404">
        <f ca="1">INDIRECT("'数据-取费表'!d"&amp;$G$1)</f>
        <v>0</v>
      </c>
      <c r="M47" s="1367" t="str">
        <f>IF(ISNUMBER(FIND("住宅",C1)),"住宅","非住宅")</f>
        <v>非住宅</v>
      </c>
      <c r="O47" s="1405" t="s">
        <v>403</v>
      </c>
      <c r="P47" s="1406" t="s">
        <v>817</v>
      </c>
      <c r="Q47" s="1407" t="e">
        <f ca="1">C40+J29</f>
        <v>#DIV/0!</v>
      </c>
      <c r="R47" s="1407" t="s">
        <v>818</v>
      </c>
    </row>
    <row r="48" spans="1:18" s="1371" customFormat="1" ht="40.200000000000003" thickBot="1">
      <c r="A48" s="1100" t="s">
        <v>438</v>
      </c>
      <c r="B48" s="295" t="s">
        <v>692</v>
      </c>
      <c r="C48" s="1346">
        <f ca="1">C49+C53+C55</f>
        <v>0</v>
      </c>
      <c r="D48" s="1102"/>
      <c r="E48" s="1103"/>
      <c r="F48" s="952"/>
      <c r="G48" s="712"/>
      <c r="H48" s="713"/>
      <c r="I48" s="1408" t="s">
        <v>819</v>
      </c>
      <c r="J48" s="1409"/>
      <c r="K48" s="1410" t="s">
        <v>820</v>
      </c>
      <c r="L48" s="1411">
        <f ca="1">INDIRECT("'数据-取费表'!f"&amp;$G$1)</f>
        <v>0</v>
      </c>
      <c r="O48" s="1405" t="s">
        <v>404</v>
      </c>
      <c r="P48" s="1406" t="s">
        <v>821</v>
      </c>
      <c r="Q48" s="1407" t="e">
        <f ca="1">J60</f>
        <v>#DIV/0!</v>
      </c>
      <c r="R48" s="1407" t="s">
        <v>822</v>
      </c>
    </row>
    <row r="49" spans="1:18" s="1371" customFormat="1" ht="13.8" thickBot="1">
      <c r="A49" s="965" t="s">
        <v>439</v>
      </c>
      <c r="B49" s="1358" t="s">
        <v>779</v>
      </c>
      <c r="C49" s="1104">
        <f ca="1">ROUND(F49*F51*F50*(1-F52)/10000,0)</f>
        <v>0</v>
      </c>
      <c r="D49" s="1045" t="s">
        <v>2110</v>
      </c>
      <c r="E49" s="1359" t="s">
        <v>780</v>
      </c>
      <c r="F49" s="1050"/>
      <c r="G49" s="1412"/>
      <c r="H49" s="713"/>
      <c r="I49" s="1408" t="s">
        <v>823</v>
      </c>
      <c r="J49" s="1413"/>
      <c r="K49" s="1410" t="s">
        <v>824</v>
      </c>
      <c r="L49" s="1414"/>
      <c r="O49" s="1415" t="s">
        <v>405</v>
      </c>
      <c r="P49" s="1406" t="s">
        <v>825</v>
      </c>
      <c r="Q49" s="1407">
        <f ca="1">C29</f>
        <v>0</v>
      </c>
      <c r="R49" s="1407" t="s">
        <v>818</v>
      </c>
    </row>
    <row r="50" spans="1:18" s="1371" customFormat="1" ht="13.8" thickBot="1">
      <c r="A50" s="966"/>
      <c r="B50" s="969"/>
      <c r="C50" s="1108"/>
      <c r="D50" s="943"/>
      <c r="E50" s="1046" t="s">
        <v>697</v>
      </c>
      <c r="F50" s="1047">
        <f ca="1">F7</f>
        <v>0</v>
      </c>
      <c r="H50" s="713"/>
      <c r="I50" s="1408" t="s">
        <v>826</v>
      </c>
      <c r="J50" s="1416">
        <f>SUMPRODUCT((I63:I65=J47)*(J62:L62=J48)*(J63:L65))</f>
        <v>0</v>
      </c>
      <c r="K50" s="1410" t="s">
        <v>827</v>
      </c>
      <c r="L50" s="1414"/>
      <c r="M50" s="1417"/>
      <c r="O50" s="1415" t="s">
        <v>406</v>
      </c>
      <c r="P50" s="1406" t="s">
        <v>828</v>
      </c>
      <c r="Q50" s="1418" t="e">
        <f ca="1">J58</f>
        <v>#DIV/0!</v>
      </c>
      <c r="R50" s="1407"/>
    </row>
    <row r="51" spans="1:18" s="1371" customFormat="1" ht="13.8" thickBot="1">
      <c r="A51" s="967"/>
      <c r="B51" s="969"/>
      <c r="C51" s="970"/>
      <c r="D51" s="943"/>
      <c r="E51" s="971" t="s">
        <v>698</v>
      </c>
      <c r="F51" s="298">
        <f ca="1">F8</f>
        <v>0</v>
      </c>
      <c r="I51" s="1419" t="s">
        <v>829</v>
      </c>
      <c r="J51" s="1420">
        <f>IF(J49="",J50,J49+J50-YEAR('数据-取费表'!B2))</f>
        <v>0</v>
      </c>
      <c r="K51" s="1421" t="s">
        <v>830</v>
      </c>
      <c r="L51" s="1422">
        <f ca="1">ROUND(-PV(INDIRECT("'数据-取费表'!h"&amp;$G$1),J51,(C39-C13*C76),0),0)</f>
        <v>0</v>
      </c>
      <c r="M51" s="1423"/>
      <c r="O51" s="1415" t="s">
        <v>407</v>
      </c>
      <c r="P51" s="1406" t="s">
        <v>831</v>
      </c>
      <c r="Q51" s="1418">
        <f>J52</f>
        <v>0</v>
      </c>
      <c r="R51" s="1407"/>
    </row>
    <row r="52" spans="1:18" s="1371" customFormat="1" ht="13.8" thickBot="1">
      <c r="A52" s="967"/>
      <c r="B52" s="969"/>
      <c r="C52" s="970"/>
      <c r="D52" s="943"/>
      <c r="E52" s="971" t="s">
        <v>699</v>
      </c>
      <c r="F52" s="1044"/>
      <c r="I52" s="1424" t="s">
        <v>832</v>
      </c>
      <c r="J52" s="1425"/>
      <c r="K52" s="1424" t="s">
        <v>833</v>
      </c>
      <c r="L52" s="1425"/>
      <c r="O52" s="1415" t="s">
        <v>408</v>
      </c>
      <c r="P52" s="1406" t="s">
        <v>834</v>
      </c>
      <c r="Q52" s="1407">
        <f ca="1">J53</f>
        <v>0</v>
      </c>
      <c r="R52" s="1407" t="s">
        <v>835</v>
      </c>
    </row>
    <row r="53" spans="1:18" s="1371" customFormat="1" ht="36.6" thickBot="1">
      <c r="A53" s="1140" t="s">
        <v>440</v>
      </c>
      <c r="B53" s="1360" t="s">
        <v>700</v>
      </c>
      <c r="C53" s="311">
        <f ca="1">ROUND(IF(F53="押一",C49/12*F11,IF(F53="押二",C49/12*2*F11,IF(F53="押三",C49/12*3*F11,C54*F11))),0)</f>
        <v>0</v>
      </c>
      <c r="D53" s="1353" t="s">
        <v>2116</v>
      </c>
      <c r="E53" s="308" t="s">
        <v>701</v>
      </c>
      <c r="F53" s="1106"/>
      <c r="I53" s="1426" t="s">
        <v>836</v>
      </c>
      <c r="J53" s="2140">
        <f ca="1">IF(M47="住宅",IF(D1="——",MAX(J51,L48),MAX(J51,L48-'数据-取费表'!B24)),IF(D1="——",MIN(J51,L48),MIN(J51,L48-'数据-取费表'!B24)))</f>
        <v>0</v>
      </c>
      <c r="K53" s="4137" t="s">
        <v>837</v>
      </c>
      <c r="L53" s="4138"/>
      <c r="O53" s="1405" t="s">
        <v>409</v>
      </c>
      <c r="P53" s="1406" t="s">
        <v>838</v>
      </c>
      <c r="Q53" s="1407" t="e">
        <f ca="1">Q47+Q48</f>
        <v>#DIV/0!</v>
      </c>
      <c r="R53" s="1407" t="s">
        <v>410</v>
      </c>
    </row>
    <row r="54" spans="1:18" s="1371" customFormat="1" ht="24.6" thickBot="1">
      <c r="A54" s="1141"/>
      <c r="B54" s="1354" t="s">
        <v>679</v>
      </c>
      <c r="C54" s="949"/>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9"/>
      <c r="K54" s="1429"/>
      <c r="L54" s="1429"/>
      <c r="M54" s="1412"/>
      <c r="O54" s="1390" t="s">
        <v>839</v>
      </c>
      <c r="P54" s="1368"/>
      <c r="Q54" s="1368"/>
      <c r="R54" s="1368"/>
    </row>
    <row r="55" spans="1:18" s="1371" customFormat="1" ht="13.8" thickBot="1">
      <c r="A55" s="1073" t="s">
        <v>437</v>
      </c>
      <c r="B55" s="1356" t="s">
        <v>703</v>
      </c>
      <c r="C55" s="1074"/>
      <c r="D55" s="1353"/>
      <c r="E55" s="1361"/>
      <c r="F55" s="1427"/>
      <c r="I55" s="1430" t="s">
        <v>840</v>
      </c>
      <c r="J55" s="1431" t="e">
        <f ca="1">ROUND(IF(J47="钢混",J57/J50,1-(1-2%)*(J50-J57)/J50),3)</f>
        <v>#DIV/0!</v>
      </c>
      <c r="K55" s="1432" t="s">
        <v>841</v>
      </c>
      <c r="L55" s="1433"/>
      <c r="O55" s="1398" t="s">
        <v>811</v>
      </c>
      <c r="P55" s="1399" t="s">
        <v>812</v>
      </c>
      <c r="Q55" s="1400" t="s">
        <v>813</v>
      </c>
      <c r="R55" s="1400" t="s">
        <v>814</v>
      </c>
    </row>
    <row r="56" spans="1:18" s="1371" customFormat="1" ht="37.200000000000003" thickTop="1" thickBot="1">
      <c r="A56" s="947">
        <v>2</v>
      </c>
      <c r="B56" s="948" t="s">
        <v>704</v>
      </c>
      <c r="C56" s="227">
        <f ca="1">C13</f>
        <v>0</v>
      </c>
      <c r="D56" s="1434"/>
      <c r="E56" s="1435"/>
      <c r="F56" s="1427"/>
      <c r="I56" s="1436" t="s">
        <v>842</v>
      </c>
      <c r="J56" s="1437"/>
      <c r="K56" s="1408" t="s">
        <v>843</v>
      </c>
      <c r="L56" s="1411">
        <f ca="1">IF(L48&lt;J51,"——",L48-J53)</f>
        <v>0</v>
      </c>
      <c r="O56" s="1405" t="s">
        <v>403</v>
      </c>
      <c r="P56" s="1406" t="s">
        <v>817</v>
      </c>
      <c r="Q56" s="1407" t="e">
        <f ca="1">C40+J29</f>
        <v>#DIV/0!</v>
      </c>
      <c r="R56" s="1407" t="s">
        <v>818</v>
      </c>
    </row>
    <row r="57" spans="1:18" s="1371" customFormat="1" ht="24.6" thickBot="1">
      <c r="A57" s="1438"/>
      <c r="B57" s="940" t="s">
        <v>767</v>
      </c>
      <c r="C57" s="233">
        <f ca="1">C29</f>
        <v>0</v>
      </c>
      <c r="D57" s="1439"/>
      <c r="E57" s="1440"/>
      <c r="F57" s="1441"/>
      <c r="I57" s="1442" t="s">
        <v>844</v>
      </c>
      <c r="J57" s="1443">
        <f ca="1">IF(OR(M47="住宅",J51&lt;L48,J56="是"),"——",J51-L48)</f>
        <v>0</v>
      </c>
      <c r="K57" s="1408" t="s">
        <v>845</v>
      </c>
      <c r="L57" s="1411">
        <f ca="1">IF(L48&lt;J51,"——",IF(L55="比较法",L49,IF(L55="基准地价",L50,L51)))</f>
        <v>0</v>
      </c>
      <c r="O57" s="1405" t="s">
        <v>404</v>
      </c>
      <c r="P57" s="1406" t="s">
        <v>846</v>
      </c>
      <c r="Q57" s="1407" t="e">
        <f ca="1">L60</f>
        <v>#DIV/0!</v>
      </c>
      <c r="R57" s="1407" t="s">
        <v>847</v>
      </c>
    </row>
    <row r="58" spans="1:18" s="1371" customFormat="1" ht="24.6" thickBot="1">
      <c r="A58" s="310" t="s">
        <v>393</v>
      </c>
      <c r="B58" s="948" t="s">
        <v>714</v>
      </c>
      <c r="C58" s="311">
        <f ca="1">ROUND(C59+C64+C65+C66,0)</f>
        <v>0</v>
      </c>
      <c r="D58" s="950" t="s">
        <v>715</v>
      </c>
      <c r="E58" s="951"/>
      <c r="F58" s="952"/>
      <c r="I58" s="1442" t="s">
        <v>848</v>
      </c>
      <c r="J58" s="1444" t="e">
        <f ca="1">IF(J55&lt;0.4,0.4,J55)</f>
        <v>#DIV/0!</v>
      </c>
      <c r="K58" s="1421" t="s">
        <v>849</v>
      </c>
      <c r="L58" s="1411" t="e">
        <f ca="1">ROUND(POWER(1+L52,L47-L48)*(POWER(1+L52,L48)-1)/(POWER(1+L52,L47)-1),4)</f>
        <v>#DIV/0!</v>
      </c>
      <c r="O58" s="1415" t="s">
        <v>405</v>
      </c>
      <c r="P58" s="1406" t="s">
        <v>850</v>
      </c>
      <c r="Q58" s="1407">
        <f>IF(L55="比较法",L49,IF(L55="基准地价",L50,0))</f>
        <v>0</v>
      </c>
      <c r="R58" s="1407" t="s">
        <v>818</v>
      </c>
    </row>
    <row r="59" spans="1:18" s="1371" customFormat="1" ht="24.6" thickBot="1">
      <c r="A59" s="972" t="s">
        <v>398</v>
      </c>
      <c r="B59" s="940" t="s">
        <v>719</v>
      </c>
      <c r="C59" s="2288">
        <f ca="1">ROUND(IF(AND(项目基本情况!B11="自然人",项目基本情况!B10="北京市"),C49*F59/(1+'数据-取费表'!C42),C60+C61+C62),0)</f>
        <v>0</v>
      </c>
      <c r="D59" s="953" t="s">
        <v>720</v>
      </c>
      <c r="E59" s="954" t="s">
        <v>721</v>
      </c>
      <c r="F59" s="2287">
        <f ca="1">IF(项目基本情况!B11="企业","——",IF('数据-取费表'!B10="住宅",IF(F49*F50*F51/12/(1+'数据-取费表'!F30)&gt;100000,4%,2.5%),IF(F49*F50*F51/12/(1+'数据-取费表'!F30)&gt;100000,12%,7%)))</f>
        <v>7.0000000000000007E-2</v>
      </c>
      <c r="I59" s="1442" t="s">
        <v>851</v>
      </c>
      <c r="J59" s="1443" t="e">
        <f ca="1">IF(OR(M47="住宅",J51&lt;L48,J56="是"),"——",ROUND(C29*J58,0))</f>
        <v>#DIV/0!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5" t="s">
        <v>406</v>
      </c>
      <c r="P59" s="1406" t="s">
        <v>852</v>
      </c>
      <c r="Q59" s="1418">
        <f>L52</f>
        <v>0</v>
      </c>
      <c r="R59" s="1407"/>
    </row>
    <row r="60" spans="1:18" s="1371" customFormat="1" ht="16.2" thickBot="1">
      <c r="A60" s="972" t="s">
        <v>397</v>
      </c>
      <c r="B60" s="940" t="s">
        <v>723</v>
      </c>
      <c r="C60" s="21" t="str">
        <f>IF(项目基本情况!B11="自然人","——",ROUND(C48*F60/(1+'数据-取费表'!C42),2))</f>
        <v>——</v>
      </c>
      <c r="D60" s="954" t="s">
        <v>724</v>
      </c>
      <c r="E60" s="940" t="s">
        <v>712</v>
      </c>
      <c r="F60" s="326">
        <f t="shared" ref="F60:F66" si="0">F32</f>
        <v>5.6000000000000001E-2</v>
      </c>
      <c r="I60" s="1445" t="s">
        <v>853</v>
      </c>
      <c r="J60" s="1446" t="e">
        <f ca="1">IF(OR(M47="住宅",J51&lt;L48,J56="是"),"0",ROUND(J59/(1+J52)^J53,0))</f>
        <v>#DIV/0!</v>
      </c>
      <c r="K60" s="1447" t="s">
        <v>854</v>
      </c>
      <c r="L60" s="1446" t="e">
        <f ca="1">IF(OR(M47="住宅",L48&lt;J51),0,ROUND(L57*(L58/L59-1),0))</f>
        <v>#DIV/0!</v>
      </c>
      <c r="O60" s="1415" t="s">
        <v>407</v>
      </c>
      <c r="P60" s="1406" t="s">
        <v>855</v>
      </c>
      <c r="Q60" s="1407" t="e">
        <f ca="1">L58</f>
        <v>#DIV/0!</v>
      </c>
      <c r="R60" s="1407" t="s">
        <v>856</v>
      </c>
    </row>
    <row r="61" spans="1:18" s="1371" customFormat="1" ht="13.8" thickBot="1">
      <c r="A61" s="972" t="s">
        <v>781</v>
      </c>
      <c r="B61" s="940" t="s">
        <v>782</v>
      </c>
      <c r="C61" s="21" t="str">
        <f ca="1">IF(项目基本情况!B11="自然人","——",IF(D61="按租金收入计税",ROUND(C49*F61/(1+'数据-取费表'!C42),2),IF(D61="按房产原值计税",ROUND(C57*F61*0.7,2),INDIRECT("'数据-取费表'!Aj"&amp;$G$1))))</f>
        <v>——</v>
      </c>
      <c r="D61" s="1357" t="s">
        <v>3338</v>
      </c>
      <c r="E61" s="940" t="s">
        <v>783</v>
      </c>
      <c r="F61" s="317">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8" thickBot="1">
      <c r="A62" s="972" t="s">
        <v>784</v>
      </c>
      <c r="B62" s="939" t="s">
        <v>785</v>
      </c>
      <c r="C62" s="22" t="str">
        <f>IF(项目基本情况!B11="自然人","——",ROUND(F62*F63/10000,2))</f>
        <v>——</v>
      </c>
      <c r="D62" s="955" t="s">
        <v>786</v>
      </c>
      <c r="E62" s="940" t="s">
        <v>787</v>
      </c>
      <c r="F62" s="320">
        <f t="shared" si="0"/>
        <v>0</v>
      </c>
      <c r="I62" s="1449" t="s">
        <v>858</v>
      </c>
      <c r="J62" s="1450" t="s">
        <v>859</v>
      </c>
      <c r="K62" s="1450" t="s">
        <v>860</v>
      </c>
      <c r="L62" s="1450" t="s">
        <v>861</v>
      </c>
      <c r="M62" s="1451" t="s">
        <v>862</v>
      </c>
      <c r="O62" s="1405" t="s">
        <v>409</v>
      </c>
      <c r="P62" s="1406" t="s">
        <v>863</v>
      </c>
      <c r="Q62" s="1407" t="e">
        <f ca="1">Q56+Q57</f>
        <v>#DIV/0!</v>
      </c>
      <c r="R62" s="1407" t="s">
        <v>410</v>
      </c>
    </row>
    <row r="63" spans="1:18" s="1371" customFormat="1" ht="13.8" thickBot="1">
      <c r="A63" s="321"/>
      <c r="B63" s="946"/>
      <c r="C63" s="26"/>
      <c r="D63" s="956"/>
      <c r="E63" s="940" t="s">
        <v>788</v>
      </c>
      <c r="F63" s="298">
        <f t="shared" ca="1" si="0"/>
        <v>0</v>
      </c>
      <c r="I63" s="1449" t="s">
        <v>864</v>
      </c>
      <c r="J63" s="1450">
        <v>70</v>
      </c>
      <c r="K63" s="1450">
        <v>50</v>
      </c>
      <c r="L63" s="1450">
        <v>80</v>
      </c>
      <c r="M63" s="1452">
        <v>0.02</v>
      </c>
      <c r="O63" s="1390" t="s">
        <v>865</v>
      </c>
      <c r="P63" s="1368"/>
      <c r="Q63" s="1368"/>
      <c r="R63" s="1368"/>
    </row>
    <row r="64" spans="1:18" s="1371" customFormat="1" ht="13.8" thickBot="1">
      <c r="A64" s="972" t="s">
        <v>789</v>
      </c>
      <c r="B64" s="940" t="s">
        <v>790</v>
      </c>
      <c r="C64" s="21">
        <f ca="1">ROUND(C57*F64,2)</f>
        <v>0</v>
      </c>
      <c r="D64" s="954" t="s">
        <v>791</v>
      </c>
      <c r="E64" s="940" t="s">
        <v>783</v>
      </c>
      <c r="F64" s="323">
        <f t="shared" ca="1" si="0"/>
        <v>0</v>
      </c>
      <c r="I64" s="1449" t="s">
        <v>866</v>
      </c>
      <c r="J64" s="1450">
        <v>50</v>
      </c>
      <c r="K64" s="1450">
        <v>35</v>
      </c>
      <c r="L64" s="1450">
        <v>60</v>
      </c>
      <c r="M64" s="1451">
        <v>0</v>
      </c>
      <c r="O64" s="1398" t="s">
        <v>811</v>
      </c>
      <c r="P64" s="1399" t="s">
        <v>812</v>
      </c>
      <c r="Q64" s="1400" t="s">
        <v>813</v>
      </c>
      <c r="R64" s="1400" t="s">
        <v>814</v>
      </c>
    </row>
    <row r="65" spans="1:18" s="1371" customFormat="1" ht="13.8" thickBot="1">
      <c r="A65" s="972" t="s">
        <v>792</v>
      </c>
      <c r="B65" s="940" t="s">
        <v>742</v>
      </c>
      <c r="C65" s="21">
        <f ca="1">ROUND(C56*F65,2)</f>
        <v>0</v>
      </c>
      <c r="D65" s="954" t="s">
        <v>743</v>
      </c>
      <c r="E65" s="940" t="s">
        <v>744</v>
      </c>
      <c r="F65" s="325">
        <f t="shared" ca="1" si="0"/>
        <v>0</v>
      </c>
      <c r="I65" s="1449" t="s">
        <v>867</v>
      </c>
      <c r="J65" s="1450">
        <v>40</v>
      </c>
      <c r="K65" s="1450">
        <v>30</v>
      </c>
      <c r="L65" s="1450">
        <v>50</v>
      </c>
      <c r="M65" s="1452">
        <v>0.02</v>
      </c>
      <c r="O65" s="1405" t="s">
        <v>403</v>
      </c>
      <c r="P65" s="1406" t="s">
        <v>868</v>
      </c>
      <c r="Q65" s="1407" t="e">
        <f ca="1">C40+J29</f>
        <v>#DIV/0!</v>
      </c>
      <c r="R65" s="1407" t="s">
        <v>818</v>
      </c>
    </row>
    <row r="66" spans="1:18" s="1371" customFormat="1" ht="16.2" thickBot="1">
      <c r="A66" s="972" t="s">
        <v>793</v>
      </c>
      <c r="B66" s="940" t="s">
        <v>728</v>
      </c>
      <c r="C66" s="21">
        <f ca="1">ROUND(C48*F66,2)</f>
        <v>0</v>
      </c>
      <c r="D66" s="954" t="s">
        <v>794</v>
      </c>
      <c r="E66" s="940" t="s">
        <v>712</v>
      </c>
      <c r="F66" s="307">
        <f t="shared" ca="1" si="0"/>
        <v>0</v>
      </c>
      <c r="O66" s="1405" t="s">
        <v>404</v>
      </c>
      <c r="P66" s="1406" t="s">
        <v>846</v>
      </c>
      <c r="Q66" s="1407" t="e">
        <f ca="1">L60</f>
        <v>#DIV/0!</v>
      </c>
      <c r="R66" s="1407" t="s">
        <v>869</v>
      </c>
    </row>
    <row r="67" spans="1:18" s="1371" customFormat="1" ht="24.6" thickBot="1">
      <c r="A67" s="947" t="s">
        <v>394</v>
      </c>
      <c r="B67" s="957" t="s">
        <v>752</v>
      </c>
      <c r="C67" s="311">
        <f ca="1">C48-C58</f>
        <v>0</v>
      </c>
      <c r="D67" s="953" t="s">
        <v>753</v>
      </c>
      <c r="E67" s="958"/>
      <c r="F67" s="959"/>
      <c r="O67" s="1415" t="s">
        <v>405</v>
      </c>
      <c r="P67" s="1406" t="s">
        <v>850</v>
      </c>
      <c r="Q67" s="1453">
        <f ca="1">L51</f>
        <v>0</v>
      </c>
      <c r="R67" s="1407" t="s">
        <v>870</v>
      </c>
    </row>
    <row r="68" spans="1:18" s="1371" customFormat="1" ht="16.2" thickBot="1">
      <c r="A68" s="937" t="s">
        <v>395</v>
      </c>
      <c r="B68" s="938" t="s">
        <v>774</v>
      </c>
      <c r="C68" s="296" t="e">
        <f ca="1">ROUND(C67*(1-((1+F70)/(1+F68))^F69)/(F68-F70),0)</f>
        <v>#DIV/0!</v>
      </c>
      <c r="D68" s="955" t="s">
        <v>758</v>
      </c>
      <c r="E68" s="940" t="s">
        <v>759</v>
      </c>
      <c r="F68" s="307">
        <f ca="1">F40</f>
        <v>0</v>
      </c>
      <c r="O68" s="1415" t="s">
        <v>406</v>
      </c>
      <c r="P68" s="1454" t="s">
        <v>871</v>
      </c>
      <c r="Q68" s="1407">
        <f ca="1">ROUND(Q69-Q70*Q71,0)</f>
        <v>0</v>
      </c>
      <c r="R68" s="1407" t="s">
        <v>414</v>
      </c>
    </row>
    <row r="69" spans="1:18" s="1371" customFormat="1" ht="13.8" thickBot="1">
      <c r="A69" s="941"/>
      <c r="B69" s="942"/>
      <c r="C69" s="301"/>
      <c r="D69" s="960" t="s">
        <v>762</v>
      </c>
      <c r="E69" s="940" t="s">
        <v>763</v>
      </c>
      <c r="F69" s="328">
        <f ca="1">F41</f>
        <v>0</v>
      </c>
      <c r="O69" s="1415" t="s">
        <v>411</v>
      </c>
      <c r="P69" s="1454" t="s">
        <v>872</v>
      </c>
      <c r="Q69" s="1407">
        <f ca="1">C39</f>
        <v>0</v>
      </c>
      <c r="R69" s="1407" t="s">
        <v>818</v>
      </c>
    </row>
    <row r="70" spans="1:18" s="1371" customFormat="1" ht="13.8" thickBot="1">
      <c r="A70" s="944"/>
      <c r="B70" s="945"/>
      <c r="C70" s="305"/>
      <c r="D70" s="956"/>
      <c r="E70" s="940" t="s">
        <v>766</v>
      </c>
      <c r="F70" s="1044"/>
      <c r="O70" s="1415" t="s">
        <v>412</v>
      </c>
      <c r="P70" s="1454" t="s">
        <v>873</v>
      </c>
      <c r="Q70" s="1407">
        <f ca="1">C13</f>
        <v>0</v>
      </c>
      <c r="R70" s="1407" t="s">
        <v>818</v>
      </c>
    </row>
    <row r="71" spans="1:18" s="1371" customFormat="1" ht="13.8" thickBot="1">
      <c r="A71" s="961" t="s">
        <v>396</v>
      </c>
      <c r="B71" s="962" t="s">
        <v>776</v>
      </c>
      <c r="C71" s="331" t="e">
        <f ca="1">ROUND(C68*10000/F71,0)</f>
        <v>#DIV/0!</v>
      </c>
      <c r="D71" s="963" t="s">
        <v>777</v>
      </c>
      <c r="E71" s="964" t="s">
        <v>778</v>
      </c>
      <c r="F71" s="334">
        <f ca="1">F43</f>
        <v>0</v>
      </c>
      <c r="O71" s="1415" t="s">
        <v>413</v>
      </c>
      <c r="P71" s="1454" t="s">
        <v>874</v>
      </c>
      <c r="Q71" s="1418">
        <f ca="1">C76</f>
        <v>0</v>
      </c>
      <c r="R71" s="1407"/>
    </row>
    <row r="72" spans="1:18" s="1371" customFormat="1" ht="13.8" thickBot="1">
      <c r="B72" s="716"/>
      <c r="C72" s="716"/>
      <c r="O72" s="1415" t="s">
        <v>407</v>
      </c>
      <c r="P72" s="1406" t="s">
        <v>852</v>
      </c>
      <c r="Q72" s="1418">
        <f>L52</f>
        <v>0</v>
      </c>
      <c r="R72" s="1407"/>
    </row>
    <row r="73" spans="1:18" ht="16.2" thickBot="1">
      <c r="A73" s="1371"/>
      <c r="B73" s="716"/>
      <c r="C73" s="716"/>
      <c r="D73" s="1371"/>
      <c r="E73" s="1371"/>
      <c r="F73" s="1371"/>
      <c r="O73" s="1415" t="s">
        <v>408</v>
      </c>
      <c r="P73" s="1406" t="s">
        <v>855</v>
      </c>
      <c r="Q73" s="1407" t="e">
        <f ca="1">L58</f>
        <v>#DIV/0!</v>
      </c>
      <c r="R73" s="1407" t="s">
        <v>856</v>
      </c>
    </row>
    <row r="74" spans="1:18" ht="13.8" thickBot="1">
      <c r="A74" s="1371"/>
      <c r="B74" s="268" t="s">
        <v>875</v>
      </c>
      <c r="C74" s="1456"/>
      <c r="D74" s="1371"/>
      <c r="E74" s="1371"/>
      <c r="F74" s="1371"/>
      <c r="O74" s="1415" t="s">
        <v>415</v>
      </c>
      <c r="P74" s="1406" t="str">
        <f>K59</f>
        <v>建筑物剩余耐用年限下的土地年期修正系数Kn</v>
      </c>
      <c r="Q74" s="1407" t="e">
        <f ca="1">L59</f>
        <v>#DIV/0!</v>
      </c>
      <c r="R74" s="1407" t="s">
        <v>857</v>
      </c>
    </row>
    <row r="75" spans="1:18" ht="13.8" thickBot="1">
      <c r="A75" s="1371"/>
      <c r="B75" s="335" t="s">
        <v>795</v>
      </c>
      <c r="C75" s="336">
        <f ca="1">ROUND(C13*C76,0)</f>
        <v>0</v>
      </c>
      <c r="D75" s="1371"/>
      <c r="E75" s="1371"/>
      <c r="F75" s="1371"/>
      <c r="K75" s="1389"/>
      <c r="L75" s="1371"/>
      <c r="O75" s="1405" t="s">
        <v>409</v>
      </c>
      <c r="P75" s="1406" t="s">
        <v>838</v>
      </c>
      <c r="Q75" s="1407" t="e">
        <f ca="1">Q65+Q66</f>
        <v>#DIV/0!</v>
      </c>
      <c r="R75" s="1407" t="s">
        <v>410</v>
      </c>
    </row>
    <row r="76" spans="1:18">
      <c r="B76" s="337" t="s">
        <v>796</v>
      </c>
      <c r="C76" s="338">
        <f ca="1">INDIRECT("'数据-取费表'!j"&amp;$G$1)</f>
        <v>0</v>
      </c>
      <c r="I76" s="1371"/>
      <c r="J76" s="1371"/>
      <c r="K76" s="1389"/>
      <c r="L76" s="1371"/>
    </row>
    <row r="77" spans="1:18">
      <c r="B77" s="339" t="s">
        <v>797</v>
      </c>
      <c r="C77" s="340"/>
      <c r="I77" s="1371"/>
      <c r="J77" s="1371"/>
      <c r="K77" s="1389"/>
      <c r="L77" s="1371"/>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3" customWidth="1"/>
    <col min="2" max="2" width="20.6640625" style="647" customWidth="1"/>
    <col min="3" max="3" width="11.88671875" style="647"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0.109375" style="1455" customWidth="1"/>
    <col min="12" max="12" width="16.33203125" style="253" customWidth="1"/>
    <col min="13" max="13" width="13" style="253" customWidth="1"/>
    <col min="14" max="14" width="13.77734375" style="1371" customWidth="1"/>
    <col min="15" max="15" width="5.109375" style="1371" customWidth="1"/>
    <col min="16" max="16" width="25.77734375" style="1371" customWidth="1"/>
    <col min="17" max="17" width="13.77734375" style="1371" customWidth="1"/>
    <col min="18" max="18" width="20.44140625" style="1371" customWidth="1"/>
    <col min="19" max="19" width="13.21875" style="1371" customWidth="1"/>
    <col min="20" max="37" width="9" style="1371"/>
    <col min="38" max="16384" width="9" style="253"/>
  </cols>
  <sheetData>
    <row r="1" spans="1:37" s="288" customFormat="1" ht="21.6">
      <c r="A1" s="1362" t="s">
        <v>877</v>
      </c>
      <c r="B1" s="705"/>
      <c r="C1" s="1366"/>
      <c r="D1" s="1349" t="s">
        <v>43</v>
      </c>
      <c r="E1" s="1350" t="s">
        <v>678</v>
      </c>
      <c r="F1" s="1052">
        <f ca="1">J53</f>
        <v>0</v>
      </c>
      <c r="G1" s="1365">
        <f>MATCH(C1,'数据-取费表'!A6:A16,0)+5</f>
        <v>7</v>
      </c>
      <c r="H1" s="2663"/>
      <c r="I1" s="2664"/>
      <c r="J1" s="2664"/>
      <c r="K1" s="2665"/>
      <c r="L1" s="2664"/>
      <c r="M1" s="2664"/>
      <c r="N1" s="714"/>
      <c r="O1" s="714"/>
      <c r="P1" s="714"/>
      <c r="Q1" s="714"/>
      <c r="R1" s="714"/>
      <c r="S1" s="714"/>
      <c r="T1" s="714"/>
      <c r="U1" s="714"/>
      <c r="V1" s="714"/>
      <c r="W1" s="714"/>
      <c r="X1" s="714"/>
      <c r="Y1" s="714"/>
      <c r="Z1" s="714"/>
      <c r="AA1" s="714"/>
      <c r="AB1" s="714"/>
      <c r="AC1" s="714"/>
      <c r="AD1" s="714"/>
      <c r="AE1" s="714"/>
      <c r="AF1" s="714"/>
      <c r="AG1" s="714"/>
      <c r="AH1" s="714"/>
      <c r="AI1" s="714"/>
      <c r="AJ1" s="714"/>
      <c r="AK1" s="714"/>
    </row>
    <row r="2" spans="1:37" ht="18" customHeight="1">
      <c r="A2" s="1372" t="s">
        <v>878</v>
      </c>
      <c r="B2" s="3396" t="e">
        <f ca="1">ROUND(D2/10000,4)</f>
        <v>#DIV/0!</v>
      </c>
      <c r="C2" s="1374" t="s">
        <v>879</v>
      </c>
      <c r="D2" s="1458" t="e">
        <f ca="1">C40+J29+L46</f>
        <v>#DIV/0!</v>
      </c>
      <c r="E2" s="1375" t="s">
        <v>880</v>
      </c>
      <c r="F2" s="1376"/>
      <c r="G2" s="2677"/>
      <c r="H2" s="2666"/>
      <c r="I2" s="2666"/>
      <c r="J2" s="2666"/>
      <c r="K2" s="2667"/>
      <c r="L2" s="2666"/>
      <c r="M2" s="2666"/>
    </row>
    <row r="3" spans="1:37" ht="18" customHeight="1" thickBot="1">
      <c r="A3" s="1377" t="s">
        <v>881</v>
      </c>
      <c r="B3" s="1378">
        <f ca="1">IF(ISERROR(D2/F43),0,ROUND(D2/F43,0))</f>
        <v>0</v>
      </c>
      <c r="C3" s="1374" t="s">
        <v>882</v>
      </c>
      <c r="D3" s="1374"/>
      <c r="E3" s="1375"/>
      <c r="F3" s="1376"/>
      <c r="G3" s="2677"/>
      <c r="H3" s="675" t="s">
        <v>876</v>
      </c>
      <c r="I3" s="1369"/>
      <c r="J3" s="1369"/>
      <c r="K3" s="1370"/>
      <c r="L3" s="1369"/>
      <c r="M3" s="1369"/>
    </row>
    <row r="4" spans="1:37" ht="18" customHeight="1">
      <c r="A4" s="290" t="s">
        <v>883</v>
      </c>
      <c r="B4" s="291" t="s">
        <v>884</v>
      </c>
      <c r="C4" s="291" t="s">
        <v>885</v>
      </c>
      <c r="D4" s="291" t="s">
        <v>886</v>
      </c>
      <c r="E4" s="292" t="s">
        <v>887</v>
      </c>
      <c r="F4" s="293"/>
      <c r="G4" s="1371"/>
      <c r="H4" s="290" t="s">
        <v>883</v>
      </c>
      <c r="I4" s="291" t="s">
        <v>884</v>
      </c>
      <c r="J4" s="291" t="s">
        <v>885</v>
      </c>
      <c r="K4" s="291" t="s">
        <v>886</v>
      </c>
      <c r="L4" s="292" t="s">
        <v>887</v>
      </c>
      <c r="M4" s="293"/>
    </row>
    <row r="5" spans="1:37" ht="18" customHeight="1">
      <c r="A5" s="294">
        <v>1</v>
      </c>
      <c r="B5" s="295" t="s">
        <v>888</v>
      </c>
      <c r="C5" s="1060">
        <f ca="1">C6+C10+C12</f>
        <v>0</v>
      </c>
      <c r="D5" s="1351" t="s">
        <v>889</v>
      </c>
      <c r="E5" s="1061"/>
      <c r="F5" s="1062"/>
      <c r="G5" s="1371"/>
      <c r="H5" s="294">
        <v>1</v>
      </c>
      <c r="I5" s="295" t="s">
        <v>888</v>
      </c>
      <c r="J5" s="1060">
        <f ca="1">J6+J10+J12</f>
        <v>0</v>
      </c>
      <c r="K5" s="1351" t="s">
        <v>889</v>
      </c>
      <c r="L5" s="1061"/>
      <c r="M5" s="1062"/>
    </row>
    <row r="6" spans="1:37" ht="18" customHeight="1">
      <c r="A6" s="1059" t="s">
        <v>398</v>
      </c>
      <c r="B6" s="4139" t="s">
        <v>694</v>
      </c>
      <c r="C6" s="1064">
        <f ca="1">ROUND(F6*F8*F7*(1-F9),0)</f>
        <v>0</v>
      </c>
      <c r="D6" s="150" t="s">
        <v>2106</v>
      </c>
      <c r="E6" s="297" t="s">
        <v>696</v>
      </c>
      <c r="F6" s="298">
        <f ca="1">INDIRECT("'数据-取费表'!u"&amp;$G$1)</f>
        <v>0</v>
      </c>
      <c r="G6" s="1371"/>
      <c r="H6" s="1059" t="s">
        <v>398</v>
      </c>
      <c r="I6" s="4139" t="s">
        <v>694</v>
      </c>
      <c r="J6" s="296">
        <f ca="1">ROUND(M6*M8*M7*(1-M9),0)</f>
        <v>0</v>
      </c>
      <c r="K6" s="1363" t="s">
        <v>2107</v>
      </c>
      <c r="L6" s="297" t="s">
        <v>696</v>
      </c>
      <c r="M6" s="298">
        <f ca="1">INDIRECT("'数据-取费表'!z"&amp;$G$1)</f>
        <v>0</v>
      </c>
    </row>
    <row r="7" spans="1:37" ht="18" customHeight="1">
      <c r="A7" s="1063"/>
      <c r="B7" s="4140"/>
      <c r="C7" s="1065"/>
      <c r="D7" s="302"/>
      <c r="E7" s="1066" t="s">
        <v>697</v>
      </c>
      <c r="F7" s="298">
        <f ca="1">IF(INDIRECT("'数据-取费表'!ah"&amp;$G$1)="",INDIRECT("'数据-取费表'!k"&amp;$G$1),INDIRECT("'数据-取费表'!ah"&amp;$G$1))</f>
        <v>0</v>
      </c>
      <c r="G7" s="1371"/>
      <c r="H7" s="299"/>
      <c r="I7" s="4140"/>
      <c r="J7" s="301"/>
      <c r="K7" s="302"/>
      <c r="L7" s="297" t="s">
        <v>697</v>
      </c>
      <c r="M7" s="298">
        <f ca="1">F7</f>
        <v>0</v>
      </c>
    </row>
    <row r="8" spans="1:37" ht="18" customHeight="1">
      <c r="A8" s="299"/>
      <c r="B8" s="4140"/>
      <c r="C8" s="301"/>
      <c r="D8" s="302"/>
      <c r="E8" s="297" t="s">
        <v>698</v>
      </c>
      <c r="F8" s="298">
        <f ca="1">INDIRECT("'数据-取费表'!ai"&amp;$G$1)</f>
        <v>0</v>
      </c>
      <c r="G8" s="1371"/>
      <c r="H8" s="299"/>
      <c r="I8" s="4140"/>
      <c r="J8" s="301"/>
      <c r="K8" s="302"/>
      <c r="L8" s="297" t="s">
        <v>698</v>
      </c>
      <c r="M8" s="298">
        <f ca="1">INDIRECT("'数据-取费表'!ai"&amp;$G$1)</f>
        <v>0</v>
      </c>
    </row>
    <row r="9" spans="1:37" ht="18" customHeight="1">
      <c r="A9" s="299"/>
      <c r="B9" s="4141"/>
      <c r="C9" s="301"/>
      <c r="D9" s="302"/>
      <c r="E9" s="297" t="s">
        <v>699</v>
      </c>
      <c r="F9" s="307">
        <f ca="1">INDIRECT("'数据-取费表'!w"&amp;$G$1)</f>
        <v>0</v>
      </c>
      <c r="G9" s="1371"/>
      <c r="H9" s="299"/>
      <c r="I9" s="4141"/>
      <c r="J9" s="301"/>
      <c r="K9" s="302"/>
      <c r="L9" s="308" t="s">
        <v>699</v>
      </c>
      <c r="M9" s="309">
        <f ca="1">INDIRECT("'数据-取费表'!ab"&amp;$G$1)</f>
        <v>0</v>
      </c>
    </row>
    <row r="10" spans="1:37" ht="18" customHeight="1">
      <c r="A10" s="1059" t="s">
        <v>402</v>
      </c>
      <c r="B10" s="1352" t="s">
        <v>700</v>
      </c>
      <c r="C10" s="311">
        <f ca="1">ROUND(IF(F10="押一",C6/12*F11,IF(F10="押二",C6/12*2*F11,IF(F10="押三",C6/12*3*F11,C11*F11))),0)</f>
        <v>0</v>
      </c>
      <c r="D10" s="1353" t="s">
        <v>2116</v>
      </c>
      <c r="E10" s="308" t="s">
        <v>701</v>
      </c>
      <c r="F10" s="1106"/>
      <c r="G10" s="1371"/>
      <c r="H10" s="1059" t="s">
        <v>402</v>
      </c>
      <c r="I10" s="1352" t="s">
        <v>700</v>
      </c>
      <c r="J10" s="296">
        <f ca="1">ROUND(IF(M10="押一",J6/12*M11,IF(M10="押二",J6/12*2*M11,IF(M10="押三",J6/12*3*M11,J11*M11))),0)</f>
        <v>0</v>
      </c>
      <c r="K10" s="1364" t="s">
        <v>2118</v>
      </c>
      <c r="L10" s="308" t="s">
        <v>701</v>
      </c>
      <c r="M10" s="1106"/>
    </row>
    <row r="11" spans="1:37" ht="18" customHeight="1">
      <c r="A11" s="303"/>
      <c r="B11" s="1354" t="s">
        <v>890</v>
      </c>
      <c r="C11" s="949"/>
      <c r="D11" s="302"/>
      <c r="E11" s="308" t="s">
        <v>702</v>
      </c>
      <c r="F11" s="309">
        <f ca="1">'数据-取费表'!B39</f>
        <v>1.9799999999999998E-2</v>
      </c>
      <c r="G11" s="1371"/>
      <c r="H11" s="1067"/>
      <c r="I11" s="1354" t="s">
        <v>891</v>
      </c>
      <c r="J11" s="949"/>
      <c r="K11" s="676"/>
      <c r="L11" s="308" t="s">
        <v>702</v>
      </c>
      <c r="M11" s="852">
        <f ca="1">'数据-取费表'!B39</f>
        <v>1.9799999999999998E-2</v>
      </c>
    </row>
    <row r="12" spans="1:37" ht="18" customHeight="1" thickBot="1">
      <c r="A12" s="1073" t="s">
        <v>437</v>
      </c>
      <c r="B12" s="1356" t="s">
        <v>703</v>
      </c>
      <c r="C12" s="1074"/>
      <c r="D12" s="1075"/>
      <c r="E12" s="1080"/>
      <c r="F12" s="1076"/>
      <c r="G12" s="1371"/>
      <c r="H12" s="1073" t="s">
        <v>437</v>
      </c>
      <c r="I12" s="1356"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1"/>
      <c r="H13" s="1069">
        <v>2</v>
      </c>
      <c r="I13" s="1070" t="s">
        <v>704</v>
      </c>
      <c r="J13" s="1058">
        <f ca="1">ROUND(J14*J15,0)</f>
        <v>0</v>
      </c>
      <c r="K13" s="1077" t="s">
        <v>705</v>
      </c>
      <c r="L13" s="1379"/>
      <c r="M13" s="1380"/>
    </row>
    <row r="14" spans="1:37" ht="18" customHeight="1">
      <c r="A14" s="972" t="s">
        <v>397</v>
      </c>
      <c r="B14" s="297" t="s">
        <v>707</v>
      </c>
      <c r="C14" s="313">
        <f ca="1">ROUND(INDIRECT("'数据-取费表'!l"&amp;$G$1)*F43+'数据-取费表'!L14*INDIRECT("'数据-取费表'!S"&amp;$G$1),0)</f>
        <v>0</v>
      </c>
      <c r="D14" s="1332" t="s">
        <v>708</v>
      </c>
      <c r="E14" s="1329"/>
      <c r="F14" s="314"/>
      <c r="G14" s="1371"/>
      <c r="H14" s="972" t="s">
        <v>398</v>
      </c>
      <c r="I14" s="297" t="s">
        <v>709</v>
      </c>
      <c r="J14" s="21">
        <f ca="1">C29</f>
        <v>0</v>
      </c>
      <c r="K14" s="12"/>
      <c r="L14" s="797"/>
      <c r="M14" s="798"/>
    </row>
    <row r="15" spans="1:37" s="1384" customFormat="1" ht="18" customHeight="1" thickBot="1">
      <c r="A15" s="972" t="s">
        <v>399</v>
      </c>
      <c r="B15" s="297" t="s">
        <v>710</v>
      </c>
      <c r="C15" s="21">
        <f ca="1">ROUND(C14*F15,0)</f>
        <v>0</v>
      </c>
      <c r="D15" s="315" t="s">
        <v>711</v>
      </c>
      <c r="E15" s="315" t="s">
        <v>712</v>
      </c>
      <c r="F15" s="316">
        <f>'数据-取费表'!B33</f>
        <v>0.03</v>
      </c>
      <c r="G15" s="1383"/>
      <c r="H15" s="1079" t="s">
        <v>402</v>
      </c>
      <c r="I15" s="1080" t="s">
        <v>706</v>
      </c>
      <c r="J15" s="1089">
        <f ca="1">INDIRECT("'数据-取费表'!ad"&amp;$G$1)</f>
        <v>0</v>
      </c>
      <c r="K15" s="1090"/>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72" t="s">
        <v>680</v>
      </c>
      <c r="B16" s="297" t="s">
        <v>713</v>
      </c>
      <c r="C16" s="21">
        <f ca="1">ROUND(INDIRECT("'数据-取费表'!l"&amp;$G$1)*F43*F16,0)</f>
        <v>0</v>
      </c>
      <c r="D16" s="297" t="s">
        <v>711</v>
      </c>
      <c r="E16" s="297" t="s">
        <v>712</v>
      </c>
      <c r="F16" s="317">
        <f ca="1">IF(INDIRECT("'数据-取费表'!c"&amp;$G$1)="住宅",'数据-取费表'!B34,0)</f>
        <v>0</v>
      </c>
      <c r="G16" s="1371"/>
      <c r="H16" s="1069" t="s">
        <v>393</v>
      </c>
      <c r="I16" s="1070" t="s">
        <v>714</v>
      </c>
      <c r="J16" s="305">
        <f ca="1">ROUND(J17+J22+J23+J24,0)</f>
        <v>0</v>
      </c>
      <c r="K16" s="1077" t="s">
        <v>715</v>
      </c>
      <c r="L16" s="1078"/>
      <c r="M16" s="1062"/>
    </row>
    <row r="17" spans="1:37" s="1384" customFormat="1" ht="18" customHeight="1">
      <c r="A17" s="972" t="s">
        <v>681</v>
      </c>
      <c r="B17" s="297" t="s">
        <v>716</v>
      </c>
      <c r="C17" s="21">
        <f ca="1">ROUND(F17*(F43+INDIRECT("'数据-取费表'!S"&amp;$G$1)),0)</f>
        <v>0</v>
      </c>
      <c r="D17" s="297" t="s">
        <v>717</v>
      </c>
      <c r="E17" s="297" t="s">
        <v>718</v>
      </c>
      <c r="F17" s="23">
        <f>'数据-取费表'!B35</f>
        <v>200</v>
      </c>
      <c r="G17" s="1383"/>
      <c r="H17" s="972" t="s">
        <v>398</v>
      </c>
      <c r="I17" s="297" t="s">
        <v>719</v>
      </c>
      <c r="J17" s="2288">
        <f ca="1">ROUND(IF(AND(项目基本情况!B11="自然人",项目基本情况!B10="北京市"),J6*M17/(1+'数据-取费表'!C42),J18+J19+J20),0)</f>
        <v>0</v>
      </c>
      <c r="K17" s="1332" t="s">
        <v>720</v>
      </c>
      <c r="L17" s="1331" t="s">
        <v>721</v>
      </c>
      <c r="M17" s="2287">
        <f ca="1">IF(项目基本情况!B11="企业","",IF('数据-取费表'!B10="住宅",IF(M6*M7*M8/12/(1+'数据-取费表'!F30)&gt;100000,4%,2.5%),IF(M6*M7*M8/12/(1+'数据-取费表'!F30)&gt;100000,12%,7%)))</f>
        <v>7.0000000000000007E-2</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72" t="s">
        <v>682</v>
      </c>
      <c r="B18" s="297" t="s">
        <v>722</v>
      </c>
      <c r="C18" s="21">
        <f ca="1">ROUND(C14*F18,0)</f>
        <v>0</v>
      </c>
      <c r="D18" s="297" t="s">
        <v>711</v>
      </c>
      <c r="E18" s="297" t="s">
        <v>712</v>
      </c>
      <c r="F18" s="317">
        <f>'数据-取费表'!B36</f>
        <v>1.4999999999999999E-2</v>
      </c>
      <c r="G18" s="1383"/>
      <c r="H18" s="972" t="s">
        <v>397</v>
      </c>
      <c r="I18" s="297" t="s">
        <v>723</v>
      </c>
      <c r="J18" s="21">
        <f ca="1">ROUND(J6*M18/(1+'数据-取费表'!C42),0)</f>
        <v>0</v>
      </c>
      <c r="K18" s="1331" t="s">
        <v>724</v>
      </c>
      <c r="L18" s="297" t="s">
        <v>712</v>
      </c>
      <c r="M18" s="317">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72" t="s">
        <v>398</v>
      </c>
      <c r="B19" s="297" t="s">
        <v>725</v>
      </c>
      <c r="C19" s="21">
        <f ca="1">SUM(C14:C18)</f>
        <v>0</v>
      </c>
      <c r="D19" s="131" t="s">
        <v>726</v>
      </c>
      <c r="E19" s="1347"/>
      <c r="F19" s="23"/>
      <c r="G19" s="1371"/>
      <c r="H19" s="972" t="s">
        <v>399</v>
      </c>
      <c r="I19" s="297" t="s">
        <v>727</v>
      </c>
      <c r="J19" s="21">
        <f ca="1">IF(K19="按租金收入计税",ROUND(J6*M19/(1+'数据-取费表'!C42),0),ROUND(C29*M19*0.7,0))</f>
        <v>0</v>
      </c>
      <c r="K19" s="1357" t="s">
        <v>3338</v>
      </c>
      <c r="L19" s="297" t="s">
        <v>712</v>
      </c>
      <c r="M19" s="317">
        <f>IF(K19="按租金收入计税",'数据-取费表'!B51,'数据-取费表'!B50)</f>
        <v>0.12</v>
      </c>
    </row>
    <row r="20" spans="1:37" s="1384" customFormat="1" ht="18" customHeight="1">
      <c r="A20" s="972" t="s">
        <v>402</v>
      </c>
      <c r="B20" s="297" t="s">
        <v>728</v>
      </c>
      <c r="C20" s="21">
        <f ca="1">ROUND(C19*F20,0)</f>
        <v>0</v>
      </c>
      <c r="D20" s="318" t="s">
        <v>729</v>
      </c>
      <c r="E20" s="297" t="s">
        <v>712</v>
      </c>
      <c r="F20" s="317">
        <f>'数据-取费表'!B37</f>
        <v>0.01</v>
      </c>
      <c r="G20" s="1383"/>
      <c r="H20" s="972" t="s">
        <v>680</v>
      </c>
      <c r="I20" s="150" t="s">
        <v>730</v>
      </c>
      <c r="J20" s="22">
        <f ca="1">ROUND(M20*M21,0)</f>
        <v>0</v>
      </c>
      <c r="K20" s="319" t="s">
        <v>731</v>
      </c>
      <c r="L20" s="297" t="s">
        <v>732</v>
      </c>
      <c r="M20" s="320">
        <f>'数据-取费表'!B52</f>
        <v>0</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72" t="s">
        <v>437</v>
      </c>
      <c r="B21" s="297" t="s">
        <v>733</v>
      </c>
      <c r="C21" s="21" t="s">
        <v>0</v>
      </c>
      <c r="D21" s="318" t="s">
        <v>734</v>
      </c>
      <c r="E21" s="297" t="s">
        <v>735</v>
      </c>
      <c r="F21" s="317">
        <f>'数据-取费表'!B38</f>
        <v>0.01</v>
      </c>
      <c r="G21" s="1383"/>
      <c r="H21" s="321"/>
      <c r="I21" s="306"/>
      <c r="J21" s="26"/>
      <c r="K21" s="322"/>
      <c r="L21" s="297" t="s">
        <v>736</v>
      </c>
      <c r="M21" s="298">
        <f ca="1">INDIRECT("'数据-取费表'!r"&amp;$G$1)</f>
        <v>0</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72" t="s">
        <v>683</v>
      </c>
      <c r="B22" s="297" t="s">
        <v>737</v>
      </c>
      <c r="C22" s="21"/>
      <c r="D22" s="131" t="str">
        <f>IF(F23&lt;=1,"单利计息。","复利计息。")&amp;"建造成本、管理费用、销售费用产生的利息。"</f>
        <v>复利计息。建造成本、管理费用、销售费用产生的利息。</v>
      </c>
      <c r="E22" s="1347"/>
      <c r="F22" s="23"/>
      <c r="G22" s="1371"/>
      <c r="H22" s="972" t="s">
        <v>402</v>
      </c>
      <c r="I22" s="297" t="s">
        <v>738</v>
      </c>
      <c r="J22" s="21">
        <f ca="1">ROUND(J14*M22,0)</f>
        <v>0</v>
      </c>
      <c r="K22" s="1331" t="s">
        <v>739</v>
      </c>
      <c r="L22" s="297" t="s">
        <v>712</v>
      </c>
      <c r="M22" s="323">
        <f ca="1">INDIRECT("'数据-取费表'!Ak"&amp;$G$1)</f>
        <v>0</v>
      </c>
    </row>
    <row r="23" spans="1:37" s="1384"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3"/>
      <c r="H23" s="972" t="s">
        <v>437</v>
      </c>
      <c r="I23" s="297" t="s">
        <v>742</v>
      </c>
      <c r="J23" s="21">
        <f ca="1">ROUND(J13*M23,0)</f>
        <v>0</v>
      </c>
      <c r="K23" s="1331" t="s">
        <v>743</v>
      </c>
      <c r="L23" s="297" t="s">
        <v>744</v>
      </c>
      <c r="M23" s="325">
        <f ca="1">INDIRECT("'数据-取费表'!Al"&amp;$G$1)</f>
        <v>0</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72"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3"/>
      <c r="H24" s="1079" t="s">
        <v>684</v>
      </c>
      <c r="I24" s="1080" t="s">
        <v>728</v>
      </c>
      <c r="J24" s="1081">
        <f ca="1">ROUND(J5*M24,0)</f>
        <v>0</v>
      </c>
      <c r="K24" s="1082" t="s">
        <v>748</v>
      </c>
      <c r="L24" s="1080" t="s">
        <v>744</v>
      </c>
      <c r="M24" s="1076">
        <f ca="1">INDIRECT("'数据-取费表'!Am"&amp;$G$1)</f>
        <v>0</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18" customHeight="1" thickTop="1">
      <c r="A25" s="972" t="s">
        <v>749</v>
      </c>
      <c r="B25" s="297" t="s">
        <v>750</v>
      </c>
      <c r="C25" s="21"/>
      <c r="D25" s="131" t="s">
        <v>751</v>
      </c>
      <c r="E25" s="1347"/>
      <c r="F25" s="23"/>
      <c r="G25" s="1371"/>
      <c r="H25" s="1069" t="s">
        <v>394</v>
      </c>
      <c r="I25" s="1084" t="s">
        <v>752</v>
      </c>
      <c r="J25" s="305">
        <f ca="1">J5-J16</f>
        <v>0</v>
      </c>
      <c r="K25" s="1085" t="s">
        <v>753</v>
      </c>
      <c r="L25" s="1086"/>
      <c r="M25" s="1087"/>
    </row>
    <row r="26" spans="1:37" ht="18" customHeight="1">
      <c r="A26" s="972" t="s">
        <v>397</v>
      </c>
      <c r="B26" s="297" t="s">
        <v>754</v>
      </c>
      <c r="C26" s="21">
        <f ca="1">ROUND((C19+C20)*F26,0)</f>
        <v>0</v>
      </c>
      <c r="D26" s="318" t="s">
        <v>755</v>
      </c>
      <c r="E26" s="308" t="s">
        <v>756</v>
      </c>
      <c r="F26" s="307">
        <f ca="1">INDIRECT("'数据-取费表'!q"&amp;$G$1)</f>
        <v>0</v>
      </c>
      <c r="G26" s="1371"/>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1"/>
      <c r="H27" s="299"/>
      <c r="I27" s="300"/>
      <c r="J27" s="301"/>
      <c r="K27" s="327" t="s">
        <v>762</v>
      </c>
      <c r="L27" s="297" t="s">
        <v>763</v>
      </c>
      <c r="M27" s="328">
        <f ca="1">INDIRECT("'数据-取费表'!ag"&amp;$G$1)</f>
        <v>0</v>
      </c>
    </row>
    <row r="28" spans="1:37" s="1384" customFormat="1" ht="18" customHeight="1">
      <c r="A28" s="972" t="s">
        <v>400</v>
      </c>
      <c r="B28" s="297" t="s">
        <v>764</v>
      </c>
      <c r="C28" s="21">
        <f>ROUND(F28/(1+'数据-取费表'!C42),4)</f>
        <v>5.6000000000000001E-2</v>
      </c>
      <c r="D28" s="318" t="s">
        <v>765</v>
      </c>
      <c r="E28" s="297" t="s">
        <v>712</v>
      </c>
      <c r="F28" s="317">
        <f>'数据-取费表'!B41</f>
        <v>5.6000000000000001E-2</v>
      </c>
      <c r="G28" s="1383"/>
      <c r="H28" s="303"/>
      <c r="I28" s="304"/>
      <c r="J28" s="305"/>
      <c r="K28" s="322"/>
      <c r="L28" s="297" t="s">
        <v>766</v>
      </c>
      <c r="M28" s="307">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9" t="s">
        <v>401</v>
      </c>
      <c r="B29" s="1080" t="s">
        <v>767</v>
      </c>
      <c r="C29" s="1081">
        <f ca="1">ROUND((C19+C20+C23+C26)/(1-F21-C24-C27-C28),0)</f>
        <v>0</v>
      </c>
      <c r="D29" s="1082"/>
      <c r="E29" s="1080"/>
      <c r="F29" s="1083"/>
      <c r="G29" s="1383"/>
      <c r="H29" s="329" t="s">
        <v>396</v>
      </c>
      <c r="I29" s="330" t="s">
        <v>768</v>
      </c>
      <c r="J29" s="331">
        <f ca="1">ROUND(J26/(1+F40)^F41,0)</f>
        <v>0</v>
      </c>
      <c r="K29" s="332" t="s">
        <v>769</v>
      </c>
      <c r="L29" s="333"/>
      <c r="M29" s="334">
        <f ca="1">INDIRECT("'数据-取费表'!k"&amp;$G$1)</f>
        <v>0</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9" t="s">
        <v>393</v>
      </c>
      <c r="B30" s="1070" t="s">
        <v>714</v>
      </c>
      <c r="C30" s="305">
        <f ca="1">ROUND(C31+C36+C37+C38,0)</f>
        <v>0</v>
      </c>
      <c r="D30" s="1077" t="s">
        <v>715</v>
      </c>
      <c r="E30" s="1078"/>
      <c r="F30" s="1062"/>
      <c r="G30" s="1371"/>
      <c r="H30" s="2668"/>
      <c r="I30" s="1385"/>
      <c r="J30" s="1386"/>
      <c r="K30" s="2446"/>
      <c r="L30" s="2669"/>
      <c r="M30" s="2670"/>
    </row>
    <row r="31" spans="1:37" ht="18" customHeight="1">
      <c r="A31" s="972" t="s">
        <v>398</v>
      </c>
      <c r="B31" s="297" t="s">
        <v>719</v>
      </c>
      <c r="C31" s="2288">
        <f ca="1">ROUND(IF(AND(项目基本情况!B11="自然人",项目基本情况!B10="北京市"),C6*F31/(1+'数据-取费表'!C42),C32+C33+C34),0)</f>
        <v>0</v>
      </c>
      <c r="D31" s="1332" t="s">
        <v>720</v>
      </c>
      <c r="E31" s="1331" t="s">
        <v>770</v>
      </c>
      <c r="F31" s="2287">
        <f ca="1">IF(项目基本情况!B11="企业","——",IF(M47="住宅",IF(F6*F7*F8/12/(1+'数据-取费表'!F30)&gt;100000,4%,2.5%),IF(F6*F7*F8/12/(1+'数据-取费表'!F30)&gt;100000,12%,7%)))</f>
        <v>7.0000000000000007E-2</v>
      </c>
      <c r="G31" s="1371"/>
      <c r="H31" s="2779" t="s">
        <v>2308</v>
      </c>
      <c r="I31" s="1385"/>
      <c r="J31" s="1386"/>
      <c r="K31" s="2446"/>
      <c r="L31" s="2669"/>
      <c r="M31" s="2670"/>
    </row>
    <row r="32" spans="1:37" ht="18" customHeight="1">
      <c r="A32" s="972" t="s">
        <v>397</v>
      </c>
      <c r="B32" s="297" t="s">
        <v>723</v>
      </c>
      <c r="C32" s="21" t="str">
        <f>IF(项目基本情况!B11="自然人","——",ROUND(C6*F32/(1+'数据-取费表'!C42),0))</f>
        <v>——</v>
      </c>
      <c r="D32" s="1331" t="s">
        <v>724</v>
      </c>
      <c r="E32" s="297" t="s">
        <v>712</v>
      </c>
      <c r="F32" s="326">
        <f>'数据-取费表'!B41</f>
        <v>5.6000000000000001E-2</v>
      </c>
      <c r="G32" s="1371"/>
      <c r="H32" s="2668"/>
      <c r="I32" s="1385"/>
      <c r="J32" s="1386"/>
      <c r="K32" s="2446"/>
      <c r="L32" s="2669"/>
      <c r="M32" s="2670"/>
    </row>
    <row r="33" spans="1:18" ht="18" customHeight="1">
      <c r="A33" s="972" t="s">
        <v>399</v>
      </c>
      <c r="B33" s="297" t="s">
        <v>727</v>
      </c>
      <c r="C33" s="21" t="str">
        <f ca="1">IF(项目基本情况!B11="自然人","——",IF(D33="按租金收入计税",ROUND(C6*F33/(1+'数据-取费表'!C42),0),IF(D33="按房产原值计税",ROUND(C29*F33*0.7,0),INDIRECT("'数据-取费表'!Aj"&amp;$G$1))))</f>
        <v>——</v>
      </c>
      <c r="D33" s="1357" t="s">
        <v>3338</v>
      </c>
      <c r="E33" s="297" t="s">
        <v>712</v>
      </c>
      <c r="F33" s="317">
        <f>IF(D33="按票据","——",IF(D33="按租金收入计税",'数据-取费表'!B51,'数据-取费表'!B50))</f>
        <v>0.12</v>
      </c>
      <c r="G33" s="1371"/>
      <c r="H33" s="2671"/>
      <c r="I33" s="1385"/>
      <c r="J33" s="1386"/>
      <c r="K33" s="2672"/>
      <c r="L33" s="2671"/>
      <c r="M33" s="2671"/>
    </row>
    <row r="34" spans="1:18" ht="18" customHeight="1">
      <c r="A34" s="1059" t="s">
        <v>680</v>
      </c>
      <c r="B34" s="150" t="s">
        <v>730</v>
      </c>
      <c r="C34" s="22" t="str">
        <f>IF(项目基本情况!B11="自然人","——",ROUND(F34*F35,0))</f>
        <v>——</v>
      </c>
      <c r="D34" s="319" t="s">
        <v>731</v>
      </c>
      <c r="E34" s="297" t="s">
        <v>732</v>
      </c>
      <c r="F34" s="320">
        <f>'数据-取费表'!B52</f>
        <v>0</v>
      </c>
      <c r="G34" s="1371"/>
      <c r="H34" s="2668"/>
      <c r="I34" s="1385"/>
      <c r="J34" s="1386"/>
      <c r="K34" s="2673"/>
      <c r="L34" s="2674"/>
      <c r="M34" s="2674"/>
    </row>
    <row r="35" spans="1:18" ht="18" customHeight="1">
      <c r="A35" s="1093"/>
      <c r="B35" s="1091"/>
      <c r="C35" s="26"/>
      <c r="D35" s="322"/>
      <c r="E35" s="297" t="s">
        <v>736</v>
      </c>
      <c r="F35" s="298">
        <f ca="1">INDIRECT("'数据-取费表'!r"&amp;$G$1)</f>
        <v>0</v>
      </c>
      <c r="G35" s="1371"/>
      <c r="H35" s="2668"/>
      <c r="I35" s="1385"/>
      <c r="J35" s="1386"/>
      <c r="K35" s="2672"/>
      <c r="L35" s="2671"/>
      <c r="M35" s="2671"/>
    </row>
    <row r="36" spans="1:18" ht="18" customHeight="1">
      <c r="A36" s="1092" t="s">
        <v>402</v>
      </c>
      <c r="B36" s="297" t="s">
        <v>738</v>
      </c>
      <c r="C36" s="21">
        <f ca="1">ROUND(C29*F36,0)</f>
        <v>0</v>
      </c>
      <c r="D36" s="1331" t="s">
        <v>771</v>
      </c>
      <c r="E36" s="297" t="s">
        <v>712</v>
      </c>
      <c r="F36" s="323">
        <f ca="1">INDIRECT("'数据-取费表'!Ak"&amp;$G$1)</f>
        <v>0</v>
      </c>
      <c r="G36" s="1371"/>
      <c r="H36" s="2671"/>
      <c r="I36" s="1385"/>
      <c r="J36" s="1386"/>
      <c r="K36" s="2515"/>
      <c r="L36" s="2671"/>
      <c r="M36" s="2671"/>
    </row>
    <row r="37" spans="1:18" ht="18" customHeight="1">
      <c r="A37" s="972" t="s">
        <v>437</v>
      </c>
      <c r="B37" s="297" t="s">
        <v>742</v>
      </c>
      <c r="C37" s="21">
        <f ca="1">ROUND(C13*F37,0)</f>
        <v>0</v>
      </c>
      <c r="D37" s="1331" t="s">
        <v>743</v>
      </c>
      <c r="E37" s="297" t="s">
        <v>744</v>
      </c>
      <c r="F37" s="325">
        <f ca="1">INDIRECT("'数据-取费表'!Al"&amp;$G$1)</f>
        <v>0</v>
      </c>
      <c r="G37" s="1371"/>
      <c r="H37" s="2671"/>
      <c r="I37" s="1385"/>
      <c r="J37" s="1386"/>
      <c r="K37" s="2515"/>
      <c r="L37" s="2671"/>
      <c r="M37" s="2671"/>
    </row>
    <row r="38" spans="1:18" ht="18" customHeight="1" thickBot="1">
      <c r="A38" s="1079" t="s">
        <v>684</v>
      </c>
      <c r="B38" s="1080" t="s">
        <v>728</v>
      </c>
      <c r="C38" s="1081">
        <f ca="1">ROUND(C5*F38,0)</f>
        <v>0</v>
      </c>
      <c r="D38" s="1082" t="s">
        <v>748</v>
      </c>
      <c r="E38" s="1080" t="s">
        <v>744</v>
      </c>
      <c r="F38" s="1076">
        <f ca="1">INDIRECT("'数据-取费表'!Am"&amp;$G$1)</f>
        <v>0</v>
      </c>
      <c r="G38" s="1371"/>
      <c r="H38" s="2671"/>
      <c r="I38" s="1385"/>
      <c r="J38" s="1386"/>
      <c r="K38" s="2675"/>
      <c r="L38" s="2671"/>
      <c r="M38" s="2671"/>
    </row>
    <row r="39" spans="1:18" ht="24.6" customHeight="1" thickTop="1">
      <c r="A39" s="1069" t="s">
        <v>394</v>
      </c>
      <c r="B39" s="1084" t="s">
        <v>772</v>
      </c>
      <c r="C39" s="305">
        <f ca="1">C5-C30</f>
        <v>0</v>
      </c>
      <c r="D39" s="1085" t="s">
        <v>773</v>
      </c>
      <c r="E39" s="1086"/>
      <c r="F39" s="1087"/>
      <c r="G39" s="1371"/>
      <c r="H39" s="2671"/>
      <c r="I39" s="1385"/>
      <c r="J39" s="1386"/>
      <c r="K39" s="2675"/>
      <c r="L39" s="2671"/>
      <c r="M39" s="2671"/>
    </row>
    <row r="40" spans="1:18" ht="18" customHeight="1">
      <c r="A40" s="294" t="s">
        <v>395</v>
      </c>
      <c r="B40" s="295" t="s">
        <v>774</v>
      </c>
      <c r="C40" s="296" t="e">
        <f ca="1">ROUND(C39*(1-((1+F42)/(1+F40))^F41)/(F40-F42),0)</f>
        <v>#DIV/0!</v>
      </c>
      <c r="D40" s="319" t="s">
        <v>758</v>
      </c>
      <c r="E40" s="297" t="s">
        <v>759</v>
      </c>
      <c r="F40" s="307">
        <f ca="1">INDIRECT("'数据-取费表'!I"&amp;$G$1)</f>
        <v>0</v>
      </c>
      <c r="G40" s="1371"/>
      <c r="H40" s="1448"/>
      <c r="I40" s="1385"/>
      <c r="J40" s="1386"/>
      <c r="K40" s="2675"/>
      <c r="L40" s="1448"/>
      <c r="M40" s="1448"/>
    </row>
    <row r="41" spans="1:18" ht="18" customHeight="1">
      <c r="A41" s="299"/>
      <c r="B41" s="300"/>
      <c r="C41" s="301"/>
      <c r="D41" s="327" t="s">
        <v>775</v>
      </c>
      <c r="E41" s="297" t="s">
        <v>763</v>
      </c>
      <c r="F41" s="328">
        <f ca="1">IF(INDIRECT("'数据-取费表'!af"&amp;$G$1)=0,INDIRECT("'数据-取费表'!ae"&amp;$G$1),INDIRECT("'数据-取费表'!af"&amp;$G$1))</f>
        <v>0</v>
      </c>
      <c r="G41" s="1371"/>
      <c r="H41" s="1178"/>
      <c r="I41" s="1385"/>
      <c r="J41" s="1386"/>
      <c r="K41" s="2515"/>
      <c r="L41" s="1178"/>
      <c r="M41" s="1178"/>
    </row>
    <row r="42" spans="1:18" ht="18" customHeight="1">
      <c r="A42" s="303"/>
      <c r="B42" s="304"/>
      <c r="C42" s="305"/>
      <c r="D42" s="322"/>
      <c r="E42" s="297" t="s">
        <v>766</v>
      </c>
      <c r="F42" s="307">
        <f ca="1">INDIRECT("'数据-取费表'!v"&amp;$G$1)</f>
        <v>0</v>
      </c>
      <c r="G42" s="1371"/>
      <c r="H42" s="1178"/>
      <c r="I42" s="1385"/>
      <c r="J42" s="1386"/>
      <c r="K42" s="2515"/>
      <c r="L42" s="1178"/>
      <c r="M42" s="1178"/>
    </row>
    <row r="43" spans="1:18" ht="18" customHeight="1" thickBot="1">
      <c r="A43" s="329" t="s">
        <v>396</v>
      </c>
      <c r="B43" s="330" t="s">
        <v>776</v>
      </c>
      <c r="C43" s="331" t="e">
        <f ca="1">ROUND(C40/F43,0)</f>
        <v>#DIV/0!</v>
      </c>
      <c r="D43" s="332" t="s">
        <v>777</v>
      </c>
      <c r="E43" s="333" t="s">
        <v>778</v>
      </c>
      <c r="F43" s="334">
        <f ca="1">INDIRECT("'数据-取费表'!k"&amp;$G$1)</f>
        <v>0</v>
      </c>
      <c r="G43" s="1371"/>
      <c r="H43" s="1178"/>
      <c r="I43" s="1178"/>
      <c r="J43" s="1178"/>
      <c r="K43" s="2515"/>
      <c r="L43" s="1178"/>
      <c r="M43" s="1178"/>
    </row>
    <row r="44" spans="1:18" s="1371" customFormat="1" ht="18" customHeight="1">
      <c r="A44" s="1387"/>
      <c r="B44" s="1387"/>
      <c r="C44" s="1388"/>
      <c r="D44" s="1387"/>
      <c r="E44" s="1387"/>
      <c r="F44" s="1387"/>
      <c r="K44" s="1389"/>
    </row>
    <row r="45" spans="1:18" s="1371" customFormat="1" ht="18" customHeight="1" thickBot="1">
      <c r="A45" s="3402" t="s">
        <v>3354</v>
      </c>
      <c r="B45" s="1387"/>
      <c r="C45" s="1459" t="e">
        <f ca="1">ROUND((C68-C40)/10000,4)</f>
        <v>#DIV/0!</v>
      </c>
      <c r="D45" s="3403" t="s">
        <v>3355</v>
      </c>
      <c r="E45" s="1387"/>
      <c r="F45" s="1387"/>
      <c r="O45" s="1390" t="s">
        <v>808</v>
      </c>
      <c r="P45" s="1448"/>
      <c r="Q45" s="1448"/>
      <c r="R45" s="1448"/>
    </row>
    <row r="46" spans="1:18" s="1371" customFormat="1" ht="13.8" thickBot="1">
      <c r="A46" s="1391" t="s">
        <v>809</v>
      </c>
      <c r="C46" s="1392" t="e">
        <f ca="1">ROUND(C45,0)</f>
        <v>#DIV/0!</v>
      </c>
      <c r="D46" s="1393" t="str">
        <f>C2</f>
        <v>万元</v>
      </c>
      <c r="I46" s="1394" t="s">
        <v>810</v>
      </c>
      <c r="J46" s="1395"/>
      <c r="K46" s="1396"/>
      <c r="L46" s="1397" t="e">
        <f ca="1">IF(M47="住宅",0,IF(L48&gt;J51,L60,J60))</f>
        <v>#DIV/0!</v>
      </c>
      <c r="O46" s="1398" t="s">
        <v>811</v>
      </c>
      <c r="P46" s="1399" t="s">
        <v>812</v>
      </c>
      <c r="Q46" s="1400" t="s">
        <v>813</v>
      </c>
      <c r="R46" s="1400" t="s">
        <v>814</v>
      </c>
    </row>
    <row r="47" spans="1:18" s="1371" customFormat="1" ht="13.8" thickBot="1">
      <c r="A47" s="936" t="s">
        <v>687</v>
      </c>
      <c r="B47" s="968" t="s">
        <v>688</v>
      </c>
      <c r="C47" s="968" t="s">
        <v>689</v>
      </c>
      <c r="D47" s="968" t="s">
        <v>690</v>
      </c>
      <c r="E47" s="1048" t="s">
        <v>691</v>
      </c>
      <c r="F47" s="1049"/>
      <c r="G47" s="712"/>
      <c r="I47" s="1401" t="s">
        <v>815</v>
      </c>
      <c r="J47" s="1402"/>
      <c r="K47" s="1403" t="s">
        <v>816</v>
      </c>
      <c r="L47" s="1404">
        <f ca="1">INDIRECT("'数据-取费表'!d"&amp;$G$1)</f>
        <v>0</v>
      </c>
      <c r="M47" s="1367" t="str">
        <f>IF(ISNUMBER(FIND("住宅",C1)),"住宅","非住宅")</f>
        <v>非住宅</v>
      </c>
      <c r="O47" s="1405" t="s">
        <v>403</v>
      </c>
      <c r="P47" s="1406" t="s">
        <v>817</v>
      </c>
      <c r="Q47" s="1407" t="e">
        <f ca="1">C40+J29</f>
        <v>#DIV/0!</v>
      </c>
      <c r="R47" s="1407" t="s">
        <v>818</v>
      </c>
    </row>
    <row r="48" spans="1:18" s="1371" customFormat="1" ht="40.200000000000003" thickBot="1">
      <c r="A48" s="1100" t="s">
        <v>438</v>
      </c>
      <c r="B48" s="295" t="s">
        <v>692</v>
      </c>
      <c r="C48" s="1346">
        <f ca="1">C49+C53+C55</f>
        <v>0</v>
      </c>
      <c r="D48" s="1102"/>
      <c r="E48" s="1103"/>
      <c r="F48" s="952"/>
      <c r="G48" s="712"/>
      <c r="H48" s="713"/>
      <c r="I48" s="1408" t="s">
        <v>819</v>
      </c>
      <c r="J48" s="1409"/>
      <c r="K48" s="1410" t="s">
        <v>820</v>
      </c>
      <c r="L48" s="1411">
        <f ca="1">INDIRECT("'数据-取费表'!f"&amp;$G$1)</f>
        <v>0</v>
      </c>
      <c r="O48" s="1405" t="s">
        <v>404</v>
      </c>
      <c r="P48" s="1406" t="s">
        <v>821</v>
      </c>
      <c r="Q48" s="1407" t="e">
        <f ca="1">J60</f>
        <v>#DIV/0!</v>
      </c>
      <c r="R48" s="1407" t="s">
        <v>822</v>
      </c>
    </row>
    <row r="49" spans="1:18" s="1371" customFormat="1" ht="13.8" thickBot="1">
      <c r="A49" s="965" t="s">
        <v>439</v>
      </c>
      <c r="B49" s="1358" t="s">
        <v>779</v>
      </c>
      <c r="C49" s="1104">
        <f ca="1">ROUND(F49*F51*F50*(1-F52),0)</f>
        <v>0</v>
      </c>
      <c r="D49" s="1045" t="s">
        <v>695</v>
      </c>
      <c r="E49" s="1359" t="s">
        <v>780</v>
      </c>
      <c r="F49" s="1050"/>
      <c r="G49" s="1412"/>
      <c r="H49" s="713"/>
      <c r="I49" s="1408" t="s">
        <v>823</v>
      </c>
      <c r="J49" s="1413"/>
      <c r="K49" s="1410" t="s">
        <v>824</v>
      </c>
      <c r="L49" s="1414"/>
      <c r="O49" s="1415" t="s">
        <v>405</v>
      </c>
      <c r="P49" s="1406" t="s">
        <v>825</v>
      </c>
      <c r="Q49" s="1407">
        <f ca="1">C29</f>
        <v>0</v>
      </c>
      <c r="R49" s="1407" t="s">
        <v>818</v>
      </c>
    </row>
    <row r="50" spans="1:18" s="1371" customFormat="1" ht="13.8" thickBot="1">
      <c r="A50" s="966"/>
      <c r="B50" s="969"/>
      <c r="C50" s="970"/>
      <c r="D50" s="943"/>
      <c r="E50" s="1046" t="s">
        <v>697</v>
      </c>
      <c r="F50" s="1047">
        <f ca="1">F7</f>
        <v>0</v>
      </c>
      <c r="H50" s="713"/>
      <c r="I50" s="1408" t="s">
        <v>826</v>
      </c>
      <c r="J50" s="1416">
        <f>SUMPRODUCT((I63:I65=J47)*(J62:L62=J48)*(J63:L65))</f>
        <v>0</v>
      </c>
      <c r="K50" s="1410" t="s">
        <v>827</v>
      </c>
      <c r="L50" s="1414"/>
      <c r="M50" s="1417"/>
      <c r="O50" s="1415" t="s">
        <v>406</v>
      </c>
      <c r="P50" s="1406" t="s">
        <v>828</v>
      </c>
      <c r="Q50" s="1418" t="e">
        <f ca="1">J58</f>
        <v>#DIV/0!</v>
      </c>
      <c r="R50" s="1407"/>
    </row>
    <row r="51" spans="1:18" s="1371" customFormat="1" ht="13.8" thickBot="1">
      <c r="A51" s="967"/>
      <c r="B51" s="969"/>
      <c r="C51" s="970"/>
      <c r="D51" s="943"/>
      <c r="E51" s="971" t="s">
        <v>698</v>
      </c>
      <c r="F51" s="298">
        <f ca="1">F8</f>
        <v>0</v>
      </c>
      <c r="I51" s="1419" t="s">
        <v>829</v>
      </c>
      <c r="J51" s="1420">
        <f>IF(J49="",J50,J49+J50-YEAR('数据-取费表'!B2))</f>
        <v>0</v>
      </c>
      <c r="K51" s="1421" t="s">
        <v>830</v>
      </c>
      <c r="L51" s="1422">
        <f ca="1">ROUND(-PV(INDIRECT("'数据-取费表'!h"&amp;$G$1),J51,(C39-C13*C76),0),0)</f>
        <v>0</v>
      </c>
      <c r="M51" s="1423"/>
      <c r="O51" s="1415" t="s">
        <v>407</v>
      </c>
      <c r="P51" s="1406" t="s">
        <v>831</v>
      </c>
      <c r="Q51" s="1418">
        <f>J52</f>
        <v>0</v>
      </c>
      <c r="R51" s="1407"/>
    </row>
    <row r="52" spans="1:18" s="1371" customFormat="1" ht="13.8" thickBot="1">
      <c r="A52" s="967"/>
      <c r="B52" s="969"/>
      <c r="C52" s="970"/>
      <c r="D52" s="943"/>
      <c r="E52" s="971" t="s">
        <v>699</v>
      </c>
      <c r="F52" s="1044"/>
      <c r="I52" s="1424" t="s">
        <v>832</v>
      </c>
      <c r="J52" s="1425"/>
      <c r="K52" s="1424" t="s">
        <v>833</v>
      </c>
      <c r="L52" s="1425"/>
      <c r="O52" s="1415" t="s">
        <v>408</v>
      </c>
      <c r="P52" s="1406" t="s">
        <v>834</v>
      </c>
      <c r="Q52" s="1407">
        <f ca="1">J53</f>
        <v>0</v>
      </c>
      <c r="R52" s="1407" t="s">
        <v>835</v>
      </c>
    </row>
    <row r="53" spans="1:18" s="1371" customFormat="1" ht="30.75" customHeight="1" thickBot="1">
      <c r="A53" s="1101" t="s">
        <v>440</v>
      </c>
      <c r="B53" s="318" t="s">
        <v>700</v>
      </c>
      <c r="C53" s="311">
        <f ca="1">ROUND(IF(F53="押一",C49/12*F11,IF(F53="押二",C49/12*2*F11,IF(F53="押三",C49/12*3*F11,C54*F11))),0)</f>
        <v>0</v>
      </c>
      <c r="D53" s="1353" t="s">
        <v>2119</v>
      </c>
      <c r="E53" s="308" t="s">
        <v>701</v>
      </c>
      <c r="F53" s="1106"/>
      <c r="I53" s="1426" t="s">
        <v>836</v>
      </c>
      <c r="J53" s="2140">
        <f ca="1">IF(M47="住宅",IF(D1="——",MAX(J51,L48),MAX(J51,L48-'数据-取费表'!B24)),IF(D1="——",MIN(J51,L48),MIN(J51,L48-'数据-取费表'!B24)))</f>
        <v>0</v>
      </c>
      <c r="K53" s="4137" t="s">
        <v>837</v>
      </c>
      <c r="L53" s="4138"/>
      <c r="O53" s="1405" t="s">
        <v>409</v>
      </c>
      <c r="P53" s="1406" t="s">
        <v>838</v>
      </c>
      <c r="Q53" s="1407" t="e">
        <f ca="1">Q47+Q48</f>
        <v>#DIV/0!</v>
      </c>
      <c r="R53" s="1407" t="s">
        <v>410</v>
      </c>
    </row>
    <row r="54" spans="1:18" s="1371" customFormat="1" ht="13.8" thickBot="1">
      <c r="A54" s="965"/>
      <c r="B54" s="1460" t="s">
        <v>891</v>
      </c>
      <c r="C54" s="949"/>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9"/>
      <c r="K54" s="1429"/>
      <c r="L54" s="1429"/>
      <c r="M54" s="1412"/>
      <c r="O54" s="1390" t="s">
        <v>839</v>
      </c>
      <c r="P54" s="1368"/>
      <c r="Q54" s="1368"/>
      <c r="R54" s="1368"/>
    </row>
    <row r="55" spans="1:18" s="1371" customFormat="1" ht="13.8" thickBot="1">
      <c r="A55" s="1073" t="s">
        <v>437</v>
      </c>
      <c r="B55" s="1356" t="s">
        <v>703</v>
      </c>
      <c r="C55" s="1074"/>
      <c r="D55" s="1353"/>
      <c r="E55" s="1361"/>
      <c r="F55" s="1427"/>
      <c r="I55" s="1430" t="s">
        <v>840</v>
      </c>
      <c r="J55" s="1431" t="e">
        <f ca="1">ROUND(IF(J47="钢混",J57/J50,1-(1-2%)*(J50-J57)/J50),3)</f>
        <v>#DIV/0!</v>
      </c>
      <c r="K55" s="1432" t="s">
        <v>841</v>
      </c>
      <c r="L55" s="1433"/>
      <c r="O55" s="1398" t="s">
        <v>811</v>
      </c>
      <c r="P55" s="1399" t="s">
        <v>812</v>
      </c>
      <c r="Q55" s="1400" t="s">
        <v>813</v>
      </c>
      <c r="R55" s="1400" t="s">
        <v>814</v>
      </c>
    </row>
    <row r="56" spans="1:18" s="1371" customFormat="1" ht="36" customHeight="1" thickTop="1" thickBot="1">
      <c r="A56" s="947">
        <v>2</v>
      </c>
      <c r="B56" s="948" t="s">
        <v>704</v>
      </c>
      <c r="C56" s="227">
        <f ca="1">C13</f>
        <v>0</v>
      </c>
      <c r="D56" s="1434"/>
      <c r="E56" s="1435"/>
      <c r="F56" s="1427"/>
      <c r="I56" s="1436" t="s">
        <v>842</v>
      </c>
      <c r="J56" s="1437"/>
      <c r="K56" s="1408" t="s">
        <v>843</v>
      </c>
      <c r="L56" s="1411">
        <f ca="1">IF(L48&lt;J51,"——",L48-J51)</f>
        <v>0</v>
      </c>
      <c r="O56" s="1405" t="s">
        <v>403</v>
      </c>
      <c r="P56" s="1406" t="s">
        <v>817</v>
      </c>
      <c r="Q56" s="1407" t="e">
        <f ca="1">C40+J29</f>
        <v>#DIV/0!</v>
      </c>
      <c r="R56" s="1407" t="s">
        <v>818</v>
      </c>
    </row>
    <row r="57" spans="1:18" s="1371" customFormat="1" ht="24.6" thickBot="1">
      <c r="A57" s="1438"/>
      <c r="B57" s="940" t="s">
        <v>767</v>
      </c>
      <c r="C57" s="233">
        <f ca="1">C29</f>
        <v>0</v>
      </c>
      <c r="D57" s="1439"/>
      <c r="E57" s="1440"/>
      <c r="F57" s="1441"/>
      <c r="I57" s="1442" t="s">
        <v>844</v>
      </c>
      <c r="J57" s="1443">
        <f ca="1">IF(OR(M47="住宅",J51&lt;L48,J56="是"),"——",J51-L48)</f>
        <v>0</v>
      </c>
      <c r="K57" s="1408" t="s">
        <v>892</v>
      </c>
      <c r="L57" s="1411">
        <f ca="1">IF(L48&lt;J51,"——",IF(L55="比较法",L49,IF(L55="基准地价",L50,L51)))</f>
        <v>0</v>
      </c>
      <c r="O57" s="1405" t="s">
        <v>404</v>
      </c>
      <c r="P57" s="1406" t="s">
        <v>893</v>
      </c>
      <c r="Q57" s="1407" t="e">
        <f ca="1">L60</f>
        <v>#DIV/0!</v>
      </c>
      <c r="R57" s="1407" t="s">
        <v>894</v>
      </c>
    </row>
    <row r="58" spans="1:18" s="1371" customFormat="1" ht="24.6" thickBot="1">
      <c r="A58" s="310" t="s">
        <v>393</v>
      </c>
      <c r="B58" s="948" t="s">
        <v>714</v>
      </c>
      <c r="C58" s="311">
        <f ca="1">ROUND(C59+C64+C65+C66,0)</f>
        <v>0</v>
      </c>
      <c r="D58" s="950" t="s">
        <v>715</v>
      </c>
      <c r="E58" s="951"/>
      <c r="F58" s="952"/>
      <c r="I58" s="1442" t="s">
        <v>848</v>
      </c>
      <c r="J58" s="1444" t="e">
        <f ca="1">IF(J55&lt;0.4,0.4,J55)</f>
        <v>#DIV/0!</v>
      </c>
      <c r="K58" s="1421" t="s">
        <v>895</v>
      </c>
      <c r="L58" s="1411" t="e">
        <f ca="1">ROUND(POWER(1+L52,L47-L48)*(POWER(1+L52,L48)-1)/(POWER(1+L52,L47)-1),4)</f>
        <v>#DIV/0!</v>
      </c>
      <c r="O58" s="1415" t="s">
        <v>405</v>
      </c>
      <c r="P58" s="1406" t="s">
        <v>850</v>
      </c>
      <c r="Q58" s="1407">
        <f>IF(L55="比较法",L49,IF(L55="基准地价",L50,0))</f>
        <v>0</v>
      </c>
      <c r="R58" s="1407" t="s">
        <v>818</v>
      </c>
    </row>
    <row r="59" spans="1:18" s="1371" customFormat="1" ht="24.6" thickBot="1">
      <c r="A59" s="972" t="s">
        <v>398</v>
      </c>
      <c r="B59" s="940" t="s">
        <v>719</v>
      </c>
      <c r="C59" s="2288">
        <f ca="1">ROUND(IF(AND(项目基本情况!B11="自然人",项目基本情况!B10="北京市"),C49*F59/(1+'数据-取费表'!C42),C60+C61+C62),0)</f>
        <v>0</v>
      </c>
      <c r="D59" s="953" t="s">
        <v>720</v>
      </c>
      <c r="E59" s="954" t="s">
        <v>721</v>
      </c>
      <c r="F59" s="2287">
        <f ca="1">IF(项目基本情况!B11="企业","——",IF('数据-取费表'!B10="住宅",IF(F49*F50*F51/12/(1+'数据-取费表'!F30)&gt;100000,4%,2.5%),IF(F49*F50*F51/12/(1+'数据-取费表'!F30)&gt;100000,12%,7%)))</f>
        <v>7.0000000000000007E-2</v>
      </c>
      <c r="I59" s="1442" t="s">
        <v>851</v>
      </c>
      <c r="J59" s="1443" t="e">
        <f ca="1">IF(OR(M47="住宅",J51&lt;L48,J56="是"),"——",ROUND(C29*J58,0))</f>
        <v>#DIV/0!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415" t="s">
        <v>406</v>
      </c>
      <c r="P59" s="1406" t="s">
        <v>852</v>
      </c>
      <c r="Q59" s="1418">
        <f>L52</f>
        <v>0</v>
      </c>
      <c r="R59" s="1407"/>
    </row>
    <row r="60" spans="1:18" s="1371" customFormat="1" ht="16.2" thickBot="1">
      <c r="A60" s="972" t="s">
        <v>397</v>
      </c>
      <c r="B60" s="940" t="s">
        <v>723</v>
      </c>
      <c r="C60" s="21" t="str">
        <f>IF(项目基本情况!B11="自然人","——",ROUND(C48*F60/(1+'数据-取费表'!C42),0))</f>
        <v>——</v>
      </c>
      <c r="D60" s="954" t="s">
        <v>724</v>
      </c>
      <c r="E60" s="940" t="s">
        <v>712</v>
      </c>
      <c r="F60" s="326">
        <f t="shared" ref="F60:F66" si="0">F32</f>
        <v>5.6000000000000001E-2</v>
      </c>
      <c r="I60" s="1445" t="s">
        <v>853</v>
      </c>
      <c r="J60" s="1446" t="e">
        <f ca="1">IF(OR(M47="住宅",J51&lt;L48,J56="是"),"0",ROUND(J59/(1+J52)^J53,0))</f>
        <v>#DIV/0!</v>
      </c>
      <c r="K60" s="1447" t="s">
        <v>854</v>
      </c>
      <c r="L60" s="1446" t="e">
        <f ca="1">IF(OR(M47="住宅",L48&lt;J51),0,ROUND(L57*(L58/L59-1),0))</f>
        <v>#DIV/0!</v>
      </c>
      <c r="O60" s="1415" t="s">
        <v>407</v>
      </c>
      <c r="P60" s="1406" t="s">
        <v>855</v>
      </c>
      <c r="Q60" s="1407" t="e">
        <f ca="1">L58</f>
        <v>#DIV/0!</v>
      </c>
      <c r="R60" s="1407" t="s">
        <v>856</v>
      </c>
    </row>
    <row r="61" spans="1:18" s="1371" customFormat="1" ht="13.8" thickBot="1">
      <c r="A61" s="972" t="s">
        <v>781</v>
      </c>
      <c r="B61" s="940" t="s">
        <v>782</v>
      </c>
      <c r="C61" s="21" t="str">
        <f ca="1">IF(项目基本情况!B11="自然人","——",IF(D61="按租金收入计税",ROUND(C49*F61/(1+'数据-取费表'!C42),0),IF(D61="按房产原值计税",ROUND(C57*F61*0.7,0),INDIRECT("'数据-取费表'!Aj"&amp;$G$1))))</f>
        <v>——</v>
      </c>
      <c r="D61" s="1357" t="s">
        <v>3338</v>
      </c>
      <c r="E61" s="940" t="s">
        <v>783</v>
      </c>
      <c r="F61" s="317">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8" thickBot="1">
      <c r="A62" s="972" t="s">
        <v>784</v>
      </c>
      <c r="B62" s="939" t="s">
        <v>785</v>
      </c>
      <c r="C62" s="22" t="str">
        <f>IF(项目基本情况!B11="自然人","——",ROUND(F62*F63,0))</f>
        <v>——</v>
      </c>
      <c r="D62" s="955" t="s">
        <v>786</v>
      </c>
      <c r="E62" s="940" t="s">
        <v>787</v>
      </c>
      <c r="F62" s="320">
        <f t="shared" si="0"/>
        <v>0</v>
      </c>
      <c r="I62" s="1449" t="s">
        <v>858</v>
      </c>
      <c r="J62" s="1450" t="s">
        <v>859</v>
      </c>
      <c r="K62" s="1450" t="s">
        <v>860</v>
      </c>
      <c r="L62" s="1450" t="s">
        <v>861</v>
      </c>
      <c r="M62" s="1451" t="s">
        <v>862</v>
      </c>
      <c r="O62" s="1405" t="s">
        <v>409</v>
      </c>
      <c r="P62" s="1406" t="s">
        <v>863</v>
      </c>
      <c r="Q62" s="1407" t="e">
        <f ca="1">Q56+Q57</f>
        <v>#DIV/0!</v>
      </c>
      <c r="R62" s="1407" t="s">
        <v>410</v>
      </c>
    </row>
    <row r="63" spans="1:18" s="1371" customFormat="1" ht="13.8" thickBot="1">
      <c r="A63" s="321"/>
      <c r="B63" s="946"/>
      <c r="C63" s="26"/>
      <c r="D63" s="956"/>
      <c r="E63" s="940" t="s">
        <v>788</v>
      </c>
      <c r="F63" s="298">
        <f t="shared" ca="1" si="0"/>
        <v>0</v>
      </c>
      <c r="I63" s="1449" t="s">
        <v>864</v>
      </c>
      <c r="J63" s="1450">
        <v>70</v>
      </c>
      <c r="K63" s="1450">
        <v>50</v>
      </c>
      <c r="L63" s="1450">
        <v>80</v>
      </c>
      <c r="M63" s="1452">
        <v>0.02</v>
      </c>
      <c r="O63" s="1390" t="s">
        <v>865</v>
      </c>
      <c r="P63" s="1368"/>
      <c r="Q63" s="1368"/>
      <c r="R63" s="1368"/>
    </row>
    <row r="64" spans="1:18" s="1371" customFormat="1" ht="13.8" thickBot="1">
      <c r="A64" s="972" t="s">
        <v>789</v>
      </c>
      <c r="B64" s="940" t="s">
        <v>790</v>
      </c>
      <c r="C64" s="21">
        <f ca="1">ROUND(C57*F64,0)</f>
        <v>0</v>
      </c>
      <c r="D64" s="954" t="s">
        <v>791</v>
      </c>
      <c r="E64" s="940" t="s">
        <v>783</v>
      </c>
      <c r="F64" s="323">
        <f t="shared" ca="1" si="0"/>
        <v>0</v>
      </c>
      <c r="I64" s="1449" t="s">
        <v>866</v>
      </c>
      <c r="J64" s="1450">
        <v>50</v>
      </c>
      <c r="K64" s="1450">
        <v>35</v>
      </c>
      <c r="L64" s="1450">
        <v>60</v>
      </c>
      <c r="M64" s="1451">
        <v>0</v>
      </c>
      <c r="O64" s="1398" t="s">
        <v>811</v>
      </c>
      <c r="P64" s="1399" t="s">
        <v>812</v>
      </c>
      <c r="Q64" s="1400" t="s">
        <v>813</v>
      </c>
      <c r="R64" s="1400" t="s">
        <v>814</v>
      </c>
    </row>
    <row r="65" spans="1:18" s="1371" customFormat="1" ht="13.8" thickBot="1">
      <c r="A65" s="972" t="s">
        <v>792</v>
      </c>
      <c r="B65" s="940" t="s">
        <v>742</v>
      </c>
      <c r="C65" s="21">
        <f ca="1">ROUND(C56*F65,0)</f>
        <v>0</v>
      </c>
      <c r="D65" s="954" t="s">
        <v>743</v>
      </c>
      <c r="E65" s="940" t="s">
        <v>744</v>
      </c>
      <c r="F65" s="325">
        <f t="shared" ca="1" si="0"/>
        <v>0</v>
      </c>
      <c r="I65" s="1449" t="s">
        <v>867</v>
      </c>
      <c r="J65" s="1450">
        <v>40</v>
      </c>
      <c r="K65" s="1450">
        <v>30</v>
      </c>
      <c r="L65" s="1450">
        <v>50</v>
      </c>
      <c r="M65" s="1452">
        <v>0.02</v>
      </c>
      <c r="O65" s="1405" t="s">
        <v>403</v>
      </c>
      <c r="P65" s="1406" t="s">
        <v>868</v>
      </c>
      <c r="Q65" s="1407" t="e">
        <f ca="1">C40+J29</f>
        <v>#DIV/0!</v>
      </c>
      <c r="R65" s="1407" t="s">
        <v>818</v>
      </c>
    </row>
    <row r="66" spans="1:18" s="1371" customFormat="1" ht="16.2" thickBot="1">
      <c r="A66" s="972" t="s">
        <v>793</v>
      </c>
      <c r="B66" s="940" t="s">
        <v>728</v>
      </c>
      <c r="C66" s="21">
        <f ca="1">ROUND(C48*F66,0)</f>
        <v>0</v>
      </c>
      <c r="D66" s="954" t="s">
        <v>794</v>
      </c>
      <c r="E66" s="940" t="s">
        <v>712</v>
      </c>
      <c r="F66" s="307">
        <f t="shared" ca="1" si="0"/>
        <v>0</v>
      </c>
      <c r="O66" s="1405" t="s">
        <v>404</v>
      </c>
      <c r="P66" s="1406" t="s">
        <v>846</v>
      </c>
      <c r="Q66" s="1407" t="e">
        <f ca="1">L60</f>
        <v>#DIV/0!</v>
      </c>
      <c r="R66" s="1407" t="s">
        <v>869</v>
      </c>
    </row>
    <row r="67" spans="1:18" s="1371" customFormat="1" ht="24.6" thickBot="1">
      <c r="A67" s="947" t="s">
        <v>394</v>
      </c>
      <c r="B67" s="957" t="s">
        <v>752</v>
      </c>
      <c r="C67" s="311">
        <f ca="1">C48-C58</f>
        <v>0</v>
      </c>
      <c r="D67" s="953" t="s">
        <v>753</v>
      </c>
      <c r="E67" s="958"/>
      <c r="F67" s="959"/>
      <c r="O67" s="1415" t="s">
        <v>405</v>
      </c>
      <c r="P67" s="1406" t="s">
        <v>850</v>
      </c>
      <c r="Q67" s="1453">
        <f ca="1">L51</f>
        <v>0</v>
      </c>
      <c r="R67" s="1407" t="s">
        <v>870</v>
      </c>
    </row>
    <row r="68" spans="1:18" s="1371" customFormat="1" ht="16.2" thickBot="1">
      <c r="A68" s="937" t="s">
        <v>395</v>
      </c>
      <c r="B68" s="938" t="s">
        <v>774</v>
      </c>
      <c r="C68" s="296" t="e">
        <f ca="1">ROUND(C67*(1-((1+F70)/(1+F68))^F69)/(F68-F70),0)</f>
        <v>#DIV/0!</v>
      </c>
      <c r="D68" s="955" t="s">
        <v>758</v>
      </c>
      <c r="E68" s="940" t="s">
        <v>759</v>
      </c>
      <c r="F68" s="307">
        <f ca="1">F40</f>
        <v>0</v>
      </c>
      <c r="O68" s="1415" t="s">
        <v>406</v>
      </c>
      <c r="P68" s="1454" t="s">
        <v>871</v>
      </c>
      <c r="Q68" s="1407">
        <f ca="1">ROUND(Q69-Q70*Q71,0)</f>
        <v>0</v>
      </c>
      <c r="R68" s="1407" t="s">
        <v>414</v>
      </c>
    </row>
    <row r="69" spans="1:18" s="1371" customFormat="1" ht="13.8" thickBot="1">
      <c r="A69" s="941"/>
      <c r="B69" s="942"/>
      <c r="C69" s="301"/>
      <c r="D69" s="960" t="s">
        <v>762</v>
      </c>
      <c r="E69" s="940" t="s">
        <v>763</v>
      </c>
      <c r="F69" s="328">
        <f ca="1">F41</f>
        <v>0</v>
      </c>
      <c r="O69" s="1415" t="s">
        <v>411</v>
      </c>
      <c r="P69" s="1454" t="s">
        <v>872</v>
      </c>
      <c r="Q69" s="1407">
        <f ca="1">C39</f>
        <v>0</v>
      </c>
      <c r="R69" s="1407" t="s">
        <v>818</v>
      </c>
    </row>
    <row r="70" spans="1:18" s="1371" customFormat="1" ht="13.8" thickBot="1">
      <c r="A70" s="944"/>
      <c r="B70" s="945"/>
      <c r="C70" s="305"/>
      <c r="D70" s="956"/>
      <c r="E70" s="940" t="s">
        <v>766</v>
      </c>
      <c r="F70" s="1044"/>
      <c r="O70" s="1415" t="s">
        <v>412</v>
      </c>
      <c r="P70" s="1454" t="s">
        <v>873</v>
      </c>
      <c r="Q70" s="1407">
        <f ca="1">C13</f>
        <v>0</v>
      </c>
      <c r="R70" s="1407" t="s">
        <v>818</v>
      </c>
    </row>
    <row r="71" spans="1:18" s="1371" customFormat="1" ht="13.8" thickBot="1">
      <c r="A71" s="961" t="s">
        <v>396</v>
      </c>
      <c r="B71" s="962" t="s">
        <v>776</v>
      </c>
      <c r="C71" s="331" t="e">
        <f ca="1">ROUND(C68/F71,0)</f>
        <v>#DIV/0!</v>
      </c>
      <c r="D71" s="963" t="s">
        <v>777</v>
      </c>
      <c r="E71" s="964" t="s">
        <v>778</v>
      </c>
      <c r="F71" s="334">
        <f ca="1">F43</f>
        <v>0</v>
      </c>
      <c r="O71" s="1415" t="s">
        <v>413</v>
      </c>
      <c r="P71" s="1454" t="s">
        <v>874</v>
      </c>
      <c r="Q71" s="1418">
        <f ca="1">C76</f>
        <v>0</v>
      </c>
      <c r="R71" s="1407"/>
    </row>
    <row r="72" spans="1:18" s="1371" customFormat="1" ht="13.8" thickBot="1">
      <c r="B72" s="716"/>
      <c r="C72" s="716"/>
      <c r="O72" s="1415" t="s">
        <v>407</v>
      </c>
      <c r="P72" s="1406" t="s">
        <v>852</v>
      </c>
      <c r="Q72" s="1418">
        <f>L52</f>
        <v>0</v>
      </c>
      <c r="R72" s="1407"/>
    </row>
    <row r="73" spans="1:18" ht="16.2" thickBot="1">
      <c r="A73" s="1371"/>
      <c r="B73" s="716"/>
      <c r="C73" s="716"/>
      <c r="D73" s="1371"/>
      <c r="E73" s="1371"/>
      <c r="F73" s="1371"/>
      <c r="O73" s="1415" t="s">
        <v>408</v>
      </c>
      <c r="P73" s="1406" t="s">
        <v>855</v>
      </c>
      <c r="Q73" s="1407" t="e">
        <f ca="1">L58</f>
        <v>#DIV/0!</v>
      </c>
      <c r="R73" s="1407" t="s">
        <v>856</v>
      </c>
    </row>
    <row r="74" spans="1:18" ht="13.8" thickBot="1">
      <c r="A74" s="1371"/>
      <c r="B74" s="268" t="s">
        <v>875</v>
      </c>
      <c r="C74" s="1456"/>
      <c r="D74" s="1371"/>
      <c r="E74" s="1371"/>
      <c r="F74" s="1371"/>
      <c r="O74" s="1415" t="s">
        <v>415</v>
      </c>
      <c r="P74" s="1406" t="str">
        <f>K59</f>
        <v>建筑物剩余耐用年限下的土地年期修正系数Kn</v>
      </c>
      <c r="Q74" s="1407" t="e">
        <f ca="1">L59</f>
        <v>#DIV/0!</v>
      </c>
      <c r="R74" s="1407" t="s">
        <v>857</v>
      </c>
    </row>
    <row r="75" spans="1:18" ht="13.8" thickBot="1">
      <c r="A75" s="1371"/>
      <c r="B75" s="335" t="s">
        <v>795</v>
      </c>
      <c r="C75" s="336">
        <f ca="1">ROUND(C13*C76,0)</f>
        <v>0</v>
      </c>
      <c r="D75" s="1371"/>
      <c r="E75" s="1371"/>
      <c r="F75" s="1371"/>
      <c r="K75" s="1389"/>
      <c r="L75" s="1371"/>
      <c r="O75" s="1405" t="s">
        <v>409</v>
      </c>
      <c r="P75" s="1406" t="s">
        <v>838</v>
      </c>
      <c r="Q75" s="1407" t="e">
        <f ca="1">Q65+Q66</f>
        <v>#DIV/0!</v>
      </c>
      <c r="R75" s="1407" t="s">
        <v>410</v>
      </c>
    </row>
    <row r="76" spans="1:18">
      <c r="B76" s="337" t="s">
        <v>796</v>
      </c>
      <c r="C76" s="338">
        <f ca="1">INDIRECT("'数据-取费表'!j"&amp;$G$1)</f>
        <v>0</v>
      </c>
      <c r="I76" s="1371"/>
      <c r="J76" s="1371"/>
      <c r="K76" s="1389"/>
      <c r="L76" s="1371"/>
    </row>
    <row r="77" spans="1:18">
      <c r="B77" s="339" t="s">
        <v>797</v>
      </c>
      <c r="C77" s="340"/>
      <c r="I77" s="1371"/>
      <c r="J77" s="1371"/>
      <c r="K77" s="1389"/>
      <c r="L77" s="1371"/>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13" customWidth="1"/>
    <col min="2" max="2" width="8.88671875" style="2813"/>
    <col min="3" max="5" width="12.88671875" style="2813" customWidth="1"/>
    <col min="6" max="6" width="47.44140625" style="2813" customWidth="1"/>
    <col min="7" max="7" width="13" style="2972" customWidth="1"/>
    <col min="8" max="8" width="8.88671875" style="2807"/>
    <col min="9" max="9" width="8.88671875" style="2808"/>
    <col min="10" max="10" width="5.77734375" style="2973" customWidth="1"/>
    <col min="11" max="11" width="11.77734375" style="2973" customWidth="1"/>
    <col min="12" max="13" width="10.77734375" style="2973" customWidth="1"/>
    <col min="14" max="14" width="10" style="2973" customWidth="1"/>
    <col min="15" max="16" width="10.44140625" style="2973" bestFit="1" customWidth="1"/>
    <col min="17" max="17" width="10" style="2973" customWidth="1"/>
    <col min="18" max="18" width="10.109375" style="2973" customWidth="1"/>
    <col min="19" max="19" width="10" style="2973" customWidth="1"/>
    <col min="20" max="20" width="26.109375" style="2973" customWidth="1"/>
    <col min="21" max="21" width="8.88671875" style="2973"/>
    <col min="22" max="22" width="8.88671875" style="2808"/>
    <col min="23" max="256" width="8.88671875" style="2813"/>
    <col min="257" max="257" width="9.44140625" style="2813" customWidth="1"/>
    <col min="258" max="258" width="8.88671875" style="2813"/>
    <col min="259" max="261" width="12.88671875" style="2813" customWidth="1"/>
    <col min="262" max="262" width="47.44140625" style="2813" customWidth="1"/>
    <col min="263" max="263" width="13" style="2813" customWidth="1"/>
    <col min="264" max="265" width="8.88671875" style="2813"/>
    <col min="266" max="266" width="5.77734375" style="2813" customWidth="1"/>
    <col min="267" max="267" width="11.77734375" style="2813" customWidth="1"/>
    <col min="268" max="269" width="10.77734375" style="2813" customWidth="1"/>
    <col min="270" max="270" width="10" style="2813" customWidth="1"/>
    <col min="271" max="272" width="10.44140625" style="2813" bestFit="1" customWidth="1"/>
    <col min="273" max="273" width="10" style="2813" customWidth="1"/>
    <col min="274" max="274" width="10.109375" style="2813" customWidth="1"/>
    <col min="275" max="275" width="10" style="2813" customWidth="1"/>
    <col min="276" max="276" width="26.109375" style="2813" customWidth="1"/>
    <col min="277" max="512" width="8.88671875" style="2813"/>
    <col min="513" max="513" width="9.44140625" style="2813" customWidth="1"/>
    <col min="514" max="514" width="8.88671875" style="2813"/>
    <col min="515" max="517" width="12.88671875" style="2813" customWidth="1"/>
    <col min="518" max="518" width="47.44140625" style="2813" customWidth="1"/>
    <col min="519" max="519" width="13" style="2813" customWidth="1"/>
    <col min="520" max="521" width="8.88671875" style="2813"/>
    <col min="522" max="522" width="5.77734375" style="2813" customWidth="1"/>
    <col min="523" max="523" width="11.77734375" style="2813" customWidth="1"/>
    <col min="524" max="525" width="10.77734375" style="2813" customWidth="1"/>
    <col min="526" max="526" width="10" style="2813" customWidth="1"/>
    <col min="527" max="528" width="10.44140625" style="2813" bestFit="1" customWidth="1"/>
    <col min="529" max="529" width="10" style="2813" customWidth="1"/>
    <col min="530" max="530" width="10.109375" style="2813" customWidth="1"/>
    <col min="531" max="531" width="10" style="2813" customWidth="1"/>
    <col min="532" max="532" width="26.109375" style="2813" customWidth="1"/>
    <col min="533" max="768" width="8.88671875" style="2813"/>
    <col min="769" max="769" width="9.44140625" style="2813" customWidth="1"/>
    <col min="770" max="770" width="8.88671875" style="2813"/>
    <col min="771" max="773" width="12.88671875" style="2813" customWidth="1"/>
    <col min="774" max="774" width="47.44140625" style="2813" customWidth="1"/>
    <col min="775" max="775" width="13" style="2813" customWidth="1"/>
    <col min="776" max="777" width="8.88671875" style="2813"/>
    <col min="778" max="778" width="5.77734375" style="2813" customWidth="1"/>
    <col min="779" max="779" width="11.77734375" style="2813" customWidth="1"/>
    <col min="780" max="781" width="10.77734375" style="2813" customWidth="1"/>
    <col min="782" max="782" width="10" style="2813" customWidth="1"/>
    <col min="783" max="784" width="10.44140625" style="2813" bestFit="1" customWidth="1"/>
    <col min="785" max="785" width="10" style="2813" customWidth="1"/>
    <col min="786" max="786" width="10.109375" style="2813" customWidth="1"/>
    <col min="787" max="787" width="10" style="2813" customWidth="1"/>
    <col min="788" max="788" width="26.109375" style="2813" customWidth="1"/>
    <col min="789" max="1024" width="8.88671875" style="2813"/>
    <col min="1025" max="1025" width="9.44140625" style="2813" customWidth="1"/>
    <col min="1026" max="1026" width="8.88671875" style="2813"/>
    <col min="1027" max="1029" width="12.88671875" style="2813" customWidth="1"/>
    <col min="1030" max="1030" width="47.44140625" style="2813" customWidth="1"/>
    <col min="1031" max="1031" width="13" style="2813" customWidth="1"/>
    <col min="1032" max="1033" width="8.88671875" style="2813"/>
    <col min="1034" max="1034" width="5.77734375" style="2813" customWidth="1"/>
    <col min="1035" max="1035" width="11.77734375" style="2813" customWidth="1"/>
    <col min="1036" max="1037" width="10.77734375" style="2813" customWidth="1"/>
    <col min="1038" max="1038" width="10" style="2813" customWidth="1"/>
    <col min="1039" max="1040" width="10.44140625" style="2813" bestFit="1" customWidth="1"/>
    <col min="1041" max="1041" width="10" style="2813" customWidth="1"/>
    <col min="1042" max="1042" width="10.109375" style="2813" customWidth="1"/>
    <col min="1043" max="1043" width="10" style="2813" customWidth="1"/>
    <col min="1044" max="1044" width="26.109375" style="2813" customWidth="1"/>
    <col min="1045" max="1280" width="8.88671875" style="2813"/>
    <col min="1281" max="1281" width="9.44140625" style="2813" customWidth="1"/>
    <col min="1282" max="1282" width="8.88671875" style="2813"/>
    <col min="1283" max="1285" width="12.88671875" style="2813" customWidth="1"/>
    <col min="1286" max="1286" width="47.44140625" style="2813" customWidth="1"/>
    <col min="1287" max="1287" width="13" style="2813" customWidth="1"/>
    <col min="1288" max="1289" width="8.88671875" style="2813"/>
    <col min="1290" max="1290" width="5.77734375" style="2813" customWidth="1"/>
    <col min="1291" max="1291" width="11.77734375" style="2813" customWidth="1"/>
    <col min="1292" max="1293" width="10.77734375" style="2813" customWidth="1"/>
    <col min="1294" max="1294" width="10" style="2813" customWidth="1"/>
    <col min="1295" max="1296" width="10.44140625" style="2813" bestFit="1" customWidth="1"/>
    <col min="1297" max="1297" width="10" style="2813" customWidth="1"/>
    <col min="1298" max="1298" width="10.109375" style="2813" customWidth="1"/>
    <col min="1299" max="1299" width="10" style="2813" customWidth="1"/>
    <col min="1300" max="1300" width="26.109375" style="2813" customWidth="1"/>
    <col min="1301" max="1536" width="8.88671875" style="2813"/>
    <col min="1537" max="1537" width="9.44140625" style="2813" customWidth="1"/>
    <col min="1538" max="1538" width="8.88671875" style="2813"/>
    <col min="1539" max="1541" width="12.88671875" style="2813" customWidth="1"/>
    <col min="1542" max="1542" width="47.44140625" style="2813" customWidth="1"/>
    <col min="1543" max="1543" width="13" style="2813" customWidth="1"/>
    <col min="1544" max="1545" width="8.88671875" style="2813"/>
    <col min="1546" max="1546" width="5.77734375" style="2813" customWidth="1"/>
    <col min="1547" max="1547" width="11.77734375" style="2813" customWidth="1"/>
    <col min="1548" max="1549" width="10.77734375" style="2813" customWidth="1"/>
    <col min="1550" max="1550" width="10" style="2813" customWidth="1"/>
    <col min="1551" max="1552" width="10.44140625" style="2813" bestFit="1" customWidth="1"/>
    <col min="1553" max="1553" width="10" style="2813" customWidth="1"/>
    <col min="1554" max="1554" width="10.109375" style="2813" customWidth="1"/>
    <col min="1555" max="1555" width="10" style="2813" customWidth="1"/>
    <col min="1556" max="1556" width="26.109375" style="2813" customWidth="1"/>
    <col min="1557" max="1792" width="8.88671875" style="2813"/>
    <col min="1793" max="1793" width="9.44140625" style="2813" customWidth="1"/>
    <col min="1794" max="1794" width="8.88671875" style="2813"/>
    <col min="1795" max="1797" width="12.88671875" style="2813" customWidth="1"/>
    <col min="1798" max="1798" width="47.44140625" style="2813" customWidth="1"/>
    <col min="1799" max="1799" width="13" style="2813" customWidth="1"/>
    <col min="1800" max="1801" width="8.88671875" style="2813"/>
    <col min="1802" max="1802" width="5.77734375" style="2813" customWidth="1"/>
    <col min="1803" max="1803" width="11.77734375" style="2813" customWidth="1"/>
    <col min="1804" max="1805" width="10.77734375" style="2813" customWidth="1"/>
    <col min="1806" max="1806" width="10" style="2813" customWidth="1"/>
    <col min="1807" max="1808" width="10.44140625" style="2813" bestFit="1" customWidth="1"/>
    <col min="1809" max="1809" width="10" style="2813" customWidth="1"/>
    <col min="1810" max="1810" width="10.109375" style="2813" customWidth="1"/>
    <col min="1811" max="1811" width="10" style="2813" customWidth="1"/>
    <col min="1812" max="1812" width="26.109375" style="2813" customWidth="1"/>
    <col min="1813" max="2048" width="8.88671875" style="2813"/>
    <col min="2049" max="2049" width="9.44140625" style="2813" customWidth="1"/>
    <col min="2050" max="2050" width="8.88671875" style="2813"/>
    <col min="2051" max="2053" width="12.88671875" style="2813" customWidth="1"/>
    <col min="2054" max="2054" width="47.44140625" style="2813" customWidth="1"/>
    <col min="2055" max="2055" width="13" style="2813" customWidth="1"/>
    <col min="2056" max="2057" width="8.88671875" style="2813"/>
    <col min="2058" max="2058" width="5.77734375" style="2813" customWidth="1"/>
    <col min="2059" max="2059" width="11.77734375" style="2813" customWidth="1"/>
    <col min="2060" max="2061" width="10.77734375" style="2813" customWidth="1"/>
    <col min="2062" max="2062" width="10" style="2813" customWidth="1"/>
    <col min="2063" max="2064" width="10.44140625" style="2813" bestFit="1" customWidth="1"/>
    <col min="2065" max="2065" width="10" style="2813" customWidth="1"/>
    <col min="2066" max="2066" width="10.109375" style="2813" customWidth="1"/>
    <col min="2067" max="2067" width="10" style="2813" customWidth="1"/>
    <col min="2068" max="2068" width="26.109375" style="2813" customWidth="1"/>
    <col min="2069" max="2304" width="8.88671875" style="2813"/>
    <col min="2305" max="2305" width="9.44140625" style="2813" customWidth="1"/>
    <col min="2306" max="2306" width="8.88671875" style="2813"/>
    <col min="2307" max="2309" width="12.88671875" style="2813" customWidth="1"/>
    <col min="2310" max="2310" width="47.44140625" style="2813" customWidth="1"/>
    <col min="2311" max="2311" width="13" style="2813" customWidth="1"/>
    <col min="2312" max="2313" width="8.88671875" style="2813"/>
    <col min="2314" max="2314" width="5.77734375" style="2813" customWidth="1"/>
    <col min="2315" max="2315" width="11.77734375" style="2813" customWidth="1"/>
    <col min="2316" max="2317" width="10.77734375" style="2813" customWidth="1"/>
    <col min="2318" max="2318" width="10" style="2813" customWidth="1"/>
    <col min="2319" max="2320" width="10.44140625" style="2813" bestFit="1" customWidth="1"/>
    <col min="2321" max="2321" width="10" style="2813" customWidth="1"/>
    <col min="2322" max="2322" width="10.109375" style="2813" customWidth="1"/>
    <col min="2323" max="2323" width="10" style="2813" customWidth="1"/>
    <col min="2324" max="2324" width="26.109375" style="2813" customWidth="1"/>
    <col min="2325" max="2560" width="8.88671875" style="2813"/>
    <col min="2561" max="2561" width="9.44140625" style="2813" customWidth="1"/>
    <col min="2562" max="2562" width="8.88671875" style="2813"/>
    <col min="2563" max="2565" width="12.88671875" style="2813" customWidth="1"/>
    <col min="2566" max="2566" width="47.44140625" style="2813" customWidth="1"/>
    <col min="2567" max="2567" width="13" style="2813" customWidth="1"/>
    <col min="2568" max="2569" width="8.88671875" style="2813"/>
    <col min="2570" max="2570" width="5.77734375" style="2813" customWidth="1"/>
    <col min="2571" max="2571" width="11.77734375" style="2813" customWidth="1"/>
    <col min="2572" max="2573" width="10.77734375" style="2813" customWidth="1"/>
    <col min="2574" max="2574" width="10" style="2813" customWidth="1"/>
    <col min="2575" max="2576" width="10.44140625" style="2813" bestFit="1" customWidth="1"/>
    <col min="2577" max="2577" width="10" style="2813" customWidth="1"/>
    <col min="2578" max="2578" width="10.109375" style="2813" customWidth="1"/>
    <col min="2579" max="2579" width="10" style="2813" customWidth="1"/>
    <col min="2580" max="2580" width="26.109375" style="2813" customWidth="1"/>
    <col min="2581" max="2816" width="8.88671875" style="2813"/>
    <col min="2817" max="2817" width="9.44140625" style="2813" customWidth="1"/>
    <col min="2818" max="2818" width="8.88671875" style="2813"/>
    <col min="2819" max="2821" width="12.88671875" style="2813" customWidth="1"/>
    <col min="2822" max="2822" width="47.44140625" style="2813" customWidth="1"/>
    <col min="2823" max="2823" width="13" style="2813" customWidth="1"/>
    <col min="2824" max="2825" width="8.88671875" style="2813"/>
    <col min="2826" max="2826" width="5.77734375" style="2813" customWidth="1"/>
    <col min="2827" max="2827" width="11.77734375" style="2813" customWidth="1"/>
    <col min="2828" max="2829" width="10.77734375" style="2813" customWidth="1"/>
    <col min="2830" max="2830" width="10" style="2813" customWidth="1"/>
    <col min="2831" max="2832" width="10.44140625" style="2813" bestFit="1" customWidth="1"/>
    <col min="2833" max="2833" width="10" style="2813" customWidth="1"/>
    <col min="2834" max="2834" width="10.109375" style="2813" customWidth="1"/>
    <col min="2835" max="2835" width="10" style="2813" customWidth="1"/>
    <col min="2836" max="2836" width="26.109375" style="2813" customWidth="1"/>
    <col min="2837" max="3072" width="8.88671875" style="2813"/>
    <col min="3073" max="3073" width="9.44140625" style="2813" customWidth="1"/>
    <col min="3074" max="3074" width="8.88671875" style="2813"/>
    <col min="3075" max="3077" width="12.88671875" style="2813" customWidth="1"/>
    <col min="3078" max="3078" width="47.44140625" style="2813" customWidth="1"/>
    <col min="3079" max="3079" width="13" style="2813" customWidth="1"/>
    <col min="3080" max="3081" width="8.88671875" style="2813"/>
    <col min="3082" max="3082" width="5.77734375" style="2813" customWidth="1"/>
    <col min="3083" max="3083" width="11.77734375" style="2813" customWidth="1"/>
    <col min="3084" max="3085" width="10.77734375" style="2813" customWidth="1"/>
    <col min="3086" max="3086" width="10" style="2813" customWidth="1"/>
    <col min="3087" max="3088" width="10.44140625" style="2813" bestFit="1" customWidth="1"/>
    <col min="3089" max="3089" width="10" style="2813" customWidth="1"/>
    <col min="3090" max="3090" width="10.109375" style="2813" customWidth="1"/>
    <col min="3091" max="3091" width="10" style="2813" customWidth="1"/>
    <col min="3092" max="3092" width="26.109375" style="2813" customWidth="1"/>
    <col min="3093" max="3328" width="8.88671875" style="2813"/>
    <col min="3329" max="3329" width="9.44140625" style="2813" customWidth="1"/>
    <col min="3330" max="3330" width="8.88671875" style="2813"/>
    <col min="3331" max="3333" width="12.88671875" style="2813" customWidth="1"/>
    <col min="3334" max="3334" width="47.44140625" style="2813" customWidth="1"/>
    <col min="3335" max="3335" width="13" style="2813" customWidth="1"/>
    <col min="3336" max="3337" width="8.88671875" style="2813"/>
    <col min="3338" max="3338" width="5.77734375" style="2813" customWidth="1"/>
    <col min="3339" max="3339" width="11.77734375" style="2813" customWidth="1"/>
    <col min="3340" max="3341" width="10.77734375" style="2813" customWidth="1"/>
    <col min="3342" max="3342" width="10" style="2813" customWidth="1"/>
    <col min="3343" max="3344" width="10.44140625" style="2813" bestFit="1" customWidth="1"/>
    <col min="3345" max="3345" width="10" style="2813" customWidth="1"/>
    <col min="3346" max="3346" width="10.109375" style="2813" customWidth="1"/>
    <col min="3347" max="3347" width="10" style="2813" customWidth="1"/>
    <col min="3348" max="3348" width="26.109375" style="2813" customWidth="1"/>
    <col min="3349" max="3584" width="8.88671875" style="2813"/>
    <col min="3585" max="3585" width="9.44140625" style="2813" customWidth="1"/>
    <col min="3586" max="3586" width="8.88671875" style="2813"/>
    <col min="3587" max="3589" width="12.88671875" style="2813" customWidth="1"/>
    <col min="3590" max="3590" width="47.44140625" style="2813" customWidth="1"/>
    <col min="3591" max="3591" width="13" style="2813" customWidth="1"/>
    <col min="3592" max="3593" width="8.88671875" style="2813"/>
    <col min="3594" max="3594" width="5.77734375" style="2813" customWidth="1"/>
    <col min="3595" max="3595" width="11.77734375" style="2813" customWidth="1"/>
    <col min="3596" max="3597" width="10.77734375" style="2813" customWidth="1"/>
    <col min="3598" max="3598" width="10" style="2813" customWidth="1"/>
    <col min="3599" max="3600" width="10.44140625" style="2813" bestFit="1" customWidth="1"/>
    <col min="3601" max="3601" width="10" style="2813" customWidth="1"/>
    <col min="3602" max="3602" width="10.109375" style="2813" customWidth="1"/>
    <col min="3603" max="3603" width="10" style="2813" customWidth="1"/>
    <col min="3604" max="3604" width="26.109375" style="2813" customWidth="1"/>
    <col min="3605" max="3840" width="8.88671875" style="2813"/>
    <col min="3841" max="3841" width="9.44140625" style="2813" customWidth="1"/>
    <col min="3842" max="3842" width="8.88671875" style="2813"/>
    <col min="3843" max="3845" width="12.88671875" style="2813" customWidth="1"/>
    <col min="3846" max="3846" width="47.44140625" style="2813" customWidth="1"/>
    <col min="3847" max="3847" width="13" style="2813" customWidth="1"/>
    <col min="3848" max="3849" width="8.88671875" style="2813"/>
    <col min="3850" max="3850" width="5.77734375" style="2813" customWidth="1"/>
    <col min="3851" max="3851" width="11.77734375" style="2813" customWidth="1"/>
    <col min="3852" max="3853" width="10.77734375" style="2813" customWidth="1"/>
    <col min="3854" max="3854" width="10" style="2813" customWidth="1"/>
    <col min="3855" max="3856" width="10.44140625" style="2813" bestFit="1" customWidth="1"/>
    <col min="3857" max="3857" width="10" style="2813" customWidth="1"/>
    <col min="3858" max="3858" width="10.109375" style="2813" customWidth="1"/>
    <col min="3859" max="3859" width="10" style="2813" customWidth="1"/>
    <col min="3860" max="3860" width="26.109375" style="2813" customWidth="1"/>
    <col min="3861" max="4096" width="8.88671875" style="2813"/>
    <col min="4097" max="4097" width="9.44140625" style="2813" customWidth="1"/>
    <col min="4098" max="4098" width="8.88671875" style="2813"/>
    <col min="4099" max="4101" width="12.88671875" style="2813" customWidth="1"/>
    <col min="4102" max="4102" width="47.44140625" style="2813" customWidth="1"/>
    <col min="4103" max="4103" width="13" style="2813" customWidth="1"/>
    <col min="4104" max="4105" width="8.88671875" style="2813"/>
    <col min="4106" max="4106" width="5.77734375" style="2813" customWidth="1"/>
    <col min="4107" max="4107" width="11.77734375" style="2813" customWidth="1"/>
    <col min="4108" max="4109" width="10.77734375" style="2813" customWidth="1"/>
    <col min="4110" max="4110" width="10" style="2813" customWidth="1"/>
    <col min="4111" max="4112" width="10.44140625" style="2813" bestFit="1" customWidth="1"/>
    <col min="4113" max="4113" width="10" style="2813" customWidth="1"/>
    <col min="4114" max="4114" width="10.109375" style="2813" customWidth="1"/>
    <col min="4115" max="4115" width="10" style="2813" customWidth="1"/>
    <col min="4116" max="4116" width="26.109375" style="2813" customWidth="1"/>
    <col min="4117" max="4352" width="8.88671875" style="2813"/>
    <col min="4353" max="4353" width="9.44140625" style="2813" customWidth="1"/>
    <col min="4354" max="4354" width="8.88671875" style="2813"/>
    <col min="4355" max="4357" width="12.88671875" style="2813" customWidth="1"/>
    <col min="4358" max="4358" width="47.44140625" style="2813" customWidth="1"/>
    <col min="4359" max="4359" width="13" style="2813" customWidth="1"/>
    <col min="4360" max="4361" width="8.88671875" style="2813"/>
    <col min="4362" max="4362" width="5.77734375" style="2813" customWidth="1"/>
    <col min="4363" max="4363" width="11.77734375" style="2813" customWidth="1"/>
    <col min="4364" max="4365" width="10.77734375" style="2813" customWidth="1"/>
    <col min="4366" max="4366" width="10" style="2813" customWidth="1"/>
    <col min="4367" max="4368" width="10.44140625" style="2813" bestFit="1" customWidth="1"/>
    <col min="4369" max="4369" width="10" style="2813" customWidth="1"/>
    <col min="4370" max="4370" width="10.109375" style="2813" customWidth="1"/>
    <col min="4371" max="4371" width="10" style="2813" customWidth="1"/>
    <col min="4372" max="4372" width="26.109375" style="2813" customWidth="1"/>
    <col min="4373" max="4608" width="8.88671875" style="2813"/>
    <col min="4609" max="4609" width="9.44140625" style="2813" customWidth="1"/>
    <col min="4610" max="4610" width="8.88671875" style="2813"/>
    <col min="4611" max="4613" width="12.88671875" style="2813" customWidth="1"/>
    <col min="4614" max="4614" width="47.44140625" style="2813" customWidth="1"/>
    <col min="4615" max="4615" width="13" style="2813" customWidth="1"/>
    <col min="4616" max="4617" width="8.88671875" style="2813"/>
    <col min="4618" max="4618" width="5.77734375" style="2813" customWidth="1"/>
    <col min="4619" max="4619" width="11.77734375" style="2813" customWidth="1"/>
    <col min="4620" max="4621" width="10.77734375" style="2813" customWidth="1"/>
    <col min="4622" max="4622" width="10" style="2813" customWidth="1"/>
    <col min="4623" max="4624" width="10.44140625" style="2813" bestFit="1" customWidth="1"/>
    <col min="4625" max="4625" width="10" style="2813" customWidth="1"/>
    <col min="4626" max="4626" width="10.109375" style="2813" customWidth="1"/>
    <col min="4627" max="4627" width="10" style="2813" customWidth="1"/>
    <col min="4628" max="4628" width="26.109375" style="2813" customWidth="1"/>
    <col min="4629" max="4864" width="8.88671875" style="2813"/>
    <col min="4865" max="4865" width="9.44140625" style="2813" customWidth="1"/>
    <col min="4866" max="4866" width="8.88671875" style="2813"/>
    <col min="4867" max="4869" width="12.88671875" style="2813" customWidth="1"/>
    <col min="4870" max="4870" width="47.44140625" style="2813" customWidth="1"/>
    <col min="4871" max="4871" width="13" style="2813" customWidth="1"/>
    <col min="4872" max="4873" width="8.88671875" style="2813"/>
    <col min="4874" max="4874" width="5.77734375" style="2813" customWidth="1"/>
    <col min="4875" max="4875" width="11.77734375" style="2813" customWidth="1"/>
    <col min="4876" max="4877" width="10.77734375" style="2813" customWidth="1"/>
    <col min="4878" max="4878" width="10" style="2813" customWidth="1"/>
    <col min="4879" max="4880" width="10.44140625" style="2813" bestFit="1" customWidth="1"/>
    <col min="4881" max="4881" width="10" style="2813" customWidth="1"/>
    <col min="4882" max="4882" width="10.109375" style="2813" customWidth="1"/>
    <col min="4883" max="4883" width="10" style="2813" customWidth="1"/>
    <col min="4884" max="4884" width="26.109375" style="2813" customWidth="1"/>
    <col min="4885" max="5120" width="8.88671875" style="2813"/>
    <col min="5121" max="5121" width="9.44140625" style="2813" customWidth="1"/>
    <col min="5122" max="5122" width="8.88671875" style="2813"/>
    <col min="5123" max="5125" width="12.88671875" style="2813" customWidth="1"/>
    <col min="5126" max="5126" width="47.44140625" style="2813" customWidth="1"/>
    <col min="5127" max="5127" width="13" style="2813" customWidth="1"/>
    <col min="5128" max="5129" width="8.88671875" style="2813"/>
    <col min="5130" max="5130" width="5.77734375" style="2813" customWidth="1"/>
    <col min="5131" max="5131" width="11.77734375" style="2813" customWidth="1"/>
    <col min="5132" max="5133" width="10.77734375" style="2813" customWidth="1"/>
    <col min="5134" max="5134" width="10" style="2813" customWidth="1"/>
    <col min="5135" max="5136" width="10.44140625" style="2813" bestFit="1" customWidth="1"/>
    <col min="5137" max="5137" width="10" style="2813" customWidth="1"/>
    <col min="5138" max="5138" width="10.109375" style="2813" customWidth="1"/>
    <col min="5139" max="5139" width="10" style="2813" customWidth="1"/>
    <col min="5140" max="5140" width="26.109375" style="2813" customWidth="1"/>
    <col min="5141" max="5376" width="8.88671875" style="2813"/>
    <col min="5377" max="5377" width="9.44140625" style="2813" customWidth="1"/>
    <col min="5378" max="5378" width="8.88671875" style="2813"/>
    <col min="5379" max="5381" width="12.88671875" style="2813" customWidth="1"/>
    <col min="5382" max="5382" width="47.44140625" style="2813" customWidth="1"/>
    <col min="5383" max="5383" width="13" style="2813" customWidth="1"/>
    <col min="5384" max="5385" width="8.88671875" style="2813"/>
    <col min="5386" max="5386" width="5.77734375" style="2813" customWidth="1"/>
    <col min="5387" max="5387" width="11.77734375" style="2813" customWidth="1"/>
    <col min="5388" max="5389" width="10.77734375" style="2813" customWidth="1"/>
    <col min="5390" max="5390" width="10" style="2813" customWidth="1"/>
    <col min="5391" max="5392" width="10.44140625" style="2813" bestFit="1" customWidth="1"/>
    <col min="5393" max="5393" width="10" style="2813" customWidth="1"/>
    <col min="5394" max="5394" width="10.109375" style="2813" customWidth="1"/>
    <col min="5395" max="5395" width="10" style="2813" customWidth="1"/>
    <col min="5396" max="5396" width="26.109375" style="2813" customWidth="1"/>
    <col min="5397" max="5632" width="8.88671875" style="2813"/>
    <col min="5633" max="5633" width="9.44140625" style="2813" customWidth="1"/>
    <col min="5634" max="5634" width="8.88671875" style="2813"/>
    <col min="5635" max="5637" width="12.88671875" style="2813" customWidth="1"/>
    <col min="5638" max="5638" width="47.44140625" style="2813" customWidth="1"/>
    <col min="5639" max="5639" width="13" style="2813" customWidth="1"/>
    <col min="5640" max="5641" width="8.88671875" style="2813"/>
    <col min="5642" max="5642" width="5.77734375" style="2813" customWidth="1"/>
    <col min="5643" max="5643" width="11.77734375" style="2813" customWidth="1"/>
    <col min="5644" max="5645" width="10.77734375" style="2813" customWidth="1"/>
    <col min="5646" max="5646" width="10" style="2813" customWidth="1"/>
    <col min="5647" max="5648" width="10.44140625" style="2813" bestFit="1" customWidth="1"/>
    <col min="5649" max="5649" width="10" style="2813" customWidth="1"/>
    <col min="5650" max="5650" width="10.109375" style="2813" customWidth="1"/>
    <col min="5651" max="5651" width="10" style="2813" customWidth="1"/>
    <col min="5652" max="5652" width="26.109375" style="2813" customWidth="1"/>
    <col min="5653" max="5888" width="8.88671875" style="2813"/>
    <col min="5889" max="5889" width="9.44140625" style="2813" customWidth="1"/>
    <col min="5890" max="5890" width="8.88671875" style="2813"/>
    <col min="5891" max="5893" width="12.88671875" style="2813" customWidth="1"/>
    <col min="5894" max="5894" width="47.44140625" style="2813" customWidth="1"/>
    <col min="5895" max="5895" width="13" style="2813" customWidth="1"/>
    <col min="5896" max="5897" width="8.88671875" style="2813"/>
    <col min="5898" max="5898" width="5.77734375" style="2813" customWidth="1"/>
    <col min="5899" max="5899" width="11.77734375" style="2813" customWidth="1"/>
    <col min="5900" max="5901" width="10.77734375" style="2813" customWidth="1"/>
    <col min="5902" max="5902" width="10" style="2813" customWidth="1"/>
    <col min="5903" max="5904" width="10.44140625" style="2813" bestFit="1" customWidth="1"/>
    <col min="5905" max="5905" width="10" style="2813" customWidth="1"/>
    <col min="5906" max="5906" width="10.109375" style="2813" customWidth="1"/>
    <col min="5907" max="5907" width="10" style="2813" customWidth="1"/>
    <col min="5908" max="5908" width="26.109375" style="2813" customWidth="1"/>
    <col min="5909" max="6144" width="8.88671875" style="2813"/>
    <col min="6145" max="6145" width="9.44140625" style="2813" customWidth="1"/>
    <col min="6146" max="6146" width="8.88671875" style="2813"/>
    <col min="6147" max="6149" width="12.88671875" style="2813" customWidth="1"/>
    <col min="6150" max="6150" width="47.44140625" style="2813" customWidth="1"/>
    <col min="6151" max="6151" width="13" style="2813" customWidth="1"/>
    <col min="6152" max="6153" width="8.88671875" style="2813"/>
    <col min="6154" max="6154" width="5.77734375" style="2813" customWidth="1"/>
    <col min="6155" max="6155" width="11.77734375" style="2813" customWidth="1"/>
    <col min="6156" max="6157" width="10.77734375" style="2813" customWidth="1"/>
    <col min="6158" max="6158" width="10" style="2813" customWidth="1"/>
    <col min="6159" max="6160" width="10.44140625" style="2813" bestFit="1" customWidth="1"/>
    <col min="6161" max="6161" width="10" style="2813" customWidth="1"/>
    <col min="6162" max="6162" width="10.109375" style="2813" customWidth="1"/>
    <col min="6163" max="6163" width="10" style="2813" customWidth="1"/>
    <col min="6164" max="6164" width="26.109375" style="2813" customWidth="1"/>
    <col min="6165" max="6400" width="8.88671875" style="2813"/>
    <col min="6401" max="6401" width="9.44140625" style="2813" customWidth="1"/>
    <col min="6402" max="6402" width="8.88671875" style="2813"/>
    <col min="6403" max="6405" width="12.88671875" style="2813" customWidth="1"/>
    <col min="6406" max="6406" width="47.44140625" style="2813" customWidth="1"/>
    <col min="6407" max="6407" width="13" style="2813" customWidth="1"/>
    <col min="6408" max="6409" width="8.88671875" style="2813"/>
    <col min="6410" max="6410" width="5.77734375" style="2813" customWidth="1"/>
    <col min="6411" max="6411" width="11.77734375" style="2813" customWidth="1"/>
    <col min="6412" max="6413" width="10.77734375" style="2813" customWidth="1"/>
    <col min="6414" max="6414" width="10" style="2813" customWidth="1"/>
    <col min="6415" max="6416" width="10.44140625" style="2813" bestFit="1" customWidth="1"/>
    <col min="6417" max="6417" width="10" style="2813" customWidth="1"/>
    <col min="6418" max="6418" width="10.109375" style="2813" customWidth="1"/>
    <col min="6419" max="6419" width="10" style="2813" customWidth="1"/>
    <col min="6420" max="6420" width="26.109375" style="2813" customWidth="1"/>
    <col min="6421" max="6656" width="8.88671875" style="2813"/>
    <col min="6657" max="6657" width="9.44140625" style="2813" customWidth="1"/>
    <col min="6658" max="6658" width="8.88671875" style="2813"/>
    <col min="6659" max="6661" width="12.88671875" style="2813" customWidth="1"/>
    <col min="6662" max="6662" width="47.44140625" style="2813" customWidth="1"/>
    <col min="6663" max="6663" width="13" style="2813" customWidth="1"/>
    <col min="6664" max="6665" width="8.88671875" style="2813"/>
    <col min="6666" max="6666" width="5.77734375" style="2813" customWidth="1"/>
    <col min="6667" max="6667" width="11.77734375" style="2813" customWidth="1"/>
    <col min="6668" max="6669" width="10.77734375" style="2813" customWidth="1"/>
    <col min="6670" max="6670" width="10" style="2813" customWidth="1"/>
    <col min="6671" max="6672" width="10.44140625" style="2813" bestFit="1" customWidth="1"/>
    <col min="6673" max="6673" width="10" style="2813" customWidth="1"/>
    <col min="6674" max="6674" width="10.109375" style="2813" customWidth="1"/>
    <col min="6675" max="6675" width="10" style="2813" customWidth="1"/>
    <col min="6676" max="6676" width="26.109375" style="2813" customWidth="1"/>
    <col min="6677" max="6912" width="8.88671875" style="2813"/>
    <col min="6913" max="6913" width="9.44140625" style="2813" customWidth="1"/>
    <col min="6914" max="6914" width="8.88671875" style="2813"/>
    <col min="6915" max="6917" width="12.88671875" style="2813" customWidth="1"/>
    <col min="6918" max="6918" width="47.44140625" style="2813" customWidth="1"/>
    <col min="6919" max="6919" width="13" style="2813" customWidth="1"/>
    <col min="6920" max="6921" width="8.88671875" style="2813"/>
    <col min="6922" max="6922" width="5.77734375" style="2813" customWidth="1"/>
    <col min="6923" max="6923" width="11.77734375" style="2813" customWidth="1"/>
    <col min="6924" max="6925" width="10.77734375" style="2813" customWidth="1"/>
    <col min="6926" max="6926" width="10" style="2813" customWidth="1"/>
    <col min="6927" max="6928" width="10.44140625" style="2813" bestFit="1" customWidth="1"/>
    <col min="6929" max="6929" width="10" style="2813" customWidth="1"/>
    <col min="6930" max="6930" width="10.109375" style="2813" customWidth="1"/>
    <col min="6931" max="6931" width="10" style="2813" customWidth="1"/>
    <col min="6932" max="6932" width="26.109375" style="2813" customWidth="1"/>
    <col min="6933" max="7168" width="8.88671875" style="2813"/>
    <col min="7169" max="7169" width="9.44140625" style="2813" customWidth="1"/>
    <col min="7170" max="7170" width="8.88671875" style="2813"/>
    <col min="7171" max="7173" width="12.88671875" style="2813" customWidth="1"/>
    <col min="7174" max="7174" width="47.44140625" style="2813" customWidth="1"/>
    <col min="7175" max="7175" width="13" style="2813" customWidth="1"/>
    <col min="7176" max="7177" width="8.88671875" style="2813"/>
    <col min="7178" max="7178" width="5.77734375" style="2813" customWidth="1"/>
    <col min="7179" max="7179" width="11.77734375" style="2813" customWidth="1"/>
    <col min="7180" max="7181" width="10.77734375" style="2813" customWidth="1"/>
    <col min="7182" max="7182" width="10" style="2813" customWidth="1"/>
    <col min="7183" max="7184" width="10.44140625" style="2813" bestFit="1" customWidth="1"/>
    <col min="7185" max="7185" width="10" style="2813" customWidth="1"/>
    <col min="7186" max="7186" width="10.109375" style="2813" customWidth="1"/>
    <col min="7187" max="7187" width="10" style="2813" customWidth="1"/>
    <col min="7188" max="7188" width="26.109375" style="2813" customWidth="1"/>
    <col min="7189" max="7424" width="8.88671875" style="2813"/>
    <col min="7425" max="7425" width="9.44140625" style="2813" customWidth="1"/>
    <col min="7426" max="7426" width="8.88671875" style="2813"/>
    <col min="7427" max="7429" width="12.88671875" style="2813" customWidth="1"/>
    <col min="7430" max="7430" width="47.44140625" style="2813" customWidth="1"/>
    <col min="7431" max="7431" width="13" style="2813" customWidth="1"/>
    <col min="7432" max="7433" width="8.88671875" style="2813"/>
    <col min="7434" max="7434" width="5.77734375" style="2813" customWidth="1"/>
    <col min="7435" max="7435" width="11.77734375" style="2813" customWidth="1"/>
    <col min="7436" max="7437" width="10.77734375" style="2813" customWidth="1"/>
    <col min="7438" max="7438" width="10" style="2813" customWidth="1"/>
    <col min="7439" max="7440" width="10.44140625" style="2813" bestFit="1" customWidth="1"/>
    <col min="7441" max="7441" width="10" style="2813" customWidth="1"/>
    <col min="7442" max="7442" width="10.109375" style="2813" customWidth="1"/>
    <col min="7443" max="7443" width="10" style="2813" customWidth="1"/>
    <col min="7444" max="7444" width="26.109375" style="2813" customWidth="1"/>
    <col min="7445" max="7680" width="8.88671875" style="2813"/>
    <col min="7681" max="7681" width="9.44140625" style="2813" customWidth="1"/>
    <col min="7682" max="7682" width="8.88671875" style="2813"/>
    <col min="7683" max="7685" width="12.88671875" style="2813" customWidth="1"/>
    <col min="7686" max="7686" width="47.44140625" style="2813" customWidth="1"/>
    <col min="7687" max="7687" width="13" style="2813" customWidth="1"/>
    <col min="7688" max="7689" width="8.88671875" style="2813"/>
    <col min="7690" max="7690" width="5.77734375" style="2813" customWidth="1"/>
    <col min="7691" max="7691" width="11.77734375" style="2813" customWidth="1"/>
    <col min="7692" max="7693" width="10.77734375" style="2813" customWidth="1"/>
    <col min="7694" max="7694" width="10" style="2813" customWidth="1"/>
    <col min="7695" max="7696" width="10.44140625" style="2813" bestFit="1" customWidth="1"/>
    <col min="7697" max="7697" width="10" style="2813" customWidth="1"/>
    <col min="7698" max="7698" width="10.109375" style="2813" customWidth="1"/>
    <col min="7699" max="7699" width="10" style="2813" customWidth="1"/>
    <col min="7700" max="7700" width="26.109375" style="2813" customWidth="1"/>
    <col min="7701" max="7936" width="8.88671875" style="2813"/>
    <col min="7937" max="7937" width="9.44140625" style="2813" customWidth="1"/>
    <col min="7938" max="7938" width="8.88671875" style="2813"/>
    <col min="7939" max="7941" width="12.88671875" style="2813" customWidth="1"/>
    <col min="7942" max="7942" width="47.44140625" style="2813" customWidth="1"/>
    <col min="7943" max="7943" width="13" style="2813" customWidth="1"/>
    <col min="7944" max="7945" width="8.88671875" style="2813"/>
    <col min="7946" max="7946" width="5.77734375" style="2813" customWidth="1"/>
    <col min="7947" max="7947" width="11.77734375" style="2813" customWidth="1"/>
    <col min="7948" max="7949" width="10.77734375" style="2813" customWidth="1"/>
    <col min="7950" max="7950" width="10" style="2813" customWidth="1"/>
    <col min="7951" max="7952" width="10.44140625" style="2813" bestFit="1" customWidth="1"/>
    <col min="7953" max="7953" width="10" style="2813" customWidth="1"/>
    <col min="7954" max="7954" width="10.109375" style="2813" customWidth="1"/>
    <col min="7955" max="7955" width="10" style="2813" customWidth="1"/>
    <col min="7956" max="7956" width="26.109375" style="2813" customWidth="1"/>
    <col min="7957" max="8192" width="8.88671875" style="2813"/>
    <col min="8193" max="8193" width="9.44140625" style="2813" customWidth="1"/>
    <col min="8194" max="8194" width="8.88671875" style="2813"/>
    <col min="8195" max="8197" width="12.88671875" style="2813" customWidth="1"/>
    <col min="8198" max="8198" width="47.44140625" style="2813" customWidth="1"/>
    <col min="8199" max="8199" width="13" style="2813" customWidth="1"/>
    <col min="8200" max="8201" width="8.88671875" style="2813"/>
    <col min="8202" max="8202" width="5.77734375" style="2813" customWidth="1"/>
    <col min="8203" max="8203" width="11.77734375" style="2813" customWidth="1"/>
    <col min="8204" max="8205" width="10.77734375" style="2813" customWidth="1"/>
    <col min="8206" max="8206" width="10" style="2813" customWidth="1"/>
    <col min="8207" max="8208" width="10.44140625" style="2813" bestFit="1" customWidth="1"/>
    <col min="8209" max="8209" width="10" style="2813" customWidth="1"/>
    <col min="8210" max="8210" width="10.109375" style="2813" customWidth="1"/>
    <col min="8211" max="8211" width="10" style="2813" customWidth="1"/>
    <col min="8212" max="8212" width="26.109375" style="2813" customWidth="1"/>
    <col min="8213" max="8448" width="8.88671875" style="2813"/>
    <col min="8449" max="8449" width="9.44140625" style="2813" customWidth="1"/>
    <col min="8450" max="8450" width="8.88671875" style="2813"/>
    <col min="8451" max="8453" width="12.88671875" style="2813" customWidth="1"/>
    <col min="8454" max="8454" width="47.44140625" style="2813" customWidth="1"/>
    <col min="8455" max="8455" width="13" style="2813" customWidth="1"/>
    <col min="8456" max="8457" width="8.88671875" style="2813"/>
    <col min="8458" max="8458" width="5.77734375" style="2813" customWidth="1"/>
    <col min="8459" max="8459" width="11.77734375" style="2813" customWidth="1"/>
    <col min="8460" max="8461" width="10.77734375" style="2813" customWidth="1"/>
    <col min="8462" max="8462" width="10" style="2813" customWidth="1"/>
    <col min="8463" max="8464" width="10.44140625" style="2813" bestFit="1" customWidth="1"/>
    <col min="8465" max="8465" width="10" style="2813" customWidth="1"/>
    <col min="8466" max="8466" width="10.109375" style="2813" customWidth="1"/>
    <col min="8467" max="8467" width="10" style="2813" customWidth="1"/>
    <col min="8468" max="8468" width="26.109375" style="2813" customWidth="1"/>
    <col min="8469" max="8704" width="8.88671875" style="2813"/>
    <col min="8705" max="8705" width="9.44140625" style="2813" customWidth="1"/>
    <col min="8706" max="8706" width="8.88671875" style="2813"/>
    <col min="8707" max="8709" width="12.88671875" style="2813" customWidth="1"/>
    <col min="8710" max="8710" width="47.44140625" style="2813" customWidth="1"/>
    <col min="8711" max="8711" width="13" style="2813" customWidth="1"/>
    <col min="8712" max="8713" width="8.88671875" style="2813"/>
    <col min="8714" max="8714" width="5.77734375" style="2813" customWidth="1"/>
    <col min="8715" max="8715" width="11.77734375" style="2813" customWidth="1"/>
    <col min="8716" max="8717" width="10.77734375" style="2813" customWidth="1"/>
    <col min="8718" max="8718" width="10" style="2813" customWidth="1"/>
    <col min="8719" max="8720" width="10.44140625" style="2813" bestFit="1" customWidth="1"/>
    <col min="8721" max="8721" width="10" style="2813" customWidth="1"/>
    <col min="8722" max="8722" width="10.109375" style="2813" customWidth="1"/>
    <col min="8723" max="8723" width="10" style="2813" customWidth="1"/>
    <col min="8724" max="8724" width="26.109375" style="2813" customWidth="1"/>
    <col min="8725" max="8960" width="8.88671875" style="2813"/>
    <col min="8961" max="8961" width="9.44140625" style="2813" customWidth="1"/>
    <col min="8962" max="8962" width="8.88671875" style="2813"/>
    <col min="8963" max="8965" width="12.88671875" style="2813" customWidth="1"/>
    <col min="8966" max="8966" width="47.44140625" style="2813" customWidth="1"/>
    <col min="8967" max="8967" width="13" style="2813" customWidth="1"/>
    <col min="8968" max="8969" width="8.88671875" style="2813"/>
    <col min="8970" max="8970" width="5.77734375" style="2813" customWidth="1"/>
    <col min="8971" max="8971" width="11.77734375" style="2813" customWidth="1"/>
    <col min="8972" max="8973" width="10.77734375" style="2813" customWidth="1"/>
    <col min="8974" max="8974" width="10" style="2813" customWidth="1"/>
    <col min="8975" max="8976" width="10.44140625" style="2813" bestFit="1" customWidth="1"/>
    <col min="8977" max="8977" width="10" style="2813" customWidth="1"/>
    <col min="8978" max="8978" width="10.109375" style="2813" customWidth="1"/>
    <col min="8979" max="8979" width="10" style="2813" customWidth="1"/>
    <col min="8980" max="8980" width="26.109375" style="2813" customWidth="1"/>
    <col min="8981" max="9216" width="8.88671875" style="2813"/>
    <col min="9217" max="9217" width="9.44140625" style="2813" customWidth="1"/>
    <col min="9218" max="9218" width="8.88671875" style="2813"/>
    <col min="9219" max="9221" width="12.88671875" style="2813" customWidth="1"/>
    <col min="9222" max="9222" width="47.44140625" style="2813" customWidth="1"/>
    <col min="9223" max="9223" width="13" style="2813" customWidth="1"/>
    <col min="9224" max="9225" width="8.88671875" style="2813"/>
    <col min="9226" max="9226" width="5.77734375" style="2813" customWidth="1"/>
    <col min="9227" max="9227" width="11.77734375" style="2813" customWidth="1"/>
    <col min="9228" max="9229" width="10.77734375" style="2813" customWidth="1"/>
    <col min="9230" max="9230" width="10" style="2813" customWidth="1"/>
    <col min="9231" max="9232" width="10.44140625" style="2813" bestFit="1" customWidth="1"/>
    <col min="9233" max="9233" width="10" style="2813" customWidth="1"/>
    <col min="9234" max="9234" width="10.109375" style="2813" customWidth="1"/>
    <col min="9235" max="9235" width="10" style="2813" customWidth="1"/>
    <col min="9236" max="9236" width="26.109375" style="2813" customWidth="1"/>
    <col min="9237" max="9472" width="8.88671875" style="2813"/>
    <col min="9473" max="9473" width="9.44140625" style="2813" customWidth="1"/>
    <col min="9474" max="9474" width="8.88671875" style="2813"/>
    <col min="9475" max="9477" width="12.88671875" style="2813" customWidth="1"/>
    <col min="9478" max="9478" width="47.44140625" style="2813" customWidth="1"/>
    <col min="9479" max="9479" width="13" style="2813" customWidth="1"/>
    <col min="9480" max="9481" width="8.88671875" style="2813"/>
    <col min="9482" max="9482" width="5.77734375" style="2813" customWidth="1"/>
    <col min="9483" max="9483" width="11.77734375" style="2813" customWidth="1"/>
    <col min="9484" max="9485" width="10.77734375" style="2813" customWidth="1"/>
    <col min="9486" max="9486" width="10" style="2813" customWidth="1"/>
    <col min="9487" max="9488" width="10.44140625" style="2813" bestFit="1" customWidth="1"/>
    <col min="9489" max="9489" width="10" style="2813" customWidth="1"/>
    <col min="9490" max="9490" width="10.109375" style="2813" customWidth="1"/>
    <col min="9491" max="9491" width="10" style="2813" customWidth="1"/>
    <col min="9492" max="9492" width="26.109375" style="2813" customWidth="1"/>
    <col min="9493" max="9728" width="8.88671875" style="2813"/>
    <col min="9729" max="9729" width="9.44140625" style="2813" customWidth="1"/>
    <col min="9730" max="9730" width="8.88671875" style="2813"/>
    <col min="9731" max="9733" width="12.88671875" style="2813" customWidth="1"/>
    <col min="9734" max="9734" width="47.44140625" style="2813" customWidth="1"/>
    <col min="9735" max="9735" width="13" style="2813" customWidth="1"/>
    <col min="9736" max="9737" width="8.88671875" style="2813"/>
    <col min="9738" max="9738" width="5.77734375" style="2813" customWidth="1"/>
    <col min="9739" max="9739" width="11.77734375" style="2813" customWidth="1"/>
    <col min="9740" max="9741" width="10.77734375" style="2813" customWidth="1"/>
    <col min="9742" max="9742" width="10" style="2813" customWidth="1"/>
    <col min="9743" max="9744" width="10.44140625" style="2813" bestFit="1" customWidth="1"/>
    <col min="9745" max="9745" width="10" style="2813" customWidth="1"/>
    <col min="9746" max="9746" width="10.109375" style="2813" customWidth="1"/>
    <col min="9747" max="9747" width="10" style="2813" customWidth="1"/>
    <col min="9748" max="9748" width="26.109375" style="2813" customWidth="1"/>
    <col min="9749" max="9984" width="8.88671875" style="2813"/>
    <col min="9985" max="9985" width="9.44140625" style="2813" customWidth="1"/>
    <col min="9986" max="9986" width="8.88671875" style="2813"/>
    <col min="9987" max="9989" width="12.88671875" style="2813" customWidth="1"/>
    <col min="9990" max="9990" width="47.44140625" style="2813" customWidth="1"/>
    <col min="9991" max="9991" width="13" style="2813" customWidth="1"/>
    <col min="9992" max="9993" width="8.88671875" style="2813"/>
    <col min="9994" max="9994" width="5.77734375" style="2813" customWidth="1"/>
    <col min="9995" max="9995" width="11.77734375" style="2813" customWidth="1"/>
    <col min="9996" max="9997" width="10.77734375" style="2813" customWidth="1"/>
    <col min="9998" max="9998" width="10" style="2813" customWidth="1"/>
    <col min="9999" max="10000" width="10.44140625" style="2813" bestFit="1" customWidth="1"/>
    <col min="10001" max="10001" width="10" style="2813" customWidth="1"/>
    <col min="10002" max="10002" width="10.109375" style="2813" customWidth="1"/>
    <col min="10003" max="10003" width="10" style="2813" customWidth="1"/>
    <col min="10004" max="10004" width="26.109375" style="2813" customWidth="1"/>
    <col min="10005" max="10240" width="8.88671875" style="2813"/>
    <col min="10241" max="10241" width="9.44140625" style="2813" customWidth="1"/>
    <col min="10242" max="10242" width="8.88671875" style="2813"/>
    <col min="10243" max="10245" width="12.88671875" style="2813" customWidth="1"/>
    <col min="10246" max="10246" width="47.44140625" style="2813" customWidth="1"/>
    <col min="10247" max="10247" width="13" style="2813" customWidth="1"/>
    <col min="10248" max="10249" width="8.88671875" style="2813"/>
    <col min="10250" max="10250" width="5.77734375" style="2813" customWidth="1"/>
    <col min="10251" max="10251" width="11.77734375" style="2813" customWidth="1"/>
    <col min="10252" max="10253" width="10.77734375" style="2813" customWidth="1"/>
    <col min="10254" max="10254" width="10" style="2813" customWidth="1"/>
    <col min="10255" max="10256" width="10.44140625" style="2813" bestFit="1" customWidth="1"/>
    <col min="10257" max="10257" width="10" style="2813" customWidth="1"/>
    <col min="10258" max="10258" width="10.109375" style="2813" customWidth="1"/>
    <col min="10259" max="10259" width="10" style="2813" customWidth="1"/>
    <col min="10260" max="10260" width="26.109375" style="2813" customWidth="1"/>
    <col min="10261" max="10496" width="8.88671875" style="2813"/>
    <col min="10497" max="10497" width="9.44140625" style="2813" customWidth="1"/>
    <col min="10498" max="10498" width="8.88671875" style="2813"/>
    <col min="10499" max="10501" width="12.88671875" style="2813" customWidth="1"/>
    <col min="10502" max="10502" width="47.44140625" style="2813" customWidth="1"/>
    <col min="10503" max="10503" width="13" style="2813" customWidth="1"/>
    <col min="10504" max="10505" width="8.88671875" style="2813"/>
    <col min="10506" max="10506" width="5.77734375" style="2813" customWidth="1"/>
    <col min="10507" max="10507" width="11.77734375" style="2813" customWidth="1"/>
    <col min="10508" max="10509" width="10.77734375" style="2813" customWidth="1"/>
    <col min="10510" max="10510" width="10" style="2813" customWidth="1"/>
    <col min="10511" max="10512" width="10.44140625" style="2813" bestFit="1" customWidth="1"/>
    <col min="10513" max="10513" width="10" style="2813" customWidth="1"/>
    <col min="10514" max="10514" width="10.109375" style="2813" customWidth="1"/>
    <col min="10515" max="10515" width="10" style="2813" customWidth="1"/>
    <col min="10516" max="10516" width="26.109375" style="2813" customWidth="1"/>
    <col min="10517" max="10752" width="8.88671875" style="2813"/>
    <col min="10753" max="10753" width="9.44140625" style="2813" customWidth="1"/>
    <col min="10754" max="10754" width="8.88671875" style="2813"/>
    <col min="10755" max="10757" width="12.88671875" style="2813" customWidth="1"/>
    <col min="10758" max="10758" width="47.44140625" style="2813" customWidth="1"/>
    <col min="10759" max="10759" width="13" style="2813" customWidth="1"/>
    <col min="10760" max="10761" width="8.88671875" style="2813"/>
    <col min="10762" max="10762" width="5.77734375" style="2813" customWidth="1"/>
    <col min="10763" max="10763" width="11.77734375" style="2813" customWidth="1"/>
    <col min="10764" max="10765" width="10.77734375" style="2813" customWidth="1"/>
    <col min="10766" max="10766" width="10" style="2813" customWidth="1"/>
    <col min="10767" max="10768" width="10.44140625" style="2813" bestFit="1" customWidth="1"/>
    <col min="10769" max="10769" width="10" style="2813" customWidth="1"/>
    <col min="10770" max="10770" width="10.109375" style="2813" customWidth="1"/>
    <col min="10771" max="10771" width="10" style="2813" customWidth="1"/>
    <col min="10772" max="10772" width="26.109375" style="2813" customWidth="1"/>
    <col min="10773" max="11008" width="8.88671875" style="2813"/>
    <col min="11009" max="11009" width="9.44140625" style="2813" customWidth="1"/>
    <col min="11010" max="11010" width="8.88671875" style="2813"/>
    <col min="11011" max="11013" width="12.88671875" style="2813" customWidth="1"/>
    <col min="11014" max="11014" width="47.44140625" style="2813" customWidth="1"/>
    <col min="11015" max="11015" width="13" style="2813" customWidth="1"/>
    <col min="11016" max="11017" width="8.88671875" style="2813"/>
    <col min="11018" max="11018" width="5.77734375" style="2813" customWidth="1"/>
    <col min="11019" max="11019" width="11.77734375" style="2813" customWidth="1"/>
    <col min="11020" max="11021" width="10.77734375" style="2813" customWidth="1"/>
    <col min="11022" max="11022" width="10" style="2813" customWidth="1"/>
    <col min="11023" max="11024" width="10.44140625" style="2813" bestFit="1" customWidth="1"/>
    <col min="11025" max="11025" width="10" style="2813" customWidth="1"/>
    <col min="11026" max="11026" width="10.109375" style="2813" customWidth="1"/>
    <col min="11027" max="11027" width="10" style="2813" customWidth="1"/>
    <col min="11028" max="11028" width="26.109375" style="2813" customWidth="1"/>
    <col min="11029" max="11264" width="8.88671875" style="2813"/>
    <col min="11265" max="11265" width="9.44140625" style="2813" customWidth="1"/>
    <col min="11266" max="11266" width="8.88671875" style="2813"/>
    <col min="11267" max="11269" width="12.88671875" style="2813" customWidth="1"/>
    <col min="11270" max="11270" width="47.44140625" style="2813" customWidth="1"/>
    <col min="11271" max="11271" width="13" style="2813" customWidth="1"/>
    <col min="11272" max="11273" width="8.88671875" style="2813"/>
    <col min="11274" max="11274" width="5.77734375" style="2813" customWidth="1"/>
    <col min="11275" max="11275" width="11.77734375" style="2813" customWidth="1"/>
    <col min="11276" max="11277" width="10.77734375" style="2813" customWidth="1"/>
    <col min="11278" max="11278" width="10" style="2813" customWidth="1"/>
    <col min="11279" max="11280" width="10.44140625" style="2813" bestFit="1" customWidth="1"/>
    <col min="11281" max="11281" width="10" style="2813" customWidth="1"/>
    <col min="11282" max="11282" width="10.109375" style="2813" customWidth="1"/>
    <col min="11283" max="11283" width="10" style="2813" customWidth="1"/>
    <col min="11284" max="11284" width="26.109375" style="2813" customWidth="1"/>
    <col min="11285" max="11520" width="8.88671875" style="2813"/>
    <col min="11521" max="11521" width="9.44140625" style="2813" customWidth="1"/>
    <col min="11522" max="11522" width="8.88671875" style="2813"/>
    <col min="11523" max="11525" width="12.88671875" style="2813" customWidth="1"/>
    <col min="11526" max="11526" width="47.44140625" style="2813" customWidth="1"/>
    <col min="11527" max="11527" width="13" style="2813" customWidth="1"/>
    <col min="11528" max="11529" width="8.88671875" style="2813"/>
    <col min="11530" max="11530" width="5.77734375" style="2813" customWidth="1"/>
    <col min="11531" max="11531" width="11.77734375" style="2813" customWidth="1"/>
    <col min="11532" max="11533" width="10.77734375" style="2813" customWidth="1"/>
    <col min="11534" max="11534" width="10" style="2813" customWidth="1"/>
    <col min="11535" max="11536" width="10.44140625" style="2813" bestFit="1" customWidth="1"/>
    <col min="11537" max="11537" width="10" style="2813" customWidth="1"/>
    <col min="11538" max="11538" width="10.109375" style="2813" customWidth="1"/>
    <col min="11539" max="11539" width="10" style="2813" customWidth="1"/>
    <col min="11540" max="11540" width="26.109375" style="2813" customWidth="1"/>
    <col min="11541" max="11776" width="8.88671875" style="2813"/>
    <col min="11777" max="11777" width="9.44140625" style="2813" customWidth="1"/>
    <col min="11778" max="11778" width="8.88671875" style="2813"/>
    <col min="11779" max="11781" width="12.88671875" style="2813" customWidth="1"/>
    <col min="11782" max="11782" width="47.44140625" style="2813" customWidth="1"/>
    <col min="11783" max="11783" width="13" style="2813" customWidth="1"/>
    <col min="11784" max="11785" width="8.88671875" style="2813"/>
    <col min="11786" max="11786" width="5.77734375" style="2813" customWidth="1"/>
    <col min="11787" max="11787" width="11.77734375" style="2813" customWidth="1"/>
    <col min="11788" max="11789" width="10.77734375" style="2813" customWidth="1"/>
    <col min="11790" max="11790" width="10" style="2813" customWidth="1"/>
    <col min="11791" max="11792" width="10.44140625" style="2813" bestFit="1" customWidth="1"/>
    <col min="11793" max="11793" width="10" style="2813" customWidth="1"/>
    <col min="11794" max="11794" width="10.109375" style="2813" customWidth="1"/>
    <col min="11795" max="11795" width="10" style="2813" customWidth="1"/>
    <col min="11796" max="11796" width="26.109375" style="2813" customWidth="1"/>
    <col min="11797" max="12032" width="8.88671875" style="2813"/>
    <col min="12033" max="12033" width="9.44140625" style="2813" customWidth="1"/>
    <col min="12034" max="12034" width="8.88671875" style="2813"/>
    <col min="12035" max="12037" width="12.88671875" style="2813" customWidth="1"/>
    <col min="12038" max="12038" width="47.44140625" style="2813" customWidth="1"/>
    <col min="12039" max="12039" width="13" style="2813" customWidth="1"/>
    <col min="12040" max="12041" width="8.88671875" style="2813"/>
    <col min="12042" max="12042" width="5.77734375" style="2813" customWidth="1"/>
    <col min="12043" max="12043" width="11.77734375" style="2813" customWidth="1"/>
    <col min="12044" max="12045" width="10.77734375" style="2813" customWidth="1"/>
    <col min="12046" max="12046" width="10" style="2813" customWidth="1"/>
    <col min="12047" max="12048" width="10.44140625" style="2813" bestFit="1" customWidth="1"/>
    <col min="12049" max="12049" width="10" style="2813" customWidth="1"/>
    <col min="12050" max="12050" width="10.109375" style="2813" customWidth="1"/>
    <col min="12051" max="12051" width="10" style="2813" customWidth="1"/>
    <col min="12052" max="12052" width="26.109375" style="2813" customWidth="1"/>
    <col min="12053" max="12288" width="8.88671875" style="2813"/>
    <col min="12289" max="12289" width="9.44140625" style="2813" customWidth="1"/>
    <col min="12290" max="12290" width="8.88671875" style="2813"/>
    <col min="12291" max="12293" width="12.88671875" style="2813" customWidth="1"/>
    <col min="12294" max="12294" width="47.44140625" style="2813" customWidth="1"/>
    <col min="12295" max="12295" width="13" style="2813" customWidth="1"/>
    <col min="12296" max="12297" width="8.88671875" style="2813"/>
    <col min="12298" max="12298" width="5.77734375" style="2813" customWidth="1"/>
    <col min="12299" max="12299" width="11.77734375" style="2813" customWidth="1"/>
    <col min="12300" max="12301" width="10.77734375" style="2813" customWidth="1"/>
    <col min="12302" max="12302" width="10" style="2813" customWidth="1"/>
    <col min="12303" max="12304" width="10.44140625" style="2813" bestFit="1" customWidth="1"/>
    <col min="12305" max="12305" width="10" style="2813" customWidth="1"/>
    <col min="12306" max="12306" width="10.109375" style="2813" customWidth="1"/>
    <col min="12307" max="12307" width="10" style="2813" customWidth="1"/>
    <col min="12308" max="12308" width="26.109375" style="2813" customWidth="1"/>
    <col min="12309" max="12544" width="8.88671875" style="2813"/>
    <col min="12545" max="12545" width="9.44140625" style="2813" customWidth="1"/>
    <col min="12546" max="12546" width="8.88671875" style="2813"/>
    <col min="12547" max="12549" width="12.88671875" style="2813" customWidth="1"/>
    <col min="12550" max="12550" width="47.44140625" style="2813" customWidth="1"/>
    <col min="12551" max="12551" width="13" style="2813" customWidth="1"/>
    <col min="12552" max="12553" width="8.88671875" style="2813"/>
    <col min="12554" max="12554" width="5.77734375" style="2813" customWidth="1"/>
    <col min="12555" max="12555" width="11.77734375" style="2813" customWidth="1"/>
    <col min="12556" max="12557" width="10.77734375" style="2813" customWidth="1"/>
    <col min="12558" max="12558" width="10" style="2813" customWidth="1"/>
    <col min="12559" max="12560" width="10.44140625" style="2813" bestFit="1" customWidth="1"/>
    <col min="12561" max="12561" width="10" style="2813" customWidth="1"/>
    <col min="12562" max="12562" width="10.109375" style="2813" customWidth="1"/>
    <col min="12563" max="12563" width="10" style="2813" customWidth="1"/>
    <col min="12564" max="12564" width="26.109375" style="2813" customWidth="1"/>
    <col min="12565" max="12800" width="8.88671875" style="2813"/>
    <col min="12801" max="12801" width="9.44140625" style="2813" customWidth="1"/>
    <col min="12802" max="12802" width="8.88671875" style="2813"/>
    <col min="12803" max="12805" width="12.88671875" style="2813" customWidth="1"/>
    <col min="12806" max="12806" width="47.44140625" style="2813" customWidth="1"/>
    <col min="12807" max="12807" width="13" style="2813" customWidth="1"/>
    <col min="12808" max="12809" width="8.88671875" style="2813"/>
    <col min="12810" max="12810" width="5.77734375" style="2813" customWidth="1"/>
    <col min="12811" max="12811" width="11.77734375" style="2813" customWidth="1"/>
    <col min="12812" max="12813" width="10.77734375" style="2813" customWidth="1"/>
    <col min="12814" max="12814" width="10" style="2813" customWidth="1"/>
    <col min="12815" max="12816" width="10.44140625" style="2813" bestFit="1" customWidth="1"/>
    <col min="12817" max="12817" width="10" style="2813" customWidth="1"/>
    <col min="12818" max="12818" width="10.109375" style="2813" customWidth="1"/>
    <col min="12819" max="12819" width="10" style="2813" customWidth="1"/>
    <col min="12820" max="12820" width="26.109375" style="2813" customWidth="1"/>
    <col min="12821" max="13056" width="8.88671875" style="2813"/>
    <col min="13057" max="13057" width="9.44140625" style="2813" customWidth="1"/>
    <col min="13058" max="13058" width="8.88671875" style="2813"/>
    <col min="13059" max="13061" width="12.88671875" style="2813" customWidth="1"/>
    <col min="13062" max="13062" width="47.44140625" style="2813" customWidth="1"/>
    <col min="13063" max="13063" width="13" style="2813" customWidth="1"/>
    <col min="13064" max="13065" width="8.88671875" style="2813"/>
    <col min="13066" max="13066" width="5.77734375" style="2813" customWidth="1"/>
    <col min="13067" max="13067" width="11.77734375" style="2813" customWidth="1"/>
    <col min="13068" max="13069" width="10.77734375" style="2813" customWidth="1"/>
    <col min="13070" max="13070" width="10" style="2813" customWidth="1"/>
    <col min="13071" max="13072" width="10.44140625" style="2813" bestFit="1" customWidth="1"/>
    <col min="13073" max="13073" width="10" style="2813" customWidth="1"/>
    <col min="13074" max="13074" width="10.109375" style="2813" customWidth="1"/>
    <col min="13075" max="13075" width="10" style="2813" customWidth="1"/>
    <col min="13076" max="13076" width="26.109375" style="2813" customWidth="1"/>
    <col min="13077" max="13312" width="8.88671875" style="2813"/>
    <col min="13313" max="13313" width="9.44140625" style="2813" customWidth="1"/>
    <col min="13314" max="13314" width="8.88671875" style="2813"/>
    <col min="13315" max="13317" width="12.88671875" style="2813" customWidth="1"/>
    <col min="13318" max="13318" width="47.44140625" style="2813" customWidth="1"/>
    <col min="13319" max="13319" width="13" style="2813" customWidth="1"/>
    <col min="13320" max="13321" width="8.88671875" style="2813"/>
    <col min="13322" max="13322" width="5.77734375" style="2813" customWidth="1"/>
    <col min="13323" max="13323" width="11.77734375" style="2813" customWidth="1"/>
    <col min="13324" max="13325" width="10.77734375" style="2813" customWidth="1"/>
    <col min="13326" max="13326" width="10" style="2813" customWidth="1"/>
    <col min="13327" max="13328" width="10.44140625" style="2813" bestFit="1" customWidth="1"/>
    <col min="13329" max="13329" width="10" style="2813" customWidth="1"/>
    <col min="13330" max="13330" width="10.109375" style="2813" customWidth="1"/>
    <col min="13331" max="13331" width="10" style="2813" customWidth="1"/>
    <col min="13332" max="13332" width="26.109375" style="2813" customWidth="1"/>
    <col min="13333" max="13568" width="8.88671875" style="2813"/>
    <col min="13569" max="13569" width="9.44140625" style="2813" customWidth="1"/>
    <col min="13570" max="13570" width="8.88671875" style="2813"/>
    <col min="13571" max="13573" width="12.88671875" style="2813" customWidth="1"/>
    <col min="13574" max="13574" width="47.44140625" style="2813" customWidth="1"/>
    <col min="13575" max="13575" width="13" style="2813" customWidth="1"/>
    <col min="13576" max="13577" width="8.88671875" style="2813"/>
    <col min="13578" max="13578" width="5.77734375" style="2813" customWidth="1"/>
    <col min="13579" max="13579" width="11.77734375" style="2813" customWidth="1"/>
    <col min="13580" max="13581" width="10.77734375" style="2813" customWidth="1"/>
    <col min="13582" max="13582" width="10" style="2813" customWidth="1"/>
    <col min="13583" max="13584" width="10.44140625" style="2813" bestFit="1" customWidth="1"/>
    <col min="13585" max="13585" width="10" style="2813" customWidth="1"/>
    <col min="13586" max="13586" width="10.109375" style="2813" customWidth="1"/>
    <col min="13587" max="13587" width="10" style="2813" customWidth="1"/>
    <col min="13588" max="13588" width="26.109375" style="2813" customWidth="1"/>
    <col min="13589" max="13824" width="8.88671875" style="2813"/>
    <col min="13825" max="13825" width="9.44140625" style="2813" customWidth="1"/>
    <col min="13826" max="13826" width="8.88671875" style="2813"/>
    <col min="13827" max="13829" width="12.88671875" style="2813" customWidth="1"/>
    <col min="13830" max="13830" width="47.44140625" style="2813" customWidth="1"/>
    <col min="13831" max="13831" width="13" style="2813" customWidth="1"/>
    <col min="13832" max="13833" width="8.88671875" style="2813"/>
    <col min="13834" max="13834" width="5.77734375" style="2813" customWidth="1"/>
    <col min="13835" max="13835" width="11.77734375" style="2813" customWidth="1"/>
    <col min="13836" max="13837" width="10.77734375" style="2813" customWidth="1"/>
    <col min="13838" max="13838" width="10" style="2813" customWidth="1"/>
    <col min="13839" max="13840" width="10.44140625" style="2813" bestFit="1" customWidth="1"/>
    <col min="13841" max="13841" width="10" style="2813" customWidth="1"/>
    <col min="13842" max="13842" width="10.109375" style="2813" customWidth="1"/>
    <col min="13843" max="13843" width="10" style="2813" customWidth="1"/>
    <col min="13844" max="13844" width="26.109375" style="2813" customWidth="1"/>
    <col min="13845" max="14080" width="8.88671875" style="2813"/>
    <col min="14081" max="14081" width="9.44140625" style="2813" customWidth="1"/>
    <col min="14082" max="14082" width="8.88671875" style="2813"/>
    <col min="14083" max="14085" width="12.88671875" style="2813" customWidth="1"/>
    <col min="14086" max="14086" width="47.44140625" style="2813" customWidth="1"/>
    <col min="14087" max="14087" width="13" style="2813" customWidth="1"/>
    <col min="14088" max="14089" width="8.88671875" style="2813"/>
    <col min="14090" max="14090" width="5.77734375" style="2813" customWidth="1"/>
    <col min="14091" max="14091" width="11.77734375" style="2813" customWidth="1"/>
    <col min="14092" max="14093" width="10.77734375" style="2813" customWidth="1"/>
    <col min="14094" max="14094" width="10" style="2813" customWidth="1"/>
    <col min="14095" max="14096" width="10.44140625" style="2813" bestFit="1" customWidth="1"/>
    <col min="14097" max="14097" width="10" style="2813" customWidth="1"/>
    <col min="14098" max="14098" width="10.109375" style="2813" customWidth="1"/>
    <col min="14099" max="14099" width="10" style="2813" customWidth="1"/>
    <col min="14100" max="14100" width="26.109375" style="2813" customWidth="1"/>
    <col min="14101" max="14336" width="8.88671875" style="2813"/>
    <col min="14337" max="14337" width="9.44140625" style="2813" customWidth="1"/>
    <col min="14338" max="14338" width="8.88671875" style="2813"/>
    <col min="14339" max="14341" width="12.88671875" style="2813" customWidth="1"/>
    <col min="14342" max="14342" width="47.44140625" style="2813" customWidth="1"/>
    <col min="14343" max="14343" width="13" style="2813" customWidth="1"/>
    <col min="14344" max="14345" width="8.88671875" style="2813"/>
    <col min="14346" max="14346" width="5.77734375" style="2813" customWidth="1"/>
    <col min="14347" max="14347" width="11.77734375" style="2813" customWidth="1"/>
    <col min="14348" max="14349" width="10.77734375" style="2813" customWidth="1"/>
    <col min="14350" max="14350" width="10" style="2813" customWidth="1"/>
    <col min="14351" max="14352" width="10.44140625" style="2813" bestFit="1" customWidth="1"/>
    <col min="14353" max="14353" width="10" style="2813" customWidth="1"/>
    <col min="14354" max="14354" width="10.109375" style="2813" customWidth="1"/>
    <col min="14355" max="14355" width="10" style="2813" customWidth="1"/>
    <col min="14356" max="14356" width="26.109375" style="2813" customWidth="1"/>
    <col min="14357" max="14592" width="8.88671875" style="2813"/>
    <col min="14593" max="14593" width="9.44140625" style="2813" customWidth="1"/>
    <col min="14594" max="14594" width="8.88671875" style="2813"/>
    <col min="14595" max="14597" width="12.88671875" style="2813" customWidth="1"/>
    <col min="14598" max="14598" width="47.44140625" style="2813" customWidth="1"/>
    <col min="14599" max="14599" width="13" style="2813" customWidth="1"/>
    <col min="14600" max="14601" width="8.88671875" style="2813"/>
    <col min="14602" max="14602" width="5.77734375" style="2813" customWidth="1"/>
    <col min="14603" max="14603" width="11.77734375" style="2813" customWidth="1"/>
    <col min="14604" max="14605" width="10.77734375" style="2813" customWidth="1"/>
    <col min="14606" max="14606" width="10" style="2813" customWidth="1"/>
    <col min="14607" max="14608" width="10.44140625" style="2813" bestFit="1" customWidth="1"/>
    <col min="14609" max="14609" width="10" style="2813" customWidth="1"/>
    <col min="14610" max="14610" width="10.109375" style="2813" customWidth="1"/>
    <col min="14611" max="14611" width="10" style="2813" customWidth="1"/>
    <col min="14612" max="14612" width="26.109375" style="2813" customWidth="1"/>
    <col min="14613" max="14848" width="8.88671875" style="2813"/>
    <col min="14849" max="14849" width="9.44140625" style="2813" customWidth="1"/>
    <col min="14850" max="14850" width="8.88671875" style="2813"/>
    <col min="14851" max="14853" width="12.88671875" style="2813" customWidth="1"/>
    <col min="14854" max="14854" width="47.44140625" style="2813" customWidth="1"/>
    <col min="14855" max="14855" width="13" style="2813" customWidth="1"/>
    <col min="14856" max="14857" width="8.88671875" style="2813"/>
    <col min="14858" max="14858" width="5.77734375" style="2813" customWidth="1"/>
    <col min="14859" max="14859" width="11.77734375" style="2813" customWidth="1"/>
    <col min="14860" max="14861" width="10.77734375" style="2813" customWidth="1"/>
    <col min="14862" max="14862" width="10" style="2813" customWidth="1"/>
    <col min="14863" max="14864" width="10.44140625" style="2813" bestFit="1" customWidth="1"/>
    <col min="14865" max="14865" width="10" style="2813" customWidth="1"/>
    <col min="14866" max="14866" width="10.109375" style="2813" customWidth="1"/>
    <col min="14867" max="14867" width="10" style="2813" customWidth="1"/>
    <col min="14868" max="14868" width="26.109375" style="2813" customWidth="1"/>
    <col min="14869" max="15104" width="8.88671875" style="2813"/>
    <col min="15105" max="15105" width="9.44140625" style="2813" customWidth="1"/>
    <col min="15106" max="15106" width="8.88671875" style="2813"/>
    <col min="15107" max="15109" width="12.88671875" style="2813" customWidth="1"/>
    <col min="15110" max="15110" width="47.44140625" style="2813" customWidth="1"/>
    <col min="15111" max="15111" width="13" style="2813" customWidth="1"/>
    <col min="15112" max="15113" width="8.88671875" style="2813"/>
    <col min="15114" max="15114" width="5.77734375" style="2813" customWidth="1"/>
    <col min="15115" max="15115" width="11.77734375" style="2813" customWidth="1"/>
    <col min="15116" max="15117" width="10.77734375" style="2813" customWidth="1"/>
    <col min="15118" max="15118" width="10" style="2813" customWidth="1"/>
    <col min="15119" max="15120" width="10.44140625" style="2813" bestFit="1" customWidth="1"/>
    <col min="15121" max="15121" width="10" style="2813" customWidth="1"/>
    <col min="15122" max="15122" width="10.109375" style="2813" customWidth="1"/>
    <col min="15123" max="15123" width="10" style="2813" customWidth="1"/>
    <col min="15124" max="15124" width="26.109375" style="2813" customWidth="1"/>
    <col min="15125" max="15360" width="8.88671875" style="2813"/>
    <col min="15361" max="15361" width="9.44140625" style="2813" customWidth="1"/>
    <col min="15362" max="15362" width="8.88671875" style="2813"/>
    <col min="15363" max="15365" width="12.88671875" style="2813" customWidth="1"/>
    <col min="15366" max="15366" width="47.44140625" style="2813" customWidth="1"/>
    <col min="15367" max="15367" width="13" style="2813" customWidth="1"/>
    <col min="15368" max="15369" width="8.88671875" style="2813"/>
    <col min="15370" max="15370" width="5.77734375" style="2813" customWidth="1"/>
    <col min="15371" max="15371" width="11.77734375" style="2813" customWidth="1"/>
    <col min="15372" max="15373" width="10.77734375" style="2813" customWidth="1"/>
    <col min="15374" max="15374" width="10" style="2813" customWidth="1"/>
    <col min="15375" max="15376" width="10.44140625" style="2813" bestFit="1" customWidth="1"/>
    <col min="15377" max="15377" width="10" style="2813" customWidth="1"/>
    <col min="15378" max="15378" width="10.109375" style="2813" customWidth="1"/>
    <col min="15379" max="15379" width="10" style="2813" customWidth="1"/>
    <col min="15380" max="15380" width="26.109375" style="2813" customWidth="1"/>
    <col min="15381" max="15616" width="8.88671875" style="2813"/>
    <col min="15617" max="15617" width="9.44140625" style="2813" customWidth="1"/>
    <col min="15618" max="15618" width="8.88671875" style="2813"/>
    <col min="15619" max="15621" width="12.88671875" style="2813" customWidth="1"/>
    <col min="15622" max="15622" width="47.44140625" style="2813" customWidth="1"/>
    <col min="15623" max="15623" width="13" style="2813" customWidth="1"/>
    <col min="15624" max="15625" width="8.88671875" style="2813"/>
    <col min="15626" max="15626" width="5.77734375" style="2813" customWidth="1"/>
    <col min="15627" max="15627" width="11.77734375" style="2813" customWidth="1"/>
    <col min="15628" max="15629" width="10.77734375" style="2813" customWidth="1"/>
    <col min="15630" max="15630" width="10" style="2813" customWidth="1"/>
    <col min="15631" max="15632" width="10.44140625" style="2813" bestFit="1" customWidth="1"/>
    <col min="15633" max="15633" width="10" style="2813" customWidth="1"/>
    <col min="15634" max="15634" width="10.109375" style="2813" customWidth="1"/>
    <col min="15635" max="15635" width="10" style="2813" customWidth="1"/>
    <col min="15636" max="15636" width="26.109375" style="2813" customWidth="1"/>
    <col min="15637" max="15872" width="8.88671875" style="2813"/>
    <col min="15873" max="15873" width="9.44140625" style="2813" customWidth="1"/>
    <col min="15874" max="15874" width="8.88671875" style="2813"/>
    <col min="15875" max="15877" width="12.88671875" style="2813" customWidth="1"/>
    <col min="15878" max="15878" width="47.44140625" style="2813" customWidth="1"/>
    <col min="15879" max="15879" width="13" style="2813" customWidth="1"/>
    <col min="15880" max="15881" width="8.88671875" style="2813"/>
    <col min="15882" max="15882" width="5.77734375" style="2813" customWidth="1"/>
    <col min="15883" max="15883" width="11.77734375" style="2813" customWidth="1"/>
    <col min="15884" max="15885" width="10.77734375" style="2813" customWidth="1"/>
    <col min="15886" max="15886" width="10" style="2813" customWidth="1"/>
    <col min="15887" max="15888" width="10.44140625" style="2813" bestFit="1" customWidth="1"/>
    <col min="15889" max="15889" width="10" style="2813" customWidth="1"/>
    <col min="15890" max="15890" width="10.109375" style="2813" customWidth="1"/>
    <col min="15891" max="15891" width="10" style="2813" customWidth="1"/>
    <col min="15892" max="15892" width="26.109375" style="2813" customWidth="1"/>
    <col min="15893" max="16128" width="8.88671875" style="2813"/>
    <col min="16129" max="16129" width="9.44140625" style="2813" customWidth="1"/>
    <col min="16130" max="16130" width="8.88671875" style="2813"/>
    <col min="16131" max="16133" width="12.88671875" style="2813" customWidth="1"/>
    <col min="16134" max="16134" width="47.44140625" style="2813" customWidth="1"/>
    <col min="16135" max="16135" width="13" style="2813" customWidth="1"/>
    <col min="16136" max="16137" width="8.88671875" style="2813"/>
    <col min="16138" max="16138" width="5.77734375" style="2813" customWidth="1"/>
    <col min="16139" max="16139" width="11.77734375" style="2813" customWidth="1"/>
    <col min="16140" max="16141" width="10.77734375" style="2813" customWidth="1"/>
    <col min="16142" max="16142" width="10" style="2813" customWidth="1"/>
    <col min="16143" max="16144" width="10.44140625" style="2813" bestFit="1" customWidth="1"/>
    <col min="16145" max="16145" width="10" style="2813" customWidth="1"/>
    <col min="16146" max="16146" width="10.109375" style="2813" customWidth="1"/>
    <col min="16147" max="16147" width="10" style="2813" customWidth="1"/>
    <col min="16148" max="16148" width="26.109375" style="2813" customWidth="1"/>
    <col min="16149" max="16384" width="8.88671875" style="2813"/>
  </cols>
  <sheetData>
    <row r="1" spans="1:22" ht="21" customHeight="1">
      <c r="A1" s="2802" t="s">
        <v>2437</v>
      </c>
      <c r="B1" s="2803"/>
      <c r="C1" s="2815"/>
      <c r="D1" s="2815"/>
      <c r="E1" s="2804"/>
      <c r="F1" s="2805"/>
      <c r="G1" s="2806"/>
      <c r="J1" s="2809" t="s">
        <v>2316</v>
      </c>
      <c r="K1" s="2810"/>
      <c r="L1" s="2810"/>
      <c r="M1" s="2810"/>
      <c r="N1" s="2810"/>
      <c r="O1" s="2810"/>
      <c r="P1" s="2810"/>
      <c r="Q1" s="2810"/>
      <c r="R1" s="2811"/>
      <c r="S1" s="2812"/>
      <c r="T1" s="2812"/>
      <c r="U1" s="2812"/>
    </row>
    <row r="2" spans="1:22" s="2824" customFormat="1" ht="13.2" customHeight="1">
      <c r="A2" s="1372" t="s">
        <v>2317</v>
      </c>
      <c r="B2" s="2814" t="e">
        <f>IF(D2="——",C40,C40+E2)</f>
        <v>#DIV/0!</v>
      </c>
      <c r="C2" s="2815" t="s">
        <v>2318</v>
      </c>
      <c r="D2" s="3414" t="s">
        <v>3361</v>
      </c>
      <c r="E2" s="3415"/>
      <c r="F2" s="2817"/>
      <c r="G2" s="2818"/>
      <c r="H2" s="2819"/>
      <c r="I2" s="2820"/>
      <c r="J2" s="4148" t="s">
        <v>2319</v>
      </c>
      <c r="K2" s="4149"/>
      <c r="L2" s="2821" t="s">
        <v>2320</v>
      </c>
      <c r="M2" s="2821" t="s">
        <v>2321</v>
      </c>
      <c r="N2" s="2821" t="s">
        <v>2322</v>
      </c>
      <c r="O2" s="2821" t="s">
        <v>2323</v>
      </c>
      <c r="P2" s="2821" t="s">
        <v>2324</v>
      </c>
      <c r="Q2" s="2822" t="s">
        <v>2325</v>
      </c>
      <c r="R2" s="2823" t="s">
        <v>2326</v>
      </c>
      <c r="S2" s="2812"/>
      <c r="T2" s="2812"/>
      <c r="U2" s="2812"/>
      <c r="V2" s="2820"/>
    </row>
    <row r="3" spans="1:22" s="2824" customFormat="1" ht="13.2" customHeight="1">
      <c r="A3" s="2825" t="s">
        <v>2327</v>
      </c>
      <c r="B3" s="2826" t="e">
        <f>ROUND(B2*10000/B4,0)</f>
        <v>#DIV/0!</v>
      </c>
      <c r="C3" s="2815" t="s">
        <v>2328</v>
      </c>
      <c r="D3" s="2815"/>
      <c r="E3" s="2816"/>
      <c r="F3" s="2817"/>
      <c r="G3" s="2818"/>
      <c r="H3" s="2819"/>
      <c r="I3" s="2820"/>
      <c r="J3" s="4150" t="s">
        <v>2329</v>
      </c>
      <c r="K3" s="4151"/>
      <c r="L3" s="2827"/>
      <c r="M3" s="2827"/>
      <c r="N3" s="2827"/>
      <c r="O3" s="2827"/>
      <c r="P3" s="2827"/>
      <c r="Q3" s="2828"/>
      <c r="R3" s="2829">
        <f>SUM(L3:Q3)</f>
        <v>0</v>
      </c>
      <c r="S3" s="2812"/>
      <c r="T3" s="2812"/>
      <c r="U3" s="2812"/>
      <c r="V3" s="2820"/>
    </row>
    <row r="4" spans="1:22" s="2824" customFormat="1" ht="13.2" customHeight="1">
      <c r="A4" s="2830" t="s">
        <v>2330</v>
      </c>
      <c r="B4" s="2831"/>
      <c r="C4" s="2815"/>
      <c r="D4" s="2815"/>
      <c r="E4" s="2816"/>
      <c r="F4" s="2817"/>
      <c r="G4" s="2818"/>
      <c r="H4" s="2819"/>
      <c r="I4" s="2820"/>
      <c r="J4" s="4150" t="s">
        <v>2331</v>
      </c>
      <c r="K4" s="4151"/>
      <c r="L4" s="2832"/>
      <c r="M4" s="2832"/>
      <c r="N4" s="2832"/>
      <c r="O4" s="2832"/>
      <c r="P4" s="2832"/>
      <c r="Q4" s="2833"/>
      <c r="R4" s="2834">
        <f>SUM(L4:Q4)</f>
        <v>0</v>
      </c>
      <c r="S4" s="2812"/>
      <c r="T4" s="2812"/>
      <c r="U4" s="2812"/>
      <c r="V4" s="2820"/>
    </row>
    <row r="5" spans="1:22" s="2824" customFormat="1" ht="13.2" customHeight="1" thickBot="1">
      <c r="A5" s="2835" t="s">
        <v>2332</v>
      </c>
      <c r="B5" s="2836"/>
      <c r="C5" s="2815"/>
      <c r="D5" s="2837"/>
      <c r="E5" s="2817"/>
      <c r="F5" s="2817"/>
      <c r="G5" s="2818"/>
      <c r="H5" s="2819"/>
      <c r="I5" s="2820"/>
      <c r="J5" s="2838" t="s">
        <v>2333</v>
      </c>
      <c r="K5" s="2839"/>
      <c r="L5" s="2839"/>
      <c r="M5" s="2840"/>
      <c r="N5" s="2840"/>
      <c r="O5" s="2840"/>
      <c r="P5" s="2840"/>
      <c r="Q5" s="2840"/>
      <c r="R5" s="2823">
        <f>SUM(R14,R19,R24,R25,R27,R28)</f>
        <v>0</v>
      </c>
      <c r="S5" s="2812"/>
      <c r="T5" s="2812" t="s">
        <v>2334</v>
      </c>
      <c r="U5" s="2812" t="e">
        <f>ROUND(R5*10000/365/R3,1)</f>
        <v>#DIV/0!</v>
      </c>
      <c r="V5" s="2820"/>
    </row>
    <row r="6" spans="1:22" s="2824" customFormat="1" ht="13.2" customHeight="1" thickBot="1">
      <c r="A6" s="4156" t="s">
        <v>2335</v>
      </c>
      <c r="B6" s="4157"/>
      <c r="C6" s="4158"/>
      <c r="D6" s="2841"/>
      <c r="E6" s="2842"/>
      <c r="F6" s="2843"/>
      <c r="G6" s="2844"/>
      <c r="H6" s="2819"/>
      <c r="I6" s="2820"/>
      <c r="J6" s="4142">
        <v>1</v>
      </c>
      <c r="K6" s="4143" t="s">
        <v>2336</v>
      </c>
      <c r="L6" s="2845" t="s">
        <v>2337</v>
      </c>
      <c r="M6" s="2846" t="s">
        <v>2338</v>
      </c>
      <c r="N6" s="2846" t="s">
        <v>2339</v>
      </c>
      <c r="O6" s="2846" t="s">
        <v>2340</v>
      </c>
      <c r="P6" s="2846" t="s">
        <v>2341</v>
      </c>
      <c r="Q6" s="2846" t="s">
        <v>2342</v>
      </c>
      <c r="R6" s="2829" t="s">
        <v>2343</v>
      </c>
      <c r="S6" s="2812"/>
      <c r="T6" s="2812" t="s">
        <v>2344</v>
      </c>
      <c r="U6" s="2812"/>
      <c r="V6" s="2820"/>
    </row>
    <row r="7" spans="1:22" s="2824" customFormat="1" ht="13.2" customHeight="1">
      <c r="A7" s="2847" t="s">
        <v>2345</v>
      </c>
      <c r="B7" s="2848"/>
      <c r="C7" s="2849"/>
      <c r="D7" s="2850">
        <f>SUM(D9,D10,D11,D17,0)</f>
        <v>0</v>
      </c>
      <c r="E7" s="2851" t="e">
        <f>E9+E10+E11+E17</f>
        <v>#DIV/0!</v>
      </c>
      <c r="F7" s="2852"/>
      <c r="G7" s="2853"/>
      <c r="H7" s="2819"/>
      <c r="I7" s="2820"/>
      <c r="J7" s="4142"/>
      <c r="K7" s="4144"/>
      <c r="L7" s="2854" t="s">
        <v>2346</v>
      </c>
      <c r="M7" s="2855"/>
      <c r="N7" s="2831"/>
      <c r="O7" s="2856"/>
      <c r="P7" s="2856"/>
      <c r="Q7" s="2857">
        <v>365</v>
      </c>
      <c r="R7" s="2858">
        <f>ROUND(M7*N7*O7*P7*Q7/10000,0)</f>
        <v>0</v>
      </c>
      <c r="S7" s="2812"/>
      <c r="T7" s="2812" t="s">
        <v>2347</v>
      </c>
      <c r="U7" s="2812"/>
      <c r="V7" s="2820"/>
    </row>
    <row r="8" spans="1:22" s="2824" customFormat="1" ht="13.2" customHeight="1">
      <c r="A8" s="2859" t="s">
        <v>2348</v>
      </c>
      <c r="B8" s="4159" t="s">
        <v>2349</v>
      </c>
      <c r="C8" s="4160"/>
      <c r="D8" s="2860" t="s">
        <v>2350</v>
      </c>
      <c r="E8" s="2861" t="s">
        <v>2351</v>
      </c>
      <c r="F8" s="2862" t="s">
        <v>2352</v>
      </c>
      <c r="G8" s="2863"/>
      <c r="H8" s="2819"/>
      <c r="I8" s="2820"/>
      <c r="J8" s="4142"/>
      <c r="K8" s="4144"/>
      <c r="L8" s="2854" t="s">
        <v>2353</v>
      </c>
      <c r="M8" s="2855"/>
      <c r="N8" s="2831"/>
      <c r="O8" s="2856"/>
      <c r="P8" s="2856"/>
      <c r="Q8" s="2857">
        <v>365</v>
      </c>
      <c r="R8" s="2858">
        <f t="shared" ref="R8:R13" si="0">ROUND(M8*N8*O8*P8*Q8/10000,0)</f>
        <v>0</v>
      </c>
      <c r="S8" s="2812"/>
      <c r="T8" s="2812" t="s">
        <v>2354</v>
      </c>
      <c r="U8" s="2812"/>
      <c r="V8" s="2820"/>
    </row>
    <row r="9" spans="1:22" s="2824" customFormat="1" ht="13.2" customHeight="1">
      <c r="A9" s="2859">
        <v>1</v>
      </c>
      <c r="B9" s="4159" t="s">
        <v>2355</v>
      </c>
      <c r="C9" s="4160"/>
      <c r="D9" s="2860">
        <f>ROUND(D6*E9,0)</f>
        <v>0</v>
      </c>
      <c r="E9" s="2864"/>
      <c r="F9" s="2865" t="s">
        <v>2356</v>
      </c>
      <c r="G9" s="2844"/>
      <c r="H9" s="2819"/>
      <c r="I9" s="2820"/>
      <c r="J9" s="4142"/>
      <c r="K9" s="4144"/>
      <c r="L9" s="2854" t="s">
        <v>2357</v>
      </c>
      <c r="M9" s="2855"/>
      <c r="N9" s="2831"/>
      <c r="O9" s="2856"/>
      <c r="P9" s="2856"/>
      <c r="Q9" s="2857">
        <v>365</v>
      </c>
      <c r="R9" s="2858">
        <f t="shared" si="0"/>
        <v>0</v>
      </c>
      <c r="S9" s="2812"/>
      <c r="T9" s="2812"/>
      <c r="U9" s="2812"/>
      <c r="V9" s="2820"/>
    </row>
    <row r="10" spans="1:22" s="2824" customFormat="1" ht="13.2" customHeight="1">
      <c r="A10" s="2859">
        <v>2</v>
      </c>
      <c r="B10" s="4159" t="s">
        <v>2358</v>
      </c>
      <c r="C10" s="4160"/>
      <c r="D10" s="2860">
        <f>ROUND(D6*E10,0)</f>
        <v>0</v>
      </c>
      <c r="E10" s="2864"/>
      <c r="F10" s="2865" t="s">
        <v>2359</v>
      </c>
      <c r="G10" s="2844"/>
      <c r="H10" s="2819"/>
      <c r="I10" s="2820"/>
      <c r="J10" s="4142"/>
      <c r="K10" s="4144"/>
      <c r="L10" s="2854" t="s">
        <v>2360</v>
      </c>
      <c r="M10" s="2855"/>
      <c r="N10" s="2831"/>
      <c r="O10" s="2856"/>
      <c r="P10" s="2856"/>
      <c r="Q10" s="2857">
        <v>365</v>
      </c>
      <c r="R10" s="2858">
        <f t="shared" si="0"/>
        <v>0</v>
      </c>
      <c r="S10" s="2812"/>
      <c r="T10" s="2812"/>
      <c r="U10" s="2812"/>
      <c r="V10" s="2820"/>
    </row>
    <row r="11" spans="1:22" s="2824" customFormat="1" ht="13.2" customHeight="1">
      <c r="A11" s="2859">
        <v>3</v>
      </c>
      <c r="B11" s="4159" t="s">
        <v>2361</v>
      </c>
      <c r="C11" s="4160"/>
      <c r="D11" s="2860">
        <f>D12+D14+D15+D16</f>
        <v>0</v>
      </c>
      <c r="E11" s="2866" t="e">
        <f>D11/D6</f>
        <v>#DIV/0!</v>
      </c>
      <c r="F11" s="2862"/>
      <c r="G11" s="2863"/>
      <c r="H11" s="2819"/>
      <c r="I11" s="2820"/>
      <c r="J11" s="4142"/>
      <c r="K11" s="4144"/>
      <c r="L11" s="2854" t="s">
        <v>2362</v>
      </c>
      <c r="M11" s="2855"/>
      <c r="N11" s="2831"/>
      <c r="O11" s="2856"/>
      <c r="P11" s="2856"/>
      <c r="Q11" s="2857">
        <v>365</v>
      </c>
      <c r="R11" s="2858">
        <f t="shared" si="0"/>
        <v>0</v>
      </c>
      <c r="S11" s="2812"/>
      <c r="T11" s="2812"/>
      <c r="U11" s="2812"/>
      <c r="V11" s="2820"/>
    </row>
    <row r="12" spans="1:22" s="2824" customFormat="1" ht="13.2" customHeight="1">
      <c r="A12" s="2867" t="s">
        <v>2363</v>
      </c>
      <c r="B12" s="4152" t="s">
        <v>2364</v>
      </c>
      <c r="C12" s="4153"/>
      <c r="D12" s="2868">
        <f>ROUND(D13*1.2%*(1-30%),0)</f>
        <v>0</v>
      </c>
      <c r="E12" s="2869">
        <v>1.2E-2</v>
      </c>
      <c r="F12" s="2862" t="s">
        <v>2365</v>
      </c>
      <c r="G12" s="2863"/>
      <c r="H12" s="2819"/>
      <c r="I12" s="2820"/>
      <c r="J12" s="4142"/>
      <c r="K12" s="4144"/>
      <c r="L12" s="2854" t="s">
        <v>2366</v>
      </c>
      <c r="M12" s="2855"/>
      <c r="N12" s="2831"/>
      <c r="O12" s="2856"/>
      <c r="P12" s="2856"/>
      <c r="Q12" s="2857">
        <v>365</v>
      </c>
      <c r="R12" s="2858">
        <f t="shared" si="0"/>
        <v>0</v>
      </c>
      <c r="S12" s="2812"/>
      <c r="T12" s="2812"/>
      <c r="U12" s="2812"/>
      <c r="V12" s="2820"/>
    </row>
    <row r="13" spans="1:22" s="2824" customFormat="1" ht="13.2" customHeight="1">
      <c r="A13" s="2867"/>
      <c r="B13" s="2870"/>
      <c r="C13" s="2871" t="s">
        <v>2367</v>
      </c>
      <c r="D13" s="2872"/>
      <c r="E13" s="2873"/>
      <c r="F13" s="2862"/>
      <c r="G13" s="2863"/>
      <c r="H13" s="2819"/>
      <c r="I13" s="2820"/>
      <c r="J13" s="4142"/>
      <c r="K13" s="4144"/>
      <c r="L13" s="2854" t="s">
        <v>2368</v>
      </c>
      <c r="M13" s="2855"/>
      <c r="N13" s="2831"/>
      <c r="O13" s="2856"/>
      <c r="P13" s="2856"/>
      <c r="Q13" s="2857">
        <v>365</v>
      </c>
      <c r="R13" s="2858">
        <f t="shared" si="0"/>
        <v>0</v>
      </c>
      <c r="S13" s="2812"/>
      <c r="T13" s="2812"/>
      <c r="U13" s="2812"/>
      <c r="V13" s="2820"/>
    </row>
    <row r="14" spans="1:22" s="2824" customFormat="1" ht="13.2" customHeight="1">
      <c r="A14" s="2867" t="s">
        <v>2369</v>
      </c>
      <c r="B14" s="4152" t="s">
        <v>2370</v>
      </c>
      <c r="C14" s="4153"/>
      <c r="D14" s="2868">
        <f>ROUND(E14*B5/10000,0)</f>
        <v>0</v>
      </c>
      <c r="E14" s="2857"/>
      <c r="F14" s="2862" t="s">
        <v>2371</v>
      </c>
      <c r="G14" s="2863"/>
      <c r="H14" s="2819"/>
      <c r="I14" s="2820"/>
      <c r="J14" s="4142"/>
      <c r="K14" s="4145"/>
      <c r="L14" s="2874" t="s">
        <v>2372</v>
      </c>
      <c r="M14" s="2875">
        <f>SUM(M7:M13)</f>
        <v>0</v>
      </c>
      <c r="N14" s="2875" t="e">
        <f>ROUND((N7*M7+N8*M8+N9*M9+N10*M10+N11*M11+N12*M12+N13*M13)/M14,0)</f>
        <v>#DIV/0!</v>
      </c>
      <c r="O14" s="2876"/>
      <c r="P14" s="2876"/>
      <c r="Q14" s="2877"/>
      <c r="R14" s="2823">
        <f>SUM(R7:R13)</f>
        <v>0</v>
      </c>
      <c r="S14" s="2812"/>
      <c r="T14" s="2812"/>
      <c r="U14" s="2812"/>
      <c r="V14" s="2820"/>
    </row>
    <row r="15" spans="1:22" s="2824" customFormat="1" ht="13.2" customHeight="1">
      <c r="A15" s="2867" t="s">
        <v>2373</v>
      </c>
      <c r="B15" s="4152" t="s">
        <v>2374</v>
      </c>
      <c r="C15" s="4153"/>
      <c r="D15" s="2868">
        <f>ROUND(D6*E15,0)</f>
        <v>0</v>
      </c>
      <c r="E15" s="2869">
        <v>5.5E-2</v>
      </c>
      <c r="F15" s="2862" t="s">
        <v>2375</v>
      </c>
      <c r="G15" s="2844"/>
      <c r="H15" s="2819"/>
      <c r="I15" s="2820"/>
      <c r="J15" s="4142">
        <v>2</v>
      </c>
      <c r="K15" s="4143" t="s">
        <v>2376</v>
      </c>
      <c r="L15" s="2854" t="s">
        <v>2377</v>
      </c>
      <c r="M15" s="2855" t="s">
        <v>2378</v>
      </c>
      <c r="N15" s="2855" t="s">
        <v>2379</v>
      </c>
      <c r="O15" s="2856" t="s">
        <v>2380</v>
      </c>
      <c r="P15" s="2856" t="s">
        <v>2342</v>
      </c>
      <c r="Q15" s="2831" t="s">
        <v>2381</v>
      </c>
      <c r="R15" s="2878" t="s">
        <v>2343</v>
      </c>
      <c r="S15" s="2812"/>
      <c r="T15" s="2812"/>
      <c r="U15" s="2812"/>
      <c r="V15" s="2820"/>
    </row>
    <row r="16" spans="1:22" s="2824" customFormat="1" ht="13.2" customHeight="1">
      <c r="A16" s="2867" t="s">
        <v>2382</v>
      </c>
      <c r="B16" s="4152" t="s">
        <v>2383</v>
      </c>
      <c r="C16" s="4153"/>
      <c r="D16" s="2879">
        <f>D6*E16</f>
        <v>0</v>
      </c>
      <c r="E16" s="2880"/>
      <c r="F16" s="2865" t="s">
        <v>2384</v>
      </c>
      <c r="G16" s="2844"/>
      <c r="H16" s="2819"/>
      <c r="I16" s="2820"/>
      <c r="J16" s="4142"/>
      <c r="K16" s="4144"/>
      <c r="L16" s="2854" t="s">
        <v>2385</v>
      </c>
      <c r="M16" s="2855"/>
      <c r="N16" s="2855"/>
      <c r="O16" s="2856"/>
      <c r="P16" s="2857">
        <v>365</v>
      </c>
      <c r="Q16" s="2831"/>
      <c r="R16" s="2878">
        <f>ROUND(M16*N16*O16*P16/10000,0)</f>
        <v>0</v>
      </c>
      <c r="S16" s="2812"/>
      <c r="T16" s="2812"/>
      <c r="U16" s="2812"/>
      <c r="V16" s="2820"/>
    </row>
    <row r="17" spans="1:22" s="2824" customFormat="1" ht="13.2" customHeight="1" thickBot="1">
      <c r="A17" s="2881">
        <v>4</v>
      </c>
      <c r="B17" s="4154" t="s">
        <v>2386</v>
      </c>
      <c r="C17" s="4155"/>
      <c r="D17" s="2882">
        <f>ROUND(D6*E17,0)</f>
        <v>0</v>
      </c>
      <c r="E17" s="2883"/>
      <c r="F17" s="2884" t="s">
        <v>2387</v>
      </c>
      <c r="G17" s="2844"/>
      <c r="H17" s="2819"/>
      <c r="I17" s="2820"/>
      <c r="J17" s="4142"/>
      <c r="K17" s="4144"/>
      <c r="L17" s="2854" t="s">
        <v>2388</v>
      </c>
      <c r="M17" s="2855"/>
      <c r="N17" s="2855"/>
      <c r="O17" s="2856"/>
      <c r="P17" s="2857">
        <v>365</v>
      </c>
      <c r="Q17" s="2831"/>
      <c r="R17" s="2878">
        <f>ROUND(M17*N17*O17*P17/10000,0)</f>
        <v>0</v>
      </c>
      <c r="S17" s="2812"/>
      <c r="T17" s="2812"/>
      <c r="U17" s="2812"/>
      <c r="V17" s="2820"/>
    </row>
    <row r="18" spans="1:22" s="2824" customFormat="1" ht="13.2" customHeight="1" thickBot="1">
      <c r="A18" s="2847" t="s">
        <v>2389</v>
      </c>
      <c r="B18" s="2848"/>
      <c r="C18" s="2848"/>
      <c r="D18" s="2885">
        <f>ROUND(D6*E18,0)</f>
        <v>0</v>
      </c>
      <c r="E18" s="2886"/>
      <c r="F18" s="2887" t="s">
        <v>2390</v>
      </c>
      <c r="G18" s="2844"/>
      <c r="H18" s="2819"/>
      <c r="I18" s="2820"/>
      <c r="J18" s="4142"/>
      <c r="K18" s="4144"/>
      <c r="L18" s="2854" t="s">
        <v>2391</v>
      </c>
      <c r="M18" s="2855"/>
      <c r="N18" s="2855"/>
      <c r="O18" s="2856"/>
      <c r="P18" s="2857">
        <v>365</v>
      </c>
      <c r="Q18" s="2831"/>
      <c r="R18" s="2878">
        <f>ROUND(M18*N18*O18*P18/10000,0)</f>
        <v>0</v>
      </c>
      <c r="S18" s="2812"/>
      <c r="T18" s="2812"/>
      <c r="U18" s="2812"/>
      <c r="V18" s="2820"/>
    </row>
    <row r="19" spans="1:22" s="2824" customFormat="1" ht="13.2" customHeight="1" thickBot="1">
      <c r="A19" s="2888" t="s">
        <v>2392</v>
      </c>
      <c r="B19" s="2842"/>
      <c r="C19" s="2842"/>
      <c r="D19" s="2842"/>
      <c r="E19" s="2842"/>
      <c r="F19" s="2843"/>
      <c r="G19" s="2863"/>
      <c r="H19" s="2819"/>
      <c r="I19" s="2820"/>
      <c r="J19" s="4142"/>
      <c r="K19" s="4145"/>
      <c r="L19" s="2874" t="s">
        <v>2372</v>
      </c>
      <c r="M19" s="2875"/>
      <c r="N19" s="2875">
        <f>SUM(N16:N18)</f>
        <v>0</v>
      </c>
      <c r="O19" s="2876"/>
      <c r="P19" s="2889" t="s">
        <v>2436</v>
      </c>
      <c r="Q19" s="2856">
        <v>0</v>
      </c>
      <c r="R19" s="2890">
        <f>ROUND(IF(P19="按比例",R14*Q19,SUM(R16:R18)),0)</f>
        <v>0</v>
      </c>
      <c r="S19" s="2812"/>
      <c r="T19" s="2812"/>
      <c r="U19" s="2812"/>
      <c r="V19" s="2820"/>
    </row>
    <row r="20" spans="1:22" s="2824" customFormat="1" ht="13.2" customHeight="1">
      <c r="A20" s="2847"/>
      <c r="B20" s="2848"/>
      <c r="C20" s="2848"/>
      <c r="D20" s="2848"/>
      <c r="E20" s="2848"/>
      <c r="F20" s="2891"/>
      <c r="G20" s="2863"/>
      <c r="H20" s="2819"/>
      <c r="I20" s="2820"/>
      <c r="J20" s="4142">
        <v>3</v>
      </c>
      <c r="K20" s="4143" t="s">
        <v>2393</v>
      </c>
      <c r="L20" s="2854" t="s">
        <v>2394</v>
      </c>
      <c r="M20" s="2855" t="s">
        <v>2395</v>
      </c>
      <c r="N20" s="2892" t="s">
        <v>2396</v>
      </c>
      <c r="O20" s="2856" t="s">
        <v>2397</v>
      </c>
      <c r="P20" s="2857" t="s">
        <v>2398</v>
      </c>
      <c r="Q20" s="2831" t="s">
        <v>2399</v>
      </c>
      <c r="R20" s="2878" t="s">
        <v>2400</v>
      </c>
      <c r="S20" s="2893"/>
      <c r="T20" s="2893"/>
      <c r="U20" s="2893"/>
      <c r="V20" s="2820"/>
    </row>
    <row r="21" spans="1:22" s="2824" customFormat="1" ht="13.2" customHeight="1">
      <c r="A21" s="2847"/>
      <c r="B21" s="2848"/>
      <c r="C21" s="2894" t="s">
        <v>2401</v>
      </c>
      <c r="D21" s="2895" t="s">
        <v>2402</v>
      </c>
      <c r="E21" s="2896" t="s">
        <v>2403</v>
      </c>
      <c r="F21" s="2891"/>
      <c r="G21" s="2863"/>
      <c r="H21" s="2819"/>
      <c r="I21" s="2820"/>
      <c r="J21" s="4142"/>
      <c r="K21" s="4144"/>
      <c r="L21" s="2854" t="s">
        <v>2404</v>
      </c>
      <c r="M21" s="2855"/>
      <c r="N21" s="2855"/>
      <c r="O21" s="2856"/>
      <c r="P21" s="2857">
        <v>365</v>
      </c>
      <c r="Q21" s="2831"/>
      <c r="R21" s="2897">
        <f>ROUND(M21*N21*O21*P21/10000,0)</f>
        <v>0</v>
      </c>
      <c r="S21" s="2893"/>
      <c r="T21" s="2893"/>
      <c r="U21" s="2893"/>
      <c r="V21" s="2820"/>
    </row>
    <row r="22" spans="1:22" s="2824" customFormat="1" ht="13.2" customHeight="1">
      <c r="A22" s="2847"/>
      <c r="B22" s="2848"/>
      <c r="C22" s="2898" t="s">
        <v>2405</v>
      </c>
      <c r="D22" s="2899" t="s">
        <v>2406</v>
      </c>
      <c r="E22" s="2900" t="s">
        <v>2407</v>
      </c>
      <c r="F22" s="2891"/>
      <c r="G22" s="2901"/>
      <c r="H22" s="2819"/>
      <c r="I22" s="2820"/>
      <c r="J22" s="4142"/>
      <c r="K22" s="4144"/>
      <c r="L22" s="2854" t="s">
        <v>2408</v>
      </c>
      <c r="M22" s="2855"/>
      <c r="N22" s="2855"/>
      <c r="O22" s="2856"/>
      <c r="P22" s="2857">
        <v>365</v>
      </c>
      <c r="Q22" s="2831"/>
      <c r="R22" s="2897">
        <f>ROUND(M22*N22*O22*P22/10000,0)</f>
        <v>0</v>
      </c>
      <c r="S22" s="2893"/>
      <c r="T22" s="2893"/>
      <c r="U22" s="2893"/>
      <c r="V22" s="2820"/>
    </row>
    <row r="23" spans="1:22" s="2824" customFormat="1" ht="13.2" customHeight="1">
      <c r="A23" s="2902">
        <v>1</v>
      </c>
      <c r="B23" s="2903" t="s">
        <v>2409</v>
      </c>
      <c r="C23" s="2904">
        <f>D6</f>
        <v>0</v>
      </c>
      <c r="D23" s="2905">
        <f>C23*(1+D24)</f>
        <v>0</v>
      </c>
      <c r="E23" s="2906">
        <f>D23*(1+E24)</f>
        <v>0</v>
      </c>
      <c r="F23" s="2907"/>
      <c r="G23" s="2908"/>
      <c r="H23" s="2819"/>
      <c r="I23" s="2820"/>
      <c r="J23" s="4142"/>
      <c r="K23" s="4144"/>
      <c r="L23" s="2854" t="s">
        <v>2410</v>
      </c>
      <c r="M23" s="2855"/>
      <c r="N23" s="2855"/>
      <c r="O23" s="2856"/>
      <c r="P23" s="2857">
        <v>365</v>
      </c>
      <c r="Q23" s="2831"/>
      <c r="R23" s="2897">
        <f>ROUND(M23*N23*O23*P23/10000,0)</f>
        <v>0</v>
      </c>
      <c r="S23" s="2812"/>
      <c r="T23" s="2812"/>
      <c r="U23" s="2812"/>
      <c r="V23" s="2820"/>
    </row>
    <row r="24" spans="1:22" s="2824" customFormat="1" ht="13.2" customHeight="1">
      <c r="A24" s="2909"/>
      <c r="B24" s="2910" t="s">
        <v>2411</v>
      </c>
      <c r="C24" s="2911"/>
      <c r="D24" s="2912"/>
      <c r="E24" s="2913"/>
      <c r="F24" s="2914"/>
      <c r="G24" s="2908"/>
      <c r="H24" s="2819"/>
      <c r="I24" s="2820"/>
      <c r="J24" s="4142"/>
      <c r="K24" s="4145"/>
      <c r="L24" s="2874" t="s">
        <v>2372</v>
      </c>
      <c r="M24" s="2875">
        <f>SUM(M21:M23)</f>
        <v>0</v>
      </c>
      <c r="N24" s="2875"/>
      <c r="O24" s="2876"/>
      <c r="P24" s="2889" t="s">
        <v>2436</v>
      </c>
      <c r="Q24" s="2856">
        <v>0</v>
      </c>
      <c r="R24" s="2890">
        <f>ROUND(IF(P24="按比例",R14*Q24,SUM(R21:R23)),0)</f>
        <v>0</v>
      </c>
      <c r="S24" s="2812"/>
      <c r="T24" s="2812"/>
      <c r="U24" s="2812"/>
      <c r="V24" s="2820"/>
    </row>
    <row r="25" spans="1:22" s="2921" customFormat="1" ht="13.2" customHeight="1">
      <c r="A25" s="2909"/>
      <c r="B25" s="2910"/>
      <c r="C25" s="2911"/>
      <c r="D25" s="2912"/>
      <c r="E25" s="2913"/>
      <c r="F25" s="2914"/>
      <c r="G25" s="2901"/>
      <c r="H25" s="2819"/>
      <c r="I25" s="2820"/>
      <c r="J25" s="2915">
        <v>4</v>
      </c>
      <c r="K25" s="2916" t="s">
        <v>2412</v>
      </c>
      <c r="L25" s="2917"/>
      <c r="M25" s="2917"/>
      <c r="N25" s="2917"/>
      <c r="O25" s="2917"/>
      <c r="P25" s="2918"/>
      <c r="Q25" s="2919">
        <v>0</v>
      </c>
      <c r="R25" s="2890">
        <f>ROUND(R14*Q25,0)</f>
        <v>0</v>
      </c>
      <c r="S25" s="2812"/>
      <c r="T25" s="2812"/>
      <c r="U25" s="2812"/>
      <c r="V25" s="2920"/>
    </row>
    <row r="26" spans="1:22" s="2921" customFormat="1" ht="13.2" customHeight="1">
      <c r="A26" s="2902">
        <v>2</v>
      </c>
      <c r="B26" s="2903" t="s">
        <v>2413</v>
      </c>
      <c r="C26" s="2904">
        <f>D7</f>
        <v>0</v>
      </c>
      <c r="D26" s="2905">
        <f>D23*D27</f>
        <v>0</v>
      </c>
      <c r="E26" s="2906">
        <f>E23*E27</f>
        <v>0</v>
      </c>
      <c r="F26" s="2907"/>
      <c r="G26" s="2908"/>
      <c r="H26" s="2819"/>
      <c r="I26" s="2820"/>
      <c r="J26" s="4146">
        <v>5</v>
      </c>
      <c r="K26" s="2922" t="s">
        <v>2414</v>
      </c>
      <c r="L26" s="2923"/>
      <c r="M26" s="2924"/>
      <c r="N26" s="2925" t="s">
        <v>2415</v>
      </c>
      <c r="O26" s="2925" t="s">
        <v>2416</v>
      </c>
      <c r="P26" s="2926" t="s">
        <v>2417</v>
      </c>
      <c r="Q26" s="2926" t="s">
        <v>2418</v>
      </c>
      <c r="R26" s="2829" t="s">
        <v>2343</v>
      </c>
      <c r="S26" s="2927"/>
      <c r="T26" s="2927"/>
      <c r="U26" s="2927"/>
      <c r="V26" s="2920"/>
    </row>
    <row r="27" spans="1:22" s="2824" customFormat="1" ht="13.2" customHeight="1">
      <c r="A27" s="2909"/>
      <c r="B27" s="2910" t="s">
        <v>2419</v>
      </c>
      <c r="C27" s="2928" t="e">
        <f>E7</f>
        <v>#DIV/0!</v>
      </c>
      <c r="D27" s="2912"/>
      <c r="E27" s="2913"/>
      <c r="F27" s="2914"/>
      <c r="G27" s="2908"/>
      <c r="H27" s="2929"/>
      <c r="I27" s="2920"/>
      <c r="J27" s="4147"/>
      <c r="K27" s="2930"/>
      <c r="L27" s="2931"/>
      <c r="M27" s="2932"/>
      <c r="N27" s="2933"/>
      <c r="O27" s="2933"/>
      <c r="P27" s="2933"/>
      <c r="Q27" s="2934"/>
      <c r="R27" s="2890">
        <f>ROUND(O27*N27*P27*(1-Q27)/10000,0)</f>
        <v>0</v>
      </c>
      <c r="S27" s="2812"/>
      <c r="T27" s="2812"/>
      <c r="U27" s="2812"/>
      <c r="V27" s="2820"/>
    </row>
    <row r="28" spans="1:22" s="2921" customFormat="1" ht="13.2" customHeight="1" thickBot="1">
      <c r="A28" s="2909"/>
      <c r="B28" s="2910"/>
      <c r="C28" s="2928"/>
      <c r="D28" s="2912"/>
      <c r="E28" s="2913" t="s">
        <v>2420</v>
      </c>
      <c r="F28" s="2914"/>
      <c r="G28" s="2901"/>
      <c r="H28" s="2929"/>
      <c r="I28" s="2920"/>
      <c r="J28" s="2935">
        <v>6</v>
      </c>
      <c r="K28" s="2936" t="s">
        <v>2421</v>
      </c>
      <c r="L28" s="2937" t="s">
        <v>2422</v>
      </c>
      <c r="M28" s="2938"/>
      <c r="N28" s="2937" t="s">
        <v>2423</v>
      </c>
      <c r="O28" s="2939"/>
      <c r="P28" s="2937" t="s">
        <v>2424</v>
      </c>
      <c r="Q28" s="2940">
        <v>1.4999999999999999E-2</v>
      </c>
      <c r="R28" s="2941"/>
      <c r="S28" s="2893"/>
      <c r="T28" s="2893"/>
      <c r="U28" s="2893"/>
      <c r="V28" s="2920"/>
    </row>
    <row r="29" spans="1:22" s="2921" customFormat="1" ht="13.2" customHeight="1">
      <c r="A29" s="2902">
        <v>3</v>
      </c>
      <c r="B29" s="2903" t="s">
        <v>2425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2" customHeight="1" thickBot="1">
      <c r="A30" s="2909"/>
      <c r="B30" s="2910" t="s">
        <v>2419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2" customHeight="1">
      <c r="A31" s="2909"/>
      <c r="B31" s="2910"/>
      <c r="C31" s="2943"/>
      <c r="D31" s="2942"/>
      <c r="E31" s="2873"/>
      <c r="F31" s="2914"/>
      <c r="G31" s="2901"/>
      <c r="H31" s="2929"/>
      <c r="I31" s="2920"/>
      <c r="J31" s="2809" t="s">
        <v>2426</v>
      </c>
      <c r="K31" s="2810"/>
      <c r="L31" s="2810"/>
      <c r="M31" s="2810"/>
      <c r="N31" s="2810"/>
      <c r="O31" s="2810"/>
      <c r="P31" s="2810"/>
      <c r="Q31" s="2810"/>
      <c r="R31" s="2811"/>
      <c r="S31" s="2893"/>
      <c r="T31" s="2812"/>
      <c r="U31" s="2812"/>
      <c r="V31" s="2920"/>
    </row>
    <row r="32" spans="1:22" s="2921" customFormat="1" ht="13.2" customHeight="1">
      <c r="A32" s="2902">
        <v>4</v>
      </c>
      <c r="B32" s="2903" t="s">
        <v>2427</v>
      </c>
      <c r="C32" s="2904">
        <f>C23-C26-C29</f>
        <v>0</v>
      </c>
      <c r="D32" s="2905">
        <f>D23-D26-D29</f>
        <v>0</v>
      </c>
      <c r="E32" s="2906">
        <f>E23-E26-E29</f>
        <v>0</v>
      </c>
      <c r="F32" s="2907"/>
      <c r="G32" s="2901"/>
      <c r="H32" s="2819"/>
      <c r="I32" s="2820"/>
      <c r="J32" s="4148" t="s">
        <v>2319</v>
      </c>
      <c r="K32" s="4149"/>
      <c r="L32" s="2821" t="s">
        <v>2320</v>
      </c>
      <c r="M32" s="2821" t="s">
        <v>2321</v>
      </c>
      <c r="N32" s="2821" t="s">
        <v>2322</v>
      </c>
      <c r="O32" s="2821" t="s">
        <v>2323</v>
      </c>
      <c r="P32" s="2821" t="s">
        <v>2324</v>
      </c>
      <c r="Q32" s="2822" t="s">
        <v>2325</v>
      </c>
      <c r="R32" s="2944" t="s">
        <v>2326</v>
      </c>
      <c r="S32" s="2893"/>
      <c r="T32" s="2812"/>
      <c r="U32" s="2812"/>
      <c r="V32" s="2920"/>
    </row>
    <row r="33" spans="1:23" s="2824" customFormat="1" ht="13.2" customHeight="1">
      <c r="A33" s="2902"/>
      <c r="B33" s="2903"/>
      <c r="C33" s="2904"/>
      <c r="D33" s="2945"/>
      <c r="E33" s="2946"/>
      <c r="F33" s="2907"/>
      <c r="G33" s="2901"/>
      <c r="H33" s="2929"/>
      <c r="I33" s="2920"/>
      <c r="J33" s="4150" t="s">
        <v>2329</v>
      </c>
      <c r="K33" s="4151"/>
      <c r="L33" s="2827"/>
      <c r="M33" s="2827"/>
      <c r="N33" s="2827"/>
      <c r="O33" s="2827"/>
      <c r="P33" s="2827"/>
      <c r="Q33" s="2828"/>
      <c r="R33" s="2947">
        <f>SUM(L33:Q33)</f>
        <v>0</v>
      </c>
      <c r="S33" s="2893"/>
      <c r="T33" s="2812"/>
      <c r="U33" s="2812"/>
      <c r="V33" s="2820"/>
    </row>
    <row r="34" spans="1:23" s="2824" customFormat="1" ht="13.2" customHeight="1">
      <c r="A34" s="2902">
        <v>5</v>
      </c>
      <c r="B34" s="2903" t="s">
        <v>2428</v>
      </c>
      <c r="C34" s="2948"/>
      <c r="D34" s="2949"/>
      <c r="E34" s="2950"/>
      <c r="F34" s="2907"/>
      <c r="G34" s="2901"/>
      <c r="H34" s="2929"/>
      <c r="I34" s="2920"/>
      <c r="J34" s="4150" t="s">
        <v>2331</v>
      </c>
      <c r="K34" s="4151"/>
      <c r="L34" s="2832"/>
      <c r="M34" s="2832"/>
      <c r="N34" s="2832"/>
      <c r="O34" s="2832"/>
      <c r="P34" s="2832"/>
      <c r="Q34" s="2833"/>
      <c r="R34" s="2951">
        <f>SUM(L34:Q34)</f>
        <v>0</v>
      </c>
      <c r="S34" s="2893"/>
      <c r="T34" s="2812"/>
      <c r="U34" s="2812" t="e">
        <f>ROUND(R35*10000/365/R33,1)</f>
        <v>#DIV/0!</v>
      </c>
      <c r="V34" s="2820"/>
    </row>
    <row r="35" spans="1:23" s="2824" customFormat="1" ht="13.2" customHeight="1">
      <c r="A35" s="2902">
        <v>6</v>
      </c>
      <c r="B35" s="2903" t="s">
        <v>2429</v>
      </c>
      <c r="C35" s="2952"/>
      <c r="D35" s="2953"/>
      <c r="E35" s="2954"/>
      <c r="F35" s="2907"/>
      <c r="G35" s="2955"/>
      <c r="H35" s="2819"/>
      <c r="I35" s="2920"/>
      <c r="J35" s="2838" t="s">
        <v>2333</v>
      </c>
      <c r="K35" s="2839"/>
      <c r="L35" s="2839"/>
      <c r="M35" s="2840"/>
      <c r="N35" s="2840"/>
      <c r="O35" s="2840"/>
      <c r="P35" s="2840"/>
      <c r="Q35" s="2840"/>
      <c r="R35" s="2956">
        <f>R40+R41+R43</f>
        <v>0</v>
      </c>
      <c r="S35" s="2893"/>
      <c r="T35" s="2812" t="s">
        <v>2334</v>
      </c>
      <c r="U35" s="2812"/>
      <c r="V35" s="2820"/>
    </row>
    <row r="36" spans="1:23" s="2824" customFormat="1" ht="13.2" customHeight="1" thickBot="1">
      <c r="A36" s="2902">
        <v>7</v>
      </c>
      <c r="B36" s="2957" t="s">
        <v>2430</v>
      </c>
      <c r="C36" s="2958"/>
      <c r="D36" s="2959"/>
      <c r="E36" s="2960"/>
      <c r="F36" s="2961">
        <f>C36+D36+E36</f>
        <v>0</v>
      </c>
      <c r="G36" s="2901"/>
      <c r="H36" s="2819"/>
      <c r="I36" s="2820"/>
      <c r="J36" s="4142">
        <v>1</v>
      </c>
      <c r="K36" s="4143" t="s">
        <v>2431</v>
      </c>
      <c r="L36" s="2845"/>
      <c r="M36" s="2846"/>
      <c r="N36" s="2846"/>
      <c r="O36" s="2846"/>
      <c r="P36" s="2846"/>
      <c r="Q36" s="2846"/>
      <c r="R36" s="2829" t="s">
        <v>2343</v>
      </c>
      <c r="S36" s="2893"/>
      <c r="T36" s="2812" t="s">
        <v>2344</v>
      </c>
      <c r="U36" s="2812"/>
      <c r="V36" s="2820"/>
    </row>
    <row r="37" spans="1:23" s="2824" customFormat="1" ht="13.2" customHeight="1">
      <c r="A37" s="2902"/>
      <c r="B37" s="2903"/>
      <c r="C37" s="2903"/>
      <c r="D37" s="2903"/>
      <c r="E37" s="2903"/>
      <c r="F37" s="2907"/>
      <c r="G37" s="2901"/>
      <c r="H37" s="2819"/>
      <c r="I37" s="2820"/>
      <c r="J37" s="4142"/>
      <c r="K37" s="4144"/>
      <c r="L37" s="2854"/>
      <c r="M37" s="2855"/>
      <c r="N37" s="2831"/>
      <c r="O37" s="2856"/>
      <c r="P37" s="2856"/>
      <c r="Q37" s="2857"/>
      <c r="R37" s="2858"/>
      <c r="S37" s="2893"/>
      <c r="T37" s="2812" t="s">
        <v>2347</v>
      </c>
      <c r="U37" s="2812"/>
      <c r="V37" s="2820"/>
    </row>
    <row r="38" spans="1:23" s="2824" customFormat="1" ht="13.2" customHeight="1">
      <c r="A38" s="2902">
        <v>8</v>
      </c>
      <c r="B38" s="2903"/>
      <c r="C38" s="2860" t="e">
        <f>ROUND(C32*(1-((1+C35)/(1+C34))^C36)/(C34-C35),0)</f>
        <v>#DIV/0!</v>
      </c>
      <c r="D38" s="2860">
        <f>IF(D23=0,0,ROUND(D32*(1-((1+D35)/(1+D34))^D36)/(D34-D35),0))</f>
        <v>0</v>
      </c>
      <c r="E38" s="2860">
        <f>IF(E23=0,0,ROUND(E32*(1-((1+E35)/(1+E34))^E36)/(E34-E35),0))</f>
        <v>0</v>
      </c>
      <c r="F38" s="2907"/>
      <c r="G38" s="2901"/>
      <c r="H38" s="2819"/>
      <c r="I38" s="2820"/>
      <c r="J38" s="4142"/>
      <c r="K38" s="4144"/>
      <c r="L38" s="2854"/>
      <c r="M38" s="2855"/>
      <c r="N38" s="2831"/>
      <c r="O38" s="2856"/>
      <c r="P38" s="2856"/>
      <c r="Q38" s="2857"/>
      <c r="R38" s="2858"/>
      <c r="S38" s="2893"/>
      <c r="T38" s="2812" t="s">
        <v>2354</v>
      </c>
      <c r="U38" s="2812"/>
      <c r="V38" s="2820"/>
    </row>
    <row r="39" spans="1:23" s="2824" customFormat="1" ht="13.2" customHeight="1">
      <c r="A39" s="2902">
        <v>9</v>
      </c>
      <c r="B39" s="2903" t="s">
        <v>2432</v>
      </c>
      <c r="C39" s="2868" t="e">
        <f>C38</f>
        <v>#DIV/0!</v>
      </c>
      <c r="D39" s="2903">
        <f>D38/(1+D34)^C36</f>
        <v>0</v>
      </c>
      <c r="E39" s="2903">
        <f>E38/(1+E34)^(C36+D36)</f>
        <v>0</v>
      </c>
      <c r="F39" s="2907"/>
      <c r="G39" s="2962"/>
      <c r="H39" s="2819"/>
      <c r="I39" s="2820"/>
      <c r="J39" s="4142"/>
      <c r="K39" s="4144"/>
      <c r="L39" s="2854"/>
      <c r="M39" s="2855"/>
      <c r="N39" s="2831"/>
      <c r="O39" s="2856"/>
      <c r="P39" s="2856"/>
      <c r="Q39" s="2857"/>
      <c r="R39" s="2858"/>
      <c r="S39" s="2893"/>
      <c r="T39" s="2812"/>
      <c r="U39" s="2812"/>
      <c r="V39" s="2820"/>
    </row>
    <row r="40" spans="1:23" s="2824" customFormat="1" ht="13.2" customHeight="1">
      <c r="A40" s="2963">
        <v>10</v>
      </c>
      <c r="B40" s="2903" t="s">
        <v>2433</v>
      </c>
      <c r="C40" s="2964" t="e">
        <f>C39+D39+E39</f>
        <v>#DIV/0!</v>
      </c>
      <c r="D40" s="2965"/>
      <c r="E40" s="2965"/>
      <c r="F40" s="2966"/>
      <c r="G40" s="2901"/>
      <c r="H40" s="2819"/>
      <c r="I40" s="2820"/>
      <c r="J40" s="4142"/>
      <c r="K40" s="4145"/>
      <c r="L40" s="2874" t="s">
        <v>2372</v>
      </c>
      <c r="M40" s="2875"/>
      <c r="N40" s="2875"/>
      <c r="O40" s="2876"/>
      <c r="P40" s="2876"/>
      <c r="Q40" s="2877"/>
      <c r="R40" s="2823">
        <f>SUM(R37:R39)</f>
        <v>0</v>
      </c>
      <c r="S40" s="2893"/>
      <c r="T40" s="2812"/>
      <c r="U40" s="2812"/>
      <c r="V40" s="2820"/>
    </row>
    <row r="41" spans="1:23" s="2824" customFormat="1" ht="13.2" customHeight="1" thickBot="1">
      <c r="A41" s="2967">
        <v>11</v>
      </c>
      <c r="B41" s="2968" t="s">
        <v>2434</v>
      </c>
      <c r="C41" s="2968" t="e">
        <f>ROUND(C40*10000/B4,0)</f>
        <v>#DIV/0!</v>
      </c>
      <c r="D41" s="2969"/>
      <c r="E41" s="2969"/>
      <c r="F41" s="2970"/>
      <c r="G41" s="2971"/>
      <c r="H41" s="2819"/>
      <c r="I41" s="2820"/>
      <c r="J41" s="2915">
        <v>2</v>
      </c>
      <c r="K41" s="2916" t="s">
        <v>2412</v>
      </c>
      <c r="L41" s="2917"/>
      <c r="M41" s="2917"/>
      <c r="N41" s="2917"/>
      <c r="O41" s="2917"/>
      <c r="P41" s="2918"/>
      <c r="Q41" s="2919"/>
      <c r="R41" s="2890">
        <f>ROUND(R40*Q41,0)</f>
        <v>0</v>
      </c>
      <c r="S41" s="2893"/>
      <c r="T41" s="2812"/>
      <c r="U41" s="2927"/>
      <c r="V41" s="2820"/>
    </row>
    <row r="42" spans="1:23" s="2824" customFormat="1" ht="13.2" customHeight="1">
      <c r="G42" s="2971"/>
      <c r="H42" s="2819"/>
      <c r="I42" s="2820"/>
      <c r="J42" s="4146">
        <v>3</v>
      </c>
      <c r="K42" s="2922" t="s">
        <v>2414</v>
      </c>
      <c r="L42" s="2923"/>
      <c r="M42" s="2924"/>
      <c r="N42" s="2925" t="s">
        <v>2415</v>
      </c>
      <c r="O42" s="2925" t="s">
        <v>2416</v>
      </c>
      <c r="P42" s="2926" t="s">
        <v>2417</v>
      </c>
      <c r="Q42" s="2926" t="s">
        <v>2418</v>
      </c>
      <c r="R42" s="2829" t="s">
        <v>2343</v>
      </c>
      <c r="S42" s="2927"/>
      <c r="T42" s="2927"/>
      <c r="U42" s="2812"/>
      <c r="V42" s="2820"/>
    </row>
    <row r="43" spans="1:23" ht="13.2" customHeight="1">
      <c r="A43" s="2824"/>
      <c r="B43" s="2824"/>
      <c r="C43" s="2824"/>
      <c r="D43" s="2824"/>
      <c r="E43" s="2824"/>
      <c r="F43" s="2824"/>
      <c r="I43" s="2807"/>
      <c r="J43" s="4147"/>
      <c r="K43" s="2930"/>
      <c r="L43" s="2931"/>
      <c r="M43" s="2932"/>
      <c r="N43" s="2855"/>
      <c r="O43" s="2855"/>
      <c r="P43" s="2855"/>
      <c r="Q43" s="2919"/>
      <c r="R43" s="2890">
        <f>ROUND(O43*N43*P43*(1-Q43)/10000,0)</f>
        <v>0</v>
      </c>
      <c r="S43" s="2893"/>
      <c r="T43" s="2812"/>
      <c r="V43" s="2973"/>
      <c r="W43" s="2974"/>
    </row>
    <row r="44" spans="1:23" ht="13.2" customHeight="1" thickBot="1">
      <c r="J44" s="2935">
        <v>6</v>
      </c>
      <c r="K44" s="2936" t="s">
        <v>2421</v>
      </c>
      <c r="L44" s="2975" t="s">
        <v>2422</v>
      </c>
      <c r="M44" s="2938"/>
      <c r="N44" s="2975" t="s">
        <v>2423</v>
      </c>
      <c r="O44" s="2938"/>
      <c r="P44" s="2975" t="s">
        <v>2424</v>
      </c>
      <c r="Q44" s="2940">
        <v>1.4999999999999999E-2</v>
      </c>
      <c r="R44" s="294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64" customWidth="1"/>
    <col min="2" max="2" width="12" style="1464" customWidth="1"/>
    <col min="3" max="3" width="9" style="1464"/>
    <col min="4" max="4" width="14.109375" style="1464" customWidth="1"/>
    <col min="5" max="5" width="9" style="1464"/>
    <col min="6" max="6" width="12.88671875" style="1464" customWidth="1"/>
    <col min="7" max="16384" width="9" style="1464"/>
  </cols>
  <sheetData>
    <row r="1" spans="1:22" ht="21.6">
      <c r="A1" s="1844" t="s">
        <v>1658</v>
      </c>
      <c r="B1" s="1845"/>
      <c r="C1" s="1845"/>
      <c r="D1" s="1845"/>
      <c r="E1" s="1846"/>
      <c r="F1" s="2678"/>
      <c r="G1" s="1476"/>
      <c r="H1" s="1476"/>
      <c r="I1" s="1476"/>
      <c r="J1" s="1476"/>
      <c r="K1" s="1476"/>
      <c r="L1" s="1476"/>
      <c r="M1" s="1476"/>
      <c r="N1" s="1476"/>
      <c r="O1" s="1476"/>
      <c r="P1" s="1476"/>
      <c r="Q1" s="1476"/>
      <c r="R1" s="1476"/>
      <c r="S1" s="1476"/>
    </row>
    <row r="2" spans="1:22" ht="15.6">
      <c r="A2" s="1847" t="s">
        <v>1462</v>
      </c>
      <c r="B2" s="1848">
        <f ca="1">SUMIF(B6:B13,"&lt;&gt;#ref!",B6:B13)</f>
        <v>0</v>
      </c>
      <c r="C2" s="1849" t="s">
        <v>1651</v>
      </c>
      <c r="D2" s="1850" t="s">
        <v>1652</v>
      </c>
      <c r="E2" s="2578">
        <f>SUM(E6:E13)</f>
        <v>0</v>
      </c>
      <c r="F2" s="2678"/>
      <c r="G2" s="1476"/>
      <c r="H2" s="1476"/>
      <c r="I2" s="1476"/>
      <c r="J2" s="1476"/>
      <c r="K2" s="1476"/>
      <c r="L2" s="1476"/>
      <c r="M2" s="1476"/>
      <c r="N2" s="1476"/>
      <c r="O2" s="1476"/>
      <c r="P2" s="1476"/>
      <c r="Q2" s="1476"/>
      <c r="R2" s="1476"/>
      <c r="S2" s="1476"/>
    </row>
    <row r="3" spans="1:22" ht="15.6">
      <c r="A3" s="1847" t="s">
        <v>686</v>
      </c>
      <c r="B3" s="2572" t="e">
        <f ca="1">ROUND(B2*10000/E2,0)</f>
        <v>#DIV/0!</v>
      </c>
      <c r="C3" s="1849" t="s">
        <v>1659</v>
      </c>
      <c r="D3" s="2680"/>
      <c r="E3" s="2682"/>
      <c r="F3" s="2678"/>
      <c r="G3" s="1476"/>
      <c r="H3" s="1476"/>
      <c r="I3" s="1476"/>
      <c r="J3" s="1476"/>
      <c r="K3" s="1476"/>
      <c r="L3" s="1476"/>
      <c r="M3" s="1476"/>
      <c r="N3" s="1476"/>
      <c r="O3" s="1476"/>
      <c r="P3" s="1476"/>
      <c r="Q3" s="1476"/>
      <c r="R3" s="1476"/>
      <c r="S3" s="1476"/>
    </row>
    <row r="4" spans="1:22" ht="15.6">
      <c r="A4" s="2683"/>
      <c r="B4" s="2680"/>
      <c r="C4" s="2680"/>
      <c r="D4" s="2680"/>
      <c r="E4" s="2682"/>
      <c r="F4" s="2678"/>
      <c r="G4" s="1476"/>
      <c r="H4" s="1476"/>
      <c r="I4" s="1476"/>
      <c r="J4" s="1476"/>
      <c r="K4" s="1476"/>
      <c r="L4" s="1476"/>
      <c r="M4" s="1476"/>
      <c r="N4" s="1476"/>
      <c r="O4" s="1476"/>
      <c r="P4" s="1476"/>
      <c r="Q4" s="1476"/>
      <c r="R4" s="1476"/>
      <c r="S4" s="1476"/>
    </row>
    <row r="5" spans="1:22" ht="14.4">
      <c r="A5" s="2574" t="s">
        <v>1653</v>
      </c>
      <c r="B5" s="4161" t="s">
        <v>1654</v>
      </c>
      <c r="C5" s="4162"/>
      <c r="D5" s="2679"/>
      <c r="E5" s="1851" t="s">
        <v>1655</v>
      </c>
      <c r="F5" s="1852" t="s">
        <v>1656</v>
      </c>
      <c r="G5" s="1476"/>
      <c r="H5" s="1476"/>
      <c r="I5" s="1476"/>
      <c r="J5" s="1476"/>
      <c r="K5" s="1476"/>
      <c r="L5" s="1476"/>
      <c r="M5" s="1476"/>
      <c r="N5" s="1476"/>
      <c r="O5" s="1476"/>
      <c r="P5" s="1476"/>
      <c r="Q5" s="1476"/>
      <c r="R5" s="1476"/>
      <c r="S5" s="1476"/>
    </row>
    <row r="6" spans="1:22" ht="14.4">
      <c r="A6" s="2575">
        <f>'数据-取费表'!AN6</f>
        <v>0</v>
      </c>
      <c r="B6" s="2573" t="e">
        <f ca="1">IF(F6="是",'数据-取费表'!AO6,0)</f>
        <v>#REF!</v>
      </c>
      <c r="C6" s="1849" t="s">
        <v>1651</v>
      </c>
      <c r="D6" s="2680"/>
      <c r="E6" s="2577">
        <f>IF(OR(A6=0,F6="否"),0,'数据-取费表'!K6+'数据-取费表'!S6)</f>
        <v>0</v>
      </c>
      <c r="F6" s="1853" t="s">
        <v>1657</v>
      </c>
      <c r="G6" s="1476"/>
      <c r="H6" s="1476"/>
      <c r="I6" s="1476"/>
      <c r="J6" s="1476"/>
      <c r="K6" s="1476"/>
      <c r="L6" s="1476"/>
      <c r="M6" s="1476"/>
      <c r="N6" s="1476"/>
      <c r="O6" s="1476"/>
      <c r="P6" s="1476"/>
      <c r="Q6" s="1476"/>
      <c r="R6" s="1476"/>
      <c r="S6" s="1476"/>
    </row>
    <row r="7" spans="1:22" ht="14.4">
      <c r="A7" s="2575">
        <f>'数据-取费表'!AN7</f>
        <v>0</v>
      </c>
      <c r="B7" s="2573" t="e">
        <f ca="1">IF(F7="是",'数据-取费表'!AO7,0)</f>
        <v>#REF!</v>
      </c>
      <c r="C7" s="1849" t="s">
        <v>1651</v>
      </c>
      <c r="D7" s="2680"/>
      <c r="E7" s="2577">
        <f>IF(OR(A7=0,F7="否"),0,'数据-取费表'!K7+'数据-取费表'!S7)</f>
        <v>0</v>
      </c>
      <c r="F7" s="1853" t="s">
        <v>1657</v>
      </c>
      <c r="G7" s="1476"/>
      <c r="H7" s="1476"/>
      <c r="I7" s="1476"/>
      <c r="J7" s="1476"/>
      <c r="K7" s="1476"/>
      <c r="L7" s="1476"/>
      <c r="M7" s="1476"/>
      <c r="N7" s="1476"/>
      <c r="O7" s="1476"/>
      <c r="P7" s="1476"/>
      <c r="Q7" s="1476"/>
      <c r="R7" s="1476"/>
      <c r="S7" s="1476"/>
    </row>
    <row r="8" spans="1:22" ht="14.4">
      <c r="A8" s="2575">
        <f>'数据-取费表'!AN8</f>
        <v>0</v>
      </c>
      <c r="B8" s="2573" t="e">
        <f ca="1">IF(F8="是",'数据-取费表'!AO8,0)</f>
        <v>#REF!</v>
      </c>
      <c r="C8" s="1849" t="s">
        <v>1651</v>
      </c>
      <c r="D8" s="2680"/>
      <c r="E8" s="2577">
        <f>IF(OR(A8=0,F8="否"),0,'数据-取费表'!K8+'数据-取费表'!S8)</f>
        <v>0</v>
      </c>
      <c r="F8" s="1853" t="s">
        <v>1657</v>
      </c>
      <c r="G8" s="1476"/>
      <c r="H8" s="1476"/>
      <c r="I8" s="1476"/>
      <c r="J8" s="1476"/>
      <c r="K8" s="1476"/>
      <c r="L8" s="1476"/>
      <c r="M8" s="1476"/>
      <c r="N8" s="1476"/>
      <c r="O8" s="1476"/>
      <c r="P8" s="1476"/>
      <c r="Q8" s="1476"/>
      <c r="R8" s="1476"/>
      <c r="S8" s="1476"/>
    </row>
    <row r="9" spans="1:22" ht="14.4">
      <c r="A9" s="2575">
        <f>'数据-取费表'!AN9</f>
        <v>0</v>
      </c>
      <c r="B9" s="2573" t="e">
        <f ca="1">IF(F9="是",'数据-取费表'!AO9,0)</f>
        <v>#REF!</v>
      </c>
      <c r="C9" s="1849" t="s">
        <v>1651</v>
      </c>
      <c r="D9" s="2680"/>
      <c r="E9" s="2577">
        <f>IF(OR(A9=0,F9="否"),0,'数据-取费表'!K9+'数据-取费表'!S9)</f>
        <v>0</v>
      </c>
      <c r="F9" s="1853" t="s">
        <v>1657</v>
      </c>
      <c r="G9" s="1476"/>
      <c r="H9" s="1476"/>
      <c r="I9" s="1476"/>
      <c r="J9" s="1476"/>
      <c r="K9" s="1476"/>
      <c r="L9" s="1476"/>
      <c r="M9" s="1476"/>
      <c r="N9" s="1476"/>
      <c r="O9" s="1476"/>
      <c r="P9" s="1476"/>
      <c r="Q9" s="1476"/>
      <c r="R9" s="1476"/>
      <c r="S9" s="1476"/>
    </row>
    <row r="10" spans="1:22" ht="14.4">
      <c r="A10" s="2575">
        <f>'数据-取费表'!AN10</f>
        <v>0</v>
      </c>
      <c r="B10" s="2573" t="e">
        <f ca="1">IF(F10="是",'数据-取费表'!AO10,0)</f>
        <v>#REF!</v>
      </c>
      <c r="C10" s="1849" t="s">
        <v>1651</v>
      </c>
      <c r="D10" s="2680"/>
      <c r="E10" s="2577">
        <f>IF(OR(A10=0,F10="否"),0,'数据-取费表'!K10+'数据-取费表'!S10)</f>
        <v>0</v>
      </c>
      <c r="F10" s="1853" t="s">
        <v>1657</v>
      </c>
      <c r="G10" s="1476"/>
      <c r="H10" s="1476"/>
      <c r="I10" s="1476"/>
      <c r="J10" s="1476"/>
      <c r="K10" s="1476"/>
      <c r="L10" s="1476"/>
      <c r="M10" s="1476"/>
      <c r="N10" s="1476"/>
      <c r="O10" s="1476"/>
      <c r="P10" s="1476"/>
      <c r="Q10" s="1476"/>
      <c r="R10" s="1476"/>
      <c r="S10" s="1476"/>
    </row>
    <row r="11" spans="1:22" ht="14.4">
      <c r="A11" s="2575">
        <f>'数据-取费表'!AN11</f>
        <v>0</v>
      </c>
      <c r="B11" s="2573" t="e">
        <f ca="1">IF(F11="是",'数据-取费表'!AO11,0)</f>
        <v>#REF!</v>
      </c>
      <c r="C11" s="1849" t="s">
        <v>1651</v>
      </c>
      <c r="D11" s="2680"/>
      <c r="E11" s="2577">
        <f>IF(OR(A11=0,F11="否"),0,'数据-取费表'!K11+'数据-取费表'!S11)</f>
        <v>0</v>
      </c>
      <c r="F11" s="1853" t="s">
        <v>1657</v>
      </c>
      <c r="G11" s="1476"/>
      <c r="H11" s="1476"/>
      <c r="I11" s="1476"/>
      <c r="J11" s="1476"/>
      <c r="K11" s="1476"/>
      <c r="L11" s="1476"/>
      <c r="M11" s="1476"/>
      <c r="N11" s="1476"/>
      <c r="O11" s="1476"/>
      <c r="P11" s="1476"/>
      <c r="Q11" s="1476"/>
      <c r="R11" s="1476"/>
      <c r="S11" s="1476"/>
    </row>
    <row r="12" spans="1:22" ht="14.4">
      <c r="A12" s="2575">
        <f>'数据-取费表'!AN12</f>
        <v>0</v>
      </c>
      <c r="B12" s="2573" t="e">
        <f ca="1">IF(F12="是",'数据-取费表'!AO12,0)</f>
        <v>#REF!</v>
      </c>
      <c r="C12" s="1849" t="s">
        <v>1651</v>
      </c>
      <c r="D12" s="2680"/>
      <c r="E12" s="2577">
        <f>IF(OR(A12=0,F12="否"),0,'数据-取费表'!K12+'数据-取费表'!S12)</f>
        <v>0</v>
      </c>
      <c r="F12" s="1853" t="s">
        <v>1657</v>
      </c>
      <c r="G12" s="1476"/>
      <c r="H12" s="1476"/>
      <c r="I12" s="1476"/>
      <c r="J12" s="1476"/>
      <c r="K12" s="1476"/>
      <c r="L12" s="1476"/>
      <c r="M12" s="1476"/>
      <c r="N12" s="1476"/>
      <c r="O12" s="1476"/>
      <c r="P12" s="1476"/>
      <c r="Q12" s="1476"/>
      <c r="R12" s="1476"/>
      <c r="S12" s="1476"/>
    </row>
    <row r="13" spans="1:22" ht="15" thickBot="1">
      <c r="A13" s="2576">
        <f>'数据-取费表'!AN13</f>
        <v>0</v>
      </c>
      <c r="B13" s="2573" t="e">
        <f ca="1">IF(F13="是",'数据-取费表'!AO13,0)</f>
        <v>#REF!</v>
      </c>
      <c r="C13" s="1854" t="s">
        <v>1651</v>
      </c>
      <c r="D13" s="2681"/>
      <c r="E13" s="2577">
        <f>IF(OR(A13=0,F13="否"),0,'数据-取费表'!K13+'数据-取费表'!S13)</f>
        <v>0</v>
      </c>
      <c r="F13" s="1853" t="s">
        <v>1657</v>
      </c>
      <c r="G13" s="1476"/>
      <c r="H13" s="1476"/>
      <c r="I13" s="1476"/>
      <c r="J13" s="1476"/>
      <c r="K13" s="1476"/>
      <c r="L13" s="1476"/>
      <c r="M13" s="1476"/>
      <c r="N13" s="1476"/>
      <c r="O13" s="1476"/>
      <c r="P13" s="1476"/>
      <c r="Q13" s="1476"/>
      <c r="R13" s="1476"/>
      <c r="S13" s="1476"/>
    </row>
    <row r="14" spans="1:22">
      <c r="A14" s="1476"/>
      <c r="B14" s="1476"/>
      <c r="C14" s="1476"/>
      <c r="D14" s="1476"/>
      <c r="E14" s="1476"/>
      <c r="F14" s="1476"/>
      <c r="G14" s="1476"/>
      <c r="H14" s="1476"/>
      <c r="I14" s="1476"/>
      <c r="J14" s="1476"/>
      <c r="K14" s="1476"/>
      <c r="L14" s="1476"/>
      <c r="M14" s="1476"/>
      <c r="N14" s="1476"/>
      <c r="O14" s="1476"/>
      <c r="P14" s="1476"/>
      <c r="Q14" s="1476"/>
      <c r="R14" s="1476"/>
      <c r="S14" s="1476"/>
      <c r="T14" s="1476"/>
      <c r="U14" s="1476"/>
      <c r="V14" s="1476"/>
    </row>
    <row r="15" spans="1:22">
      <c r="A15" s="1476"/>
      <c r="B15" s="1476"/>
      <c r="C15" s="1476"/>
      <c r="D15" s="1476"/>
      <c r="E15" s="1476"/>
      <c r="F15" s="1476"/>
      <c r="G15" s="1476"/>
      <c r="H15" s="1476"/>
      <c r="I15" s="1476"/>
      <c r="J15" s="1476"/>
      <c r="K15" s="1476"/>
      <c r="L15" s="1476"/>
      <c r="M15" s="1476"/>
      <c r="N15" s="1476"/>
      <c r="O15" s="1476"/>
      <c r="P15" s="1476"/>
      <c r="Q15" s="1476"/>
      <c r="R15" s="1476"/>
      <c r="S15" s="1476"/>
      <c r="T15" s="1476"/>
      <c r="U15" s="1476"/>
      <c r="V15" s="1476"/>
    </row>
    <row r="16" spans="1:22">
      <c r="A16" s="1476"/>
      <c r="B16" s="1476"/>
      <c r="C16" s="1476"/>
      <c r="D16" s="1476"/>
      <c r="E16" s="1476"/>
      <c r="F16" s="1476"/>
      <c r="G16" s="1476"/>
      <c r="H16" s="1476"/>
      <c r="I16" s="1476"/>
      <c r="J16" s="1476"/>
      <c r="K16" s="1476"/>
      <c r="L16" s="1476"/>
      <c r="M16" s="1476"/>
      <c r="N16" s="1476"/>
      <c r="O16" s="1476"/>
      <c r="P16" s="1476"/>
      <c r="Q16" s="1476"/>
      <c r="R16" s="1476"/>
      <c r="S16" s="1476"/>
      <c r="T16" s="1476"/>
      <c r="U16" s="1476"/>
      <c r="V16" s="1476"/>
    </row>
    <row r="17" spans="1:22">
      <c r="A17" s="1476"/>
      <c r="B17" s="1476"/>
      <c r="C17" s="1476"/>
      <c r="D17" s="1476"/>
      <c r="E17" s="1476"/>
      <c r="F17" s="1476"/>
      <c r="G17" s="1476"/>
      <c r="H17" s="1476"/>
      <c r="I17" s="1476"/>
      <c r="J17" s="1476"/>
      <c r="K17" s="1476"/>
      <c r="L17" s="1476"/>
      <c r="M17" s="1476"/>
      <c r="N17" s="1476"/>
      <c r="O17" s="1476"/>
      <c r="P17" s="1476"/>
      <c r="Q17" s="1476"/>
      <c r="R17" s="1476"/>
      <c r="S17" s="1476"/>
      <c r="T17" s="1476"/>
      <c r="U17" s="1476"/>
      <c r="V17" s="1476"/>
    </row>
    <row r="18" spans="1:22">
      <c r="A18" s="1476"/>
      <c r="B18" s="1476"/>
      <c r="C18" s="1476"/>
      <c r="D18" s="1476"/>
      <c r="E18" s="1476"/>
      <c r="F18" s="1476"/>
      <c r="G18" s="1476"/>
      <c r="H18" s="1476"/>
      <c r="I18" s="1476"/>
      <c r="J18" s="1476"/>
      <c r="K18" s="1476"/>
      <c r="L18" s="1476"/>
      <c r="M18" s="1476"/>
      <c r="N18" s="1476"/>
      <c r="O18" s="1476"/>
      <c r="P18" s="1476"/>
      <c r="Q18" s="1476"/>
      <c r="R18" s="1476"/>
      <c r="S18" s="1476"/>
      <c r="T18" s="1476"/>
      <c r="U18" s="1476"/>
      <c r="V18" s="1476"/>
    </row>
    <row r="19" spans="1:22">
      <c r="A19" s="1476"/>
      <c r="B19" s="1476"/>
      <c r="C19" s="1476"/>
      <c r="D19" s="1476"/>
      <c r="E19" s="1476"/>
      <c r="F19" s="1476"/>
      <c r="G19" s="1476"/>
      <c r="H19" s="1476"/>
      <c r="I19" s="1476"/>
      <c r="J19" s="1476"/>
      <c r="K19" s="1476"/>
      <c r="L19" s="1476"/>
      <c r="M19" s="1476"/>
      <c r="N19" s="1476"/>
      <c r="O19" s="1476"/>
      <c r="P19" s="1476"/>
      <c r="Q19" s="1476"/>
      <c r="R19" s="1476"/>
      <c r="S19" s="1476"/>
      <c r="T19" s="1476"/>
      <c r="U19" s="1476"/>
      <c r="V19" s="1476"/>
    </row>
    <row r="20" spans="1:22">
      <c r="A20" s="1476"/>
      <c r="B20" s="1476"/>
      <c r="C20" s="1476"/>
      <c r="D20" s="1476"/>
      <c r="E20" s="1476"/>
      <c r="F20" s="1476"/>
      <c r="G20" s="1476"/>
      <c r="H20" s="1476"/>
      <c r="I20" s="1476"/>
      <c r="J20" s="1476"/>
      <c r="K20" s="1476"/>
      <c r="L20" s="1476"/>
      <c r="M20" s="1476"/>
      <c r="N20" s="1476"/>
      <c r="O20" s="1476"/>
      <c r="P20" s="1476"/>
      <c r="Q20" s="1476"/>
      <c r="R20" s="1476"/>
      <c r="S20" s="1476"/>
      <c r="T20" s="1476"/>
      <c r="U20" s="1476"/>
      <c r="V20" s="1476"/>
    </row>
    <row r="21" spans="1:22">
      <c r="A21" s="1476"/>
      <c r="B21" s="1476"/>
      <c r="C21" s="1476"/>
      <c r="D21" s="1476"/>
      <c r="E21" s="1476"/>
      <c r="F21" s="1476"/>
      <c r="G21" s="1476"/>
      <c r="H21" s="1476"/>
      <c r="I21" s="1476"/>
      <c r="J21" s="1476"/>
      <c r="K21" s="1476"/>
      <c r="L21" s="1476"/>
      <c r="M21" s="1476"/>
      <c r="N21" s="1476"/>
      <c r="O21" s="1476"/>
      <c r="P21" s="1476"/>
      <c r="Q21" s="1476"/>
      <c r="R21" s="1476"/>
      <c r="S21" s="1476"/>
      <c r="T21" s="1476"/>
      <c r="U21" s="1476"/>
      <c r="V21" s="1476"/>
    </row>
    <row r="22" spans="1:22">
      <c r="A22" s="1476"/>
      <c r="B22" s="1476"/>
      <c r="C22" s="1476"/>
      <c r="D22" s="1476"/>
      <c r="E22" s="1476"/>
      <c r="F22" s="1476"/>
      <c r="G22" s="1476"/>
      <c r="H22" s="1476"/>
      <c r="I22" s="1476"/>
      <c r="J22" s="1476"/>
      <c r="K22" s="1476"/>
      <c r="L22" s="1476"/>
      <c r="M22" s="1476"/>
      <c r="N22" s="1476"/>
      <c r="O22" s="1476"/>
      <c r="P22" s="1476"/>
      <c r="Q22" s="1476"/>
      <c r="R22" s="1476"/>
      <c r="S22" s="1476"/>
      <c r="T22" s="1476"/>
      <c r="U22" s="1476"/>
      <c r="V22" s="1476"/>
    </row>
    <row r="23" spans="1:22">
      <c r="A23" s="1476"/>
      <c r="B23" s="1476"/>
      <c r="C23" s="1476"/>
      <c r="D23" s="1476"/>
      <c r="E23" s="1476"/>
      <c r="F23" s="1476"/>
      <c r="G23" s="1476"/>
      <c r="H23" s="1476"/>
      <c r="I23" s="1476"/>
      <c r="J23" s="1476"/>
      <c r="K23" s="1476"/>
      <c r="L23" s="1476"/>
      <c r="M23" s="1476"/>
      <c r="N23" s="1476"/>
      <c r="O23" s="1476"/>
      <c r="P23" s="1476"/>
      <c r="Q23" s="1476"/>
      <c r="R23" s="1476"/>
      <c r="S23" s="1476"/>
      <c r="T23" s="1476"/>
      <c r="U23" s="1476"/>
      <c r="V23" s="1476"/>
    </row>
    <row r="24" spans="1:22">
      <c r="A24" s="1476"/>
      <c r="B24" s="1476"/>
      <c r="C24" s="1476"/>
      <c r="D24" s="1476"/>
      <c r="E24" s="1476"/>
      <c r="F24" s="1476"/>
      <c r="G24" s="1476"/>
      <c r="H24" s="1476"/>
      <c r="I24" s="1476"/>
      <c r="J24" s="1476"/>
      <c r="K24" s="1476"/>
      <c r="L24" s="1476"/>
      <c r="M24" s="1476"/>
      <c r="N24" s="1476"/>
      <c r="O24" s="1476"/>
      <c r="P24" s="1476"/>
      <c r="Q24" s="1476"/>
      <c r="R24" s="1476"/>
      <c r="S24" s="1476"/>
      <c r="T24" s="1476"/>
      <c r="U24" s="1476"/>
      <c r="V24" s="1476"/>
    </row>
    <row r="25" spans="1:22">
      <c r="A25" s="1476"/>
      <c r="B25" s="1476"/>
      <c r="C25" s="1476"/>
      <c r="D25" s="1476"/>
      <c r="E25" s="1476"/>
      <c r="F25" s="1476"/>
      <c r="G25" s="1476"/>
      <c r="H25" s="1476"/>
      <c r="I25" s="1476"/>
      <c r="J25" s="1476"/>
      <c r="K25" s="1476"/>
      <c r="L25" s="1476"/>
      <c r="M25" s="1476"/>
      <c r="N25" s="1476"/>
      <c r="O25" s="1476"/>
      <c r="P25" s="1476"/>
      <c r="Q25" s="1476"/>
      <c r="R25" s="1476"/>
      <c r="S25" s="1476"/>
      <c r="T25" s="1476"/>
      <c r="U25" s="1476"/>
      <c r="V25" s="1476"/>
    </row>
    <row r="26" spans="1:22">
      <c r="A26" s="1476"/>
      <c r="B26" s="1476"/>
      <c r="C26" s="1476"/>
      <c r="D26" s="1476"/>
      <c r="E26" s="1476"/>
      <c r="F26" s="1476"/>
      <c r="G26" s="1476"/>
      <c r="H26" s="1476"/>
      <c r="I26" s="1476"/>
      <c r="J26" s="1476"/>
      <c r="K26" s="1476"/>
      <c r="L26" s="1476"/>
      <c r="M26" s="1476"/>
      <c r="N26" s="1476"/>
      <c r="O26" s="1476"/>
      <c r="P26" s="1476"/>
      <c r="Q26" s="1476"/>
      <c r="R26" s="1476"/>
      <c r="S26" s="1476"/>
      <c r="T26" s="1476"/>
      <c r="U26" s="1476"/>
      <c r="V26" s="1476"/>
    </row>
    <row r="27" spans="1:22">
      <c r="A27" s="1476"/>
      <c r="B27" s="1476"/>
      <c r="C27" s="1476"/>
      <c r="D27" s="1476"/>
      <c r="E27" s="1476"/>
      <c r="F27" s="1476"/>
      <c r="G27" s="1476"/>
      <c r="H27" s="1476"/>
      <c r="I27" s="1476"/>
      <c r="J27" s="1476"/>
      <c r="K27" s="1476"/>
      <c r="L27" s="1476"/>
      <c r="M27" s="1476"/>
      <c r="N27" s="1476"/>
      <c r="O27" s="1476"/>
      <c r="P27" s="1476"/>
      <c r="Q27" s="1476"/>
      <c r="R27" s="1476"/>
      <c r="S27" s="1476"/>
      <c r="T27" s="1476"/>
      <c r="U27" s="1476"/>
      <c r="V27" s="1476"/>
    </row>
    <row r="28" spans="1:22">
      <c r="A28" s="1476"/>
      <c r="B28" s="1476"/>
      <c r="C28" s="1476"/>
      <c r="D28" s="1476"/>
      <c r="E28" s="1476"/>
      <c r="F28" s="1476"/>
      <c r="G28" s="1476"/>
      <c r="H28" s="1476"/>
      <c r="I28" s="1476"/>
      <c r="J28" s="1476"/>
      <c r="K28" s="1476"/>
      <c r="L28" s="1476"/>
      <c r="M28" s="1476"/>
      <c r="N28" s="1476"/>
      <c r="O28" s="1476"/>
      <c r="P28" s="1476"/>
      <c r="Q28" s="1476"/>
      <c r="R28" s="1476"/>
      <c r="S28" s="1476"/>
      <c r="T28" s="1476"/>
      <c r="U28" s="1476"/>
      <c r="V28" s="1476"/>
    </row>
    <row r="29" spans="1:22">
      <c r="A29" s="1476"/>
      <c r="B29" s="1476"/>
      <c r="C29" s="1476"/>
      <c r="D29" s="1476"/>
      <c r="E29" s="1476"/>
      <c r="F29" s="1476"/>
      <c r="G29" s="1476"/>
      <c r="H29" s="1476"/>
      <c r="I29" s="1476"/>
      <c r="J29" s="1476"/>
      <c r="K29" s="1476"/>
      <c r="L29" s="1476"/>
      <c r="M29" s="1476"/>
      <c r="N29" s="1476"/>
      <c r="O29" s="1476"/>
      <c r="P29" s="1476"/>
      <c r="Q29" s="1476"/>
      <c r="R29" s="1476"/>
      <c r="S29" s="1476"/>
      <c r="T29" s="1476"/>
      <c r="U29" s="1476"/>
      <c r="V29" s="1476"/>
    </row>
    <row r="30" spans="1:22">
      <c r="A30" s="1476"/>
      <c r="B30" s="1476"/>
      <c r="C30" s="1476"/>
      <c r="D30" s="1476"/>
      <c r="E30" s="1476"/>
      <c r="F30" s="1476"/>
      <c r="G30" s="1476"/>
      <c r="H30" s="1476"/>
      <c r="I30" s="1476"/>
      <c r="J30" s="1476"/>
      <c r="K30" s="1476"/>
      <c r="L30" s="1476"/>
      <c r="M30" s="1476"/>
      <c r="N30" s="1476"/>
      <c r="O30" s="1476"/>
      <c r="P30" s="1476"/>
      <c r="Q30" s="1476"/>
      <c r="R30" s="1476"/>
      <c r="S30" s="1476"/>
      <c r="T30" s="1476"/>
      <c r="U30" s="1476"/>
      <c r="V30" s="1476"/>
    </row>
    <row r="31" spans="1:22">
      <c r="A31" s="1476"/>
      <c r="B31" s="1476"/>
      <c r="C31" s="1476"/>
      <c r="D31" s="1476"/>
      <c r="E31" s="1476"/>
      <c r="F31" s="1476"/>
      <c r="G31" s="1476"/>
      <c r="H31" s="1476"/>
      <c r="I31" s="1476"/>
      <c r="J31" s="1476"/>
      <c r="K31" s="1476"/>
      <c r="L31" s="1476"/>
      <c r="M31" s="1476"/>
      <c r="N31" s="1476"/>
      <c r="O31" s="1476"/>
      <c r="P31" s="1476"/>
      <c r="Q31" s="1476"/>
      <c r="R31" s="1476"/>
      <c r="S31" s="1476"/>
      <c r="T31" s="1476"/>
      <c r="U31" s="1476"/>
      <c r="V31" s="1476"/>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6" zoomScale="85" zoomScaleNormal="60" zoomScaleSheetLayoutView="85" workbookViewId="0">
      <selection activeCell="K17" sqref="K17"/>
    </sheetView>
  </sheetViews>
  <sheetFormatPr defaultColWidth="9" defaultRowHeight="13.8"/>
  <cols>
    <col min="1" max="1" width="10.44140625" style="352" customWidth="1"/>
    <col min="2" max="2" width="15.77734375" style="352" customWidth="1"/>
    <col min="3" max="3" width="19.44140625" style="352" customWidth="1"/>
    <col min="4" max="4" width="12.21875" style="352" customWidth="1"/>
    <col min="5" max="5" width="17.109375" style="352" customWidth="1"/>
    <col min="6" max="6" width="12.21875" style="352" customWidth="1"/>
    <col min="7" max="7" width="16.44140625" style="352" customWidth="1"/>
    <col min="8" max="8" width="12.21875" style="352" customWidth="1"/>
    <col min="9" max="9" width="15.6640625" style="352" customWidth="1"/>
    <col min="10" max="10" width="12.21875" style="352" customWidth="1"/>
    <col min="11" max="11" width="12.21875" style="439" customWidth="1"/>
    <col min="12" max="12" width="12.21875" style="440" customWidth="1"/>
    <col min="13" max="15" width="12.21875" style="352" customWidth="1"/>
    <col min="16" max="16" width="4.77734375" style="1888"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855" t="s">
        <v>1661</v>
      </c>
      <c r="C1" s="1225" t="s">
        <v>1662</v>
      </c>
      <c r="D1" s="1212" t="s">
        <v>3390</v>
      </c>
      <c r="E1" s="3397" t="s">
        <v>3394</v>
      </c>
      <c r="F1" s="1856" t="s">
        <v>3395</v>
      </c>
      <c r="G1" s="1222" t="s">
        <v>1663</v>
      </c>
      <c r="H1" s="1221"/>
      <c r="I1" s="1221"/>
      <c r="J1" s="1221"/>
      <c r="K1" s="1223"/>
      <c r="L1" s="1224"/>
      <c r="M1" s="1225"/>
      <c r="N1" s="1225"/>
      <c r="O1" s="1225"/>
      <c r="P1" s="1857"/>
      <c r="Q1" s="1211"/>
      <c r="R1" s="1211"/>
      <c r="S1" s="1211"/>
      <c r="T1" s="1211"/>
      <c r="U1" s="1211"/>
      <c r="V1" s="1211"/>
      <c r="W1" s="1211"/>
      <c r="X1" s="1211"/>
      <c r="Y1" s="1211"/>
      <c r="Z1" s="1211"/>
      <c r="AA1" s="1211"/>
      <c r="AB1" s="1211"/>
      <c r="AC1" s="1219"/>
    </row>
    <row r="2" spans="1:29" s="342" customFormat="1" ht="28.5" customHeight="1" thickTop="1">
      <c r="A2" s="1208" t="s">
        <v>685</v>
      </c>
      <c r="B2" s="3398">
        <f>IF(E1="项目模式",IF(C2="——",ROUND(C49*D3/10000,0),ROUND(C49*D3/10000,0)-D2),IF(E1="单套模式",IF(C2="——",ROUND(C49*D3/10000,4),ROUND(C49*D3/10000,4)-D2)))</f>
        <v>57.653700000000001</v>
      </c>
      <c r="C2" s="1858" t="s">
        <v>43</v>
      </c>
      <c r="D2" s="1105" t="e">
        <f ca="1">IF(E1="项目模式",SUMIF(INDIRECT("'"&amp;F2&amp;"'"&amp;"!A:A"),"承租人权益价值",INDIRECT("'"&amp;F2&amp;"'"&amp;"!c:c")),SUMIF(INDIRECT("'"&amp;F2&amp;"'"&amp;"!A:A"),"承租人权益价值（单套）",INDIRECT("'"&amp;F2&amp;"'"&amp;"!c:c")))</f>
        <v>#REF!</v>
      </c>
      <c r="E2" s="1859" t="s">
        <v>1664</v>
      </c>
      <c r="F2" s="1860"/>
      <c r="G2" s="897"/>
      <c r="H2" s="897"/>
      <c r="I2" s="897"/>
      <c r="J2" s="897"/>
      <c r="K2" s="1861"/>
      <c r="L2" s="2684"/>
      <c r="M2" s="2685"/>
      <c r="N2" s="2685"/>
      <c r="O2" s="2685"/>
      <c r="P2" s="1862"/>
      <c r="Q2" s="1863"/>
      <c r="R2" s="1863"/>
      <c r="S2" s="1863"/>
      <c r="T2" s="1863"/>
      <c r="U2" s="1863"/>
      <c r="V2" s="1863"/>
      <c r="W2" s="1863"/>
      <c r="X2" s="1863"/>
      <c r="Y2" s="1863"/>
      <c r="Z2" s="1863"/>
      <c r="AA2" s="1863"/>
      <c r="AB2" s="1863"/>
      <c r="AC2" s="1864"/>
    </row>
    <row r="3" spans="1:29" s="342" customFormat="1" ht="28.5" customHeight="1" thickBot="1">
      <c r="A3" s="3782" t="s">
        <v>686</v>
      </c>
      <c r="B3" s="3783">
        <f>IF(C2="——",C49,ROUND(B2*10000/D3,0))</f>
        <v>6494</v>
      </c>
      <c r="C3" s="3784" t="s">
        <v>1665</v>
      </c>
      <c r="D3" s="3783">
        <f>IF(D1="",'数据-汇总表'!E3,SUMIF('数据-汇总表'!$C19:$C33,D1,'数据-汇总表'!$E19:$E33))</f>
        <v>88.78</v>
      </c>
      <c r="E3" s="3785"/>
      <c r="F3" s="3786"/>
      <c r="G3" s="3785"/>
      <c r="H3" s="3785"/>
      <c r="I3" s="3785"/>
      <c r="J3" s="3785"/>
      <c r="K3" s="1861"/>
      <c r="L3" s="2684"/>
      <c r="M3" s="2685"/>
      <c r="N3" s="2685"/>
      <c r="O3" s="2685"/>
      <c r="P3" s="1862"/>
      <c r="Q3" s="1863"/>
      <c r="R3" s="1863"/>
      <c r="S3" s="1863"/>
      <c r="T3" s="1863"/>
      <c r="U3" s="1863"/>
      <c r="V3" s="1863"/>
      <c r="W3" s="1863"/>
      <c r="X3" s="1863"/>
      <c r="Y3" s="1863"/>
      <c r="Z3" s="1863"/>
      <c r="AA3" s="1863"/>
      <c r="AB3" s="1863"/>
      <c r="AC3" s="1051"/>
    </row>
    <row r="4" spans="1:29" ht="14.4">
      <c r="A4" s="3787" t="s">
        <v>1666</v>
      </c>
      <c r="B4" s="3788"/>
      <c r="C4" s="4182" t="s">
        <v>1667</v>
      </c>
      <c r="D4" s="4183"/>
      <c r="E4" s="4184" t="s">
        <v>1668</v>
      </c>
      <c r="F4" s="4185"/>
      <c r="G4" s="4182" t="s">
        <v>1669</v>
      </c>
      <c r="H4" s="4183"/>
      <c r="I4" s="4182" t="s">
        <v>1670</v>
      </c>
      <c r="J4" s="4183"/>
      <c r="K4" s="1865" t="s">
        <v>1671</v>
      </c>
      <c r="L4" s="2686"/>
      <c r="M4" s="2687"/>
      <c r="N4" s="2687"/>
      <c r="O4" s="2687"/>
      <c r="P4" s="4186" t="s">
        <v>1672</v>
      </c>
      <c r="Q4" s="4187"/>
      <c r="R4" s="4192" t="s">
        <v>1668</v>
      </c>
      <c r="S4" s="4193"/>
      <c r="T4" s="4192" t="s">
        <v>1669</v>
      </c>
      <c r="U4" s="4193"/>
      <c r="V4" s="4198" t="s">
        <v>1670</v>
      </c>
      <c r="W4" s="4198"/>
      <c r="X4" s="1342"/>
      <c r="Y4" s="4192" t="s">
        <v>1672</v>
      </c>
      <c r="Z4" s="4193"/>
      <c r="AA4" s="4179" t="s">
        <v>1668</v>
      </c>
      <c r="AB4" s="4179" t="s">
        <v>1669</v>
      </c>
      <c r="AC4" s="4179" t="s">
        <v>1670</v>
      </c>
    </row>
    <row r="5" spans="1:29">
      <c r="A5" s="3789"/>
      <c r="B5" s="3790"/>
      <c r="C5" s="4201" t="s">
        <v>1673</v>
      </c>
      <c r="D5" s="4202"/>
      <c r="E5" s="4209" t="str">
        <f>'2003'!F579</f>
        <v>翠微路2号院静源居</v>
      </c>
      <c r="F5" s="4210"/>
      <c r="G5" s="4201" t="str">
        <f>'2003'!F896</f>
        <v>八里庄街道玉渊潭乡北洼路世纪新景园</v>
      </c>
      <c r="H5" s="4202"/>
      <c r="I5" s="4206" t="str">
        <f>'2003'!F937</f>
        <v>北洼路车道沟南里北洼路住宅楼(财智公馆)</v>
      </c>
      <c r="J5" s="4202"/>
      <c r="K5" s="1866"/>
      <c r="L5" s="2686"/>
      <c r="M5" s="2687"/>
      <c r="N5" s="2687"/>
      <c r="O5" s="2687"/>
      <c r="P5" s="4188"/>
      <c r="Q5" s="4189"/>
      <c r="R5" s="4194"/>
      <c r="S5" s="4195"/>
      <c r="T5" s="4194"/>
      <c r="U5" s="4195"/>
      <c r="V5" s="4198"/>
      <c r="W5" s="4198"/>
      <c r="X5" s="1342"/>
      <c r="Y5" s="4194"/>
      <c r="Z5" s="4195"/>
      <c r="AA5" s="4180"/>
      <c r="AB5" s="4180"/>
      <c r="AC5" s="4180"/>
    </row>
    <row r="6" spans="1:29" ht="15" thickBot="1">
      <c r="A6" s="3791"/>
      <c r="B6" s="3792"/>
      <c r="C6" s="4199" t="s">
        <v>1677</v>
      </c>
      <c r="D6" s="4200"/>
      <c r="E6" s="4207" t="s">
        <v>1677</v>
      </c>
      <c r="F6" s="4208"/>
      <c r="G6" s="4199" t="s">
        <v>1677</v>
      </c>
      <c r="H6" s="4200"/>
      <c r="I6" s="4199" t="s">
        <v>1677</v>
      </c>
      <c r="J6" s="4200"/>
      <c r="K6" s="1866" t="s">
        <v>1678</v>
      </c>
      <c r="L6" s="2686"/>
      <c r="M6" s="2687"/>
      <c r="N6" s="2687"/>
      <c r="O6" s="2687"/>
      <c r="P6" s="4190"/>
      <c r="Q6" s="4191"/>
      <c r="R6" s="4194"/>
      <c r="S6" s="4195"/>
      <c r="T6" s="4196"/>
      <c r="U6" s="4197"/>
      <c r="V6" s="4198"/>
      <c r="W6" s="4198"/>
      <c r="X6" s="1342"/>
      <c r="Y6" s="4196"/>
      <c r="Z6" s="4197"/>
      <c r="AA6" s="4181"/>
      <c r="AB6" s="4181"/>
      <c r="AC6" s="4181"/>
    </row>
    <row r="7" spans="1:29" s="108" customFormat="1" ht="15" thickBot="1">
      <c r="A7" s="3793" t="s">
        <v>1679</v>
      </c>
      <c r="B7" s="3794"/>
      <c r="C7" s="3880">
        <f>'数据-取费表'!B2</f>
        <v>37917</v>
      </c>
      <c r="D7" s="3795">
        <v>100</v>
      </c>
      <c r="E7" s="3881">
        <f>'2003'!BJ579</f>
        <v>37831</v>
      </c>
      <c r="F7" s="3796">
        <f>SUMIF(58:58,YEAR(E7)&amp;"-"&amp;MONTH(E7),59:59)</f>
        <v>99.5</v>
      </c>
      <c r="G7" s="3881">
        <f>'2003'!BJ896</f>
        <v>37904</v>
      </c>
      <c r="H7" s="3795">
        <f>SUMIF(58:58,YEAR(G7)&amp;"-"&amp;MONTH(G7),59:59)</f>
        <v>100</v>
      </c>
      <c r="I7" s="3881">
        <f>'2003'!BJ937</f>
        <v>37915</v>
      </c>
      <c r="J7" s="3795">
        <f>SUMIF(58:58,YEAR(I7)&amp;"-"&amp;MONTH(I7),59:59)</f>
        <v>100</v>
      </c>
      <c r="K7" s="1867"/>
      <c r="L7" s="2688"/>
      <c r="M7" s="2689"/>
      <c r="N7" s="2689"/>
      <c r="O7" s="2689"/>
      <c r="P7" s="4203" t="s">
        <v>1680</v>
      </c>
      <c r="Q7" s="4205"/>
      <c r="R7" s="693" t="s">
        <v>20</v>
      </c>
      <c r="S7" s="694">
        <f t="shared" ref="S7:S15" si="0">F7</f>
        <v>99.5</v>
      </c>
      <c r="T7" s="693" t="s">
        <v>20</v>
      </c>
      <c r="U7" s="694">
        <f t="shared" ref="U7:U15" si="1">H7</f>
        <v>100</v>
      </c>
      <c r="V7" s="693" t="s">
        <v>20</v>
      </c>
      <c r="W7" s="694">
        <f t="shared" ref="W7:W15" si="2">J7</f>
        <v>100</v>
      </c>
      <c r="X7" s="695"/>
      <c r="Y7" s="4203" t="s">
        <v>1680</v>
      </c>
      <c r="Z7" s="4204"/>
      <c r="AA7" s="696">
        <f>D7/F7</f>
        <v>1.0050251256281406</v>
      </c>
      <c r="AB7" s="696">
        <f>D7/H7</f>
        <v>1</v>
      </c>
      <c r="AC7" s="696">
        <f>D7/J7</f>
        <v>1</v>
      </c>
    </row>
    <row r="8" spans="1:29" s="108" customFormat="1" ht="15" thickBot="1">
      <c r="A8" s="3793" t="s">
        <v>1681</v>
      </c>
      <c r="B8" s="3794"/>
      <c r="C8" s="3797" t="s">
        <v>3396</v>
      </c>
      <c r="D8" s="3795">
        <v>100</v>
      </c>
      <c r="E8" s="3798" t="s">
        <v>3396</v>
      </c>
      <c r="F8" s="3796">
        <f>SUMIF(61:61,E8,62:62)-SUMIF(61:61,C8,62:62)+100</f>
        <v>100</v>
      </c>
      <c r="G8" s="3797" t="s">
        <v>3396</v>
      </c>
      <c r="H8" s="3795">
        <f>SUMIF(61:61,G8,62:62)-SUMIF(61:61,C8,62:62)+100</f>
        <v>100</v>
      </c>
      <c r="I8" s="3798" t="s">
        <v>3396</v>
      </c>
      <c r="J8" s="3795">
        <f>SUMIF(61:61,I8,62:62)-SUMIF(61:61,C8,62:62)+100</f>
        <v>100</v>
      </c>
      <c r="K8" s="1867"/>
      <c r="L8" s="2688"/>
      <c r="M8" s="2689"/>
      <c r="N8" s="2689"/>
      <c r="O8" s="2689"/>
      <c r="P8" s="4203" t="s">
        <v>1683</v>
      </c>
      <c r="Q8" s="4204"/>
      <c r="R8" s="693" t="s">
        <v>20</v>
      </c>
      <c r="S8" s="694">
        <f t="shared" si="0"/>
        <v>100</v>
      </c>
      <c r="T8" s="693" t="s">
        <v>20</v>
      </c>
      <c r="U8" s="694">
        <f t="shared" si="1"/>
        <v>100</v>
      </c>
      <c r="V8" s="693" t="s">
        <v>20</v>
      </c>
      <c r="W8" s="694">
        <f t="shared" si="2"/>
        <v>100</v>
      </c>
      <c r="X8" s="695"/>
      <c r="Y8" s="4203" t="s">
        <v>1683</v>
      </c>
      <c r="Z8" s="4204"/>
      <c r="AA8" s="696">
        <f t="shared" ref="AA8:AA19" si="3">D8/F8</f>
        <v>1</v>
      </c>
      <c r="AB8" s="696">
        <f t="shared" ref="AB8:AB19" si="4">D8/H8</f>
        <v>1</v>
      </c>
      <c r="AC8" s="696">
        <f t="shared" ref="AC8:AC19" si="5">D8/J8</f>
        <v>1</v>
      </c>
    </row>
    <row r="9" spans="1:29" s="108" customFormat="1" ht="14.4">
      <c r="A9" s="3799" t="s">
        <v>1684</v>
      </c>
      <c r="B9" s="3800" t="s">
        <v>1685</v>
      </c>
      <c r="C9" s="3801" t="s">
        <v>3399</v>
      </c>
      <c r="D9" s="3802">
        <v>100</v>
      </c>
      <c r="E9" s="3803" t="s">
        <v>3390</v>
      </c>
      <c r="F9" s="3800">
        <f>SUMIF(63:63,E9,64:64)-SUMIF(63:63,C9,64:64)+100</f>
        <v>100</v>
      </c>
      <c r="G9" s="3804" t="s">
        <v>3390</v>
      </c>
      <c r="H9" s="3802">
        <f>SUMIF(63:63,G9,64:64)-SUMIF(63:63,C9,64:64)+100</f>
        <v>100</v>
      </c>
      <c r="I9" s="3804" t="s">
        <v>3390</v>
      </c>
      <c r="J9" s="3802">
        <f>SUMIF(63:63,I9,64:64)-SUMIF(63:63,C9,64:64)+100</f>
        <v>100</v>
      </c>
      <c r="K9" s="1867"/>
      <c r="L9" s="2688"/>
      <c r="M9" s="2689"/>
      <c r="N9" s="2689"/>
      <c r="O9" s="2689"/>
      <c r="P9" s="4177" t="s">
        <v>1686</v>
      </c>
      <c r="Q9" s="1330" t="str">
        <f t="shared" ref="Q9:Q15" si="6">B9</f>
        <v>用途</v>
      </c>
      <c r="R9" s="693" t="s">
        <v>14</v>
      </c>
      <c r="S9" s="694">
        <f t="shared" si="0"/>
        <v>100</v>
      </c>
      <c r="T9" s="693" t="s">
        <v>14</v>
      </c>
      <c r="U9" s="694">
        <f t="shared" si="1"/>
        <v>100</v>
      </c>
      <c r="V9" s="693" t="s">
        <v>14</v>
      </c>
      <c r="W9" s="694">
        <f t="shared" si="2"/>
        <v>100</v>
      </c>
      <c r="X9" s="695"/>
      <c r="Y9" s="4178" t="s">
        <v>1687</v>
      </c>
      <c r="Z9" s="52" t="str">
        <f t="shared" ref="Z9:Z15" si="7">Q9</f>
        <v>用途</v>
      </c>
      <c r="AA9" s="696">
        <f t="shared" si="3"/>
        <v>1</v>
      </c>
      <c r="AB9" s="696">
        <f t="shared" si="4"/>
        <v>1</v>
      </c>
      <c r="AC9" s="696">
        <f t="shared" si="5"/>
        <v>1</v>
      </c>
    </row>
    <row r="10" spans="1:29" s="373" customFormat="1" ht="28.8">
      <c r="A10" s="3805"/>
      <c r="B10" s="3806" t="s">
        <v>1688</v>
      </c>
      <c r="C10" s="3807"/>
      <c r="D10" s="3808">
        <v>100</v>
      </c>
      <c r="E10" s="3809"/>
      <c r="F10" s="3806">
        <f>SUMIF(65:65,E10,66:66)-SUMIF(65:65,C10,66:66)+100</f>
        <v>100</v>
      </c>
      <c r="G10" s="3807"/>
      <c r="H10" s="3808">
        <f>SUMIF(65:65,G10,66:66)-SUMIF(65:65,C10,66:66)+100</f>
        <v>100</v>
      </c>
      <c r="I10" s="3807"/>
      <c r="J10" s="3808">
        <f>SUMIF(65:65,I10,66:66)-SUMIF(65:65,C10,66:66)+100</f>
        <v>100</v>
      </c>
      <c r="K10" s="1867"/>
      <c r="L10" s="2690"/>
      <c r="M10" s="2691"/>
      <c r="N10" s="2691"/>
      <c r="O10" s="2691"/>
      <c r="P10" s="4177"/>
      <c r="Q10" s="1330" t="str">
        <f t="shared" si="6"/>
        <v>土地使用年限（年）</v>
      </c>
      <c r="R10" s="693" t="s">
        <v>14</v>
      </c>
      <c r="S10" s="694">
        <f t="shared" si="0"/>
        <v>100</v>
      </c>
      <c r="T10" s="693" t="s">
        <v>14</v>
      </c>
      <c r="U10" s="694">
        <f t="shared" si="1"/>
        <v>100</v>
      </c>
      <c r="V10" s="693" t="s">
        <v>14</v>
      </c>
      <c r="W10" s="694">
        <f t="shared" si="2"/>
        <v>100</v>
      </c>
      <c r="X10" s="695"/>
      <c r="Y10" s="4178"/>
      <c r="Z10" s="52" t="str">
        <f t="shared" si="7"/>
        <v>土地使用年限（年）</v>
      </c>
      <c r="AA10" s="696">
        <f t="shared" si="3"/>
        <v>1</v>
      </c>
      <c r="AB10" s="696">
        <f t="shared" si="4"/>
        <v>1</v>
      </c>
      <c r="AC10" s="696">
        <f t="shared" si="5"/>
        <v>1</v>
      </c>
    </row>
    <row r="11" spans="1:29" ht="15">
      <c r="A11" s="3810"/>
      <c r="B11" s="3806" t="s">
        <v>1689</v>
      </c>
      <c r="C11" s="3807">
        <v>2</v>
      </c>
      <c r="D11" s="3808">
        <v>100</v>
      </c>
      <c r="E11" s="3809">
        <v>2</v>
      </c>
      <c r="F11" s="3806">
        <f>LOOKUP(E11,68:68,69:69)-LOOKUP(C11,68:68,69:69)+100</f>
        <v>100</v>
      </c>
      <c r="G11" s="3807">
        <v>2</v>
      </c>
      <c r="H11" s="3808">
        <f>LOOKUP(G11,68:68,69:69)-LOOKUP(C11,68:68,69:69)+100</f>
        <v>100</v>
      </c>
      <c r="I11" s="3807">
        <v>2</v>
      </c>
      <c r="J11" s="3808">
        <f>LOOKUP(I11,68:68,69:69)-LOOKUP(C11,68:68,69:69)+100</f>
        <v>100</v>
      </c>
      <c r="K11" s="372"/>
      <c r="L11" s="2692"/>
      <c r="M11" s="2687"/>
      <c r="N11" s="2687"/>
      <c r="O11" s="2687"/>
      <c r="P11" s="4177"/>
      <c r="Q11" s="1330" t="str">
        <f t="shared" si="6"/>
        <v>容积率</v>
      </c>
      <c r="R11" s="693" t="s">
        <v>18</v>
      </c>
      <c r="S11" s="694">
        <f t="shared" si="0"/>
        <v>100</v>
      </c>
      <c r="T11" s="693" t="s">
        <v>18</v>
      </c>
      <c r="U11" s="694">
        <f t="shared" si="1"/>
        <v>100</v>
      </c>
      <c r="V11" s="693" t="s">
        <v>18</v>
      </c>
      <c r="W11" s="694">
        <f t="shared" si="2"/>
        <v>100</v>
      </c>
      <c r="X11" s="695"/>
      <c r="Y11" s="4178"/>
      <c r="Z11" s="52" t="str">
        <f t="shared" si="7"/>
        <v>容积率</v>
      </c>
      <c r="AA11" s="696">
        <f t="shared" si="3"/>
        <v>1</v>
      </c>
      <c r="AB11" s="696">
        <f t="shared" si="4"/>
        <v>1</v>
      </c>
      <c r="AC11" s="696">
        <f t="shared" si="5"/>
        <v>1</v>
      </c>
    </row>
    <row r="12" spans="1:29" s="108" customFormat="1" ht="15">
      <c r="A12" s="3811"/>
      <c r="B12" s="3812">
        <v>111</v>
      </c>
      <c r="C12" s="3813"/>
      <c r="D12" s="3814">
        <v>100</v>
      </c>
      <c r="E12" s="3813"/>
      <c r="F12" s="3806">
        <f>SUMIF(70:70,E12,71:71)-SUMIF(70:70,C12,71:71)+100</f>
        <v>100</v>
      </c>
      <c r="G12" s="3813"/>
      <c r="H12" s="3808">
        <f>SUMIF(70:70,G12,71:71)-SUMIF(70:70,C12,71:71)+100</f>
        <v>100</v>
      </c>
      <c r="I12" s="3813"/>
      <c r="J12" s="3808">
        <f>SUMIF(70:70,I12,71:71)-SUMIF(70:70,C12,71:71)+100</f>
        <v>100</v>
      </c>
      <c r="K12" s="1869"/>
      <c r="L12" s="2688"/>
      <c r="M12" s="2689"/>
      <c r="N12" s="2689"/>
      <c r="O12" s="2689"/>
      <c r="P12" s="4177"/>
      <c r="Q12" s="1330">
        <f t="shared" si="6"/>
        <v>111</v>
      </c>
      <c r="R12" s="693" t="s">
        <v>18</v>
      </c>
      <c r="S12" s="694">
        <f t="shared" si="0"/>
        <v>100</v>
      </c>
      <c r="T12" s="693" t="s">
        <v>18</v>
      </c>
      <c r="U12" s="694">
        <f t="shared" si="1"/>
        <v>100</v>
      </c>
      <c r="V12" s="693" t="s">
        <v>18</v>
      </c>
      <c r="W12" s="694">
        <f t="shared" si="2"/>
        <v>100</v>
      </c>
      <c r="X12" s="695"/>
      <c r="Y12" s="4178"/>
      <c r="Z12" s="52">
        <f t="shared" si="7"/>
        <v>111</v>
      </c>
      <c r="AA12" s="696">
        <f>D12/F12</f>
        <v>1</v>
      </c>
      <c r="AB12" s="696">
        <f>D12/H12</f>
        <v>1</v>
      </c>
      <c r="AC12" s="696">
        <f>D12/J12</f>
        <v>1</v>
      </c>
    </row>
    <row r="13" spans="1:29" ht="15">
      <c r="A13" s="3810"/>
      <c r="B13" s="3812">
        <v>111</v>
      </c>
      <c r="C13" s="3815"/>
      <c r="D13" s="3816">
        <v>100</v>
      </c>
      <c r="E13" s="3815"/>
      <c r="F13" s="3806">
        <f>SUMIF(72:72,E13,73:73)-SUMIF(72:72,C13,73:73)+100</f>
        <v>100</v>
      </c>
      <c r="G13" s="3815"/>
      <c r="H13" s="3816">
        <f>SUMIF(72:72,G13,73:73)-SUMIF(72:72,C13,73:73)+100</f>
        <v>100</v>
      </c>
      <c r="I13" s="3815"/>
      <c r="J13" s="3816">
        <f>SUMIF(72:72,I13,73:73)-SUMIF(72:72,C13,73:73)+100</f>
        <v>100</v>
      </c>
      <c r="K13" s="1869"/>
      <c r="L13" s="2693"/>
      <c r="M13" s="2687"/>
      <c r="N13" s="2687"/>
      <c r="O13" s="2687"/>
      <c r="P13" s="4177"/>
      <c r="Q13" s="1330">
        <f t="shared" si="6"/>
        <v>111</v>
      </c>
      <c r="R13" s="693" t="s">
        <v>18</v>
      </c>
      <c r="S13" s="694">
        <f t="shared" si="0"/>
        <v>100</v>
      </c>
      <c r="T13" s="693" t="s">
        <v>18</v>
      </c>
      <c r="U13" s="694">
        <f t="shared" si="1"/>
        <v>100</v>
      </c>
      <c r="V13" s="693" t="s">
        <v>18</v>
      </c>
      <c r="W13" s="694">
        <f t="shared" si="2"/>
        <v>100</v>
      </c>
      <c r="X13" s="695"/>
      <c r="Y13" s="4178"/>
      <c r="Z13" s="52">
        <f t="shared" si="7"/>
        <v>111</v>
      </c>
      <c r="AA13" s="696">
        <f t="shared" si="3"/>
        <v>1</v>
      </c>
      <c r="AB13" s="696">
        <f t="shared" si="4"/>
        <v>1</v>
      </c>
      <c r="AC13" s="696">
        <f t="shared" si="5"/>
        <v>1</v>
      </c>
    </row>
    <row r="14" spans="1:29" ht="15.6" thickBot="1">
      <c r="A14" s="3817"/>
      <c r="B14" s="3818">
        <v>111</v>
      </c>
      <c r="C14" s="3819"/>
      <c r="D14" s="3820">
        <v>100</v>
      </c>
      <c r="E14" s="3819"/>
      <c r="F14" s="3821">
        <f>SUMIF(74:74,E14,75:75)-SUMIF(74:74,C14,75:75)+100</f>
        <v>100</v>
      </c>
      <c r="G14" s="3819"/>
      <c r="H14" s="3820">
        <f>SUMIF(74:74,G14,75:75)-SUMIF(74:74,C14,75:75)+100</f>
        <v>100</v>
      </c>
      <c r="I14" s="3819"/>
      <c r="J14" s="3820">
        <f>SUMIF(74:74,I14,75:75)-SUMIF(74:74,C14,75:75)+100</f>
        <v>100</v>
      </c>
      <c r="K14" s="1869"/>
      <c r="L14" s="2693"/>
      <c r="M14" s="2687"/>
      <c r="N14" s="2687"/>
      <c r="O14" s="2687"/>
      <c r="P14" s="4177"/>
      <c r="Q14" s="1330">
        <f t="shared" si="6"/>
        <v>111</v>
      </c>
      <c r="R14" s="693" t="s">
        <v>18</v>
      </c>
      <c r="S14" s="694">
        <f t="shared" si="0"/>
        <v>100</v>
      </c>
      <c r="T14" s="693" t="s">
        <v>18</v>
      </c>
      <c r="U14" s="694">
        <f t="shared" si="1"/>
        <v>100</v>
      </c>
      <c r="V14" s="693" t="s">
        <v>18</v>
      </c>
      <c r="W14" s="694">
        <f t="shared" si="2"/>
        <v>100</v>
      </c>
      <c r="X14" s="695"/>
      <c r="Y14" s="4178"/>
      <c r="Z14" s="52">
        <f t="shared" si="7"/>
        <v>111</v>
      </c>
      <c r="AA14" s="696">
        <f t="shared" si="3"/>
        <v>1</v>
      </c>
      <c r="AB14" s="696">
        <f t="shared" si="4"/>
        <v>1</v>
      </c>
      <c r="AC14" s="696">
        <f t="shared" si="5"/>
        <v>1</v>
      </c>
    </row>
    <row r="15" spans="1:29" ht="69">
      <c r="A15" s="3822" t="s">
        <v>1690</v>
      </c>
      <c r="B15" s="3823" t="s">
        <v>1257</v>
      </c>
      <c r="C15" s="3824" t="str">
        <f>估价对象房地状况!C3</f>
        <v>估价对象周边居住用地比例、居住小区规模和社区发展完善程度，综合评价居住社区成熟度一般</v>
      </c>
      <c r="D15" s="3825">
        <v>100</v>
      </c>
      <c r="E15" s="3826"/>
      <c r="F15" s="3825">
        <f>SUMIF(76:76,E16,77:77)-SUMIF(76:76,C16,77:77)+100</f>
        <v>100</v>
      </c>
      <c r="G15" s="3827"/>
      <c r="H15" s="3825">
        <f>SUMIF(76:76,G16,77:77)-SUMIF(76:76,C16,77:77)+100</f>
        <v>100</v>
      </c>
      <c r="I15" s="3827"/>
      <c r="J15" s="3825">
        <f>SUMIF(76:76,I16,77:77)-SUMIF(76:76,C16,77:77)+100</f>
        <v>100</v>
      </c>
      <c r="K15" s="391"/>
      <c r="L15" s="2693"/>
      <c r="M15" s="2687"/>
      <c r="N15" s="2687"/>
      <c r="O15" s="2687"/>
      <c r="P15" s="4175" t="s">
        <v>1691</v>
      </c>
      <c r="Q15" s="1339" t="str">
        <f t="shared" si="6"/>
        <v>居住社区成熟度</v>
      </c>
      <c r="R15" s="697" t="s">
        <v>18</v>
      </c>
      <c r="S15" s="698">
        <f t="shared" si="0"/>
        <v>100</v>
      </c>
      <c r="T15" s="697" t="s">
        <v>18</v>
      </c>
      <c r="U15" s="698">
        <f t="shared" si="1"/>
        <v>100</v>
      </c>
      <c r="V15" s="697" t="s">
        <v>18</v>
      </c>
      <c r="W15" s="698">
        <f t="shared" si="2"/>
        <v>100</v>
      </c>
      <c r="X15" s="1342"/>
      <c r="Y15" s="4168" t="s">
        <v>1691</v>
      </c>
      <c r="Z15" s="1343" t="str">
        <f t="shared" si="7"/>
        <v>居住社区成熟度</v>
      </c>
      <c r="AA15" s="1340">
        <f t="shared" si="3"/>
        <v>1</v>
      </c>
      <c r="AB15" s="1340">
        <f t="shared" si="4"/>
        <v>1</v>
      </c>
      <c r="AC15" s="1340">
        <f t="shared" si="5"/>
        <v>1</v>
      </c>
    </row>
    <row r="16" spans="1:29" ht="15">
      <c r="A16" s="3810"/>
      <c r="B16" s="3828"/>
      <c r="C16" s="3829"/>
      <c r="D16" s="3830"/>
      <c r="E16" s="3829"/>
      <c r="F16" s="3830"/>
      <c r="G16" s="3831"/>
      <c r="H16" s="3832"/>
      <c r="I16" s="3831"/>
      <c r="J16" s="3830"/>
      <c r="K16" s="1874"/>
      <c r="L16" s="2693"/>
      <c r="M16" s="2687"/>
      <c r="N16" s="2687"/>
      <c r="O16" s="2687"/>
      <c r="P16" s="4176"/>
      <c r="Q16" s="1339"/>
      <c r="R16" s="697"/>
      <c r="S16" s="698"/>
      <c r="T16" s="697"/>
      <c r="U16" s="698"/>
      <c r="V16" s="697"/>
      <c r="W16" s="698"/>
      <c r="X16" s="1342"/>
      <c r="Y16" s="4169"/>
      <c r="Z16" s="1343"/>
      <c r="AA16" s="1340">
        <v>1</v>
      </c>
      <c r="AB16" s="1340">
        <v>1</v>
      </c>
      <c r="AC16" s="1340">
        <v>1</v>
      </c>
    </row>
    <row r="17" spans="1:29" ht="69">
      <c r="A17" s="3810"/>
      <c r="B17" s="3833" t="s">
        <v>1259</v>
      </c>
      <c r="C17" s="3834" t="str">
        <f>估价对象房地状况!C6</f>
        <v>估价对象周边道路状况、公共交通通达情况、停车便捷程度，综合评价交通便捷度较好</v>
      </c>
      <c r="D17" s="3832">
        <v>100</v>
      </c>
      <c r="E17" s="3835"/>
      <c r="F17" s="3832">
        <f>SUMIF(78:78,E18,79:79)-SUMIF(78:78,C18,79:79)+100</f>
        <v>105</v>
      </c>
      <c r="G17" s="3836"/>
      <c r="H17" s="3837">
        <f>SUMIF(78:78,G18,79:79)-SUMIF(78:78,C18,79:79)+100</f>
        <v>100</v>
      </c>
      <c r="I17" s="3836"/>
      <c r="J17" s="3837">
        <f>SUMIF(78:78,I18,79:79)-SUMIF(78:78,C18,79:79)+100</f>
        <v>100</v>
      </c>
      <c r="K17" s="4307">
        <v>5</v>
      </c>
      <c r="L17" s="2693"/>
      <c r="M17" s="2687"/>
      <c r="N17" s="2687"/>
      <c r="O17" s="2687"/>
      <c r="P17" s="4176"/>
      <c r="Q17" s="1339" t="str">
        <f>B17</f>
        <v>交通便捷度</v>
      </c>
      <c r="R17" s="697" t="s">
        <v>18</v>
      </c>
      <c r="S17" s="698">
        <f>F17</f>
        <v>105</v>
      </c>
      <c r="T17" s="697" t="s">
        <v>18</v>
      </c>
      <c r="U17" s="698">
        <f>H17</f>
        <v>100</v>
      </c>
      <c r="V17" s="697" t="s">
        <v>18</v>
      </c>
      <c r="W17" s="698">
        <f>J17</f>
        <v>100</v>
      </c>
      <c r="X17" s="1342"/>
      <c r="Y17" s="4169"/>
      <c r="Z17" s="1343" t="str">
        <f>Q17</f>
        <v>交通便捷度</v>
      </c>
      <c r="AA17" s="1340">
        <f t="shared" si="3"/>
        <v>0.95238095238095233</v>
      </c>
      <c r="AB17" s="1340">
        <f t="shared" si="4"/>
        <v>1</v>
      </c>
      <c r="AC17" s="1340">
        <f t="shared" si="5"/>
        <v>1</v>
      </c>
    </row>
    <row r="18" spans="1:29" ht="15">
      <c r="A18" s="3810"/>
      <c r="B18" s="3838"/>
      <c r="C18" s="3839" t="s">
        <v>11692</v>
      </c>
      <c r="D18" s="3832"/>
      <c r="E18" s="3839" t="s">
        <v>11691</v>
      </c>
      <c r="F18" s="3832"/>
      <c r="G18" s="3840" t="s">
        <v>11692</v>
      </c>
      <c r="H18" s="3830"/>
      <c r="I18" s="3840" t="s">
        <v>11692</v>
      </c>
      <c r="J18" s="3830"/>
      <c r="K18" s="1874"/>
      <c r="L18" s="2693"/>
      <c r="M18" s="2687"/>
      <c r="N18" s="2687"/>
      <c r="O18" s="2687"/>
      <c r="P18" s="4176"/>
      <c r="Q18" s="1339"/>
      <c r="R18" s="697"/>
      <c r="S18" s="698"/>
      <c r="T18" s="697"/>
      <c r="U18" s="698"/>
      <c r="V18" s="697"/>
      <c r="W18" s="698"/>
      <c r="X18" s="1342"/>
      <c r="Y18" s="4169"/>
      <c r="Z18" s="1343"/>
      <c r="AA18" s="1340">
        <v>1</v>
      </c>
      <c r="AB18" s="1340">
        <v>1</v>
      </c>
      <c r="AC18" s="1340">
        <v>1</v>
      </c>
    </row>
    <row r="19" spans="1:29" ht="27.6">
      <c r="A19" s="3810"/>
      <c r="B19" s="3833" t="s">
        <v>1258</v>
      </c>
      <c r="C19" s="3834" t="str">
        <f>估价对象房地状况!C7</f>
        <v>估价对象所在区域公共配套设施齐备情况</v>
      </c>
      <c r="D19" s="3837">
        <v>100</v>
      </c>
      <c r="E19" s="3841"/>
      <c r="F19" s="3837">
        <f>SUMIF(80:80,E20,81:81)-SUMIF(80:80,C20,81:81)+100</f>
        <v>100</v>
      </c>
      <c r="G19" s="3842"/>
      <c r="H19" s="3832">
        <f>SUMIF(80:80,G20,81:81)-SUMIF(80:80,C20,81:81)+100</f>
        <v>100</v>
      </c>
      <c r="I19" s="3842"/>
      <c r="J19" s="3832">
        <f>SUMIF(80:80,I20,81:81)-SUMIF(80:80,C20,81:81)+100</f>
        <v>100</v>
      </c>
      <c r="K19" s="391"/>
      <c r="L19" s="2693"/>
      <c r="M19" s="2687"/>
      <c r="N19" s="2687"/>
      <c r="O19" s="2687"/>
      <c r="P19" s="4176"/>
      <c r="Q19" s="1339" t="str">
        <f>B19</f>
        <v>公共配套设施</v>
      </c>
      <c r="R19" s="697" t="s">
        <v>18</v>
      </c>
      <c r="S19" s="698">
        <f>F19</f>
        <v>100</v>
      </c>
      <c r="T19" s="697" t="s">
        <v>18</v>
      </c>
      <c r="U19" s="698">
        <f>H19</f>
        <v>100</v>
      </c>
      <c r="V19" s="697" t="s">
        <v>18</v>
      </c>
      <c r="W19" s="698">
        <f>J19</f>
        <v>100</v>
      </c>
      <c r="X19" s="1342"/>
      <c r="Y19" s="4169"/>
      <c r="Z19" s="1343" t="str">
        <f>Q19</f>
        <v>公共配套设施</v>
      </c>
      <c r="AA19" s="1340">
        <f t="shared" si="3"/>
        <v>1</v>
      </c>
      <c r="AB19" s="1340">
        <f t="shared" si="4"/>
        <v>1</v>
      </c>
      <c r="AC19" s="1340">
        <f t="shared" si="5"/>
        <v>1</v>
      </c>
    </row>
    <row r="20" spans="1:29" ht="15">
      <c r="A20" s="3810"/>
      <c r="B20" s="3838"/>
      <c r="C20" s="3829"/>
      <c r="D20" s="3830"/>
      <c r="E20" s="3829"/>
      <c r="F20" s="3830"/>
      <c r="G20" s="3831"/>
      <c r="H20" s="3830"/>
      <c r="I20" s="3831"/>
      <c r="J20" s="3830"/>
      <c r="K20" s="1874"/>
      <c r="L20" s="2693"/>
      <c r="M20" s="2687"/>
      <c r="N20" s="2687"/>
      <c r="O20" s="2687"/>
      <c r="P20" s="4176"/>
      <c r="Q20" s="1339"/>
      <c r="R20" s="697"/>
      <c r="S20" s="698"/>
      <c r="T20" s="697"/>
      <c r="U20" s="698"/>
      <c r="V20" s="697"/>
      <c r="W20" s="698"/>
      <c r="X20" s="1342"/>
      <c r="Y20" s="4169"/>
      <c r="Z20" s="1343"/>
      <c r="AA20" s="1340">
        <v>1</v>
      </c>
      <c r="AB20" s="1340">
        <v>1</v>
      </c>
      <c r="AC20" s="1340">
        <v>1</v>
      </c>
    </row>
    <row r="21" spans="1:29" ht="27.6">
      <c r="A21" s="3810"/>
      <c r="B21" s="3843" t="s">
        <v>1260</v>
      </c>
      <c r="C21" s="3834" t="str">
        <f>估价对象房地状况!C8</f>
        <v>估价对象所在区域基础设施水平</v>
      </c>
      <c r="D21" s="3832">
        <v>100</v>
      </c>
      <c r="E21" s="3841"/>
      <c r="F21" s="3837">
        <f>SUMIF(82:82,E22,83:83)-SUMIF(82:82,C22,83:83)+100</f>
        <v>100</v>
      </c>
      <c r="G21" s="3842"/>
      <c r="H21" s="3832">
        <f>SUMIF(82:82,G22,83:83)-SUMIF(82:82,C22,83:83)+100</f>
        <v>100</v>
      </c>
      <c r="I21" s="3842"/>
      <c r="J21" s="3832">
        <f>SUMIF(82:82,I22,83:83)-SUMIF(82:82,C22,83:83)+100</f>
        <v>100</v>
      </c>
      <c r="K21" s="391"/>
      <c r="L21" s="2693"/>
      <c r="M21" s="2687"/>
      <c r="N21" s="2687"/>
      <c r="O21" s="2687"/>
      <c r="P21" s="4176"/>
      <c r="Q21" s="1339" t="str">
        <f>B21</f>
        <v>基础设施水平</v>
      </c>
      <c r="R21" s="697" t="s">
        <v>14</v>
      </c>
      <c r="S21" s="698">
        <f>F21</f>
        <v>100</v>
      </c>
      <c r="T21" s="697" t="s">
        <v>14</v>
      </c>
      <c r="U21" s="698">
        <f>H21</f>
        <v>100</v>
      </c>
      <c r="V21" s="697" t="s">
        <v>14</v>
      </c>
      <c r="W21" s="698">
        <f>J21</f>
        <v>100</v>
      </c>
      <c r="X21" s="1342"/>
      <c r="Y21" s="4169"/>
      <c r="Z21" s="1343" t="str">
        <f>Q21</f>
        <v>基础设施水平</v>
      </c>
      <c r="AA21" s="1340">
        <f t="shared" ref="AA21" si="8">D21/F21</f>
        <v>1</v>
      </c>
      <c r="AB21" s="1340">
        <f t="shared" ref="AB21" si="9">D21/H21</f>
        <v>1</v>
      </c>
      <c r="AC21" s="1340">
        <f t="shared" ref="AC21" si="10">D21/J21</f>
        <v>1</v>
      </c>
    </row>
    <row r="22" spans="1:29" ht="15">
      <c r="A22" s="3810"/>
      <c r="B22" s="3843"/>
      <c r="C22" s="3839"/>
      <c r="D22" s="3830"/>
      <c r="E22" s="3829"/>
      <c r="F22" s="3830"/>
      <c r="G22" s="3831"/>
      <c r="H22" s="3830"/>
      <c r="I22" s="3829"/>
      <c r="J22" s="3830"/>
      <c r="K22" s="1880"/>
      <c r="L22" s="2693"/>
      <c r="M22" s="2687"/>
      <c r="N22" s="2687"/>
      <c r="O22" s="2687"/>
      <c r="P22" s="4176"/>
      <c r="Q22" s="1339"/>
      <c r="R22" s="697"/>
      <c r="S22" s="698"/>
      <c r="T22" s="697"/>
      <c r="U22" s="698"/>
      <c r="V22" s="697"/>
      <c r="W22" s="698"/>
      <c r="X22" s="1342"/>
      <c r="Y22" s="4169"/>
      <c r="Z22" s="1343"/>
      <c r="AA22" s="1340">
        <v>1</v>
      </c>
      <c r="AB22" s="1340">
        <v>1</v>
      </c>
      <c r="AC22" s="1340">
        <v>1</v>
      </c>
    </row>
    <row r="23" spans="1:29" ht="41.4">
      <c r="A23" s="3810"/>
      <c r="B23" s="3833" t="s">
        <v>1261</v>
      </c>
      <c r="C23" s="3834" t="str">
        <f>估价对象房地状况!C9</f>
        <v>区域自然环境：；人文环境；综合评价环境状况一般</v>
      </c>
      <c r="D23" s="3832">
        <v>100</v>
      </c>
      <c r="E23" s="3835"/>
      <c r="F23" s="3832">
        <f>SUMIF(84:84,E24,85:85)-SUMIF(84:84,C24,85:85)+100</f>
        <v>100</v>
      </c>
      <c r="G23" s="3836"/>
      <c r="H23" s="3832">
        <f>SUMIF(84:84,G24,85:85)-SUMIF(84:84,C24,85:85)+100</f>
        <v>100</v>
      </c>
      <c r="I23" s="3836"/>
      <c r="J23" s="3832">
        <f>SUMIF(84:84,I24,85:85)-SUMIF(84:84,C24,85:85)+100</f>
        <v>100</v>
      </c>
      <c r="K23" s="391"/>
      <c r="L23" s="2693"/>
      <c r="M23" s="2687"/>
      <c r="N23" s="2687"/>
      <c r="O23" s="2687"/>
      <c r="P23" s="4176"/>
      <c r="Q23" s="1339" t="str">
        <f>B23</f>
        <v>自然及人文环境</v>
      </c>
      <c r="R23" s="697" t="s">
        <v>18</v>
      </c>
      <c r="S23" s="698">
        <f>F23</f>
        <v>100</v>
      </c>
      <c r="T23" s="697" t="s">
        <v>18</v>
      </c>
      <c r="U23" s="698">
        <f>H23</f>
        <v>100</v>
      </c>
      <c r="V23" s="697" t="s">
        <v>18</v>
      </c>
      <c r="W23" s="698">
        <f>J23</f>
        <v>100</v>
      </c>
      <c r="X23" s="1342"/>
      <c r="Y23" s="4169"/>
      <c r="Z23" s="1343" t="str">
        <f>Q23</f>
        <v>自然及人文环境</v>
      </c>
      <c r="AA23" s="1340">
        <f>D23/F23</f>
        <v>1</v>
      </c>
      <c r="AB23" s="1340">
        <f>D23/H23</f>
        <v>1</v>
      </c>
      <c r="AC23" s="1340">
        <f>D23/J23</f>
        <v>1</v>
      </c>
    </row>
    <row r="24" spans="1:29" ht="15">
      <c r="A24" s="3810"/>
      <c r="B24" s="3838"/>
      <c r="C24" s="3829"/>
      <c r="D24" s="3830"/>
      <c r="E24" s="3829"/>
      <c r="F24" s="3830"/>
      <c r="G24" s="3831"/>
      <c r="H24" s="3830"/>
      <c r="I24" s="3831"/>
      <c r="J24" s="3830"/>
      <c r="K24" s="1874"/>
      <c r="L24" s="2693"/>
      <c r="M24" s="2687"/>
      <c r="N24" s="2687"/>
      <c r="O24" s="2687"/>
      <c r="P24" s="4176"/>
      <c r="Q24" s="1339"/>
      <c r="R24" s="697"/>
      <c r="S24" s="698"/>
      <c r="T24" s="697"/>
      <c r="U24" s="698"/>
      <c r="V24" s="697"/>
      <c r="W24" s="698"/>
      <c r="X24" s="1342"/>
      <c r="Y24" s="4169"/>
      <c r="Z24" s="1343"/>
      <c r="AA24" s="1340">
        <v>1</v>
      </c>
      <c r="AB24" s="1340">
        <v>1</v>
      </c>
      <c r="AC24" s="1340">
        <v>1</v>
      </c>
    </row>
    <row r="25" spans="1:29" ht="15">
      <c r="A25" s="3810"/>
      <c r="B25" s="3806" t="s">
        <v>1692</v>
      </c>
      <c r="C25" s="3844"/>
      <c r="D25" s="3816">
        <v>100</v>
      </c>
      <c r="E25" s="3844"/>
      <c r="F25" s="3816">
        <f>SUMIF(86:86,E25,87:87)-SUMIF(86:86,C25,87:87)+100</f>
        <v>100</v>
      </c>
      <c r="G25" s="3845"/>
      <c r="H25" s="3816">
        <f>SUMIF(86:86,G25,87:87)-SUMIF(86:86,C25,87:87)+100</f>
        <v>100</v>
      </c>
      <c r="I25" s="3845"/>
      <c r="J25" s="3816">
        <f>SUMIF(86:86,I25,87:87)-SUMIF(86:86,C25,87:87)+100</f>
        <v>100</v>
      </c>
      <c r="K25" s="372"/>
      <c r="L25" s="2693"/>
      <c r="M25" s="2687"/>
      <c r="N25" s="2687"/>
      <c r="O25" s="2687"/>
      <c r="P25" s="4176"/>
      <c r="Q25" s="1339" t="str">
        <f t="shared" ref="Q25:Q46" si="11">B25</f>
        <v>楼层-1</v>
      </c>
      <c r="R25" s="697" t="s">
        <v>18</v>
      </c>
      <c r="S25" s="698">
        <f t="shared" ref="S25:S46" si="12">F25</f>
        <v>100</v>
      </c>
      <c r="T25" s="697" t="s">
        <v>18</v>
      </c>
      <c r="U25" s="698">
        <f t="shared" ref="U25:U46" si="13">H25</f>
        <v>100</v>
      </c>
      <c r="V25" s="697" t="s">
        <v>18</v>
      </c>
      <c r="W25" s="698">
        <f t="shared" ref="W25:W46" si="14">J25</f>
        <v>100</v>
      </c>
      <c r="X25" s="1342"/>
      <c r="Y25" s="4169"/>
      <c r="Z25" s="1343" t="str">
        <f>Q25</f>
        <v>楼层-1</v>
      </c>
      <c r="AA25" s="1340">
        <f t="shared" ref="AA25:AA46" si="15">D25/F25</f>
        <v>1</v>
      </c>
      <c r="AB25" s="1340">
        <f t="shared" ref="AB25:AB46" si="16">D25/H25</f>
        <v>1</v>
      </c>
      <c r="AC25" s="1340">
        <f t="shared" ref="AC25:AC46" si="17">D25/J25</f>
        <v>1</v>
      </c>
    </row>
    <row r="26" spans="1:29" ht="15">
      <c r="A26" s="3810"/>
      <c r="B26" s="3806" t="s">
        <v>1693</v>
      </c>
      <c r="C26" s="3844" t="s">
        <v>11803</v>
      </c>
      <c r="D26" s="3816">
        <v>100</v>
      </c>
      <c r="E26" s="3844" t="s">
        <v>3409</v>
      </c>
      <c r="F26" s="3816">
        <f>SUMIF(88:88,E26,89:89)-SUMIF(88:88,C26,89:89)+100</f>
        <v>103</v>
      </c>
      <c r="G26" s="3845" t="s">
        <v>11696</v>
      </c>
      <c r="H26" s="3816">
        <f>SUMIF(88:88,G26,89:89)-SUMIF(88:88,C26,89:89)+100</f>
        <v>101</v>
      </c>
      <c r="I26" s="3845" t="s">
        <v>11697</v>
      </c>
      <c r="J26" s="3816">
        <f>SUMIF(88:88,I26,89:89)-SUMIF(88:88,C26,89:89)+100</f>
        <v>96</v>
      </c>
      <c r="K26" s="372">
        <v>1</v>
      </c>
      <c r="L26" s="2693"/>
      <c r="M26" s="2687"/>
      <c r="N26" s="2687"/>
      <c r="O26" s="2687"/>
      <c r="P26" s="4176"/>
      <c r="Q26" s="1339" t="str">
        <f t="shared" si="11"/>
        <v>朝向</v>
      </c>
      <c r="R26" s="697" t="s">
        <v>18</v>
      </c>
      <c r="S26" s="698">
        <f t="shared" si="12"/>
        <v>103</v>
      </c>
      <c r="T26" s="697" t="s">
        <v>18</v>
      </c>
      <c r="U26" s="698">
        <f t="shared" si="13"/>
        <v>101</v>
      </c>
      <c r="V26" s="697" t="s">
        <v>18</v>
      </c>
      <c r="W26" s="698">
        <f t="shared" si="14"/>
        <v>96</v>
      </c>
      <c r="X26" s="1342"/>
      <c r="Y26" s="4169"/>
      <c r="Z26" s="1343" t="str">
        <f>Q26</f>
        <v>朝向</v>
      </c>
      <c r="AA26" s="1340">
        <f t="shared" si="15"/>
        <v>0.970873786407767</v>
      </c>
      <c r="AB26" s="1340">
        <f t="shared" si="16"/>
        <v>0.99009900990099009</v>
      </c>
      <c r="AC26" s="1340">
        <f t="shared" si="17"/>
        <v>1.0416666666666667</v>
      </c>
    </row>
    <row r="27" spans="1:29" s="108" customFormat="1" ht="15">
      <c r="A27" s="3811"/>
      <c r="B27" s="3846" t="s">
        <v>11688</v>
      </c>
      <c r="C27" s="3813" t="str">
        <f>C90</f>
        <v>2/14</v>
      </c>
      <c r="D27" s="3847">
        <v>100</v>
      </c>
      <c r="E27" s="3813" t="str">
        <f>D90</f>
        <v>2/6</v>
      </c>
      <c r="F27" s="3847">
        <f>SUMIF(90:90,E27,91:91)-SUMIF(90:90,C27,91:91)+100</f>
        <v>100</v>
      </c>
      <c r="G27" s="3848" t="str">
        <f>E90</f>
        <v>11/21</v>
      </c>
      <c r="H27" s="3847">
        <f>SUMIF(90:90,G27,91:91)-SUMIF(90:90,C27,91:91)+100</f>
        <v>101</v>
      </c>
      <c r="I27" s="3848" t="str">
        <f>F90</f>
        <v>14/14</v>
      </c>
      <c r="J27" s="3847">
        <f>SUMIF(90:90,I27,91:91)-SUMIF(90:90,C27,91:91)+100</f>
        <v>99</v>
      </c>
      <c r="K27" s="1869"/>
      <c r="L27" s="2688"/>
      <c r="M27" s="2689"/>
      <c r="N27" s="2689"/>
      <c r="O27" s="2689"/>
      <c r="P27" s="4176"/>
      <c r="Q27" s="1330" t="str">
        <f t="shared" si="11"/>
        <v>楼层</v>
      </c>
      <c r="R27" s="693" t="s">
        <v>18</v>
      </c>
      <c r="S27" s="694">
        <f t="shared" si="12"/>
        <v>100</v>
      </c>
      <c r="T27" s="693" t="s">
        <v>18</v>
      </c>
      <c r="U27" s="694">
        <f t="shared" si="13"/>
        <v>101</v>
      </c>
      <c r="V27" s="693" t="s">
        <v>18</v>
      </c>
      <c r="W27" s="694">
        <f t="shared" si="14"/>
        <v>99</v>
      </c>
      <c r="X27" s="695"/>
      <c r="Y27" s="4169"/>
      <c r="Z27" s="52" t="str">
        <f>Q27</f>
        <v>楼层</v>
      </c>
      <c r="AA27" s="1340">
        <f t="shared" si="15"/>
        <v>1</v>
      </c>
      <c r="AB27" s="1340">
        <f t="shared" si="16"/>
        <v>0.99009900990099009</v>
      </c>
      <c r="AC27" s="1340">
        <f t="shared" si="17"/>
        <v>1.0101010101010102</v>
      </c>
    </row>
    <row r="28" spans="1:29" ht="15">
      <c r="A28" s="3810"/>
      <c r="B28" s="3849">
        <v>111</v>
      </c>
      <c r="C28" s="3815"/>
      <c r="D28" s="3816">
        <v>100</v>
      </c>
      <c r="E28" s="3815"/>
      <c r="F28" s="3816">
        <f>SUMIF(92:92,E28,93:93)-SUMIF(92:92,C28,93:93)+100</f>
        <v>100</v>
      </c>
      <c r="G28" s="3850"/>
      <c r="H28" s="3816">
        <f>SUMIF(92:92,G28,93:93)-SUMIF(92:92,C28,93:93)+100</f>
        <v>100</v>
      </c>
      <c r="I28" s="3815"/>
      <c r="J28" s="3816">
        <f>SUMIF(92:92,I28,93:93)-SUMIF(92:92,C28,93:93)+100</f>
        <v>100</v>
      </c>
      <c r="K28" s="1869"/>
      <c r="L28" s="2693"/>
      <c r="M28" s="2687"/>
      <c r="N28" s="2687"/>
      <c r="O28" s="2687"/>
      <c r="P28" s="4176"/>
      <c r="Q28" s="1339">
        <f t="shared" si="11"/>
        <v>111</v>
      </c>
      <c r="R28" s="697" t="s">
        <v>18</v>
      </c>
      <c r="S28" s="698">
        <f t="shared" si="12"/>
        <v>100</v>
      </c>
      <c r="T28" s="697" t="s">
        <v>18</v>
      </c>
      <c r="U28" s="698">
        <f t="shared" si="13"/>
        <v>100</v>
      </c>
      <c r="V28" s="697" t="s">
        <v>18</v>
      </c>
      <c r="W28" s="698">
        <f t="shared" si="14"/>
        <v>100</v>
      </c>
      <c r="X28" s="1342"/>
      <c r="Y28" s="4169"/>
      <c r="Z28" s="1343">
        <f t="shared" ref="Z28:Z46" si="18">Q28</f>
        <v>111</v>
      </c>
      <c r="AA28" s="1340">
        <f t="shared" si="15"/>
        <v>1</v>
      </c>
      <c r="AB28" s="1340">
        <f t="shared" si="16"/>
        <v>1</v>
      </c>
      <c r="AC28" s="1340">
        <f t="shared" si="17"/>
        <v>1</v>
      </c>
    </row>
    <row r="29" spans="1:29" ht="15">
      <c r="A29" s="3810"/>
      <c r="B29" s="3849">
        <v>111</v>
      </c>
      <c r="C29" s="3815"/>
      <c r="D29" s="3816">
        <v>100</v>
      </c>
      <c r="E29" s="3815"/>
      <c r="F29" s="3816">
        <f>SUMIF(94:94,E29,95:95)-SUMIF(94:94,C29,95:95)+100</f>
        <v>100</v>
      </c>
      <c r="G29" s="3850"/>
      <c r="H29" s="3816">
        <f>SUMIF(94:94,G29,95:95)-SUMIF(94:94,C29,95:95)+100</f>
        <v>100</v>
      </c>
      <c r="I29" s="3815"/>
      <c r="J29" s="3816">
        <f>SUMIF(94:94,I29,95:95)-SUMIF(94:94,C29,95:95)+100</f>
        <v>100</v>
      </c>
      <c r="K29" s="1869"/>
      <c r="L29" s="2693"/>
      <c r="M29" s="2687"/>
      <c r="N29" s="2687"/>
      <c r="O29" s="2687"/>
      <c r="P29" s="4176"/>
      <c r="Q29" s="1339">
        <f t="shared" si="11"/>
        <v>111</v>
      </c>
      <c r="R29" s="697" t="s">
        <v>18</v>
      </c>
      <c r="S29" s="698">
        <f t="shared" si="12"/>
        <v>100</v>
      </c>
      <c r="T29" s="697" t="s">
        <v>18</v>
      </c>
      <c r="U29" s="698">
        <f t="shared" si="13"/>
        <v>100</v>
      </c>
      <c r="V29" s="697" t="s">
        <v>18</v>
      </c>
      <c r="W29" s="698">
        <f t="shared" si="14"/>
        <v>100</v>
      </c>
      <c r="X29" s="1342"/>
      <c r="Y29" s="4169"/>
      <c r="Z29" s="1343">
        <f t="shared" si="18"/>
        <v>111</v>
      </c>
      <c r="AA29" s="1340">
        <f t="shared" si="15"/>
        <v>1</v>
      </c>
      <c r="AB29" s="1340">
        <f t="shared" si="16"/>
        <v>1</v>
      </c>
      <c r="AC29" s="1340">
        <f t="shared" si="17"/>
        <v>1</v>
      </c>
    </row>
    <row r="30" spans="1:29" ht="15">
      <c r="A30" s="3810"/>
      <c r="B30" s="3849">
        <v>111</v>
      </c>
      <c r="C30" s="3815"/>
      <c r="D30" s="3816">
        <v>100</v>
      </c>
      <c r="E30" s="3815"/>
      <c r="F30" s="3816">
        <f>SUMIF(96:96,E30,97:97)-SUMIF(96:96,C30,97:97)+100</f>
        <v>100</v>
      </c>
      <c r="G30" s="3850"/>
      <c r="H30" s="3816">
        <f>SUMIF(96:96,G30,97:97)-SUMIF(96:96,C30,97:97)+100</f>
        <v>100</v>
      </c>
      <c r="I30" s="3815"/>
      <c r="J30" s="3816">
        <f>SUMIF(96:96,I30,97:97)-SUMIF(96:96,C30,97:97)+100</f>
        <v>100</v>
      </c>
      <c r="K30" s="1869"/>
      <c r="L30" s="2693"/>
      <c r="M30" s="2687"/>
      <c r="N30" s="2687"/>
      <c r="O30" s="2687"/>
      <c r="P30" s="4176"/>
      <c r="Q30" s="1339">
        <f t="shared" si="11"/>
        <v>111</v>
      </c>
      <c r="R30" s="697" t="s">
        <v>18</v>
      </c>
      <c r="S30" s="698">
        <f t="shared" si="12"/>
        <v>100</v>
      </c>
      <c r="T30" s="697" t="s">
        <v>18</v>
      </c>
      <c r="U30" s="698">
        <f t="shared" si="13"/>
        <v>100</v>
      </c>
      <c r="V30" s="697" t="s">
        <v>18</v>
      </c>
      <c r="W30" s="698">
        <f t="shared" si="14"/>
        <v>100</v>
      </c>
      <c r="X30" s="1342"/>
      <c r="Y30" s="4169"/>
      <c r="Z30" s="1343">
        <f t="shared" si="18"/>
        <v>111</v>
      </c>
      <c r="AA30" s="1340">
        <f t="shared" si="15"/>
        <v>1</v>
      </c>
      <c r="AB30" s="1340">
        <f t="shared" si="16"/>
        <v>1</v>
      </c>
      <c r="AC30" s="1340">
        <f t="shared" si="17"/>
        <v>1</v>
      </c>
    </row>
    <row r="31" spans="1:29" ht="15.6" thickBot="1">
      <c r="A31" s="3817"/>
      <c r="B31" s="3849">
        <v>111</v>
      </c>
      <c r="C31" s="3819"/>
      <c r="D31" s="3820">
        <v>100</v>
      </c>
      <c r="E31" s="3819"/>
      <c r="F31" s="3820">
        <f>SUMIF(98:98,E31,99:99)-SUMIF(98:98,C31,99:99)+100</f>
        <v>100</v>
      </c>
      <c r="G31" s="3851"/>
      <c r="H31" s="3820">
        <f>SUMIF(98:98,G31,99:99)-SUMIF(98:98,C31,99:99)+100</f>
        <v>100</v>
      </c>
      <c r="I31" s="3819"/>
      <c r="J31" s="3820">
        <f>SUMIF(98:98,I31,99:99)-SUMIF(98:98,C31,99:99)+100</f>
        <v>100</v>
      </c>
      <c r="K31" s="1869"/>
      <c r="L31" s="2693"/>
      <c r="M31" s="2687"/>
      <c r="N31" s="2687"/>
      <c r="O31" s="2687"/>
      <c r="P31" s="4176"/>
      <c r="Q31" s="1339">
        <f t="shared" si="11"/>
        <v>111</v>
      </c>
      <c r="R31" s="697" t="s">
        <v>18</v>
      </c>
      <c r="S31" s="698">
        <f t="shared" si="12"/>
        <v>100</v>
      </c>
      <c r="T31" s="697" t="s">
        <v>18</v>
      </c>
      <c r="U31" s="698">
        <f t="shared" si="13"/>
        <v>100</v>
      </c>
      <c r="V31" s="697" t="s">
        <v>18</v>
      </c>
      <c r="W31" s="698">
        <f t="shared" si="14"/>
        <v>100</v>
      </c>
      <c r="X31" s="1342"/>
      <c r="Y31" s="4169"/>
      <c r="Z31" s="1343">
        <f t="shared" si="18"/>
        <v>111</v>
      </c>
      <c r="AA31" s="1340">
        <f t="shared" si="15"/>
        <v>1</v>
      </c>
      <c r="AB31" s="1340">
        <f t="shared" si="16"/>
        <v>1</v>
      </c>
      <c r="AC31" s="1340">
        <f t="shared" si="17"/>
        <v>1</v>
      </c>
    </row>
    <row r="32" spans="1:29" ht="15">
      <c r="A32" s="3822" t="s">
        <v>1694</v>
      </c>
      <c r="B32" s="3800" t="s">
        <v>1695</v>
      </c>
      <c r="C32" s="3852" t="s">
        <v>11683</v>
      </c>
      <c r="D32" s="3853">
        <v>100</v>
      </c>
      <c r="E32" s="3854" t="s">
        <v>3406</v>
      </c>
      <c r="F32" s="3855">
        <f>SUMIF(100:100,E32,101:101)-SUMIF(100:100,C32,101:101)+100</f>
        <v>106</v>
      </c>
      <c r="G32" s="3852" t="s">
        <v>11682</v>
      </c>
      <c r="H32" s="3853">
        <f>SUMIF(100:100,G32,101:101)-SUMIF(100:100,C32,101:101)+100</f>
        <v>104</v>
      </c>
      <c r="I32" s="3854" t="s">
        <v>11686</v>
      </c>
      <c r="J32" s="3816">
        <f>SUMIF(100:100,I32,101:101)-SUMIF(100:100,C32,101:101)+100</f>
        <v>102</v>
      </c>
      <c r="K32" s="4306">
        <v>2</v>
      </c>
      <c r="L32" s="2693"/>
      <c r="M32" s="2687"/>
      <c r="N32" s="2687"/>
      <c r="O32" s="2687"/>
      <c r="P32" s="4170" t="s">
        <v>1696</v>
      </c>
      <c r="Q32" s="1339" t="str">
        <f t="shared" si="11"/>
        <v>建筑类型</v>
      </c>
      <c r="R32" s="697" t="s">
        <v>18</v>
      </c>
      <c r="S32" s="698">
        <f t="shared" si="12"/>
        <v>106</v>
      </c>
      <c r="T32" s="697" t="s">
        <v>18</v>
      </c>
      <c r="U32" s="698">
        <f t="shared" si="13"/>
        <v>104</v>
      </c>
      <c r="V32" s="697" t="s">
        <v>18</v>
      </c>
      <c r="W32" s="698">
        <f t="shared" si="14"/>
        <v>102</v>
      </c>
      <c r="X32" s="1342"/>
      <c r="Y32" s="4173" t="s">
        <v>1696</v>
      </c>
      <c r="Z32" s="1343" t="str">
        <f t="shared" si="18"/>
        <v>建筑类型</v>
      </c>
      <c r="AA32" s="1340">
        <f t="shared" si="15"/>
        <v>0.94339622641509435</v>
      </c>
      <c r="AB32" s="1340">
        <f t="shared" si="16"/>
        <v>0.96153846153846156</v>
      </c>
      <c r="AC32" s="1340">
        <f t="shared" si="17"/>
        <v>0.98039215686274506</v>
      </c>
    </row>
    <row r="33" spans="1:29" s="417" customFormat="1" ht="15">
      <c r="A33" s="3856"/>
      <c r="B33" s="3806" t="s">
        <v>1697</v>
      </c>
      <c r="C33" s="3857">
        <f>项目基本情况!C17</f>
        <v>88.78</v>
      </c>
      <c r="D33" s="3808">
        <v>100</v>
      </c>
      <c r="E33" s="3809">
        <f>'2003'!L579</f>
        <v>140.13999999999999</v>
      </c>
      <c r="F33" s="3806">
        <f>LOOKUP(E33,103:103,104:104)-LOOKUP(C33,103:103,104:104)+100</f>
        <v>98</v>
      </c>
      <c r="G33" s="3807">
        <f>'2003'!L896</f>
        <v>154.82</v>
      </c>
      <c r="H33" s="3808">
        <f>LOOKUP(G33,103:103,104:104)-LOOKUP(C33,103:103,104:104)+100</f>
        <v>98</v>
      </c>
      <c r="I33" s="3809">
        <f>'2003'!L937</f>
        <v>49.81</v>
      </c>
      <c r="J33" s="3808">
        <f>LOOKUP(I33,103:103,104:104)-LOOKUP(C33,103:103,104:104)+100</f>
        <v>102</v>
      </c>
      <c r="K33" s="1869"/>
      <c r="L33" s="2692"/>
      <c r="M33" s="2694"/>
      <c r="N33" s="2694"/>
      <c r="O33" s="2694"/>
      <c r="P33" s="4171"/>
      <c r="Q33" s="699" t="str">
        <f t="shared" si="11"/>
        <v>项目建筑规模</v>
      </c>
      <c r="R33" s="700" t="s">
        <v>18</v>
      </c>
      <c r="S33" s="701">
        <f t="shared" si="12"/>
        <v>98</v>
      </c>
      <c r="T33" s="700" t="s">
        <v>18</v>
      </c>
      <c r="U33" s="701">
        <f t="shared" si="13"/>
        <v>98</v>
      </c>
      <c r="V33" s="700" t="s">
        <v>18</v>
      </c>
      <c r="W33" s="701">
        <f t="shared" si="14"/>
        <v>102</v>
      </c>
      <c r="X33" s="702"/>
      <c r="Y33" s="4173"/>
      <c r="Z33" s="703" t="str">
        <f t="shared" si="18"/>
        <v>项目建筑规模</v>
      </c>
      <c r="AA33" s="1340">
        <f t="shared" si="15"/>
        <v>1.0204081632653061</v>
      </c>
      <c r="AB33" s="1340">
        <f t="shared" si="16"/>
        <v>1.0204081632653061</v>
      </c>
      <c r="AC33" s="1340">
        <f t="shared" si="17"/>
        <v>0.98039215686274506</v>
      </c>
    </row>
    <row r="34" spans="1:29" ht="15">
      <c r="A34" s="3858"/>
      <c r="B34" s="3806" t="s">
        <v>1698</v>
      </c>
      <c r="C34" s="3844" t="s">
        <v>11689</v>
      </c>
      <c r="D34" s="3816">
        <v>100</v>
      </c>
      <c r="E34" s="3845" t="s">
        <v>11689</v>
      </c>
      <c r="F34" s="3855">
        <f>SUMIF(105:105,E34,106:106)-SUMIF(105:105,C34,106:106)+100</f>
        <v>100</v>
      </c>
      <c r="G34" s="3844" t="s">
        <v>11689</v>
      </c>
      <c r="H34" s="3816">
        <f>SUMIF(105:105,G34,106:106)-SUMIF(105:105,C34,106:106)+100</f>
        <v>100</v>
      </c>
      <c r="I34" s="3845" t="s">
        <v>11689</v>
      </c>
      <c r="J34" s="3816">
        <f>SUMIF(105:105,I34,106:106)-SUMIF(105:105,C34,106:106)+100</f>
        <v>100</v>
      </c>
      <c r="K34" s="372"/>
      <c r="L34" s="2693"/>
      <c r="M34" s="2687"/>
      <c r="N34" s="2687"/>
      <c r="O34" s="2687"/>
      <c r="P34" s="4171"/>
      <c r="Q34" s="1339" t="str">
        <f t="shared" si="11"/>
        <v>建筑结构</v>
      </c>
      <c r="R34" s="697" t="s">
        <v>18</v>
      </c>
      <c r="S34" s="698">
        <f t="shared" si="12"/>
        <v>100</v>
      </c>
      <c r="T34" s="697" t="s">
        <v>18</v>
      </c>
      <c r="U34" s="698">
        <f t="shared" si="13"/>
        <v>100</v>
      </c>
      <c r="V34" s="697" t="s">
        <v>18</v>
      </c>
      <c r="W34" s="698">
        <f t="shared" si="14"/>
        <v>100</v>
      </c>
      <c r="X34" s="1342"/>
      <c r="Y34" s="4173"/>
      <c r="Z34" s="1343" t="str">
        <f t="shared" si="18"/>
        <v>建筑结构</v>
      </c>
      <c r="AA34" s="1340">
        <f t="shared" si="15"/>
        <v>1</v>
      </c>
      <c r="AB34" s="1340">
        <f t="shared" si="16"/>
        <v>1</v>
      </c>
      <c r="AC34" s="1340">
        <f t="shared" si="17"/>
        <v>1</v>
      </c>
    </row>
    <row r="35" spans="1:29" ht="15">
      <c r="A35" s="3858"/>
      <c r="B35" s="3806" t="s">
        <v>1699</v>
      </c>
      <c r="C35" s="3844"/>
      <c r="D35" s="3816">
        <v>100</v>
      </c>
      <c r="E35" s="3845"/>
      <c r="F35" s="3855">
        <f>SUMIF(107:107,E35,108:108)-SUMIF(107:107,C35,108:108)+100</f>
        <v>100</v>
      </c>
      <c r="G35" s="3844"/>
      <c r="H35" s="3816">
        <f>SUMIF(107:107,G35,108:108)-SUMIF(107:107,C35,108:108)+100</f>
        <v>100</v>
      </c>
      <c r="I35" s="3845"/>
      <c r="J35" s="3816">
        <f>SUMIF(107:107,I35,108:108)-SUMIF(107:107,C35,108:108)+100</f>
        <v>100</v>
      </c>
      <c r="K35" s="372"/>
      <c r="L35" s="2693"/>
      <c r="M35" s="2687"/>
      <c r="N35" s="2687"/>
      <c r="O35" s="2687"/>
      <c r="P35" s="4171"/>
      <c r="Q35" s="1339" t="str">
        <f t="shared" si="11"/>
        <v>建筑品质</v>
      </c>
      <c r="R35" s="697" t="s">
        <v>18</v>
      </c>
      <c r="S35" s="698">
        <f t="shared" si="12"/>
        <v>100</v>
      </c>
      <c r="T35" s="697" t="s">
        <v>18</v>
      </c>
      <c r="U35" s="698">
        <f t="shared" si="13"/>
        <v>100</v>
      </c>
      <c r="V35" s="697" t="s">
        <v>18</v>
      </c>
      <c r="W35" s="698">
        <f t="shared" si="14"/>
        <v>100</v>
      </c>
      <c r="X35" s="1342"/>
      <c r="Y35" s="4173"/>
      <c r="Z35" s="1343" t="str">
        <f t="shared" si="18"/>
        <v>建筑品质</v>
      </c>
      <c r="AA35" s="1340">
        <f t="shared" si="15"/>
        <v>1</v>
      </c>
      <c r="AB35" s="1340">
        <f t="shared" si="16"/>
        <v>1</v>
      </c>
      <c r="AC35" s="1340">
        <f t="shared" si="17"/>
        <v>1</v>
      </c>
    </row>
    <row r="36" spans="1:29" ht="15">
      <c r="A36" s="3858"/>
      <c r="B36" s="3806" t="s">
        <v>1700</v>
      </c>
      <c r="C36" s="3844"/>
      <c r="D36" s="3816">
        <v>100</v>
      </c>
      <c r="E36" s="3845"/>
      <c r="F36" s="3855">
        <f>SUMIF(109:109,E36,110:110)-SUMIF(109:109,C36,110:110)+100</f>
        <v>100</v>
      </c>
      <c r="G36" s="3844"/>
      <c r="H36" s="3816">
        <f>SUMIF(109:109,G36,110:110)-SUMIF(109:109,C36,110:110)+100</f>
        <v>100</v>
      </c>
      <c r="I36" s="3845"/>
      <c r="J36" s="3816">
        <f>SUMIF(109:109,I36,110:110)-SUMIF(109:109,C36,110:110)+100</f>
        <v>100</v>
      </c>
      <c r="K36" s="372"/>
      <c r="L36" s="2693"/>
      <c r="M36" s="2687"/>
      <c r="N36" s="2687"/>
      <c r="O36" s="2687"/>
      <c r="P36" s="4171"/>
      <c r="Q36" s="1339" t="str">
        <f t="shared" si="11"/>
        <v>公共部分装修</v>
      </c>
      <c r="R36" s="697" t="s">
        <v>18</v>
      </c>
      <c r="S36" s="698">
        <f t="shared" si="12"/>
        <v>100</v>
      </c>
      <c r="T36" s="697" t="s">
        <v>18</v>
      </c>
      <c r="U36" s="698">
        <f t="shared" si="13"/>
        <v>100</v>
      </c>
      <c r="V36" s="697" t="s">
        <v>18</v>
      </c>
      <c r="W36" s="698">
        <f t="shared" si="14"/>
        <v>100</v>
      </c>
      <c r="X36" s="1342"/>
      <c r="Y36" s="4173"/>
      <c r="Z36" s="1343" t="str">
        <f t="shared" si="18"/>
        <v>公共部分装修</v>
      </c>
      <c r="AA36" s="1340">
        <f t="shared" si="15"/>
        <v>1</v>
      </c>
      <c r="AB36" s="1340">
        <f t="shared" si="16"/>
        <v>1</v>
      </c>
      <c r="AC36" s="1340">
        <f t="shared" si="17"/>
        <v>1</v>
      </c>
    </row>
    <row r="37" spans="1:29" s="108" customFormat="1" ht="15">
      <c r="A37" s="3859"/>
      <c r="B37" s="3806" t="s">
        <v>1701</v>
      </c>
      <c r="C37" s="3857">
        <f>'数据-取费表'!N6</f>
        <v>0.95</v>
      </c>
      <c r="D37" s="3808">
        <v>100</v>
      </c>
      <c r="E37" s="3857">
        <f>C37</f>
        <v>0.95</v>
      </c>
      <c r="F37" s="3806">
        <f>LOOKUP(E37,112:112,113:113)-LOOKUP(C37,112:112,113:113)+100</f>
        <v>100</v>
      </c>
      <c r="G37" s="3807">
        <f>C37</f>
        <v>0.95</v>
      </c>
      <c r="H37" s="3808">
        <f>LOOKUP(G37,112:112,113:113)-LOOKUP(C37,112:112,113:113)+100</f>
        <v>100</v>
      </c>
      <c r="I37" s="3809">
        <f>C37</f>
        <v>0.95</v>
      </c>
      <c r="J37" s="3808">
        <f>LOOKUP(I37,112:112,113:113)-LOOKUP(C37,112:112,113:113)+100</f>
        <v>100</v>
      </c>
      <c r="K37" s="372"/>
      <c r="L37" s="2688"/>
      <c r="M37" s="2689"/>
      <c r="N37" s="2689"/>
      <c r="O37" s="2689"/>
      <c r="P37" s="4171"/>
      <c r="Q37" s="1330" t="str">
        <f t="shared" si="11"/>
        <v>成新度</v>
      </c>
      <c r="R37" s="693" t="s">
        <v>18</v>
      </c>
      <c r="S37" s="694">
        <f t="shared" si="12"/>
        <v>100</v>
      </c>
      <c r="T37" s="693" t="s">
        <v>18</v>
      </c>
      <c r="U37" s="694">
        <f t="shared" si="13"/>
        <v>100</v>
      </c>
      <c r="V37" s="693" t="s">
        <v>18</v>
      </c>
      <c r="W37" s="694">
        <f t="shared" si="14"/>
        <v>100</v>
      </c>
      <c r="X37" s="695"/>
      <c r="Y37" s="4173"/>
      <c r="Z37" s="52" t="str">
        <f t="shared" si="18"/>
        <v>成新度</v>
      </c>
      <c r="AA37" s="696">
        <f t="shared" si="15"/>
        <v>1</v>
      </c>
      <c r="AB37" s="696">
        <f t="shared" si="16"/>
        <v>1</v>
      </c>
      <c r="AC37" s="696">
        <f t="shared" si="17"/>
        <v>1</v>
      </c>
    </row>
    <row r="38" spans="1:29" ht="15">
      <c r="A38" s="3858"/>
      <c r="B38" s="3806" t="s">
        <v>1702</v>
      </c>
      <c r="C38" s="3844"/>
      <c r="D38" s="3816">
        <v>100</v>
      </c>
      <c r="E38" s="3845"/>
      <c r="F38" s="3855">
        <f>SUMIF(114:114,E38,115:115)-SUMIF(114:114,C38,115:115)+100</f>
        <v>100</v>
      </c>
      <c r="G38" s="3844"/>
      <c r="H38" s="3816">
        <f>SUMIF(114:114,G38,115:115)-SUMIF(114:114,C38,115:115)+100</f>
        <v>100</v>
      </c>
      <c r="I38" s="3845"/>
      <c r="J38" s="3816">
        <f>SUMIF(114:114,I38,115:115)-SUMIF(114:114,C38,115:115)+100</f>
        <v>100</v>
      </c>
      <c r="K38" s="372"/>
      <c r="L38" s="2693"/>
      <c r="M38" s="2687"/>
      <c r="N38" s="2687"/>
      <c r="O38" s="2687"/>
      <c r="P38" s="4171" t="s">
        <v>1696</v>
      </c>
      <c r="Q38" s="1339" t="str">
        <f t="shared" si="11"/>
        <v>物业管理</v>
      </c>
      <c r="R38" s="697" t="s">
        <v>18</v>
      </c>
      <c r="S38" s="698">
        <f t="shared" si="12"/>
        <v>100</v>
      </c>
      <c r="T38" s="697" t="s">
        <v>18</v>
      </c>
      <c r="U38" s="698">
        <f t="shared" si="13"/>
        <v>100</v>
      </c>
      <c r="V38" s="697" t="s">
        <v>18</v>
      </c>
      <c r="W38" s="698">
        <f t="shared" si="14"/>
        <v>100</v>
      </c>
      <c r="X38" s="1342"/>
      <c r="Y38" s="4173" t="s">
        <v>1696</v>
      </c>
      <c r="Z38" s="1343" t="str">
        <f t="shared" si="18"/>
        <v>物业管理</v>
      </c>
      <c r="AA38" s="1340">
        <f t="shared" si="15"/>
        <v>1</v>
      </c>
      <c r="AB38" s="1340">
        <f t="shared" si="16"/>
        <v>1</v>
      </c>
      <c r="AC38" s="1340">
        <f t="shared" si="17"/>
        <v>1</v>
      </c>
    </row>
    <row r="39" spans="1:29" ht="15">
      <c r="A39" s="3858"/>
      <c r="B39" s="3806" t="s">
        <v>1703</v>
      </c>
      <c r="C39" s="3844"/>
      <c r="D39" s="3816">
        <v>100</v>
      </c>
      <c r="E39" s="3845"/>
      <c r="F39" s="3855">
        <f>SUMIF(116:116,E39,117:117)-SUMIF(116:116,C39,117:117)+100</f>
        <v>100</v>
      </c>
      <c r="G39" s="3844"/>
      <c r="H39" s="3816">
        <f>SUMIF(116:116,G39,117:117)-SUMIF(116:116,C39,117:117)+100</f>
        <v>100</v>
      </c>
      <c r="I39" s="3845"/>
      <c r="J39" s="3816">
        <f>SUMIF(116:116,I39,117:117)-SUMIF(116:116,C39,117:117)+100</f>
        <v>100</v>
      </c>
      <c r="K39" s="372"/>
      <c r="L39" s="2693"/>
      <c r="M39" s="2687"/>
      <c r="N39" s="2687"/>
      <c r="O39" s="2687"/>
      <c r="P39" s="4171"/>
      <c r="Q39" s="1339" t="str">
        <f t="shared" si="11"/>
        <v>市政基础设施</v>
      </c>
      <c r="R39" s="697" t="s">
        <v>18</v>
      </c>
      <c r="S39" s="698">
        <f t="shared" si="12"/>
        <v>100</v>
      </c>
      <c r="T39" s="697" t="s">
        <v>18</v>
      </c>
      <c r="U39" s="698">
        <f t="shared" si="13"/>
        <v>100</v>
      </c>
      <c r="V39" s="697" t="s">
        <v>18</v>
      </c>
      <c r="W39" s="698">
        <f t="shared" si="14"/>
        <v>100</v>
      </c>
      <c r="X39" s="1342"/>
      <c r="Y39" s="4173"/>
      <c r="Z39" s="1343" t="str">
        <f t="shared" si="18"/>
        <v>市政基础设施</v>
      </c>
      <c r="AA39" s="1340">
        <f t="shared" si="15"/>
        <v>1</v>
      </c>
      <c r="AB39" s="1340">
        <f t="shared" si="16"/>
        <v>1</v>
      </c>
      <c r="AC39" s="1340">
        <f t="shared" si="17"/>
        <v>1</v>
      </c>
    </row>
    <row r="40" spans="1:29" ht="15">
      <c r="A40" s="3858"/>
      <c r="B40" s="3806" t="s">
        <v>1704</v>
      </c>
      <c r="C40" s="3844"/>
      <c r="D40" s="3816">
        <v>100</v>
      </c>
      <c r="E40" s="3845"/>
      <c r="F40" s="3855">
        <f>SUMIF(118:118,E40,119:119)-SUMIF(118:118,C40,119:119)+100</f>
        <v>100</v>
      </c>
      <c r="G40" s="3844"/>
      <c r="H40" s="3816">
        <f>SUMIF(118:118,G40,119:119)-SUMIF(118:118,C40,119:119)+100</f>
        <v>100</v>
      </c>
      <c r="I40" s="3845"/>
      <c r="J40" s="3816">
        <f>SUMIF(118:118,I40,119:119)-SUMIF(118:118,C40,119:119)+100</f>
        <v>100</v>
      </c>
      <c r="K40" s="372"/>
      <c r="L40" s="2693"/>
      <c r="M40" s="2687"/>
      <c r="N40" s="2687"/>
      <c r="O40" s="2687"/>
      <c r="P40" s="4171"/>
      <c r="Q40" s="1339" t="str">
        <f t="shared" si="11"/>
        <v>房型</v>
      </c>
      <c r="R40" s="697" t="s">
        <v>18</v>
      </c>
      <c r="S40" s="698">
        <f t="shared" si="12"/>
        <v>100</v>
      </c>
      <c r="T40" s="697" t="s">
        <v>18</v>
      </c>
      <c r="U40" s="698">
        <f t="shared" si="13"/>
        <v>100</v>
      </c>
      <c r="V40" s="697" t="s">
        <v>18</v>
      </c>
      <c r="W40" s="698">
        <f t="shared" si="14"/>
        <v>100</v>
      </c>
      <c r="X40" s="1342"/>
      <c r="Y40" s="4173"/>
      <c r="Z40" s="1343" t="str">
        <f t="shared" si="18"/>
        <v>房型</v>
      </c>
      <c r="AA40" s="1340">
        <f t="shared" si="15"/>
        <v>1</v>
      </c>
      <c r="AB40" s="1340">
        <f t="shared" si="16"/>
        <v>1</v>
      </c>
      <c r="AC40" s="1340">
        <f t="shared" si="17"/>
        <v>1</v>
      </c>
    </row>
    <row r="41" spans="1:29" s="417" customFormat="1" ht="28.8">
      <c r="A41" s="3856"/>
      <c r="B41" s="3806" t="s">
        <v>1705</v>
      </c>
      <c r="C41" s="3857"/>
      <c r="D41" s="3808">
        <v>100</v>
      </c>
      <c r="E41" s="3809"/>
      <c r="F41" s="3806">
        <f>SUMIF(120:120,E41,121:121)-SUMIF(120:120,C41,121:121)+100</f>
        <v>100</v>
      </c>
      <c r="G41" s="3807"/>
      <c r="H41" s="3808">
        <f>SUMIF(120:120,G41,121:121)-SUMIF(120:120,C41,121:121)+100</f>
        <v>100</v>
      </c>
      <c r="I41" s="3860"/>
      <c r="J41" s="3816">
        <f>SUMIF(120:120,I41,121:121)-SUMIF(120:120,C41,121:121)+100</f>
        <v>100</v>
      </c>
      <c r="K41" s="1869"/>
      <c r="L41" s="2692"/>
      <c r="M41" s="2694"/>
      <c r="N41" s="2694"/>
      <c r="O41" s="2694"/>
      <c r="P41" s="4171"/>
      <c r="Q41" s="699" t="str">
        <f t="shared" si="11"/>
        <v>单套/主力户型建筑面积</v>
      </c>
      <c r="R41" s="700" t="s">
        <v>18</v>
      </c>
      <c r="S41" s="701">
        <f t="shared" si="12"/>
        <v>100</v>
      </c>
      <c r="T41" s="700" t="s">
        <v>18</v>
      </c>
      <c r="U41" s="701">
        <f t="shared" si="13"/>
        <v>100</v>
      </c>
      <c r="V41" s="700" t="s">
        <v>18</v>
      </c>
      <c r="W41" s="701">
        <f t="shared" si="14"/>
        <v>100</v>
      </c>
      <c r="X41" s="702"/>
      <c r="Y41" s="4173"/>
      <c r="Z41" s="703" t="str">
        <f t="shared" si="18"/>
        <v>单套/主力户型建筑面积</v>
      </c>
      <c r="AA41" s="1340">
        <f t="shared" si="15"/>
        <v>1</v>
      </c>
      <c r="AB41" s="1340">
        <f t="shared" si="16"/>
        <v>1</v>
      </c>
      <c r="AC41" s="1340">
        <f t="shared" si="17"/>
        <v>1</v>
      </c>
    </row>
    <row r="42" spans="1:29" ht="15">
      <c r="A42" s="3858"/>
      <c r="B42" s="3806" t="s">
        <v>1706</v>
      </c>
      <c r="C42" s="3861" t="s">
        <v>3402</v>
      </c>
      <c r="D42" s="3816">
        <v>100</v>
      </c>
      <c r="E42" s="3845" t="s">
        <v>3402</v>
      </c>
      <c r="F42" s="3855">
        <f>SUMIF(122:122,E42,123:123)-SUMIF(122:122,C42,123:123)+100</f>
        <v>100</v>
      </c>
      <c r="G42" s="3844" t="s">
        <v>3402</v>
      </c>
      <c r="H42" s="3816">
        <f>SUMIF(122:122,G42,123:123)-SUMIF(122:122,C42,123:123)+100</f>
        <v>100</v>
      </c>
      <c r="I42" s="3845" t="s">
        <v>3402</v>
      </c>
      <c r="J42" s="3816">
        <f>SUMIF(122:122,I42,123:123)-SUMIF(122:122,C42,123:123)+100</f>
        <v>100</v>
      </c>
      <c r="K42" s="372">
        <v>2</v>
      </c>
      <c r="L42" s="2693"/>
      <c r="M42" s="2687"/>
      <c r="N42" s="2687"/>
      <c r="O42" s="2687"/>
      <c r="P42" s="4171"/>
      <c r="Q42" s="1339" t="str">
        <f t="shared" si="11"/>
        <v>内部装修</v>
      </c>
      <c r="R42" s="697" t="s">
        <v>18</v>
      </c>
      <c r="S42" s="698">
        <f t="shared" si="12"/>
        <v>100</v>
      </c>
      <c r="T42" s="697" t="s">
        <v>18</v>
      </c>
      <c r="U42" s="698">
        <f t="shared" si="13"/>
        <v>100</v>
      </c>
      <c r="V42" s="697" t="s">
        <v>18</v>
      </c>
      <c r="W42" s="698">
        <f t="shared" si="14"/>
        <v>100</v>
      </c>
      <c r="X42" s="1342"/>
      <c r="Y42" s="4173"/>
      <c r="Z42" s="1343" t="str">
        <f t="shared" si="18"/>
        <v>内部装修</v>
      </c>
      <c r="AA42" s="1340">
        <f t="shared" si="15"/>
        <v>1</v>
      </c>
      <c r="AB42" s="1340">
        <f t="shared" si="16"/>
        <v>1</v>
      </c>
      <c r="AC42" s="1340">
        <f t="shared" si="17"/>
        <v>1</v>
      </c>
    </row>
    <row r="43" spans="1:29" ht="28.8">
      <c r="A43" s="3858"/>
      <c r="B43" s="3806" t="s">
        <v>1707</v>
      </c>
      <c r="C43" s="3844"/>
      <c r="D43" s="3816">
        <v>100</v>
      </c>
      <c r="E43" s="3845"/>
      <c r="F43" s="3855">
        <f>SUMIF(124:124,E43,125:125)-SUMIF(124:124,C43,125:125)+100</f>
        <v>100</v>
      </c>
      <c r="G43" s="3844"/>
      <c r="H43" s="3816">
        <f>SUMIF(124:124,G43,125:125)-SUMIF(124:124,C43,125:125)+100</f>
        <v>100</v>
      </c>
      <c r="I43" s="3845"/>
      <c r="J43" s="3816">
        <f>SUMIF(124:124,I43,125:125)-SUMIF(124:124,C43,125:125)+100</f>
        <v>100</v>
      </c>
      <c r="K43" s="372"/>
      <c r="L43" s="2693"/>
      <c r="M43" s="2687"/>
      <c r="N43" s="2687"/>
      <c r="O43" s="2687"/>
      <c r="P43" s="4171"/>
      <c r="Q43" s="1339" t="str">
        <f t="shared" si="11"/>
        <v>内部装修维护情况</v>
      </c>
      <c r="R43" s="697" t="s">
        <v>18</v>
      </c>
      <c r="S43" s="698">
        <f t="shared" si="12"/>
        <v>100</v>
      </c>
      <c r="T43" s="697" t="s">
        <v>18</v>
      </c>
      <c r="U43" s="698">
        <f t="shared" si="13"/>
        <v>100</v>
      </c>
      <c r="V43" s="697" t="s">
        <v>18</v>
      </c>
      <c r="W43" s="698">
        <f t="shared" si="14"/>
        <v>100</v>
      </c>
      <c r="X43" s="1342"/>
      <c r="Y43" s="4173"/>
      <c r="Z43" s="1343" t="str">
        <f t="shared" si="18"/>
        <v>内部装修维护情况</v>
      </c>
      <c r="AA43" s="1340">
        <f t="shared" si="15"/>
        <v>1</v>
      </c>
      <c r="AB43" s="1340">
        <f t="shared" si="16"/>
        <v>1</v>
      </c>
      <c r="AC43" s="1340">
        <f t="shared" si="17"/>
        <v>1</v>
      </c>
    </row>
    <row r="44" spans="1:29" s="108" customFormat="1" ht="15">
      <c r="A44" s="3859"/>
      <c r="B44" s="3846" t="s">
        <v>3408</v>
      </c>
      <c r="C44" s="3857"/>
      <c r="D44" s="3808">
        <v>100</v>
      </c>
      <c r="E44" s="3857"/>
      <c r="F44" s="3806">
        <f>SUMIF(126:126,E44,127:127)-SUMIF(126:126,C44,127:127)+100</f>
        <v>100</v>
      </c>
      <c r="G44" s="3857"/>
      <c r="H44" s="3808">
        <f>SUMIF(126:126,G44,127:127)-SUMIF(126:126,C44,127:127)+100</f>
        <v>100</v>
      </c>
      <c r="I44" s="3857"/>
      <c r="J44" s="3808">
        <f>SUMIF(126:126,I44,127:127)-SUMIF(126:126,C44,127:127)+100</f>
        <v>100</v>
      </c>
      <c r="K44" s="1869"/>
      <c r="L44" s="2688"/>
      <c r="M44" s="2689"/>
      <c r="N44" s="2689"/>
      <c r="O44" s="2689"/>
      <c r="P44" s="4171"/>
      <c r="Q44" s="1330" t="str">
        <f t="shared" si="11"/>
        <v>建成年代</v>
      </c>
      <c r="R44" s="693" t="s">
        <v>18</v>
      </c>
      <c r="S44" s="694">
        <f t="shared" si="12"/>
        <v>100</v>
      </c>
      <c r="T44" s="693" t="s">
        <v>18</v>
      </c>
      <c r="U44" s="694">
        <f t="shared" si="13"/>
        <v>100</v>
      </c>
      <c r="V44" s="693" t="s">
        <v>18</v>
      </c>
      <c r="W44" s="694">
        <f t="shared" si="14"/>
        <v>100</v>
      </c>
      <c r="X44" s="695"/>
      <c r="Y44" s="4173"/>
      <c r="Z44" s="52" t="str">
        <f t="shared" si="18"/>
        <v>建成年代</v>
      </c>
      <c r="AA44" s="696">
        <f t="shared" si="15"/>
        <v>1</v>
      </c>
      <c r="AB44" s="696">
        <f t="shared" si="16"/>
        <v>1</v>
      </c>
      <c r="AC44" s="696">
        <f t="shared" si="17"/>
        <v>1</v>
      </c>
    </row>
    <row r="45" spans="1:29" ht="15">
      <c r="A45" s="3858"/>
      <c r="B45" s="3849">
        <v>111</v>
      </c>
      <c r="C45" s="3815"/>
      <c r="D45" s="3816">
        <v>100</v>
      </c>
      <c r="E45" s="3815"/>
      <c r="F45" s="3855">
        <f>SUMIF(128:128,E45,129:129)-SUMIF(128:128,C45,129:129)+100</f>
        <v>100</v>
      </c>
      <c r="G45" s="3815"/>
      <c r="H45" s="3816">
        <f>SUMIF(128:128,G45,129:129)-SUMIF(128:128,C45,129:129)+100</f>
        <v>100</v>
      </c>
      <c r="I45" s="3815"/>
      <c r="J45" s="3816">
        <f>SUMIF(128:128,I45,129:129)-SUMIF(128:128,C45,129:129)+100</f>
        <v>100</v>
      </c>
      <c r="K45" s="1869"/>
      <c r="L45" s="2693"/>
      <c r="M45" s="2687"/>
      <c r="N45" s="2687"/>
      <c r="O45" s="2687"/>
      <c r="P45" s="4171"/>
      <c r="Q45" s="1339">
        <f t="shared" si="11"/>
        <v>111</v>
      </c>
      <c r="R45" s="697" t="s">
        <v>18</v>
      </c>
      <c r="S45" s="698">
        <f t="shared" si="12"/>
        <v>100</v>
      </c>
      <c r="T45" s="697" t="s">
        <v>18</v>
      </c>
      <c r="U45" s="698">
        <f t="shared" si="13"/>
        <v>100</v>
      </c>
      <c r="V45" s="697" t="s">
        <v>18</v>
      </c>
      <c r="W45" s="698">
        <f t="shared" si="14"/>
        <v>100</v>
      </c>
      <c r="X45" s="1342"/>
      <c r="Y45" s="4173"/>
      <c r="Z45" s="1343">
        <f t="shared" si="18"/>
        <v>111</v>
      </c>
      <c r="AA45" s="1340">
        <f t="shared" si="15"/>
        <v>1</v>
      </c>
      <c r="AB45" s="1340">
        <f t="shared" si="16"/>
        <v>1</v>
      </c>
      <c r="AC45" s="1340">
        <f t="shared" si="17"/>
        <v>1</v>
      </c>
    </row>
    <row r="46" spans="1:29" ht="15.6" thickBot="1">
      <c r="A46" s="3862"/>
      <c r="B46" s="3818">
        <v>111</v>
      </c>
      <c r="C46" s="3819"/>
      <c r="D46" s="3820">
        <v>100</v>
      </c>
      <c r="E46" s="3819"/>
      <c r="F46" s="3821">
        <f>SUMIF(130:130,E46,131:131)-SUMIF(130:130,C46,131:131)+100</f>
        <v>100</v>
      </c>
      <c r="G46" s="3819"/>
      <c r="H46" s="3820">
        <f>SUMIF(130:130,G46,131:131)-SUMIF(130:130,C46,131:131)+100</f>
        <v>100</v>
      </c>
      <c r="I46" s="3819"/>
      <c r="J46" s="3820">
        <f>SUMIF(130:130,I46,131:131)-SUMIF(130:130,C46,131:131)+100</f>
        <v>100</v>
      </c>
      <c r="K46" s="1869"/>
      <c r="L46" s="2693"/>
      <c r="M46" s="2687"/>
      <c r="N46" s="2687"/>
      <c r="O46" s="2687"/>
      <c r="P46" s="4172"/>
      <c r="Q46" s="1339">
        <f t="shared" si="11"/>
        <v>111</v>
      </c>
      <c r="R46" s="697" t="s">
        <v>17</v>
      </c>
      <c r="S46" s="698">
        <f t="shared" si="12"/>
        <v>100</v>
      </c>
      <c r="T46" s="697" t="s">
        <v>17</v>
      </c>
      <c r="U46" s="698">
        <f t="shared" si="13"/>
        <v>100</v>
      </c>
      <c r="V46" s="697" t="s">
        <v>17</v>
      </c>
      <c r="W46" s="698">
        <f t="shared" si="14"/>
        <v>100</v>
      </c>
      <c r="X46" s="1342"/>
      <c r="Y46" s="4174"/>
      <c r="Z46" s="1343">
        <f t="shared" si="18"/>
        <v>111</v>
      </c>
      <c r="AA46" s="1340">
        <f t="shared" si="15"/>
        <v>1</v>
      </c>
      <c r="AB46" s="1340">
        <f t="shared" si="16"/>
        <v>1</v>
      </c>
      <c r="AC46" s="1340">
        <f t="shared" si="17"/>
        <v>1</v>
      </c>
    </row>
    <row r="47" spans="1:29" ht="14.4">
      <c r="A47" s="3863" t="s">
        <v>1708</v>
      </c>
      <c r="B47" s="3864"/>
      <c r="C47" s="3865" t="s">
        <v>16</v>
      </c>
      <c r="D47" s="3866"/>
      <c r="E47" s="3867">
        <v>7314</v>
      </c>
      <c r="F47" s="3868"/>
      <c r="G47" s="3869">
        <v>6144</v>
      </c>
      <c r="H47" s="3870"/>
      <c r="I47" s="3867">
        <v>6950</v>
      </c>
      <c r="J47" s="3870"/>
      <c r="K47" s="1886"/>
      <c r="L47" s="2695"/>
      <c r="M47" s="2696"/>
      <c r="N47" s="2687"/>
      <c r="O47" s="2696"/>
      <c r="P47" s="4166" t="str">
        <f>A47</f>
        <v>成交单价（元/平方米）</v>
      </c>
      <c r="Q47" s="4166"/>
      <c r="R47" s="4167">
        <f>E47</f>
        <v>7314</v>
      </c>
      <c r="S47" s="4167"/>
      <c r="T47" s="4167">
        <f>G47</f>
        <v>6144</v>
      </c>
      <c r="U47" s="4167"/>
      <c r="V47" s="4167">
        <f>I47</f>
        <v>6950</v>
      </c>
      <c r="W47" s="4167"/>
      <c r="X47" s="682"/>
      <c r="Y47" s="704"/>
      <c r="Z47" s="682"/>
      <c r="AA47" s="682"/>
      <c r="AB47" s="682"/>
      <c r="AC47" s="682"/>
    </row>
    <row r="48" spans="1:29" ht="15" thickBot="1">
      <c r="A48" s="3871" t="s">
        <v>1709</v>
      </c>
      <c r="B48" s="3872"/>
      <c r="C48" s="3873">
        <f>R49</f>
        <v>6494</v>
      </c>
      <c r="D48" s="3874" t="s">
        <v>2138</v>
      </c>
      <c r="E48" s="3875">
        <f>R48</f>
        <v>6543</v>
      </c>
      <c r="F48" s="3876"/>
      <c r="G48" s="3873">
        <f>T48</f>
        <v>5909</v>
      </c>
      <c r="H48" s="3876"/>
      <c r="I48" s="3875">
        <f>V48</f>
        <v>7029</v>
      </c>
      <c r="J48" s="3876"/>
      <c r="K48" s="2291">
        <f>F48+H48+J48</f>
        <v>0</v>
      </c>
      <c r="L48" s="2695"/>
      <c r="M48" s="2696"/>
      <c r="N48" s="2696"/>
      <c r="O48" s="2696"/>
      <c r="P48" s="4166" t="str">
        <f>A48</f>
        <v>比较价值（元/平方米）</v>
      </c>
      <c r="Q48" s="4166"/>
      <c r="R48" s="4167">
        <f>IF(F1="售价",ROUND(PRODUCT(R47,AA7:AA46),0),ROUND(PRODUCT(R47,AA7:AA46),1))</f>
        <v>6543</v>
      </c>
      <c r="S48" s="4167"/>
      <c r="T48" s="4167">
        <f>IF(F1="售价",ROUND(PRODUCT(T47,AB7:AB46),0),ROUND(PRODUCT(T47,AB7:AB46),1))</f>
        <v>5909</v>
      </c>
      <c r="U48" s="4167"/>
      <c r="V48" s="4167">
        <f>IF(F1="售价",ROUND(PRODUCT(V47,AC7:AC46),0),ROUND(PRODUCT(V47,AC7:AC46),1))</f>
        <v>7029</v>
      </c>
      <c r="W48" s="4167"/>
      <c r="X48" s="682"/>
      <c r="Y48" s="682"/>
      <c r="Z48" s="682"/>
      <c r="AA48" s="682"/>
      <c r="AB48" s="682"/>
      <c r="AC48" s="682"/>
    </row>
    <row r="49" spans="1:29" ht="15" thickBot="1">
      <c r="A49" s="3877" t="s">
        <v>1710</v>
      </c>
      <c r="B49" s="3878"/>
      <c r="C49" s="3879">
        <f>R49</f>
        <v>6494</v>
      </c>
      <c r="D49" s="3792"/>
      <c r="E49" s="3792"/>
      <c r="F49" s="3792"/>
      <c r="G49" s="3792"/>
      <c r="H49" s="3792"/>
      <c r="I49" s="3792"/>
      <c r="J49" s="3792"/>
      <c r="K49" s="1887"/>
      <c r="L49" s="2695"/>
      <c r="M49" s="2696"/>
      <c r="N49" s="2696"/>
      <c r="O49" s="2696"/>
      <c r="P49" s="4163" t="str">
        <f>A49</f>
        <v>估价对象XX用房的比较价值（楼面单价，元/平方米）</v>
      </c>
      <c r="Q49" s="4164"/>
      <c r="R49" s="4165">
        <f>IF(F1="售价",ROUND(IF(D48="简单平均",AVERAGE(R48:V48),R48*F48+T48*H48+V48*J48),0),ROUND(IF(D48="简单平均",AVERAGE(R48:V48),R48*F48+T48*H48+V48*J48),1))</f>
        <v>6494</v>
      </c>
      <c r="S49" s="4165"/>
      <c r="T49" s="4165"/>
      <c r="U49" s="4165"/>
      <c r="V49" s="4165"/>
      <c r="W49" s="4165"/>
      <c r="X49" s="682"/>
      <c r="Y49" s="682"/>
      <c r="Z49" s="682"/>
      <c r="AA49" s="682"/>
      <c r="AB49" s="682"/>
      <c r="AC49" s="682"/>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1" t="s">
        <v>1711</v>
      </c>
      <c r="D52" s="442"/>
      <c r="E52" s="443">
        <f>IF(E47&lt;E48,E48/E47-1,E47/E48-1)</f>
        <v>0.11783585511233374</v>
      </c>
      <c r="F52" s="444" t="str">
        <f>IF(OR(E52&gt;=0.3,E52&lt;=-0.3),"超过30%","")</f>
        <v/>
      </c>
      <c r="G52" s="443">
        <f>IF(G47&lt;G48,G48/G47-1,G47/G48-1)</f>
        <v>3.9769842612963346E-2</v>
      </c>
      <c r="H52" s="444" t="str">
        <f>IF(OR(G52&gt;=0.3,G52&lt;=-0.3),"超过30%","")</f>
        <v/>
      </c>
      <c r="I52" s="443">
        <f>IF(I47&lt;I48,I48/I47-1,I47/I48-1)</f>
        <v>1.1366906474820082E-2</v>
      </c>
      <c r="J52" s="444" t="str">
        <f>IF(OR(I52&gt;=0.3,I52&lt;=-0.3),"超过30%","")</f>
        <v/>
      </c>
      <c r="K52" s="2701"/>
      <c r="L52" s="2697"/>
      <c r="M52" s="2696"/>
      <c r="N52" s="2696"/>
      <c r="O52" s="2696"/>
    </row>
    <row r="53" spans="1:29" ht="13.5" customHeight="1">
      <c r="A53" s="2696"/>
      <c r="B53" s="2696"/>
      <c r="C53" s="441" t="s">
        <v>1712</v>
      </c>
      <c r="D53" s="445"/>
      <c r="E53" s="443">
        <f>IF(E48&lt;G48,G48/E48-1,E48/G48-1)</f>
        <v>0.10729395836859035</v>
      </c>
      <c r="F53" s="444" t="str">
        <f>IF(OR(E53&gt;=0.2,E53&lt;=-0.2),"超过20%","")</f>
        <v/>
      </c>
      <c r="G53" s="443">
        <f>IF(G48&lt;I48,I48/G48-1,G48/I48-1)</f>
        <v>0.18954137755965483</v>
      </c>
      <c r="H53" s="444" t="str">
        <f>IF(OR(G53&gt;=0.2,G53&lt;=-0.2),"超过20%","")</f>
        <v/>
      </c>
      <c r="I53" s="443">
        <f>IF(I48&lt;E48,E48/I48-1,I48/E48-1)</f>
        <v>7.427785419532329E-2</v>
      </c>
      <c r="J53" s="444" t="str">
        <f>IF(OR(I53&gt;=0.2,I53&lt;=-0.2),"超过20%","")</f>
        <v/>
      </c>
      <c r="K53" s="2701"/>
      <c r="L53" s="2697"/>
      <c r="M53" s="2696"/>
      <c r="N53" s="2696"/>
      <c r="O53" s="2696"/>
    </row>
    <row r="54" spans="1:29" s="446" customFormat="1" ht="13.5" customHeight="1">
      <c r="A54" s="2699"/>
      <c r="B54" s="2699"/>
      <c r="C54" s="441" t="s">
        <v>1713</v>
      </c>
      <c r="D54" s="445"/>
      <c r="E54" s="443">
        <f>IF(E47&lt;G47,G47/E47-1,E47/G47-1)</f>
        <v>0.1904296875</v>
      </c>
      <c r="F54" s="444" t="str">
        <f>IF(OR(E54&gt;=0.3,E54&lt;=-0.3),"超过30%","")</f>
        <v/>
      </c>
      <c r="G54" s="443">
        <f>IF(G47&lt;I47,I47/G47-1,G47/I47-1)</f>
        <v>0.13118489583333326</v>
      </c>
      <c r="H54" s="444" t="str">
        <f>IF(OR(G54&gt;=0.3,G54&lt;=-0.3),"超过30%","")</f>
        <v/>
      </c>
      <c r="I54" s="443">
        <f>IF(I47&lt;E47,E47/I47-1,I47/E47-1)</f>
        <v>5.2374100719424499E-2</v>
      </c>
      <c r="J54" s="444" t="str">
        <f>IF(OR(I54&gt;=0.3,I54&lt;=-0.3),"超过30%","")</f>
        <v/>
      </c>
      <c r="K54" s="2704"/>
      <c r="L54" s="2698"/>
      <c r="M54" s="2699"/>
      <c r="N54" s="2699"/>
      <c r="O54" s="2699"/>
      <c r="P54" s="1889"/>
    </row>
    <row r="55" spans="1:29" s="446" customFormat="1">
      <c r="A55" s="2699"/>
      <c r="B55" s="2702"/>
      <c r="C55" s="2703"/>
      <c r="D55" s="2699"/>
      <c r="E55" s="2699"/>
      <c r="F55" s="2699"/>
      <c r="G55" s="2699"/>
      <c r="H55" s="2699"/>
      <c r="I55" s="2699"/>
      <c r="J55" s="2699"/>
      <c r="K55" s="2704"/>
      <c r="L55" s="2698"/>
      <c r="M55" s="2699"/>
      <c r="N55" s="2699"/>
      <c r="O55" s="2699"/>
      <c r="P55" s="1889"/>
    </row>
    <row r="56" spans="1:29">
      <c r="A56" s="2696"/>
      <c r="B56" s="2702"/>
      <c r="C56" s="2703"/>
      <c r="D56" s="2696"/>
      <c r="E56" s="2696"/>
      <c r="F56" s="2696"/>
      <c r="G56" s="2696"/>
      <c r="H56" s="2696"/>
      <c r="I56" s="2696"/>
      <c r="J56" s="2696"/>
      <c r="K56" s="2701"/>
      <c r="L56" s="2697"/>
      <c r="M56" s="2696"/>
      <c r="N56" s="2696"/>
      <c r="O56" s="2696"/>
    </row>
    <row r="57" spans="1:29" ht="22.2" thickBot="1">
      <c r="A57" s="686" t="s">
        <v>1714</v>
      </c>
      <c r="B57" s="682"/>
      <c r="C57" s="687"/>
      <c r="D57" s="687"/>
      <c r="E57" s="687"/>
      <c r="F57" s="688"/>
      <c r="G57" s="688"/>
      <c r="H57" s="687"/>
      <c r="I57" s="687"/>
      <c r="J57" s="687"/>
      <c r="K57" s="931"/>
      <c r="L57" s="932"/>
      <c r="M57" s="930"/>
      <c r="N57" s="930"/>
      <c r="O57" s="930"/>
      <c r="P57" s="1890"/>
      <c r="Q57" s="448"/>
    </row>
    <row r="58" spans="1:29" s="452" customFormat="1" ht="14.4">
      <c r="A58" s="449" t="s">
        <v>1715</v>
      </c>
      <c r="B58" s="450"/>
      <c r="C58" s="1173" t="str">
        <f>YEAR(C7)&amp;"-"&amp;MONTH(C7)</f>
        <v>2003-10</v>
      </c>
      <c r="D58" s="1172">
        <f>EDATE(C58,-1)</f>
        <v>37865</v>
      </c>
      <c r="E58" s="1172">
        <f>EDATE(D58,-1)</f>
        <v>37834</v>
      </c>
      <c r="F58" s="1172">
        <f t="shared" ref="F58:O58" si="19">EDATE(E58,-1)</f>
        <v>37803</v>
      </c>
      <c r="G58" s="1172">
        <f t="shared" si="19"/>
        <v>37773</v>
      </c>
      <c r="H58" s="1172">
        <f t="shared" si="19"/>
        <v>37742</v>
      </c>
      <c r="I58" s="1172">
        <f t="shared" si="19"/>
        <v>37712</v>
      </c>
      <c r="J58" s="1172">
        <f t="shared" si="19"/>
        <v>37681</v>
      </c>
      <c r="K58" s="1172">
        <f t="shared" si="19"/>
        <v>37653</v>
      </c>
      <c r="L58" s="1172">
        <f t="shared" si="19"/>
        <v>37622</v>
      </c>
      <c r="M58" s="1172">
        <f t="shared" si="19"/>
        <v>37591</v>
      </c>
      <c r="N58" s="1172">
        <f t="shared" si="19"/>
        <v>37561</v>
      </c>
      <c r="O58" s="1172">
        <f t="shared" si="19"/>
        <v>37530</v>
      </c>
      <c r="P58" s="1168"/>
    </row>
    <row r="59" spans="1:29" s="108" customFormat="1">
      <c r="A59" s="453"/>
      <c r="B59" s="1891"/>
      <c r="C59" s="1170">
        <v>100</v>
      </c>
      <c r="D59" s="455">
        <v>100</v>
      </c>
      <c r="E59" s="456">
        <v>99.5</v>
      </c>
      <c r="F59" s="456">
        <f>E59</f>
        <v>99.5</v>
      </c>
      <c r="G59" s="456">
        <f>E59</f>
        <v>99.5</v>
      </c>
      <c r="H59" s="456">
        <v>99</v>
      </c>
      <c r="I59" s="456">
        <f>H59</f>
        <v>99</v>
      </c>
      <c r="J59" s="456">
        <f>H59</f>
        <v>99</v>
      </c>
      <c r="K59" s="456">
        <v>98.5</v>
      </c>
      <c r="L59" s="456">
        <f>K59</f>
        <v>98.5</v>
      </c>
      <c r="M59" s="457">
        <f>K59</f>
        <v>98.5</v>
      </c>
      <c r="N59" s="456"/>
      <c r="O59" s="457"/>
      <c r="P59" s="1892"/>
    </row>
    <row r="60" spans="1:29" s="108" customFormat="1" ht="15" thickBot="1">
      <c r="A60" s="459" t="s">
        <v>1716</v>
      </c>
      <c r="B60" s="460"/>
      <c r="C60" s="461"/>
      <c r="D60" s="462"/>
      <c r="E60" s="462"/>
      <c r="F60" s="462"/>
      <c r="G60" s="462"/>
      <c r="H60" s="462"/>
      <c r="I60" s="462"/>
      <c r="J60" s="462"/>
      <c r="K60" s="462"/>
      <c r="L60" s="462"/>
      <c r="M60" s="463"/>
      <c r="N60" s="462"/>
      <c r="O60" s="463"/>
      <c r="P60" s="1892"/>
      <c r="Q60" s="448"/>
    </row>
    <row r="61" spans="1:29" s="108" customFormat="1" ht="14.4">
      <c r="A61" s="465" t="s">
        <v>1717</v>
      </c>
      <c r="B61" s="454"/>
      <c r="C61" s="466" t="s">
        <v>1718</v>
      </c>
      <c r="D61" s="467"/>
      <c r="E61" s="467"/>
      <c r="F61" s="467"/>
      <c r="G61" s="467"/>
      <c r="H61" s="467"/>
      <c r="I61" s="467"/>
      <c r="J61" s="467"/>
      <c r="K61" s="467"/>
      <c r="L61" s="468"/>
      <c r="M61" s="469"/>
      <c r="N61" s="922"/>
      <c r="O61" s="922"/>
      <c r="P61" s="1893"/>
      <c r="Q61" s="448"/>
    </row>
    <row r="62" spans="1:29" s="108" customFormat="1" ht="14.4" thickBot="1">
      <c r="A62" s="465"/>
      <c r="B62" s="454"/>
      <c r="C62" s="455">
        <v>100</v>
      </c>
      <c r="D62" s="456"/>
      <c r="E62" s="456"/>
      <c r="F62" s="456"/>
      <c r="G62" s="456"/>
      <c r="H62" s="456"/>
      <c r="I62" s="456"/>
      <c r="J62" s="456"/>
      <c r="K62" s="456"/>
      <c r="L62" s="456"/>
      <c r="M62" s="458"/>
      <c r="N62" s="922"/>
      <c r="O62" s="922"/>
      <c r="P62" s="1892"/>
      <c r="Q62" s="448"/>
    </row>
    <row r="63" spans="1:29" ht="14.4">
      <c r="A63" s="471" t="s">
        <v>1719</v>
      </c>
      <c r="B63" s="472" t="s">
        <v>1685</v>
      </c>
      <c r="C63" s="473" t="str">
        <f>C9</f>
        <v>住宅</v>
      </c>
      <c r="D63" s="474"/>
      <c r="E63" s="474"/>
      <c r="F63" s="474"/>
      <c r="G63" s="474"/>
      <c r="H63" s="474"/>
      <c r="I63" s="474"/>
      <c r="J63" s="474"/>
      <c r="K63" s="475"/>
      <c r="L63" s="476"/>
      <c r="M63" s="477"/>
      <c r="N63" s="923"/>
      <c r="O63" s="923"/>
      <c r="P63" s="1894"/>
      <c r="Q63" s="448"/>
    </row>
    <row r="64" spans="1:29" ht="14.4" thickBot="1">
      <c r="A64" s="478"/>
      <c r="B64" s="479"/>
      <c r="C64" s="480">
        <v>100</v>
      </c>
      <c r="D64" s="480"/>
      <c r="E64" s="480"/>
      <c r="F64" s="480"/>
      <c r="G64" s="480"/>
      <c r="H64" s="480"/>
      <c r="I64" s="480"/>
      <c r="J64" s="480"/>
      <c r="K64" s="480"/>
      <c r="L64" s="480"/>
      <c r="M64" s="481"/>
      <c r="N64" s="924"/>
      <c r="O64" s="924"/>
      <c r="P64" s="1894"/>
      <c r="Q64" s="448"/>
    </row>
    <row r="65" spans="1:17" ht="29.4" thickTop="1">
      <c r="A65" s="478"/>
      <c r="B65" s="482" t="s">
        <v>1688</v>
      </c>
      <c r="C65" s="527"/>
      <c r="D65" s="527"/>
      <c r="E65" s="527"/>
      <c r="F65" s="527"/>
      <c r="G65" s="527"/>
      <c r="H65" s="527"/>
      <c r="I65" s="527"/>
      <c r="J65" s="527"/>
      <c r="K65" s="527"/>
      <c r="L65" s="527"/>
      <c r="M65" s="527"/>
      <c r="N65" s="924"/>
      <c r="O65" s="924"/>
      <c r="P65" s="1894"/>
      <c r="Q65" s="448"/>
    </row>
    <row r="66" spans="1:17" ht="14.4" thickBot="1">
      <c r="A66" s="478"/>
      <c r="B66" s="487"/>
      <c r="C66" s="480"/>
      <c r="D66" s="480"/>
      <c r="E66" s="480"/>
      <c r="F66" s="480"/>
      <c r="G66" s="480"/>
      <c r="H66" s="480"/>
      <c r="I66" s="480"/>
      <c r="J66" s="480"/>
      <c r="K66" s="480"/>
      <c r="L66" s="480"/>
      <c r="M66" s="481"/>
      <c r="N66" s="924"/>
      <c r="O66" s="924"/>
      <c r="P66" s="1894"/>
      <c r="Q66" s="448"/>
    </row>
    <row r="67" spans="1:17" ht="15" thickTop="1">
      <c r="A67" s="478"/>
      <c r="B67" s="490" t="s">
        <v>1689</v>
      </c>
      <c r="C67" s="491" t="str">
        <f>C68&amp;"（含）"&amp;"-"&amp;D68</f>
        <v>1（含）-3</v>
      </c>
      <c r="D67" s="491" t="str">
        <f t="shared" ref="D67:L67" si="20">D68&amp;"（含）"&amp;"-"&amp;E68</f>
        <v>3（含）-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4"/>
      <c r="O67" s="924"/>
      <c r="P67" s="1894"/>
      <c r="Q67" s="448"/>
    </row>
    <row r="68" spans="1:17">
      <c r="A68" s="478"/>
      <c r="B68" s="492"/>
      <c r="C68" s="493">
        <v>1</v>
      </c>
      <c r="D68" s="493">
        <v>3</v>
      </c>
      <c r="E68" s="493"/>
      <c r="F68" s="493"/>
      <c r="G68" s="493"/>
      <c r="H68" s="493"/>
      <c r="I68" s="493"/>
      <c r="J68" s="493"/>
      <c r="K68" s="494"/>
      <c r="L68" s="495"/>
      <c r="M68" s="496"/>
      <c r="N68" s="923"/>
      <c r="O68" s="923"/>
      <c r="P68" s="1894"/>
      <c r="Q68" s="448"/>
    </row>
    <row r="69" spans="1:17" ht="14.4"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4"/>
      <c r="O69" s="924"/>
      <c r="P69" s="1894"/>
      <c r="Q69" s="448"/>
    </row>
    <row r="70" spans="1:17" s="417" customFormat="1" ht="14.4" thickTop="1">
      <c r="A70" s="497"/>
      <c r="B70" s="482">
        <f>B12</f>
        <v>111</v>
      </c>
      <c r="C70" s="498"/>
      <c r="D70" s="498"/>
      <c r="E70" s="498"/>
      <c r="F70" s="498"/>
      <c r="G70" s="498"/>
      <c r="H70" s="499"/>
      <c r="I70" s="499"/>
      <c r="J70" s="499"/>
      <c r="K70" s="499"/>
      <c r="L70" s="500"/>
      <c r="M70" s="501"/>
      <c r="N70" s="925"/>
      <c r="O70" s="925"/>
      <c r="P70" s="1895"/>
      <c r="Q70" s="503"/>
    </row>
    <row r="71" spans="1:17" s="417" customFormat="1" ht="14.4" thickBot="1">
      <c r="A71" s="497"/>
      <c r="B71" s="487"/>
      <c r="C71" s="504"/>
      <c r="D71" s="480"/>
      <c r="E71" s="480"/>
      <c r="F71" s="480"/>
      <c r="G71" s="480"/>
      <c r="H71" s="480"/>
      <c r="I71" s="480"/>
      <c r="J71" s="480"/>
      <c r="K71" s="480"/>
      <c r="L71" s="480"/>
      <c r="M71" s="481"/>
      <c r="N71" s="924"/>
      <c r="O71" s="924"/>
      <c r="P71" s="1895"/>
      <c r="Q71" s="503"/>
    </row>
    <row r="72" spans="1:17" s="417" customFormat="1" ht="14.4" thickTop="1">
      <c r="A72" s="497"/>
      <c r="B72" s="482">
        <f>B13</f>
        <v>111</v>
      </c>
      <c r="C72" s="498"/>
      <c r="D72" s="498"/>
      <c r="E72" s="498"/>
      <c r="F72" s="498"/>
      <c r="G72" s="498"/>
      <c r="H72" s="499"/>
      <c r="I72" s="499"/>
      <c r="J72" s="499"/>
      <c r="K72" s="499"/>
      <c r="L72" s="500"/>
      <c r="M72" s="501"/>
      <c r="N72" s="925"/>
      <c r="O72" s="925"/>
      <c r="P72" s="1896"/>
      <c r="Q72" s="505"/>
    </row>
    <row r="73" spans="1:17" s="417" customFormat="1" ht="14.4" thickBot="1">
      <c r="A73" s="497"/>
      <c r="B73" s="487"/>
      <c r="C73" s="504"/>
      <c r="D73" s="504"/>
      <c r="E73" s="504"/>
      <c r="F73" s="504"/>
      <c r="G73" s="504"/>
      <c r="H73" s="506"/>
      <c r="I73" s="506"/>
      <c r="J73" s="506"/>
      <c r="K73" s="506"/>
      <c r="L73" s="506"/>
      <c r="M73" s="507"/>
      <c r="N73" s="925"/>
      <c r="O73" s="925"/>
      <c r="P73" s="1895"/>
      <c r="Q73" s="503"/>
    </row>
    <row r="74" spans="1:17" s="417" customFormat="1" ht="14.4" thickTop="1">
      <c r="A74" s="497"/>
      <c r="B74" s="490">
        <f>B14</f>
        <v>111</v>
      </c>
      <c r="C74" s="498"/>
      <c r="D74" s="498"/>
      <c r="E74" s="498"/>
      <c r="F74" s="498"/>
      <c r="G74" s="467"/>
      <c r="H74" s="508"/>
      <c r="I74" s="508"/>
      <c r="J74" s="508"/>
      <c r="K74" s="508"/>
      <c r="L74" s="509"/>
      <c r="M74" s="510"/>
      <c r="N74" s="925"/>
      <c r="O74" s="925"/>
      <c r="P74" s="1897"/>
      <c r="Q74" s="503"/>
    </row>
    <row r="75" spans="1:17" s="417" customFormat="1" ht="14.4" thickBot="1">
      <c r="A75" s="512"/>
      <c r="B75" s="513"/>
      <c r="C75" s="514"/>
      <c r="D75" s="514"/>
      <c r="E75" s="514"/>
      <c r="F75" s="514"/>
      <c r="G75" s="514"/>
      <c r="H75" s="515"/>
      <c r="I75" s="515"/>
      <c r="J75" s="515"/>
      <c r="K75" s="515"/>
      <c r="L75" s="515"/>
      <c r="M75" s="516"/>
      <c r="N75" s="925"/>
      <c r="O75" s="925"/>
      <c r="P75" s="1895"/>
      <c r="Q75" s="503"/>
    </row>
    <row r="76" spans="1:17" ht="14.4">
      <c r="A76" s="471" t="s">
        <v>1690</v>
      </c>
      <c r="B76" s="472" t="s">
        <v>1720</v>
      </c>
      <c r="C76" s="517" t="s">
        <v>1721</v>
      </c>
      <c r="D76" s="517" t="s">
        <v>1722</v>
      </c>
      <c r="E76" s="517" t="s">
        <v>1723</v>
      </c>
      <c r="F76" s="517" t="s">
        <v>1724</v>
      </c>
      <c r="G76" s="517" t="s">
        <v>1725</v>
      </c>
      <c r="H76" s="473"/>
      <c r="I76" s="473"/>
      <c r="J76" s="473"/>
      <c r="K76" s="518"/>
      <c r="L76" s="519"/>
      <c r="M76" s="520"/>
      <c r="N76" s="923"/>
      <c r="O76" s="923"/>
      <c r="P76" s="1898"/>
      <c r="Q76" s="448"/>
    </row>
    <row r="77" spans="1:17" ht="14.4" thickBot="1">
      <c r="A77" s="478"/>
      <c r="B77" s="487"/>
      <c r="C77" s="488">
        <v>100</v>
      </c>
      <c r="D77" s="488">
        <f>C77-$K15</f>
        <v>100</v>
      </c>
      <c r="E77" s="488">
        <f>D77-$K15</f>
        <v>100</v>
      </c>
      <c r="F77" s="488">
        <f>E77-$K15</f>
        <v>100</v>
      </c>
      <c r="G77" s="488">
        <f>F77-$K15</f>
        <v>100</v>
      </c>
      <c r="H77" s="488"/>
      <c r="I77" s="488"/>
      <c r="J77" s="488"/>
      <c r="K77" s="488"/>
      <c r="L77" s="488"/>
      <c r="M77" s="489"/>
      <c r="N77" s="924"/>
      <c r="O77" s="924"/>
      <c r="P77" s="1894"/>
      <c r="Q77" s="448"/>
    </row>
    <row r="78" spans="1:17" ht="15" thickTop="1">
      <c r="A78" s="478"/>
      <c r="B78" s="482" t="s">
        <v>1726</v>
      </c>
      <c r="C78" s="522" t="s">
        <v>1721</v>
      </c>
      <c r="D78" s="522" t="s">
        <v>1722</v>
      </c>
      <c r="E78" s="522" t="s">
        <v>1723</v>
      </c>
      <c r="F78" s="522" t="s">
        <v>1724</v>
      </c>
      <c r="G78" s="522" t="s">
        <v>1725</v>
      </c>
      <c r="H78" s="483"/>
      <c r="I78" s="483"/>
      <c r="J78" s="483"/>
      <c r="K78" s="484"/>
      <c r="L78" s="485"/>
      <c r="M78" s="486"/>
      <c r="N78" s="923"/>
      <c r="O78" s="923"/>
      <c r="P78" s="1894"/>
      <c r="Q78" s="448"/>
    </row>
    <row r="79" spans="1:17" ht="14.4" thickBot="1">
      <c r="A79" s="478"/>
      <c r="B79" s="487"/>
      <c r="C79" s="488">
        <v>100</v>
      </c>
      <c r="D79" s="488">
        <f>C79-$K17</f>
        <v>95</v>
      </c>
      <c r="E79" s="488">
        <f>D79-$K17</f>
        <v>90</v>
      </c>
      <c r="F79" s="488">
        <f>E79-$K17</f>
        <v>85</v>
      </c>
      <c r="G79" s="488">
        <f>F79-$K17</f>
        <v>80</v>
      </c>
      <c r="H79" s="488"/>
      <c r="I79" s="488"/>
      <c r="J79" s="488"/>
      <c r="K79" s="488"/>
      <c r="L79" s="488"/>
      <c r="M79" s="489"/>
      <c r="N79" s="924"/>
      <c r="O79" s="924"/>
      <c r="P79" s="1894"/>
      <c r="Q79" s="448"/>
    </row>
    <row r="80" spans="1:17" ht="15" thickTop="1">
      <c r="A80" s="478"/>
      <c r="B80" s="482" t="s">
        <v>1727</v>
      </c>
      <c r="C80" s="522" t="s">
        <v>1721</v>
      </c>
      <c r="D80" s="522" t="s">
        <v>1722</v>
      </c>
      <c r="E80" s="522" t="s">
        <v>1723</v>
      </c>
      <c r="F80" s="522" t="s">
        <v>1724</v>
      </c>
      <c r="G80" s="522" t="s">
        <v>1725</v>
      </c>
      <c r="H80" s="483"/>
      <c r="I80" s="483"/>
      <c r="J80" s="483"/>
      <c r="K80" s="484"/>
      <c r="L80" s="485"/>
      <c r="M80" s="486"/>
      <c r="N80" s="923"/>
      <c r="O80" s="923"/>
      <c r="P80" s="1894"/>
      <c r="Q80" s="448"/>
    </row>
    <row r="81" spans="1:17" ht="14.4" thickBot="1">
      <c r="A81" s="478"/>
      <c r="B81" s="487"/>
      <c r="C81" s="488">
        <v>100</v>
      </c>
      <c r="D81" s="488">
        <f>C81-$K19</f>
        <v>100</v>
      </c>
      <c r="E81" s="488">
        <f>D81-$K19</f>
        <v>100</v>
      </c>
      <c r="F81" s="488">
        <f>E81-$K19</f>
        <v>100</v>
      </c>
      <c r="G81" s="488">
        <f>F81-$K19</f>
        <v>100</v>
      </c>
      <c r="H81" s="488"/>
      <c r="I81" s="488"/>
      <c r="J81" s="488"/>
      <c r="K81" s="488"/>
      <c r="L81" s="488"/>
      <c r="M81" s="489"/>
      <c r="N81" s="924"/>
      <c r="O81" s="924"/>
      <c r="P81" s="1894"/>
      <c r="Q81" s="448"/>
    </row>
    <row r="82" spans="1:17" ht="15" thickTop="1">
      <c r="A82" s="478"/>
      <c r="B82" s="490" t="s">
        <v>1260</v>
      </c>
      <c r="C82" s="483" t="s">
        <v>1728</v>
      </c>
      <c r="D82" s="483" t="s">
        <v>1729</v>
      </c>
      <c r="E82" s="483" t="s">
        <v>1730</v>
      </c>
      <c r="F82" s="483" t="s">
        <v>1731</v>
      </c>
      <c r="G82" s="483" t="s">
        <v>1732</v>
      </c>
      <c r="H82" s="483"/>
      <c r="I82" s="483"/>
      <c r="J82" s="483"/>
      <c r="K82" s="483"/>
      <c r="L82" s="483"/>
      <c r="M82" s="1117"/>
      <c r="N82" s="924"/>
      <c r="O82" s="924"/>
      <c r="P82" s="1894"/>
      <c r="Q82" s="448"/>
    </row>
    <row r="83" spans="1:17" ht="14.4" thickBot="1">
      <c r="A83" s="478"/>
      <c r="B83" s="490"/>
      <c r="C83" s="600">
        <v>100</v>
      </c>
      <c r="D83" s="600">
        <f>C83-$K21</f>
        <v>100</v>
      </c>
      <c r="E83" s="600">
        <f t="shared" ref="E83:G83" si="22">D83-$K21</f>
        <v>100</v>
      </c>
      <c r="F83" s="600">
        <f t="shared" si="22"/>
        <v>100</v>
      </c>
      <c r="G83" s="600">
        <f t="shared" si="22"/>
        <v>100</v>
      </c>
      <c r="H83" s="600"/>
      <c r="I83" s="600"/>
      <c r="J83" s="600"/>
      <c r="K83" s="600"/>
      <c r="L83" s="600"/>
      <c r="M83" s="396"/>
      <c r="N83" s="924"/>
      <c r="O83" s="924"/>
      <c r="P83" s="1894"/>
      <c r="Q83" s="448"/>
    </row>
    <row r="84" spans="1:17" ht="15" thickTop="1">
      <c r="A84" s="478"/>
      <c r="B84" s="482" t="s">
        <v>1733</v>
      </c>
      <c r="C84" s="522" t="s">
        <v>1721</v>
      </c>
      <c r="D84" s="522" t="s">
        <v>1722</v>
      </c>
      <c r="E84" s="522" t="s">
        <v>1723</v>
      </c>
      <c r="F84" s="522" t="s">
        <v>1724</v>
      </c>
      <c r="G84" s="522" t="s">
        <v>1725</v>
      </c>
      <c r="H84" s="483"/>
      <c r="I84" s="483"/>
      <c r="J84" s="483"/>
      <c r="K84" s="484"/>
      <c r="L84" s="485"/>
      <c r="M84" s="486"/>
      <c r="N84" s="923"/>
      <c r="O84" s="923"/>
      <c r="P84" s="1894"/>
      <c r="Q84" s="448"/>
    </row>
    <row r="85" spans="1:17" ht="14.4" thickBot="1">
      <c r="A85" s="478"/>
      <c r="B85" s="487"/>
      <c r="C85" s="488">
        <v>100</v>
      </c>
      <c r="D85" s="488">
        <f>C85-$K23</f>
        <v>100</v>
      </c>
      <c r="E85" s="488">
        <f>D85-$K23</f>
        <v>100</v>
      </c>
      <c r="F85" s="488">
        <f>E85-$K23</f>
        <v>100</v>
      </c>
      <c r="G85" s="488">
        <f>F85-$K23</f>
        <v>100</v>
      </c>
      <c r="H85" s="488"/>
      <c r="I85" s="488"/>
      <c r="J85" s="488"/>
      <c r="K85" s="488"/>
      <c r="L85" s="488"/>
      <c r="M85" s="489"/>
      <c r="N85" s="924"/>
      <c r="O85" s="924"/>
      <c r="P85" s="1894"/>
      <c r="Q85" s="448"/>
    </row>
    <row r="86" spans="1:17" s="108" customFormat="1" ht="15" thickTop="1">
      <c r="A86" s="523"/>
      <c r="B86" s="482" t="s">
        <v>1734</v>
      </c>
      <c r="C86" s="498"/>
      <c r="D86" s="498"/>
      <c r="E86" s="498"/>
      <c r="F86" s="498"/>
      <c r="G86" s="498"/>
      <c r="H86" s="498"/>
      <c r="I86" s="498"/>
      <c r="J86" s="498"/>
      <c r="K86" s="498"/>
      <c r="L86" s="524"/>
      <c r="M86" s="525"/>
      <c r="N86" s="922"/>
      <c r="O86" s="922"/>
      <c r="P86" s="1894"/>
      <c r="Q86" s="448"/>
    </row>
    <row r="87" spans="1:17" s="108" customFormat="1" ht="14.4"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4"/>
      <c r="O87" s="924"/>
      <c r="P87" s="1894"/>
      <c r="Q87" s="448"/>
    </row>
    <row r="88" spans="1:17" s="108" customFormat="1" ht="15" thickTop="1">
      <c r="A88" s="523"/>
      <c r="B88" s="482" t="s">
        <v>1735</v>
      </c>
      <c r="C88" s="3420" t="s">
        <v>3410</v>
      </c>
      <c r="D88" s="3420" t="s">
        <v>11672</v>
      </c>
      <c r="E88" s="3420" t="s">
        <v>11673</v>
      </c>
      <c r="F88" s="3690" t="s">
        <v>11674</v>
      </c>
      <c r="G88" s="3420" t="s">
        <v>11675</v>
      </c>
      <c r="H88" s="3420" t="s">
        <v>11676</v>
      </c>
      <c r="I88" s="3420" t="s">
        <v>11677</v>
      </c>
      <c r="J88" s="3420" t="s">
        <v>11678</v>
      </c>
      <c r="K88" s="498"/>
      <c r="L88" s="498"/>
      <c r="M88" s="525"/>
      <c r="N88" s="922"/>
      <c r="O88" s="922"/>
      <c r="P88" s="1894"/>
      <c r="Q88" s="448"/>
    </row>
    <row r="89" spans="1:17" s="108" customFormat="1" ht="14.4" thickBot="1">
      <c r="A89" s="523"/>
      <c r="B89" s="487"/>
      <c r="C89" s="526">
        <v>100</v>
      </c>
      <c r="D89" s="488">
        <f t="shared" ref="D89:M89" si="24">C89-$K26</f>
        <v>99</v>
      </c>
      <c r="E89" s="488">
        <f t="shared" si="24"/>
        <v>98</v>
      </c>
      <c r="F89" s="488">
        <f t="shared" si="24"/>
        <v>97</v>
      </c>
      <c r="G89" s="488">
        <f t="shared" si="24"/>
        <v>96</v>
      </c>
      <c r="H89" s="488">
        <f t="shared" si="24"/>
        <v>95</v>
      </c>
      <c r="I89" s="488">
        <f t="shared" si="24"/>
        <v>94</v>
      </c>
      <c r="J89" s="488">
        <f t="shared" si="24"/>
        <v>93</v>
      </c>
      <c r="K89" s="488">
        <f t="shared" si="24"/>
        <v>92</v>
      </c>
      <c r="L89" s="488">
        <f t="shared" si="24"/>
        <v>91</v>
      </c>
      <c r="M89" s="488">
        <f t="shared" si="24"/>
        <v>90</v>
      </c>
      <c r="N89" s="924"/>
      <c r="O89" s="924"/>
      <c r="P89" s="1894"/>
      <c r="Q89" s="448"/>
    </row>
    <row r="90" spans="1:17" s="417" customFormat="1" ht="14.4" thickTop="1">
      <c r="A90" s="497"/>
      <c r="B90" s="482" t="str">
        <f>B27</f>
        <v>楼层</v>
      </c>
      <c r="C90" s="3705" t="s">
        <v>11804</v>
      </c>
      <c r="D90" s="3705" t="s">
        <v>11693</v>
      </c>
      <c r="E90" s="3705" t="s">
        <v>11694</v>
      </c>
      <c r="F90" s="3705" t="s">
        <v>11695</v>
      </c>
      <c r="G90" s="498"/>
      <c r="H90" s="499"/>
      <c r="I90" s="499"/>
      <c r="J90" s="499"/>
      <c r="K90" s="499"/>
      <c r="L90" s="500"/>
      <c r="M90" s="501"/>
      <c r="N90" s="925"/>
      <c r="O90" s="925"/>
      <c r="P90" s="1895"/>
      <c r="Q90" s="503"/>
    </row>
    <row r="91" spans="1:17" s="417" customFormat="1" ht="14.4" thickBot="1">
      <c r="A91" s="497"/>
      <c r="B91" s="487"/>
      <c r="C91" s="3882">
        <v>100</v>
      </c>
      <c r="D91" s="3882">
        <v>100</v>
      </c>
      <c r="E91" s="3882">
        <v>101</v>
      </c>
      <c r="F91" s="3882">
        <v>99</v>
      </c>
      <c r="G91" s="504"/>
      <c r="H91" s="506"/>
      <c r="I91" s="506"/>
      <c r="J91" s="506"/>
      <c r="K91" s="506"/>
      <c r="L91" s="506"/>
      <c r="M91" s="507"/>
      <c r="N91" s="925"/>
      <c r="O91" s="925"/>
      <c r="P91" s="1895"/>
      <c r="Q91" s="503"/>
    </row>
    <row r="92" spans="1:17" ht="14.4" thickTop="1">
      <c r="A92" s="478"/>
      <c r="B92" s="482">
        <f>B28</f>
        <v>111</v>
      </c>
      <c r="C92" s="498"/>
      <c r="D92" s="498"/>
      <c r="E92" s="498"/>
      <c r="F92" s="498"/>
      <c r="G92" s="527"/>
      <c r="H92" s="527"/>
      <c r="I92" s="527"/>
      <c r="J92" s="527"/>
      <c r="K92" s="528"/>
      <c r="L92" s="529"/>
      <c r="M92" s="530"/>
      <c r="N92" s="923"/>
      <c r="O92" s="923"/>
      <c r="P92" s="1894"/>
      <c r="Q92" s="448"/>
    </row>
    <row r="93" spans="1:17" s="3890" customFormat="1" ht="14.4" thickBot="1">
      <c r="A93" s="3810"/>
      <c r="B93" s="3884"/>
      <c r="C93" s="3882"/>
      <c r="D93" s="3885"/>
      <c r="E93" s="3885"/>
      <c r="F93" s="3885"/>
      <c r="G93" s="3885"/>
      <c r="H93" s="3885"/>
      <c r="I93" s="3885"/>
      <c r="J93" s="3885"/>
      <c r="K93" s="3885"/>
      <c r="L93" s="3885"/>
      <c r="M93" s="3886"/>
      <c r="N93" s="3887"/>
      <c r="O93" s="3887"/>
      <c r="P93" s="3888"/>
      <c r="Q93" s="3889"/>
    </row>
    <row r="94" spans="1:17" s="3890" customFormat="1" ht="14.4" thickTop="1">
      <c r="A94" s="3810"/>
      <c r="B94" s="3891">
        <f>B29</f>
        <v>111</v>
      </c>
      <c r="C94" s="3892"/>
      <c r="D94" s="3892"/>
      <c r="E94" s="3892"/>
      <c r="F94" s="3892"/>
      <c r="G94" s="3893"/>
      <c r="H94" s="3893"/>
      <c r="I94" s="3893"/>
      <c r="J94" s="3893"/>
      <c r="K94" s="3894"/>
      <c r="L94" s="3895"/>
      <c r="M94" s="3896"/>
      <c r="N94" s="3897"/>
      <c r="O94" s="3897"/>
      <c r="P94" s="3888"/>
      <c r="Q94" s="3889"/>
    </row>
    <row r="95" spans="1:17" s="3890" customFormat="1" ht="14.4" thickBot="1">
      <c r="A95" s="3810"/>
      <c r="B95" s="3884"/>
      <c r="C95" s="3882"/>
      <c r="D95" s="3882"/>
      <c r="E95" s="3882"/>
      <c r="F95" s="3882"/>
      <c r="G95" s="3885"/>
      <c r="H95" s="3885"/>
      <c r="I95" s="3885"/>
      <c r="J95" s="3885"/>
      <c r="K95" s="3885"/>
      <c r="L95" s="3885"/>
      <c r="M95" s="3886"/>
      <c r="N95" s="3887"/>
      <c r="O95" s="3887"/>
      <c r="P95" s="3888"/>
      <c r="Q95" s="3889"/>
    </row>
    <row r="96" spans="1:17" s="3890" customFormat="1" ht="14.4" thickTop="1">
      <c r="A96" s="3810"/>
      <c r="B96" s="3891">
        <f>B30</f>
        <v>111</v>
      </c>
      <c r="C96" s="3892"/>
      <c r="D96" s="3892"/>
      <c r="E96" s="3892"/>
      <c r="F96" s="3892"/>
      <c r="G96" s="3893"/>
      <c r="H96" s="3893"/>
      <c r="I96" s="3893"/>
      <c r="J96" s="3893"/>
      <c r="K96" s="3894"/>
      <c r="L96" s="3895"/>
      <c r="M96" s="3896"/>
      <c r="N96" s="3897"/>
      <c r="O96" s="3897"/>
      <c r="P96" s="3888"/>
      <c r="Q96" s="3889"/>
    </row>
    <row r="97" spans="1:17" s="3890" customFormat="1" ht="14.4" thickBot="1">
      <c r="A97" s="3810"/>
      <c r="B97" s="3884"/>
      <c r="C97" s="3898"/>
      <c r="D97" s="3898"/>
      <c r="E97" s="3898"/>
      <c r="F97" s="3898"/>
      <c r="G97" s="3885"/>
      <c r="H97" s="3885"/>
      <c r="I97" s="3885"/>
      <c r="J97" s="3885"/>
      <c r="K97" s="3885"/>
      <c r="L97" s="3885"/>
      <c r="M97" s="3886"/>
      <c r="N97" s="3887"/>
      <c r="O97" s="3887"/>
      <c r="P97" s="3888"/>
      <c r="Q97" s="3889"/>
    </row>
    <row r="98" spans="1:17" s="3890" customFormat="1" ht="14.4" thickTop="1">
      <c r="A98" s="3810"/>
      <c r="B98" s="3899">
        <f>B31</f>
        <v>111</v>
      </c>
      <c r="C98" s="3900"/>
      <c r="D98" s="3900"/>
      <c r="E98" s="3900"/>
      <c r="F98" s="3900"/>
      <c r="G98" s="3900"/>
      <c r="H98" s="3900"/>
      <c r="I98" s="3900"/>
      <c r="J98" s="3900"/>
      <c r="K98" s="3901"/>
      <c r="L98" s="3902"/>
      <c r="M98" s="3903"/>
      <c r="N98" s="3897"/>
      <c r="O98" s="3897"/>
      <c r="P98" s="3888"/>
      <c r="Q98" s="3889"/>
    </row>
    <row r="99" spans="1:17" s="3890" customFormat="1" ht="14.4" thickBot="1">
      <c r="A99" s="3817"/>
      <c r="B99" s="3904"/>
      <c r="C99" s="3905"/>
      <c r="D99" s="3905"/>
      <c r="E99" s="3905"/>
      <c r="F99" s="3905"/>
      <c r="G99" s="3905"/>
      <c r="H99" s="3905"/>
      <c r="I99" s="3905"/>
      <c r="J99" s="3905"/>
      <c r="K99" s="3905"/>
      <c r="L99" s="3905"/>
      <c r="M99" s="3906"/>
      <c r="N99" s="3887"/>
      <c r="O99" s="3887"/>
      <c r="P99" s="3888"/>
      <c r="Q99" s="3889"/>
    </row>
    <row r="100" spans="1:17" s="3890" customFormat="1" ht="14.4">
      <c r="A100" s="3822" t="s">
        <v>1694</v>
      </c>
      <c r="B100" s="3907" t="s">
        <v>1736</v>
      </c>
      <c r="C100" s="3908" t="s">
        <v>3407</v>
      </c>
      <c r="D100" s="3908" t="s">
        <v>11685</v>
      </c>
      <c r="E100" s="3908" t="s">
        <v>11687</v>
      </c>
      <c r="F100" s="3908" t="s">
        <v>11684</v>
      </c>
      <c r="G100" s="3909"/>
      <c r="H100" s="3909"/>
      <c r="I100" s="3909"/>
      <c r="J100" s="3909"/>
      <c r="K100" s="3910"/>
      <c r="L100" s="3911"/>
      <c r="M100" s="3912"/>
      <c r="N100" s="3897"/>
      <c r="O100" s="3897"/>
      <c r="P100" s="3888"/>
      <c r="Q100" s="3889"/>
    </row>
    <row r="101" spans="1:17" s="3890" customFormat="1" ht="14.4" thickBot="1">
      <c r="A101" s="3810"/>
      <c r="B101" s="3884"/>
      <c r="C101" s="3913">
        <v>100</v>
      </c>
      <c r="D101" s="3913">
        <f t="shared" ref="D101:M101" si="25">C101-$K32</f>
        <v>98</v>
      </c>
      <c r="E101" s="3913">
        <f t="shared" si="25"/>
        <v>96</v>
      </c>
      <c r="F101" s="3913">
        <f t="shared" si="25"/>
        <v>94</v>
      </c>
      <c r="G101" s="3913">
        <f t="shared" si="25"/>
        <v>92</v>
      </c>
      <c r="H101" s="3913">
        <f t="shared" si="25"/>
        <v>90</v>
      </c>
      <c r="I101" s="3913">
        <f t="shared" si="25"/>
        <v>88</v>
      </c>
      <c r="J101" s="3913">
        <f t="shared" si="25"/>
        <v>86</v>
      </c>
      <c r="K101" s="3913">
        <f t="shared" si="25"/>
        <v>84</v>
      </c>
      <c r="L101" s="3913">
        <f t="shared" si="25"/>
        <v>82</v>
      </c>
      <c r="M101" s="3913">
        <f t="shared" si="25"/>
        <v>80</v>
      </c>
      <c r="N101" s="3887"/>
      <c r="O101" s="3887"/>
      <c r="P101" s="3888"/>
      <c r="Q101" s="3889"/>
    </row>
    <row r="102" spans="1:17" s="3890" customFormat="1" ht="15" thickTop="1">
      <c r="A102" s="3810"/>
      <c r="B102" s="3891" t="s">
        <v>1737</v>
      </c>
      <c r="C102" s="3914" t="str">
        <f>C103&amp;"(含)"&amp;"-"&amp;D103</f>
        <v>0(含)-40</v>
      </c>
      <c r="D102" s="3914" t="str">
        <f t="shared" ref="D102:L102" si="26">D103&amp;"(含)"&amp;"-"&amp;E103</f>
        <v>40(含)-80</v>
      </c>
      <c r="E102" s="3914" t="str">
        <f t="shared" si="26"/>
        <v>80(含)-120</v>
      </c>
      <c r="F102" s="3914" t="str">
        <f t="shared" si="26"/>
        <v>120(含)-160</v>
      </c>
      <c r="G102" s="3914" t="str">
        <f t="shared" si="26"/>
        <v>160(含)-</v>
      </c>
      <c r="H102" s="3914" t="str">
        <f t="shared" si="26"/>
        <v>(含)-</v>
      </c>
      <c r="I102" s="3914" t="str">
        <f t="shared" si="26"/>
        <v>(含)-</v>
      </c>
      <c r="J102" s="3914" t="str">
        <f t="shared" si="26"/>
        <v>(含)-</v>
      </c>
      <c r="K102" s="3914" t="str">
        <f>K103&amp;"(含)"&amp;"-"&amp;L103</f>
        <v>(含)-</v>
      </c>
      <c r="L102" s="3914" t="str">
        <f t="shared" si="26"/>
        <v>(含)-</v>
      </c>
      <c r="M102" s="3914" t="str">
        <f>M103&amp;"(含)"&amp;"-"&amp;P103</f>
        <v>(含)-</v>
      </c>
      <c r="N102" s="3915"/>
      <c r="O102" s="3915"/>
      <c r="P102" s="3888"/>
      <c r="Q102" s="3889"/>
    </row>
    <row r="103" spans="1:17" s="3924" customFormat="1">
      <c r="A103" s="3856"/>
      <c r="B103" s="3916"/>
      <c r="C103" s="3917">
        <v>0</v>
      </c>
      <c r="D103" s="3917">
        <v>40</v>
      </c>
      <c r="E103" s="3917">
        <v>80</v>
      </c>
      <c r="F103" s="3917">
        <v>120</v>
      </c>
      <c r="G103" s="3917">
        <v>160</v>
      </c>
      <c r="H103" s="3917"/>
      <c r="I103" s="3917"/>
      <c r="J103" s="3918"/>
      <c r="K103" s="3918"/>
      <c r="L103" s="3919"/>
      <c r="M103" s="3920"/>
      <c r="N103" s="3921"/>
      <c r="O103" s="3921"/>
      <c r="P103" s="3922"/>
      <c r="Q103" s="3923"/>
    </row>
    <row r="104" spans="1:17" s="3924" customFormat="1" ht="14.4" thickBot="1">
      <c r="A104" s="3925"/>
      <c r="B104" s="3884"/>
      <c r="C104" s="3882">
        <v>100</v>
      </c>
      <c r="D104" s="3885">
        <v>98</v>
      </c>
      <c r="E104" s="3885">
        <v>96</v>
      </c>
      <c r="F104" s="3885">
        <v>94</v>
      </c>
      <c r="G104" s="3885">
        <v>92</v>
      </c>
      <c r="H104" s="3885"/>
      <c r="I104" s="3885"/>
      <c r="J104" s="3885"/>
      <c r="K104" s="3885"/>
      <c r="L104" s="3885"/>
      <c r="M104" s="3885"/>
      <c r="N104" s="3887"/>
      <c r="O104" s="3887"/>
      <c r="P104" s="3922"/>
      <c r="Q104" s="3923"/>
    </row>
    <row r="105" spans="1:17" s="3890" customFormat="1" ht="15" thickTop="1">
      <c r="A105" s="3858"/>
      <c r="B105" s="3891" t="s">
        <v>1738</v>
      </c>
      <c r="C105" s="3926" t="s">
        <v>11690</v>
      </c>
      <c r="D105" s="3892"/>
      <c r="E105" s="3893"/>
      <c r="F105" s="3893"/>
      <c r="G105" s="3893"/>
      <c r="H105" s="3893"/>
      <c r="I105" s="3893"/>
      <c r="J105" s="3893"/>
      <c r="K105" s="3894"/>
      <c r="L105" s="3895"/>
      <c r="M105" s="3896"/>
      <c r="N105" s="3897"/>
      <c r="O105" s="3897"/>
      <c r="P105" s="3888"/>
      <c r="Q105" s="3889"/>
    </row>
    <row r="106" spans="1:17" s="3890" customFormat="1" ht="14.4" thickBot="1">
      <c r="A106" s="3810"/>
      <c r="B106" s="3884"/>
      <c r="C106" s="3913">
        <v>100</v>
      </c>
      <c r="D106" s="3913">
        <f t="shared" ref="D106:M106" si="27">C106-$K34</f>
        <v>100</v>
      </c>
      <c r="E106" s="3913">
        <f t="shared" si="27"/>
        <v>100</v>
      </c>
      <c r="F106" s="3913">
        <f t="shared" si="27"/>
        <v>100</v>
      </c>
      <c r="G106" s="3913">
        <f t="shared" si="27"/>
        <v>100</v>
      </c>
      <c r="H106" s="3913">
        <f t="shared" si="27"/>
        <v>100</v>
      </c>
      <c r="I106" s="3913">
        <f t="shared" si="27"/>
        <v>100</v>
      </c>
      <c r="J106" s="3913">
        <f t="shared" si="27"/>
        <v>100</v>
      </c>
      <c r="K106" s="3913">
        <f t="shared" si="27"/>
        <v>100</v>
      </c>
      <c r="L106" s="3913">
        <f t="shared" si="27"/>
        <v>100</v>
      </c>
      <c r="M106" s="3913">
        <f t="shared" si="27"/>
        <v>100</v>
      </c>
      <c r="N106" s="3887"/>
      <c r="O106" s="3887"/>
      <c r="P106" s="3888"/>
      <c r="Q106" s="3889"/>
    </row>
    <row r="107" spans="1:17" s="3890" customFormat="1" ht="15" thickTop="1">
      <c r="A107" s="3858"/>
      <c r="B107" s="3891" t="s">
        <v>1739</v>
      </c>
      <c r="C107" s="3893"/>
      <c r="D107" s="3893"/>
      <c r="E107" s="3893"/>
      <c r="F107" s="3893"/>
      <c r="G107" s="3893"/>
      <c r="H107" s="3893"/>
      <c r="I107" s="3893"/>
      <c r="J107" s="3893"/>
      <c r="K107" s="3894"/>
      <c r="L107" s="3895"/>
      <c r="M107" s="3896"/>
      <c r="N107" s="3897"/>
      <c r="O107" s="3897"/>
      <c r="P107" s="3888"/>
      <c r="Q107" s="3889"/>
    </row>
    <row r="108" spans="1:17" s="3890" customFormat="1" ht="14.4" thickBot="1">
      <c r="A108" s="3810"/>
      <c r="B108" s="3884"/>
      <c r="C108" s="3913">
        <v>100</v>
      </c>
      <c r="D108" s="3913">
        <f t="shared" ref="D108:M108" si="28">C108-$K35</f>
        <v>100</v>
      </c>
      <c r="E108" s="3913">
        <f t="shared" si="28"/>
        <v>100</v>
      </c>
      <c r="F108" s="3913">
        <f t="shared" si="28"/>
        <v>100</v>
      </c>
      <c r="G108" s="3913">
        <f t="shared" si="28"/>
        <v>100</v>
      </c>
      <c r="H108" s="3913">
        <f t="shared" si="28"/>
        <v>100</v>
      </c>
      <c r="I108" s="3913">
        <f t="shared" si="28"/>
        <v>100</v>
      </c>
      <c r="J108" s="3913">
        <f t="shared" si="28"/>
        <v>100</v>
      </c>
      <c r="K108" s="3913">
        <f t="shared" si="28"/>
        <v>100</v>
      </c>
      <c r="L108" s="3913">
        <f t="shared" si="28"/>
        <v>100</v>
      </c>
      <c r="M108" s="3913">
        <f t="shared" si="28"/>
        <v>100</v>
      </c>
      <c r="N108" s="3887"/>
      <c r="O108" s="3887"/>
      <c r="P108" s="3888"/>
      <c r="Q108" s="3889"/>
    </row>
    <row r="109" spans="1:17" s="3890" customFormat="1" ht="15" thickTop="1">
      <c r="A109" s="3858"/>
      <c r="B109" s="3891" t="s">
        <v>1740</v>
      </c>
      <c r="C109" s="3892"/>
      <c r="D109" s="3892"/>
      <c r="E109" s="3892"/>
      <c r="F109" s="3893"/>
      <c r="G109" s="3893"/>
      <c r="H109" s="3893"/>
      <c r="I109" s="3893"/>
      <c r="J109" s="3893"/>
      <c r="K109" s="3894"/>
      <c r="L109" s="3895"/>
      <c r="M109" s="3896"/>
      <c r="N109" s="3897"/>
      <c r="O109" s="3897"/>
      <c r="P109" s="3888"/>
      <c r="Q109" s="3889"/>
    </row>
    <row r="110" spans="1:17" s="3890" customFormat="1" ht="14.4" thickBot="1">
      <c r="A110" s="3810"/>
      <c r="B110" s="3884"/>
      <c r="C110" s="3913">
        <v>100</v>
      </c>
      <c r="D110" s="3913">
        <f t="shared" ref="D110:M110" si="29">C110-$K36</f>
        <v>100</v>
      </c>
      <c r="E110" s="3913">
        <f t="shared" si="29"/>
        <v>100</v>
      </c>
      <c r="F110" s="3913">
        <f t="shared" si="29"/>
        <v>100</v>
      </c>
      <c r="G110" s="3913">
        <f t="shared" si="29"/>
        <v>100</v>
      </c>
      <c r="H110" s="3913">
        <f t="shared" si="29"/>
        <v>100</v>
      </c>
      <c r="I110" s="3913">
        <f t="shared" si="29"/>
        <v>100</v>
      </c>
      <c r="J110" s="3913">
        <f t="shared" si="29"/>
        <v>100</v>
      </c>
      <c r="K110" s="3913">
        <f t="shared" si="29"/>
        <v>100</v>
      </c>
      <c r="L110" s="3913">
        <f t="shared" si="29"/>
        <v>100</v>
      </c>
      <c r="M110" s="3913">
        <f t="shared" si="29"/>
        <v>100</v>
      </c>
      <c r="N110" s="3887"/>
      <c r="O110" s="3887"/>
      <c r="P110" s="3888"/>
      <c r="Q110" s="3889"/>
    </row>
    <row r="111" spans="1:17" s="3924" customFormat="1" ht="15" thickTop="1">
      <c r="A111" s="3856"/>
      <c r="B111" s="3891" t="s">
        <v>1190</v>
      </c>
      <c r="C111" s="3914" t="str">
        <f>C112&amp;"(含)"&amp;"-"&amp;D112</f>
        <v>0.5(含)-0.6</v>
      </c>
      <c r="D111" s="3914" t="str">
        <f>D112&amp;"(含)"&amp;"-"&amp;E112</f>
        <v>0.6(含)-0.7</v>
      </c>
      <c r="E111" s="3914" t="str">
        <f>E112&amp;"(含)"&amp;"-"&amp;F112</f>
        <v>0.7(含)-0.8</v>
      </c>
      <c r="F111" s="3914" t="str">
        <f>F112&amp;"(含)"&amp;"-"&amp;G112</f>
        <v>0.8(含)-0.9</v>
      </c>
      <c r="G111" s="3914" t="str">
        <f>G112&amp;"(含)"&amp;"-"&amp;ROUND(H112,0)&amp;"(含)"</f>
        <v>0.9(含)-1(含)</v>
      </c>
      <c r="H111" s="3914" t="str">
        <f>ROUND(H112,0)&amp;"(含)"&amp;"-"&amp;I112</f>
        <v>1(含)-</v>
      </c>
      <c r="I111" s="3914"/>
      <c r="J111" s="3927"/>
      <c r="K111" s="3927"/>
      <c r="L111" s="3928"/>
      <c r="M111" s="3929"/>
      <c r="N111" s="3921"/>
      <c r="O111" s="3921"/>
      <c r="P111" s="3922"/>
      <c r="Q111" s="3923"/>
    </row>
    <row r="112" spans="1:17" s="3924" customFormat="1">
      <c r="A112" s="3856"/>
      <c r="B112" s="3899"/>
      <c r="C112" s="3883">
        <v>0.5</v>
      </c>
      <c r="D112" s="3883">
        <v>0.6</v>
      </c>
      <c r="E112" s="3883">
        <v>0.7</v>
      </c>
      <c r="F112" s="3883">
        <v>0.8</v>
      </c>
      <c r="G112" s="3883">
        <v>0.9</v>
      </c>
      <c r="H112" s="3883">
        <v>1.0001</v>
      </c>
      <c r="I112" s="3883"/>
      <c r="J112" s="3930"/>
      <c r="K112" s="3930"/>
      <c r="L112" s="3931"/>
      <c r="M112" s="3932"/>
      <c r="N112" s="3921"/>
      <c r="O112" s="3921"/>
      <c r="P112" s="3922"/>
      <c r="Q112" s="3923"/>
    </row>
    <row r="113" spans="1:17" s="3924" customFormat="1" ht="14.4" thickBot="1">
      <c r="A113" s="3925"/>
      <c r="B113" s="3884"/>
      <c r="C113" s="3933">
        <v>100</v>
      </c>
      <c r="D113" s="3913">
        <f>C113+$K37</f>
        <v>100</v>
      </c>
      <c r="E113" s="3913">
        <f>D113+$K37</f>
        <v>100</v>
      </c>
      <c r="F113" s="3913">
        <f>E113+$K37</f>
        <v>100</v>
      </c>
      <c r="G113" s="3913">
        <f>F113+$K37</f>
        <v>100</v>
      </c>
      <c r="H113" s="3913">
        <f>G113+$K37</f>
        <v>100</v>
      </c>
      <c r="I113" s="3933"/>
      <c r="J113" s="3934"/>
      <c r="K113" s="3934"/>
      <c r="L113" s="3934"/>
      <c r="M113" s="3935"/>
      <c r="N113" s="3921"/>
      <c r="O113" s="3921"/>
      <c r="P113" s="3922"/>
      <c r="Q113" s="3923"/>
    </row>
    <row r="114" spans="1:17" s="3890" customFormat="1" ht="15" thickTop="1">
      <c r="A114" s="3858"/>
      <c r="B114" s="3891" t="s">
        <v>1741</v>
      </c>
      <c r="C114" s="3892"/>
      <c r="D114" s="3892"/>
      <c r="E114" s="3893"/>
      <c r="F114" s="3893"/>
      <c r="G114" s="3893"/>
      <c r="H114" s="3893"/>
      <c r="I114" s="3893"/>
      <c r="J114" s="3893"/>
      <c r="K114" s="3894"/>
      <c r="L114" s="3895"/>
      <c r="M114" s="3896"/>
      <c r="N114" s="3897"/>
      <c r="O114" s="3897"/>
      <c r="P114" s="3888"/>
      <c r="Q114" s="3889"/>
    </row>
    <row r="115" spans="1:17" s="3890" customFormat="1" ht="14.4" thickBot="1">
      <c r="A115" s="3810"/>
      <c r="B115" s="3884"/>
      <c r="C115" s="3913">
        <v>100</v>
      </c>
      <c r="D115" s="3913">
        <f t="shared" ref="D115:M115" si="30">C115-$K38</f>
        <v>100</v>
      </c>
      <c r="E115" s="3913">
        <f t="shared" si="30"/>
        <v>100</v>
      </c>
      <c r="F115" s="3913">
        <f t="shared" si="30"/>
        <v>100</v>
      </c>
      <c r="G115" s="3913">
        <f t="shared" si="30"/>
        <v>100</v>
      </c>
      <c r="H115" s="3913">
        <f t="shared" si="30"/>
        <v>100</v>
      </c>
      <c r="I115" s="3913">
        <f t="shared" si="30"/>
        <v>100</v>
      </c>
      <c r="J115" s="3913">
        <f t="shared" si="30"/>
        <v>100</v>
      </c>
      <c r="K115" s="3913">
        <f t="shared" si="30"/>
        <v>100</v>
      </c>
      <c r="L115" s="3913">
        <f t="shared" si="30"/>
        <v>100</v>
      </c>
      <c r="M115" s="3913">
        <f t="shared" si="30"/>
        <v>100</v>
      </c>
      <c r="N115" s="3887"/>
      <c r="O115" s="3887"/>
      <c r="P115" s="3888"/>
      <c r="Q115" s="3889"/>
    </row>
    <row r="116" spans="1:17" s="3890" customFormat="1" ht="15" thickTop="1">
      <c r="A116" s="3858"/>
      <c r="B116" s="3891" t="s">
        <v>1742</v>
      </c>
      <c r="C116" s="3892"/>
      <c r="D116" s="3892"/>
      <c r="E116" s="3892"/>
      <c r="F116" s="3892"/>
      <c r="G116" s="3892"/>
      <c r="H116" s="3893"/>
      <c r="I116" s="3893"/>
      <c r="J116" s="3893"/>
      <c r="K116" s="3894"/>
      <c r="L116" s="3895"/>
      <c r="M116" s="3896"/>
      <c r="N116" s="3897"/>
      <c r="O116" s="3897"/>
      <c r="P116" s="3888"/>
      <c r="Q116" s="3889"/>
    </row>
    <row r="117" spans="1:17" s="3890" customFormat="1" ht="14.4" thickBot="1">
      <c r="A117" s="3810"/>
      <c r="B117" s="3884"/>
      <c r="C117" s="3913">
        <v>100</v>
      </c>
      <c r="D117" s="3913">
        <f>C117-$K39</f>
        <v>100</v>
      </c>
      <c r="E117" s="3913">
        <f>D117-$K39</f>
        <v>100</v>
      </c>
      <c r="F117" s="3913">
        <f>E117-$K39</f>
        <v>100</v>
      </c>
      <c r="G117" s="3913">
        <f>F117-$K39</f>
        <v>100</v>
      </c>
      <c r="H117" s="3913"/>
      <c r="I117" s="3913"/>
      <c r="J117" s="3913"/>
      <c r="K117" s="3913"/>
      <c r="L117" s="3913"/>
      <c r="M117" s="3936"/>
      <c r="N117" s="3887"/>
      <c r="O117" s="3887"/>
      <c r="P117" s="3888"/>
      <c r="Q117" s="3889"/>
    </row>
    <row r="118" spans="1:17" s="3890" customFormat="1" ht="15" thickTop="1">
      <c r="A118" s="3858"/>
      <c r="B118" s="3891" t="s">
        <v>1743</v>
      </c>
      <c r="C118" s="3937" t="s">
        <v>3405</v>
      </c>
      <c r="D118" s="3893"/>
      <c r="E118" s="3893"/>
      <c r="F118" s="3893"/>
      <c r="G118" s="3893"/>
      <c r="H118" s="3893"/>
      <c r="I118" s="3893"/>
      <c r="J118" s="3893"/>
      <c r="K118" s="3894"/>
      <c r="L118" s="3895"/>
      <c r="M118" s="3896"/>
      <c r="N118" s="3897"/>
      <c r="O118" s="3897"/>
      <c r="P118" s="3888"/>
      <c r="Q118" s="3889"/>
    </row>
    <row r="119" spans="1:17" s="3890" customFormat="1" ht="14.4" thickBot="1">
      <c r="A119" s="3810"/>
      <c r="B119" s="3884"/>
      <c r="C119" s="3913">
        <v>100</v>
      </c>
      <c r="D119" s="3913">
        <f t="shared" ref="D119:M119" si="31">C119-$K40</f>
        <v>100</v>
      </c>
      <c r="E119" s="3913">
        <f t="shared" si="31"/>
        <v>100</v>
      </c>
      <c r="F119" s="3913">
        <f t="shared" si="31"/>
        <v>100</v>
      </c>
      <c r="G119" s="3913">
        <f t="shared" si="31"/>
        <v>100</v>
      </c>
      <c r="H119" s="3913">
        <f t="shared" si="31"/>
        <v>100</v>
      </c>
      <c r="I119" s="3913">
        <f t="shared" si="31"/>
        <v>100</v>
      </c>
      <c r="J119" s="3913">
        <f t="shared" si="31"/>
        <v>100</v>
      </c>
      <c r="K119" s="3913">
        <f t="shared" si="31"/>
        <v>100</v>
      </c>
      <c r="L119" s="3913">
        <f t="shared" si="31"/>
        <v>100</v>
      </c>
      <c r="M119" s="3913">
        <f t="shared" si="31"/>
        <v>100</v>
      </c>
      <c r="N119" s="3887"/>
      <c r="O119" s="3887"/>
      <c r="P119" s="3888"/>
      <c r="Q119" s="3889"/>
    </row>
    <row r="120" spans="1:17" s="3924" customFormat="1" ht="29.4" thickTop="1">
      <c r="A120" s="3856"/>
      <c r="B120" s="3891" t="s">
        <v>1705</v>
      </c>
      <c r="C120" s="3892"/>
      <c r="D120" s="3892"/>
      <c r="E120" s="3892"/>
      <c r="F120" s="3892"/>
      <c r="G120" s="3892"/>
      <c r="H120" s="3892"/>
      <c r="I120" s="3892"/>
      <c r="J120" s="3892"/>
      <c r="K120" s="3892"/>
      <c r="L120" s="3938"/>
      <c r="M120" s="3939"/>
      <c r="N120" s="3921"/>
      <c r="O120" s="3921"/>
      <c r="P120" s="3922"/>
      <c r="Q120" s="3923"/>
    </row>
    <row r="121" spans="1:17" s="3924" customFormat="1" ht="14.4" thickBot="1">
      <c r="A121" s="3925"/>
      <c r="B121" s="3940"/>
      <c r="C121" s="3882"/>
      <c r="D121" s="3885"/>
      <c r="E121" s="3885"/>
      <c r="F121" s="3885"/>
      <c r="G121" s="3885"/>
      <c r="H121" s="3885"/>
      <c r="I121" s="3885"/>
      <c r="J121" s="3885"/>
      <c r="K121" s="3885"/>
      <c r="L121" s="3885"/>
      <c r="M121" s="3885"/>
      <c r="N121" s="3921"/>
      <c r="O121" s="3921"/>
      <c r="P121" s="3922"/>
      <c r="Q121" s="3923"/>
    </row>
    <row r="122" spans="1:17" s="3890" customFormat="1" ht="15" thickTop="1">
      <c r="A122" s="3858"/>
      <c r="B122" s="3891" t="s">
        <v>1744</v>
      </c>
      <c r="C122" s="3926" t="s">
        <v>3400</v>
      </c>
      <c r="D122" s="3926" t="s">
        <v>3401</v>
      </c>
      <c r="E122" s="3926" t="s">
        <v>3403</v>
      </c>
      <c r="F122" s="3937" t="s">
        <v>3404</v>
      </c>
      <c r="G122" s="3893"/>
      <c r="H122" s="3893"/>
      <c r="I122" s="3893"/>
      <c r="J122" s="3893"/>
      <c r="K122" s="3894"/>
      <c r="L122" s="3895"/>
      <c r="M122" s="3896"/>
      <c r="N122" s="3897"/>
      <c r="O122" s="3897"/>
      <c r="P122" s="3888"/>
      <c r="Q122" s="3889"/>
    </row>
    <row r="123" spans="1:17" s="3890" customFormat="1" ht="14.4" thickBot="1">
      <c r="A123" s="3810"/>
      <c r="B123" s="3884"/>
      <c r="C123" s="3913">
        <v>100</v>
      </c>
      <c r="D123" s="3913">
        <f t="shared" ref="D123:M123" si="32">C123-$K42</f>
        <v>98</v>
      </c>
      <c r="E123" s="3913">
        <f t="shared" si="32"/>
        <v>96</v>
      </c>
      <c r="F123" s="3913">
        <f t="shared" si="32"/>
        <v>94</v>
      </c>
      <c r="G123" s="3913">
        <f t="shared" si="32"/>
        <v>92</v>
      </c>
      <c r="H123" s="3913">
        <f t="shared" si="32"/>
        <v>90</v>
      </c>
      <c r="I123" s="3913">
        <f t="shared" si="32"/>
        <v>88</v>
      </c>
      <c r="J123" s="3913">
        <f t="shared" si="32"/>
        <v>86</v>
      </c>
      <c r="K123" s="3913">
        <f t="shared" si="32"/>
        <v>84</v>
      </c>
      <c r="L123" s="3913">
        <f t="shared" si="32"/>
        <v>82</v>
      </c>
      <c r="M123" s="3913">
        <f t="shared" si="32"/>
        <v>80</v>
      </c>
      <c r="N123" s="3887"/>
      <c r="O123" s="3887"/>
      <c r="P123" s="3888"/>
      <c r="Q123" s="3889"/>
    </row>
    <row r="124" spans="1:17" s="3890" customFormat="1" ht="29.4" thickTop="1">
      <c r="A124" s="3858"/>
      <c r="B124" s="3891" t="s">
        <v>1745</v>
      </c>
      <c r="C124" s="3914" t="s">
        <v>1721</v>
      </c>
      <c r="D124" s="3914" t="s">
        <v>1722</v>
      </c>
      <c r="E124" s="3914" t="s">
        <v>1723</v>
      </c>
      <c r="F124" s="3914" t="s">
        <v>1724</v>
      </c>
      <c r="G124" s="3914" t="s">
        <v>1725</v>
      </c>
      <c r="H124" s="3941"/>
      <c r="I124" s="3941"/>
      <c r="J124" s="3941"/>
      <c r="K124" s="3942"/>
      <c r="L124" s="3943"/>
      <c r="M124" s="3944"/>
      <c r="N124" s="3897"/>
      <c r="O124" s="3897"/>
      <c r="P124" s="3922"/>
      <c r="Q124" s="3889"/>
    </row>
    <row r="125" spans="1:17" s="3890" customFormat="1" ht="14.4" thickBot="1">
      <c r="A125" s="3810"/>
      <c r="B125" s="3884"/>
      <c r="C125" s="3913">
        <v>100</v>
      </c>
      <c r="D125" s="3913">
        <f>C125-$K43</f>
        <v>100</v>
      </c>
      <c r="E125" s="3913">
        <f>D125-$K43</f>
        <v>100</v>
      </c>
      <c r="F125" s="3913">
        <f>E125-$K43</f>
        <v>100</v>
      </c>
      <c r="G125" s="3913">
        <f>F125-$K43</f>
        <v>100</v>
      </c>
      <c r="H125" s="3913"/>
      <c r="I125" s="3913"/>
      <c r="J125" s="3913"/>
      <c r="K125" s="3913"/>
      <c r="L125" s="3913"/>
      <c r="M125" s="3936"/>
      <c r="N125" s="3887"/>
      <c r="O125" s="3887"/>
      <c r="P125" s="3888"/>
      <c r="Q125" s="3889"/>
    </row>
    <row r="126" spans="1:17" s="3924" customFormat="1" ht="14.4" thickTop="1">
      <c r="A126" s="3856"/>
      <c r="B126" s="3891" t="str">
        <f>B44</f>
        <v>建成年代</v>
      </c>
      <c r="C126" s="3892">
        <f>C44</f>
        <v>0</v>
      </c>
      <c r="D126" s="3892">
        <f>E44</f>
        <v>0</v>
      </c>
      <c r="E126" s="3892">
        <f>I44</f>
        <v>0</v>
      </c>
      <c r="F126" s="3892"/>
      <c r="G126" s="3892"/>
      <c r="H126" s="3945"/>
      <c r="I126" s="3945"/>
      <c r="J126" s="3945"/>
      <c r="K126" s="3945"/>
      <c r="L126" s="3946"/>
      <c r="M126" s="3947"/>
      <c r="N126" s="3921"/>
      <c r="O126" s="3921"/>
      <c r="P126" s="3922"/>
      <c r="Q126" s="3923"/>
    </row>
    <row r="127" spans="1:17" s="3924" customFormat="1" ht="14.4" thickBot="1">
      <c r="A127" s="3925"/>
      <c r="B127" s="3884"/>
      <c r="C127" s="3882">
        <v>100</v>
      </c>
      <c r="D127" s="3885">
        <v>102</v>
      </c>
      <c r="E127" s="3885">
        <v>102.5</v>
      </c>
      <c r="F127" s="3885"/>
      <c r="G127" s="3882"/>
      <c r="H127" s="3948"/>
      <c r="I127" s="3948"/>
      <c r="J127" s="3948"/>
      <c r="K127" s="3948"/>
      <c r="L127" s="3948"/>
      <c r="M127" s="3949"/>
      <c r="N127" s="3921"/>
      <c r="O127" s="3921"/>
      <c r="P127" s="3922"/>
      <c r="Q127" s="3923"/>
    </row>
    <row r="128" spans="1:17" ht="14.4" thickTop="1">
      <c r="A128" s="543"/>
      <c r="B128" s="482">
        <f>B45</f>
        <v>111</v>
      </c>
      <c r="C128" s="498"/>
      <c r="D128" s="498"/>
      <c r="E128" s="498"/>
      <c r="F128" s="498"/>
      <c r="G128" s="527"/>
      <c r="H128" s="527"/>
      <c r="I128" s="527"/>
      <c r="J128" s="527"/>
      <c r="K128" s="528"/>
      <c r="L128" s="529"/>
      <c r="M128" s="530"/>
      <c r="N128" s="923"/>
      <c r="O128" s="923"/>
      <c r="P128" s="1894"/>
      <c r="Q128" s="448"/>
    </row>
    <row r="129" spans="1:17" ht="14.4" thickBot="1">
      <c r="A129" s="478"/>
      <c r="B129" s="487"/>
      <c r="C129" s="504"/>
      <c r="D129" s="504"/>
      <c r="E129" s="504"/>
      <c r="F129" s="504"/>
      <c r="G129" s="480"/>
      <c r="H129" s="480"/>
      <c r="I129" s="480"/>
      <c r="J129" s="480"/>
      <c r="K129" s="480"/>
      <c r="L129" s="480"/>
      <c r="M129" s="481"/>
      <c r="N129" s="924"/>
      <c r="O129" s="924"/>
      <c r="P129" s="1894"/>
      <c r="Q129" s="448"/>
    </row>
    <row r="130" spans="1:17" ht="14.4" thickTop="1">
      <c r="A130" s="543"/>
      <c r="B130" s="490">
        <f>B46</f>
        <v>111</v>
      </c>
      <c r="C130" s="498"/>
      <c r="D130" s="498"/>
      <c r="E130" s="498"/>
      <c r="F130" s="498"/>
      <c r="G130" s="531"/>
      <c r="H130" s="531"/>
      <c r="I130" s="531"/>
      <c r="J130" s="531"/>
      <c r="K130" s="467"/>
      <c r="L130" s="468"/>
      <c r="M130" s="534"/>
      <c r="N130" s="923"/>
      <c r="O130" s="923"/>
      <c r="P130" s="1894"/>
      <c r="Q130" s="448"/>
    </row>
    <row r="131" spans="1:17" ht="14.4" thickBot="1">
      <c r="A131" s="1900"/>
      <c r="B131" s="513"/>
      <c r="C131" s="514"/>
      <c r="D131" s="514"/>
      <c r="E131" s="514"/>
      <c r="F131" s="514"/>
      <c r="G131" s="535"/>
      <c r="H131" s="535"/>
      <c r="I131" s="535"/>
      <c r="J131" s="535"/>
      <c r="K131" s="535"/>
      <c r="L131" s="535"/>
      <c r="M131" s="536"/>
      <c r="N131" s="924"/>
      <c r="O131" s="924"/>
      <c r="P131" s="1894"/>
      <c r="Q131" s="448"/>
    </row>
    <row r="136" spans="1:17" ht="15" thickBot="1">
      <c r="B136" s="1901" t="s">
        <v>1746</v>
      </c>
    </row>
    <row r="137" spans="1:17" ht="15">
      <c r="B137" s="1902" t="s">
        <v>1747</v>
      </c>
      <c r="C137" s="1903"/>
      <c r="D137" s="1903"/>
      <c r="E137" s="1903"/>
      <c r="F137" s="1903"/>
      <c r="G137" s="1904"/>
      <c r="H137" s="1905"/>
      <c r="I137" s="1906" t="s">
        <v>1748</v>
      </c>
      <c r="J137" s="1903"/>
      <c r="K137" s="1907"/>
    </row>
    <row r="138" spans="1:17" ht="15">
      <c r="B138" s="1908"/>
      <c r="C138" s="134" t="s">
        <v>1749</v>
      </c>
      <c r="D138" s="134" t="s">
        <v>1750</v>
      </c>
      <c r="E138" s="1909" t="s">
        <v>1751</v>
      </c>
      <c r="F138" s="1910" t="s">
        <v>1752</v>
      </c>
      <c r="G138" s="134" t="s">
        <v>1750</v>
      </c>
      <c r="H138" s="135" t="s">
        <v>1751</v>
      </c>
      <c r="I138" s="1911"/>
      <c r="J138" s="134" t="s">
        <v>1753</v>
      </c>
      <c r="K138" s="135" t="s">
        <v>1754</v>
      </c>
    </row>
    <row r="139" spans="1:17" ht="15">
      <c r="B139" s="857">
        <v>6</v>
      </c>
      <c r="C139" s="858">
        <v>96</v>
      </c>
      <c r="D139" s="1912" t="s">
        <v>1755</v>
      </c>
      <c r="E139" s="859">
        <v>100</v>
      </c>
      <c r="F139" s="860">
        <v>102.5</v>
      </c>
      <c r="G139" s="1912" t="s">
        <v>1755</v>
      </c>
      <c r="H139" s="861">
        <v>105</v>
      </c>
      <c r="I139" s="1913" t="s">
        <v>1756</v>
      </c>
      <c r="J139" s="858">
        <v>20</v>
      </c>
      <c r="K139" s="862">
        <f>C145/(J139-2)</f>
        <v>4.0555555555555553E-3</v>
      </c>
    </row>
    <row r="140" spans="1:17" ht="15">
      <c r="B140" s="863">
        <v>5</v>
      </c>
      <c r="C140" s="864">
        <v>100</v>
      </c>
      <c r="D140" s="864"/>
      <c r="E140" s="865"/>
      <c r="F140" s="866">
        <v>102</v>
      </c>
      <c r="G140" s="864"/>
      <c r="H140" s="867"/>
      <c r="I140" s="1914" t="s">
        <v>1757</v>
      </c>
      <c r="J140" s="266">
        <f>ROUNDUP((J139-1)/2,0)</f>
        <v>10</v>
      </c>
      <c r="K140" s="868">
        <v>100</v>
      </c>
    </row>
    <row r="141" spans="1:17" ht="15">
      <c r="B141" s="863">
        <v>4</v>
      </c>
      <c r="C141" s="864">
        <v>102</v>
      </c>
      <c r="D141" s="864"/>
      <c r="E141" s="865"/>
      <c r="F141" s="866">
        <v>101.5</v>
      </c>
      <c r="G141" s="864"/>
      <c r="H141" s="867"/>
      <c r="I141" s="1914" t="s">
        <v>1758</v>
      </c>
      <c r="J141" s="266">
        <v>1</v>
      </c>
      <c r="K141" s="869">
        <f>ROUND(100+(J141-J140)*K139*100,1)</f>
        <v>96.4</v>
      </c>
    </row>
    <row r="142" spans="1:17" ht="15">
      <c r="B142" s="863">
        <v>3</v>
      </c>
      <c r="C142" s="864">
        <v>103</v>
      </c>
      <c r="D142" s="864"/>
      <c r="E142" s="865"/>
      <c r="F142" s="866">
        <v>101</v>
      </c>
      <c r="G142" s="864"/>
      <c r="H142" s="867"/>
      <c r="I142" s="1914" t="s">
        <v>1759</v>
      </c>
      <c r="J142" s="266">
        <f>J139</f>
        <v>20</v>
      </c>
      <c r="K142" s="870">
        <v>95</v>
      </c>
    </row>
    <row r="143" spans="1:17" ht="15">
      <c r="B143" s="863">
        <v>2</v>
      </c>
      <c r="C143" s="864">
        <v>100</v>
      </c>
      <c r="D143" s="864"/>
      <c r="E143" s="865"/>
      <c r="F143" s="866">
        <v>100.5</v>
      </c>
      <c r="G143" s="864"/>
      <c r="H143" s="867"/>
      <c r="I143" s="1914" t="s">
        <v>1760</v>
      </c>
      <c r="J143" s="864">
        <v>15</v>
      </c>
      <c r="K143" s="869">
        <f>ROUND(100+(J143-J140)*K139*100,1)</f>
        <v>102</v>
      </c>
    </row>
    <row r="144" spans="1:17" ht="15">
      <c r="B144" s="863">
        <v>1</v>
      </c>
      <c r="C144" s="864">
        <v>98</v>
      </c>
      <c r="D144" s="1915" t="s">
        <v>1761</v>
      </c>
      <c r="E144" s="865">
        <v>102</v>
      </c>
      <c r="F144" s="871">
        <v>100</v>
      </c>
      <c r="G144" s="1915" t="s">
        <v>1761</v>
      </c>
      <c r="H144" s="867">
        <v>105</v>
      </c>
      <c r="I144" s="1914" t="s">
        <v>1760</v>
      </c>
      <c r="J144" s="864">
        <v>18</v>
      </c>
      <c r="K144" s="869">
        <f>ROUND(100+(J144-J140)*K139*100,1)</f>
        <v>103.2</v>
      </c>
    </row>
    <row r="145" spans="2:11" ht="16.2" thickBot="1">
      <c r="B145" s="1916" t="s">
        <v>1762</v>
      </c>
      <c r="C145" s="872">
        <f>ROUND(MAX(C139:C144)/MIN(C139:C144)-1,3)</f>
        <v>7.2999999999999995E-2</v>
      </c>
      <c r="D145" s="873"/>
      <c r="E145" s="873"/>
      <c r="F145" s="1917" t="s">
        <v>1763</v>
      </c>
      <c r="G145" s="1918"/>
      <c r="H145" s="1919"/>
      <c r="I145" s="1920" t="s">
        <v>1760</v>
      </c>
      <c r="J145" s="874">
        <v>8</v>
      </c>
      <c r="K145" s="875">
        <f>ROUND(100+(J145-J140)*K139*100,1)</f>
        <v>99.2</v>
      </c>
    </row>
    <row r="147" spans="2:11" ht="14.4">
      <c r="B147" s="1901" t="s">
        <v>1764</v>
      </c>
    </row>
    <row r="148" spans="2:11" ht="14.4">
      <c r="B148" s="190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S1263"/>
  <sheetViews>
    <sheetView topLeftCell="A1270" workbookViewId="0">
      <selection activeCell="S1369" sqref="S1369"/>
    </sheetView>
  </sheetViews>
  <sheetFormatPr defaultRowHeight="14.4"/>
  <cols>
    <col min="1" max="3" width="8.88671875" style="3686"/>
    <col min="4" max="4" width="12.77734375" style="3686" bestFit="1" customWidth="1"/>
    <col min="5" max="5" width="8.88671875" style="3686"/>
    <col min="6" max="6" width="32.77734375" style="3686" customWidth="1"/>
    <col min="7" max="7" width="0" style="3686" hidden="1" customWidth="1"/>
    <col min="8" max="10" width="8.88671875" style="3686"/>
    <col min="11" max="11" width="0" style="3686" hidden="1" customWidth="1"/>
    <col min="12" max="14" width="8.88671875" style="3686"/>
    <col min="15" max="16" width="0" style="3686" hidden="1" customWidth="1"/>
    <col min="17" max="19" width="8.88671875" style="3686"/>
    <col min="20" max="20" width="0" style="3686" hidden="1" customWidth="1"/>
    <col min="21" max="21" width="8.88671875" style="3686"/>
    <col min="22" max="58" width="0" style="3686" hidden="1" customWidth="1"/>
    <col min="59" max="59" width="15.109375" style="3686" customWidth="1"/>
    <col min="60" max="61" width="8.88671875" style="3686"/>
    <col min="62" max="62" width="18" style="3686" customWidth="1"/>
    <col min="63" max="63" width="15.6640625" style="3686" bestFit="1" customWidth="1"/>
    <col min="64" max="16384" width="8.88671875" style="3686"/>
  </cols>
  <sheetData>
    <row r="1" spans="1:253" s="3441" customFormat="1" ht="13.5" customHeight="1">
      <c r="A1" s="3422"/>
      <c r="B1" s="3423"/>
      <c r="C1" s="3424"/>
      <c r="D1" s="3424"/>
      <c r="E1" s="3424"/>
      <c r="F1" s="3424"/>
      <c r="G1" s="3424"/>
      <c r="H1" s="3424"/>
      <c r="I1" s="3424"/>
      <c r="J1" s="3424"/>
      <c r="K1" s="3425"/>
      <c r="L1" s="3426"/>
      <c r="M1" s="3427"/>
      <c r="N1" s="3426"/>
      <c r="O1" s="3427"/>
      <c r="P1" s="3426"/>
      <c r="Q1" s="3427"/>
      <c r="R1" s="3427"/>
      <c r="S1" s="3426"/>
      <c r="T1" s="3428"/>
      <c r="U1" s="3426"/>
      <c r="V1" s="3425" t="s">
        <v>3496</v>
      </c>
      <c r="W1" s="3425"/>
      <c r="X1" s="3429"/>
      <c r="Y1" s="3426"/>
      <c r="Z1" s="3427" t="s">
        <v>3497</v>
      </c>
      <c r="AA1" s="3426"/>
      <c r="AB1" s="3426"/>
      <c r="AC1" s="3426"/>
      <c r="AD1" s="3426"/>
      <c r="AE1" s="3426"/>
      <c r="AF1" s="3423"/>
      <c r="AG1" s="3423"/>
      <c r="AH1" s="3425"/>
      <c r="AI1" s="3423"/>
      <c r="AJ1" s="3430"/>
      <c r="AK1" s="3423"/>
      <c r="AL1" s="4211" t="s">
        <v>3498</v>
      </c>
      <c r="AM1" s="4212"/>
      <c r="AN1" s="3431" t="s">
        <v>3499</v>
      </c>
      <c r="AO1" s="3431" t="s">
        <v>3500</v>
      </c>
      <c r="AP1" s="3431"/>
      <c r="AQ1" s="3431"/>
      <c r="AR1" s="3432"/>
      <c r="AS1" s="3432" t="s">
        <v>3501</v>
      </c>
      <c r="AT1" s="3432"/>
      <c r="AU1" s="3432"/>
      <c r="AV1" s="3431"/>
      <c r="AW1" s="3433"/>
      <c r="AX1" s="3433"/>
      <c r="AY1" s="3434"/>
      <c r="AZ1" s="3433"/>
      <c r="BA1" s="3433"/>
      <c r="BB1" s="3434"/>
      <c r="BC1" s="3433"/>
      <c r="BD1" s="3435"/>
      <c r="BE1" s="3433"/>
      <c r="BF1" s="3436"/>
      <c r="BG1" s="3437"/>
      <c r="BH1" s="3433"/>
      <c r="BI1" s="3433"/>
      <c r="BJ1" s="3438" t="s">
        <v>3502</v>
      </c>
      <c r="BK1" s="3439" t="s">
        <v>3503</v>
      </c>
      <c r="BL1" s="3431"/>
      <c r="BM1" s="3440"/>
      <c r="BN1" s="3440"/>
      <c r="BO1" s="3440"/>
    </row>
    <row r="2" spans="1:253" s="3452" customFormat="1" ht="15.6">
      <c r="A2" s="3442" t="s">
        <v>3504</v>
      </c>
      <c r="B2" s="3431" t="s">
        <v>3412</v>
      </c>
      <c r="C2" s="3442" t="s">
        <v>3413</v>
      </c>
      <c r="D2" s="3442" t="s">
        <v>3414</v>
      </c>
      <c r="E2" s="3442" t="s">
        <v>3415</v>
      </c>
      <c r="F2" s="3442" t="s">
        <v>3416</v>
      </c>
      <c r="G2" s="3442" t="s">
        <v>3417</v>
      </c>
      <c r="H2" s="3442" t="s">
        <v>3418</v>
      </c>
      <c r="I2" s="3442" t="s">
        <v>3505</v>
      </c>
      <c r="J2" s="3442" t="s">
        <v>3506</v>
      </c>
      <c r="K2" s="3431" t="s">
        <v>3419</v>
      </c>
      <c r="L2" s="3431" t="s">
        <v>3420</v>
      </c>
      <c r="M2" s="3431" t="s">
        <v>3507</v>
      </c>
      <c r="N2" s="3431" t="s">
        <v>3508</v>
      </c>
      <c r="O2" s="3431" t="s">
        <v>3421</v>
      </c>
      <c r="P2" s="3431" t="s">
        <v>3509</v>
      </c>
      <c r="Q2" s="3431" t="s">
        <v>3510</v>
      </c>
      <c r="R2" s="3431" t="s">
        <v>3511</v>
      </c>
      <c r="S2" s="3431" t="s">
        <v>3422</v>
      </c>
      <c r="T2" s="3443" t="s">
        <v>3423</v>
      </c>
      <c r="U2" s="3431" t="s">
        <v>3512</v>
      </c>
      <c r="V2" s="3431" t="s">
        <v>3424</v>
      </c>
      <c r="W2" s="3431" t="s">
        <v>3425</v>
      </c>
      <c r="X2" s="3443" t="s">
        <v>3426</v>
      </c>
      <c r="Y2" s="3431" t="s">
        <v>3513</v>
      </c>
      <c r="Z2" s="3431" t="s">
        <v>3514</v>
      </c>
      <c r="AA2" s="3431" t="s">
        <v>3427</v>
      </c>
      <c r="AB2" s="3431" t="s">
        <v>3428</v>
      </c>
      <c r="AC2" s="3431" t="s">
        <v>3429</v>
      </c>
      <c r="AD2" s="3431" t="s">
        <v>3515</v>
      </c>
      <c r="AE2" s="3431" t="s">
        <v>3430</v>
      </c>
      <c r="AF2" s="3431" t="s">
        <v>3431</v>
      </c>
      <c r="AG2" s="3431" t="s">
        <v>3432</v>
      </c>
      <c r="AH2" s="3431" t="s">
        <v>3516</v>
      </c>
      <c r="AI2" s="3431" t="s">
        <v>3433</v>
      </c>
      <c r="AJ2" s="3444" t="s">
        <v>3517</v>
      </c>
      <c r="AK2" s="3431" t="s">
        <v>3518</v>
      </c>
      <c r="AL2" s="3431" t="s">
        <v>3519</v>
      </c>
      <c r="AM2" s="3431" t="s">
        <v>3520</v>
      </c>
      <c r="AN2" s="3431" t="s">
        <v>3434</v>
      </c>
      <c r="AO2" s="3431" t="s">
        <v>3521</v>
      </c>
      <c r="AP2" s="3431" t="s">
        <v>3522</v>
      </c>
      <c r="AQ2" s="3431" t="s">
        <v>3523</v>
      </c>
      <c r="AR2" s="3432" t="s">
        <v>3435</v>
      </c>
      <c r="AS2" s="3432" t="s">
        <v>3514</v>
      </c>
      <c r="AT2" s="3432" t="s">
        <v>3524</v>
      </c>
      <c r="AU2" s="3432" t="s">
        <v>3436</v>
      </c>
      <c r="AV2" s="3445" t="s">
        <v>3525</v>
      </c>
      <c r="AW2" s="3446" t="s">
        <v>3526</v>
      </c>
      <c r="AX2" s="3447" t="s">
        <v>3437</v>
      </c>
      <c r="AY2" s="3448" t="s">
        <v>3527</v>
      </c>
      <c r="AZ2" s="3446" t="s">
        <v>3528</v>
      </c>
      <c r="BA2" s="3446" t="s">
        <v>3438</v>
      </c>
      <c r="BB2" s="3448" t="s">
        <v>3439</v>
      </c>
      <c r="BC2" s="3446" t="s">
        <v>3529</v>
      </c>
      <c r="BD2" s="3449" t="s">
        <v>3440</v>
      </c>
      <c r="BE2" s="3446" t="s">
        <v>3441</v>
      </c>
      <c r="BF2" s="3450" t="s">
        <v>3530</v>
      </c>
      <c r="BG2" s="3451" t="s">
        <v>3531</v>
      </c>
      <c r="BH2" s="3451" t="s">
        <v>3532</v>
      </c>
      <c r="BI2" s="3451" t="s">
        <v>3442</v>
      </c>
      <c r="BJ2" s="3438" t="s">
        <v>3443</v>
      </c>
      <c r="BK2" s="3439" t="s">
        <v>3444</v>
      </c>
      <c r="BL2" s="3432" t="s">
        <v>3533</v>
      </c>
      <c r="BM2" s="3440" t="s">
        <v>3445</v>
      </c>
      <c r="BN2" s="3440" t="s">
        <v>3446</v>
      </c>
      <c r="BO2" s="3440" t="s">
        <v>3447</v>
      </c>
    </row>
    <row r="3" spans="1:253" s="3456" customFormat="1" ht="12" hidden="1">
      <c r="A3" s="3453" t="s">
        <v>3534</v>
      </c>
      <c r="B3" s="3453" t="s">
        <v>3535</v>
      </c>
      <c r="C3" s="3454" t="s">
        <v>3536</v>
      </c>
      <c r="D3" s="3454" t="s">
        <v>3537</v>
      </c>
      <c r="E3" s="3453" t="s">
        <v>3538</v>
      </c>
      <c r="F3" s="3454" t="s">
        <v>3539</v>
      </c>
      <c r="G3" s="3455"/>
      <c r="H3" s="3454" t="s">
        <v>3540</v>
      </c>
      <c r="I3" s="3455"/>
      <c r="J3" s="3455" t="s">
        <v>3541</v>
      </c>
      <c r="K3" s="3456" t="s">
        <v>3542</v>
      </c>
      <c r="L3" s="3456">
        <v>102.79</v>
      </c>
      <c r="M3" s="3456">
        <v>12</v>
      </c>
      <c r="N3" s="3456" t="s">
        <v>3543</v>
      </c>
      <c r="O3" s="3456">
        <v>87.01</v>
      </c>
      <c r="P3" s="3456" t="s">
        <v>3452</v>
      </c>
      <c r="Q3" s="3457">
        <v>666000.05169999995</v>
      </c>
      <c r="R3" s="3456">
        <v>6479.23</v>
      </c>
      <c r="S3" s="3458">
        <v>66.31</v>
      </c>
      <c r="T3" s="3459">
        <v>663100</v>
      </c>
      <c r="U3" s="3456">
        <v>6451</v>
      </c>
      <c r="V3" s="3460">
        <v>0.1</v>
      </c>
      <c r="W3" s="3458">
        <v>59.68</v>
      </c>
      <c r="X3" s="3459">
        <v>596800</v>
      </c>
      <c r="Y3" s="3456">
        <v>2001</v>
      </c>
      <c r="Z3" s="3456">
        <v>1</v>
      </c>
      <c r="AA3" s="3456">
        <v>17</v>
      </c>
      <c r="AB3" s="3456">
        <v>3320</v>
      </c>
      <c r="AC3" s="3456" t="s">
        <v>3544</v>
      </c>
      <c r="AE3" s="3456" t="s">
        <v>3545</v>
      </c>
      <c r="AF3" s="3456" t="s">
        <v>3453</v>
      </c>
      <c r="AG3" s="3456" t="s">
        <v>3546</v>
      </c>
      <c r="AH3" s="3456" t="s">
        <v>3463</v>
      </c>
      <c r="AI3" s="3456" t="s">
        <v>3547</v>
      </c>
      <c r="AJ3" s="3461"/>
      <c r="AK3" s="3462">
        <v>1</v>
      </c>
      <c r="AV3" s="3463" t="s">
        <v>3548</v>
      </c>
      <c r="AW3" s="3464" t="s">
        <v>3549</v>
      </c>
      <c r="AX3" s="3465" t="s">
        <v>3550</v>
      </c>
      <c r="AY3" s="3463" t="s">
        <v>3542</v>
      </c>
      <c r="AZ3" s="3463"/>
      <c r="BA3" s="3466">
        <v>1100001502073</v>
      </c>
      <c r="BB3" s="3463" t="s">
        <v>3551</v>
      </c>
      <c r="BC3" s="3466">
        <v>100011</v>
      </c>
      <c r="BD3" s="3463">
        <v>64262674</v>
      </c>
      <c r="BE3" s="3467">
        <v>2.7</v>
      </c>
      <c r="BF3" s="3468">
        <v>37233</v>
      </c>
      <c r="BG3" s="3468" t="s">
        <v>3552</v>
      </c>
      <c r="BH3" s="3468" t="s">
        <v>3553</v>
      </c>
      <c r="BI3" s="3469"/>
      <c r="BJ3" s="3469"/>
      <c r="BK3" s="3469"/>
      <c r="BP3" s="3441"/>
      <c r="BQ3" s="3441"/>
      <c r="BR3" s="3441"/>
    </row>
    <row r="4" spans="1:253" s="3470" customFormat="1" ht="12" hidden="1">
      <c r="A4" s="3470" t="s">
        <v>3554</v>
      </c>
      <c r="B4" s="3470" t="s">
        <v>3555</v>
      </c>
      <c r="C4" s="3471" t="s">
        <v>3556</v>
      </c>
      <c r="D4" s="3470" t="s">
        <v>3557</v>
      </c>
      <c r="E4" s="3470" t="s">
        <v>3558</v>
      </c>
      <c r="F4" s="3470" t="s">
        <v>3559</v>
      </c>
      <c r="H4" s="3470" t="s">
        <v>3560</v>
      </c>
      <c r="I4" s="3470" t="s">
        <v>3561</v>
      </c>
      <c r="J4" s="3470" t="s">
        <v>3562</v>
      </c>
      <c r="K4" s="3470" t="s">
        <v>3563</v>
      </c>
      <c r="L4" s="3470">
        <v>62.63</v>
      </c>
      <c r="M4" s="3470">
        <v>6</v>
      </c>
      <c r="N4" s="3470" t="s">
        <v>3564</v>
      </c>
      <c r="O4" s="3470">
        <v>50.74</v>
      </c>
      <c r="P4" s="3470" t="s">
        <v>3452</v>
      </c>
      <c r="Q4" s="3457">
        <v>295738.86</v>
      </c>
      <c r="R4" s="3470">
        <v>4722</v>
      </c>
      <c r="S4" s="3472">
        <v>29.24</v>
      </c>
      <c r="T4" s="3473">
        <v>292400</v>
      </c>
      <c r="U4" s="3470">
        <v>4670</v>
      </c>
      <c r="V4" s="3474">
        <v>0.1</v>
      </c>
      <c r="W4" s="3475">
        <v>26.31</v>
      </c>
      <c r="X4" s="3476">
        <v>263100</v>
      </c>
      <c r="Y4" s="3441">
        <v>2003</v>
      </c>
      <c r="Z4" s="3441">
        <v>1</v>
      </c>
      <c r="AA4" s="3470">
        <v>3</v>
      </c>
      <c r="AB4" s="3477">
        <v>1460</v>
      </c>
      <c r="AC4" s="3470" t="s">
        <v>3565</v>
      </c>
      <c r="AE4" s="3470" t="s">
        <v>3566</v>
      </c>
      <c r="AF4" s="3470" t="s">
        <v>3567</v>
      </c>
      <c r="AG4" s="3470" t="s">
        <v>3466</v>
      </c>
      <c r="AH4" s="3470" t="s">
        <v>3568</v>
      </c>
      <c r="AI4" s="3470" t="s">
        <v>3569</v>
      </c>
      <c r="AJ4" s="3478">
        <v>37894</v>
      </c>
      <c r="AK4" s="3479" t="s">
        <v>3570</v>
      </c>
      <c r="AL4" s="3470">
        <v>64256608</v>
      </c>
      <c r="AM4" s="3470" t="s">
        <v>3568</v>
      </c>
      <c r="AN4" s="3480"/>
      <c r="AO4" s="3470" t="s">
        <v>3568</v>
      </c>
      <c r="AP4" s="3470" t="s">
        <v>3566</v>
      </c>
      <c r="AQ4" s="3470" t="s">
        <v>3571</v>
      </c>
      <c r="AW4" s="3470" t="s">
        <v>3572</v>
      </c>
      <c r="AX4" s="3470" t="s">
        <v>2511</v>
      </c>
      <c r="AY4" s="3481" t="s">
        <v>3573</v>
      </c>
      <c r="AZ4" s="3470" t="s">
        <v>3563</v>
      </c>
      <c r="BA4" s="3470" t="s">
        <v>3574</v>
      </c>
      <c r="BB4" s="3481" t="s">
        <v>3575</v>
      </c>
      <c r="BC4" s="3470" t="s">
        <v>3576</v>
      </c>
      <c r="BD4" s="3482">
        <v>100037</v>
      </c>
      <c r="BE4" s="3470">
        <v>84050046</v>
      </c>
      <c r="BF4" s="3483">
        <v>2.8</v>
      </c>
      <c r="BG4" s="3478">
        <v>37516</v>
      </c>
      <c r="BI4" s="3441" t="s">
        <v>3566</v>
      </c>
      <c r="BJ4" s="3484">
        <v>37586</v>
      </c>
      <c r="BK4" s="3478">
        <v>37608</v>
      </c>
      <c r="BL4" s="3441"/>
      <c r="BM4" s="3441"/>
      <c r="BN4" s="3441"/>
      <c r="BO4" s="3441"/>
      <c r="BP4" s="3441"/>
      <c r="BQ4" s="3441"/>
      <c r="BR4" s="3441"/>
    </row>
    <row r="5" spans="1:253" s="3502" customFormat="1" ht="12" hidden="1">
      <c r="A5" s="3485" t="s">
        <v>3577</v>
      </c>
      <c r="B5" s="3486" t="s">
        <v>3578</v>
      </c>
      <c r="C5" s="3481" t="s">
        <v>3579</v>
      </c>
      <c r="D5" s="3487" t="s">
        <v>3580</v>
      </c>
      <c r="E5" s="3488" t="s">
        <v>3558</v>
      </c>
      <c r="F5" s="3489" t="s">
        <v>3559</v>
      </c>
      <c r="G5" s="3490"/>
      <c r="H5" s="3486" t="s">
        <v>3581</v>
      </c>
      <c r="I5" s="3486" t="s">
        <v>3582</v>
      </c>
      <c r="J5" s="3488" t="s">
        <v>3583</v>
      </c>
      <c r="K5" s="3490" t="s">
        <v>3563</v>
      </c>
      <c r="L5" s="3491">
        <v>71.52</v>
      </c>
      <c r="M5" s="3491">
        <v>9</v>
      </c>
      <c r="N5" s="3470" t="s">
        <v>3584</v>
      </c>
      <c r="O5" s="3491">
        <v>57.94</v>
      </c>
      <c r="P5" s="3490" t="s">
        <v>3452</v>
      </c>
      <c r="Q5" s="3492">
        <v>328992</v>
      </c>
      <c r="R5" s="3491">
        <v>4600</v>
      </c>
      <c r="S5" s="3472">
        <v>32.54</v>
      </c>
      <c r="T5" s="3473">
        <v>325400</v>
      </c>
      <c r="U5" s="3491">
        <v>4550</v>
      </c>
      <c r="V5" s="3493">
        <v>0.1</v>
      </c>
      <c r="W5" s="3475">
        <v>29.28</v>
      </c>
      <c r="X5" s="3494">
        <v>292800</v>
      </c>
      <c r="Y5" s="3477">
        <v>2003</v>
      </c>
      <c r="Z5" s="3495">
        <v>1</v>
      </c>
      <c r="AA5" s="3441">
        <v>17</v>
      </c>
      <c r="AB5" s="3485">
        <v>1625</v>
      </c>
      <c r="AC5" s="3470" t="s">
        <v>3585</v>
      </c>
      <c r="AD5" s="3496"/>
      <c r="AE5" s="3497" t="s">
        <v>3586</v>
      </c>
      <c r="AF5" s="3486" t="s">
        <v>3587</v>
      </c>
      <c r="AG5" s="3498" t="s">
        <v>3466</v>
      </c>
      <c r="AH5" s="3496" t="s">
        <v>3588</v>
      </c>
      <c r="AI5" s="3456" t="s">
        <v>3589</v>
      </c>
      <c r="AJ5" s="3499">
        <v>37894</v>
      </c>
      <c r="AK5" s="3500" t="s">
        <v>3456</v>
      </c>
      <c r="AL5" s="3501">
        <v>64256608</v>
      </c>
      <c r="AM5" s="3502" t="s">
        <v>3568</v>
      </c>
      <c r="AN5" s="3441"/>
      <c r="AO5" s="3502" t="s">
        <v>2420</v>
      </c>
      <c r="AP5" s="3497" t="s">
        <v>3590</v>
      </c>
      <c r="AQ5" s="3480" t="s">
        <v>3571</v>
      </c>
      <c r="AV5" s="3491"/>
      <c r="AW5" s="3490" t="s">
        <v>3572</v>
      </c>
      <c r="AX5" s="3502" t="s">
        <v>2511</v>
      </c>
      <c r="AY5" s="3503" t="s">
        <v>3591</v>
      </c>
      <c r="AZ5" s="3502" t="s">
        <v>3592</v>
      </c>
      <c r="BA5" s="3502" t="s">
        <v>3574</v>
      </c>
      <c r="BB5" s="3504"/>
      <c r="BC5" s="3501" t="s">
        <v>3576</v>
      </c>
      <c r="BD5" s="3505">
        <v>100037</v>
      </c>
      <c r="BE5" s="3502">
        <v>84050046</v>
      </c>
      <c r="BF5" s="3506">
        <v>2.8</v>
      </c>
      <c r="BG5" s="3507">
        <v>37583</v>
      </c>
      <c r="BI5" s="3463" t="s">
        <v>3593</v>
      </c>
      <c r="BJ5" s="3508">
        <v>37607</v>
      </c>
      <c r="BK5" s="3508">
        <v>37631</v>
      </c>
      <c r="BL5" s="3441" t="s">
        <v>3594</v>
      </c>
      <c r="BM5" s="3441"/>
      <c r="BN5" s="3441"/>
      <c r="BO5" s="3441"/>
      <c r="BP5" s="3441"/>
      <c r="BQ5" s="3441"/>
      <c r="BR5" s="3441"/>
      <c r="BS5" s="3470"/>
      <c r="BT5" s="3470"/>
      <c r="BU5" s="3470"/>
    </row>
    <row r="6" spans="1:253" s="3453" customFormat="1" ht="12" hidden="1">
      <c r="A6" s="3485" t="s">
        <v>3595</v>
      </c>
      <c r="B6" s="3453" t="s">
        <v>3596</v>
      </c>
      <c r="C6" s="3509">
        <v>110108580404641</v>
      </c>
      <c r="D6" s="3453">
        <v>62282311</v>
      </c>
      <c r="E6" s="3453" t="s">
        <v>2736</v>
      </c>
      <c r="F6" s="3453" t="s">
        <v>3597</v>
      </c>
      <c r="H6" s="3453" t="s">
        <v>3598</v>
      </c>
      <c r="I6" s="3453" t="s">
        <v>3599</v>
      </c>
      <c r="J6" s="3453" t="s">
        <v>3600</v>
      </c>
      <c r="K6" s="3453" t="s">
        <v>3601</v>
      </c>
      <c r="L6" s="3495">
        <v>91.89</v>
      </c>
      <c r="M6" s="3495">
        <v>13</v>
      </c>
      <c r="N6" s="3453" t="s">
        <v>3602</v>
      </c>
      <c r="O6" s="3495">
        <v>70.83</v>
      </c>
      <c r="P6" s="3453" t="s">
        <v>3452</v>
      </c>
      <c r="Q6" s="3510">
        <v>607852.35</v>
      </c>
      <c r="R6" s="3495">
        <v>6615</v>
      </c>
      <c r="S6" s="3472">
        <v>60.3</v>
      </c>
      <c r="T6" s="3511">
        <v>603000</v>
      </c>
      <c r="U6" s="3495">
        <v>6563</v>
      </c>
      <c r="V6" s="3512">
        <v>0.1</v>
      </c>
      <c r="W6" s="3475">
        <v>54.27</v>
      </c>
      <c r="X6" s="3473">
        <v>542700</v>
      </c>
      <c r="Y6" s="3495">
        <v>2003</v>
      </c>
      <c r="Z6" s="3495">
        <v>1</v>
      </c>
      <c r="AA6" s="3495">
        <v>3</v>
      </c>
      <c r="AB6" s="3485">
        <v>3015</v>
      </c>
      <c r="AC6" s="3470" t="s">
        <v>3603</v>
      </c>
      <c r="AE6" s="3441" t="s">
        <v>3586</v>
      </c>
      <c r="AF6" s="3453" t="s">
        <v>3604</v>
      </c>
      <c r="AG6" s="3453" t="s">
        <v>3605</v>
      </c>
      <c r="AI6" s="3470" t="s">
        <v>2152</v>
      </c>
      <c r="AJ6" s="3513">
        <v>37647</v>
      </c>
      <c r="AK6" s="3453" t="s">
        <v>3456</v>
      </c>
      <c r="AL6" s="3441">
        <v>64256608</v>
      </c>
      <c r="AM6" s="3453" t="s">
        <v>3588</v>
      </c>
      <c r="AN6" s="3456" t="s">
        <v>3456</v>
      </c>
      <c r="AP6" s="3441" t="s">
        <v>3586</v>
      </c>
      <c r="AQ6" s="3456" t="s">
        <v>3457</v>
      </c>
      <c r="AV6" s="3514"/>
      <c r="AW6" s="3470" t="s">
        <v>3458</v>
      </c>
      <c r="AX6" s="3441" t="s">
        <v>3606</v>
      </c>
      <c r="AY6" s="3515">
        <v>210215</v>
      </c>
      <c r="AZ6" s="3441" t="s">
        <v>3607</v>
      </c>
      <c r="BA6" s="3453" t="s">
        <v>3608</v>
      </c>
      <c r="BB6" s="3466">
        <v>1100001504174</v>
      </c>
      <c r="BC6" s="3453" t="s">
        <v>3609</v>
      </c>
      <c r="BD6" s="3453">
        <v>100088</v>
      </c>
      <c r="BE6" s="3453">
        <v>62238844</v>
      </c>
      <c r="BF6" s="3516">
        <v>2.7</v>
      </c>
      <c r="BG6" s="3517">
        <v>37586</v>
      </c>
      <c r="BI6" s="3441" t="s">
        <v>3586</v>
      </c>
      <c r="BJ6" s="3518">
        <v>37617</v>
      </c>
      <c r="BK6" s="3441"/>
      <c r="BL6" s="3470" t="s">
        <v>3594</v>
      </c>
      <c r="BM6" s="3441"/>
      <c r="BN6" s="3441"/>
      <c r="BO6" s="3441"/>
      <c r="BP6" s="3441"/>
      <c r="BQ6" s="3441"/>
      <c r="BR6" s="3441"/>
      <c r="BS6" s="3470"/>
      <c r="BT6" s="3470"/>
      <c r="BU6" s="3470"/>
    </row>
    <row r="7" spans="1:253" s="3470" customFormat="1" ht="12" hidden="1">
      <c r="A7" s="3453" t="s">
        <v>3610</v>
      </c>
      <c r="B7" s="3470" t="s">
        <v>3611</v>
      </c>
      <c r="C7" s="3481" t="s">
        <v>3612</v>
      </c>
      <c r="D7" s="3470">
        <v>62751560</v>
      </c>
      <c r="E7" s="3470" t="s">
        <v>3558</v>
      </c>
      <c r="F7" s="3470" t="s">
        <v>3613</v>
      </c>
      <c r="H7" s="3453" t="s">
        <v>3614</v>
      </c>
      <c r="I7" s="3453" t="s">
        <v>3615</v>
      </c>
      <c r="J7" s="3453" t="s">
        <v>3616</v>
      </c>
      <c r="K7" s="3470" t="s">
        <v>3617</v>
      </c>
      <c r="L7" s="3495">
        <v>146.99</v>
      </c>
      <c r="M7" s="3495">
        <v>2</v>
      </c>
      <c r="N7" s="3470" t="s">
        <v>3488</v>
      </c>
      <c r="O7" s="3495">
        <v>134.26</v>
      </c>
      <c r="P7" s="3470" t="s">
        <v>3452</v>
      </c>
      <c r="Q7" s="3457">
        <v>639344.76419999998</v>
      </c>
      <c r="R7" s="3495">
        <v>4349.58</v>
      </c>
      <c r="S7" s="3472">
        <v>63.2</v>
      </c>
      <c r="T7" s="3473">
        <v>632000</v>
      </c>
      <c r="U7" s="3495">
        <v>4300</v>
      </c>
      <c r="V7" s="3512">
        <v>0.1</v>
      </c>
      <c r="W7" s="3475">
        <v>56.88</v>
      </c>
      <c r="X7" s="3473">
        <v>568800</v>
      </c>
      <c r="Y7" s="3495">
        <v>2003</v>
      </c>
      <c r="Z7" s="3495">
        <v>1</v>
      </c>
      <c r="AA7" s="3495">
        <v>3</v>
      </c>
      <c r="AB7" s="3485">
        <v>3160</v>
      </c>
      <c r="AC7" s="3470" t="s">
        <v>3603</v>
      </c>
      <c r="AE7" s="3456" t="s">
        <v>3566</v>
      </c>
      <c r="AF7" s="3453" t="s">
        <v>3618</v>
      </c>
      <c r="AG7" s="3470" t="s">
        <v>3466</v>
      </c>
      <c r="AI7" s="3456" t="s">
        <v>3569</v>
      </c>
      <c r="AJ7" s="3478">
        <v>37894</v>
      </c>
      <c r="AK7" s="3470" t="s">
        <v>3456</v>
      </c>
      <c r="AL7" s="3495">
        <v>64256608</v>
      </c>
      <c r="AN7" s="3456" t="s">
        <v>3619</v>
      </c>
      <c r="AP7" s="3456" t="s">
        <v>3590</v>
      </c>
      <c r="AQ7" s="3456" t="s">
        <v>3457</v>
      </c>
      <c r="AV7" s="3519"/>
      <c r="AW7" s="3470" t="s">
        <v>3572</v>
      </c>
      <c r="AX7" s="3470" t="s">
        <v>2511</v>
      </c>
      <c r="AY7" s="3495">
        <v>252109</v>
      </c>
      <c r="AZ7" s="3470" t="s">
        <v>3617</v>
      </c>
      <c r="BA7" s="3470" t="s">
        <v>3620</v>
      </c>
      <c r="BB7" s="3470" t="s">
        <v>3621</v>
      </c>
      <c r="BC7" s="3470" t="s">
        <v>3622</v>
      </c>
      <c r="BD7" s="3470">
        <v>100096</v>
      </c>
      <c r="BE7" s="3470">
        <v>82919961</v>
      </c>
      <c r="BF7" s="3520">
        <v>2.9</v>
      </c>
      <c r="BG7" s="3478">
        <v>37612</v>
      </c>
      <c r="BI7" s="3470" t="s">
        <v>3590</v>
      </c>
      <c r="BJ7" s="3478">
        <v>37621</v>
      </c>
      <c r="BL7" s="3470" t="s">
        <v>3623</v>
      </c>
      <c r="BM7" s="3441"/>
      <c r="BN7" s="3441"/>
      <c r="BO7" s="3441"/>
      <c r="BP7" s="3441"/>
      <c r="BQ7" s="3441"/>
      <c r="BR7" s="3441"/>
    </row>
    <row r="8" spans="1:253" s="3441" customFormat="1" ht="12" hidden="1">
      <c r="A8" s="3485" t="s">
        <v>3624</v>
      </c>
      <c r="B8" s="3470" t="s">
        <v>3625</v>
      </c>
      <c r="C8" s="3481" t="s">
        <v>3626</v>
      </c>
      <c r="D8" s="3481" t="s">
        <v>3627</v>
      </c>
      <c r="E8" s="3470" t="s">
        <v>2736</v>
      </c>
      <c r="F8" s="3521" t="s">
        <v>3628</v>
      </c>
      <c r="G8" s="3470"/>
      <c r="H8" s="3470" t="s">
        <v>3629</v>
      </c>
      <c r="I8" s="3470" t="s">
        <v>3464</v>
      </c>
      <c r="J8" s="3481" t="s">
        <v>3630</v>
      </c>
      <c r="K8" s="3470" t="s">
        <v>3631</v>
      </c>
      <c r="L8" s="3470">
        <v>155.87</v>
      </c>
      <c r="M8" s="3470">
        <v>6</v>
      </c>
      <c r="N8" s="3486" t="s">
        <v>3632</v>
      </c>
      <c r="O8" s="3470">
        <v>126.37</v>
      </c>
      <c r="P8" s="3470" t="s">
        <v>3633</v>
      </c>
      <c r="Q8" s="3457">
        <v>985098.4</v>
      </c>
      <c r="R8" s="3470">
        <v>6320</v>
      </c>
      <c r="S8" s="3472">
        <v>0</v>
      </c>
      <c r="T8" s="3473">
        <v>0</v>
      </c>
      <c r="U8" s="3470"/>
      <c r="V8" s="3474">
        <v>0.1</v>
      </c>
      <c r="W8" s="3475">
        <v>0</v>
      </c>
      <c r="X8" s="3473">
        <v>0</v>
      </c>
      <c r="Y8" s="3441">
        <v>2003</v>
      </c>
      <c r="Z8" s="3441">
        <v>1</v>
      </c>
      <c r="AA8" s="3441">
        <v>3</v>
      </c>
      <c r="AB8" s="3485">
        <v>0</v>
      </c>
      <c r="AC8" s="3470" t="s">
        <v>3634</v>
      </c>
      <c r="AD8" s="3485"/>
      <c r="AE8" s="3441" t="s">
        <v>3586</v>
      </c>
      <c r="AF8" s="3453" t="s">
        <v>3587</v>
      </c>
      <c r="AG8" s="3522" t="s">
        <v>3466</v>
      </c>
      <c r="AH8" s="3485"/>
      <c r="AI8" s="3470" t="s">
        <v>2152</v>
      </c>
      <c r="AJ8" s="3523">
        <v>37965</v>
      </c>
      <c r="AK8" s="3479" t="s">
        <v>3456</v>
      </c>
      <c r="AL8" s="3441">
        <v>64256608</v>
      </c>
      <c r="AN8" s="3441" t="s">
        <v>3635</v>
      </c>
      <c r="AP8" s="3441" t="s">
        <v>3590</v>
      </c>
      <c r="AQ8" s="3441" t="s">
        <v>3457</v>
      </c>
      <c r="AW8" s="3441" t="s">
        <v>3636</v>
      </c>
      <c r="AX8" s="3441" t="s">
        <v>2511</v>
      </c>
      <c r="AY8" s="3524" t="s">
        <v>3637</v>
      </c>
      <c r="AZ8" s="3441" t="s">
        <v>3638</v>
      </c>
      <c r="BA8" s="3441" t="s">
        <v>3639</v>
      </c>
      <c r="BB8" s="3524" t="s">
        <v>3640</v>
      </c>
      <c r="BC8" s="3441" t="s">
        <v>3641</v>
      </c>
      <c r="BD8" s="3525">
        <v>100088</v>
      </c>
      <c r="BE8" s="3441">
        <v>82058259</v>
      </c>
      <c r="BF8" s="3526" t="s">
        <v>3642</v>
      </c>
      <c r="BG8" s="3518">
        <v>37607</v>
      </c>
      <c r="BI8" s="3441" t="s">
        <v>3586</v>
      </c>
      <c r="BJ8" s="3484">
        <v>37608</v>
      </c>
      <c r="BK8" s="3484"/>
      <c r="BL8" s="3470" t="s">
        <v>3623</v>
      </c>
      <c r="BS8" s="3470"/>
      <c r="BT8" s="3470"/>
      <c r="BU8" s="3470"/>
    </row>
    <row r="9" spans="1:253" s="3441" customFormat="1" ht="12" hidden="1">
      <c r="A9" s="3485" t="s">
        <v>3643</v>
      </c>
      <c r="B9" s="3470" t="s">
        <v>3644</v>
      </c>
      <c r="C9" s="3481" t="s">
        <v>3645</v>
      </c>
      <c r="D9" s="3481" t="s">
        <v>3646</v>
      </c>
      <c r="E9" s="3470" t="s">
        <v>3538</v>
      </c>
      <c r="F9" s="3521" t="s">
        <v>3628</v>
      </c>
      <c r="G9" s="3470"/>
      <c r="H9" s="3470" t="s">
        <v>3629</v>
      </c>
      <c r="I9" s="3470" t="s">
        <v>3464</v>
      </c>
      <c r="J9" s="3481" t="s">
        <v>3630</v>
      </c>
      <c r="K9" s="3470" t="s">
        <v>3647</v>
      </c>
      <c r="L9" s="3470">
        <v>155.87</v>
      </c>
      <c r="M9" s="3470">
        <v>6</v>
      </c>
      <c r="N9" s="3486" t="s">
        <v>3632</v>
      </c>
      <c r="O9" s="3470">
        <v>126.37</v>
      </c>
      <c r="P9" s="3470" t="s">
        <v>3633</v>
      </c>
      <c r="Q9" s="3457">
        <v>985098.4</v>
      </c>
      <c r="R9" s="3470">
        <v>6320</v>
      </c>
      <c r="S9" s="3472">
        <v>97.66</v>
      </c>
      <c r="T9" s="3527">
        <v>976600</v>
      </c>
      <c r="U9" s="3470">
        <v>6266</v>
      </c>
      <c r="V9" s="3474">
        <v>0.1</v>
      </c>
      <c r="W9" s="3475">
        <v>87.89</v>
      </c>
      <c r="X9" s="3473">
        <v>878900</v>
      </c>
      <c r="Y9" s="3441">
        <v>2003</v>
      </c>
      <c r="Z9" s="3441">
        <v>3</v>
      </c>
      <c r="AA9" s="3441">
        <v>3</v>
      </c>
      <c r="AB9" s="3485">
        <v>4880</v>
      </c>
      <c r="AC9" s="3470" t="s">
        <v>3648</v>
      </c>
      <c r="AD9" s="3485"/>
      <c r="AE9" s="3441" t="s">
        <v>3586</v>
      </c>
      <c r="AF9" s="3453" t="s">
        <v>3587</v>
      </c>
      <c r="AG9" s="3522" t="s">
        <v>3466</v>
      </c>
      <c r="AH9" s="3485"/>
      <c r="AI9" s="3470" t="s">
        <v>2152</v>
      </c>
      <c r="AJ9" s="3523">
        <v>37965</v>
      </c>
      <c r="AK9" s="3479" t="s">
        <v>3649</v>
      </c>
      <c r="AL9" s="3441">
        <v>64256608</v>
      </c>
      <c r="AN9" s="3441" t="s">
        <v>3456</v>
      </c>
      <c r="AP9" s="3441" t="s">
        <v>3586</v>
      </c>
      <c r="AQ9" s="3441" t="s">
        <v>3650</v>
      </c>
      <c r="AW9" s="3441" t="s">
        <v>3636</v>
      </c>
      <c r="AX9" s="3441" t="s">
        <v>2511</v>
      </c>
      <c r="AY9" s="3524" t="s">
        <v>3637</v>
      </c>
      <c r="AZ9" s="3441" t="s">
        <v>3638</v>
      </c>
      <c r="BA9" s="3441" t="s">
        <v>3651</v>
      </c>
      <c r="BB9" s="3524" t="s">
        <v>3640</v>
      </c>
      <c r="BC9" s="3441" t="s">
        <v>3641</v>
      </c>
      <c r="BD9" s="3525">
        <v>100088</v>
      </c>
      <c r="BE9" s="3441">
        <v>82058259</v>
      </c>
      <c r="BF9" s="3526" t="s">
        <v>3642</v>
      </c>
      <c r="BG9" s="3518">
        <v>37607</v>
      </c>
      <c r="BI9" s="3441" t="s">
        <v>3593</v>
      </c>
      <c r="BJ9" s="3484">
        <v>37608</v>
      </c>
      <c r="BK9" s="3484">
        <v>37679</v>
      </c>
      <c r="BL9" s="3470" t="s">
        <v>3594</v>
      </c>
      <c r="BS9" s="3470"/>
      <c r="BT9" s="3470"/>
      <c r="BU9" s="3470"/>
    </row>
    <row r="10" spans="1:253" s="3441" customFormat="1" ht="12" hidden="1">
      <c r="A10" s="3470" t="s">
        <v>3652</v>
      </c>
      <c r="B10" s="3470" t="s">
        <v>3653</v>
      </c>
      <c r="C10" s="3481" t="s">
        <v>3654</v>
      </c>
      <c r="D10" s="3481" t="s">
        <v>3655</v>
      </c>
      <c r="E10" s="3470" t="s">
        <v>2736</v>
      </c>
      <c r="F10" s="3528" t="s">
        <v>3656</v>
      </c>
      <c r="G10" s="3470"/>
      <c r="H10" s="3470" t="s">
        <v>3657</v>
      </c>
      <c r="I10" s="3470" t="s">
        <v>3658</v>
      </c>
      <c r="J10" s="3481" t="s">
        <v>3659</v>
      </c>
      <c r="K10" s="3470" t="s">
        <v>3660</v>
      </c>
      <c r="L10" s="3470">
        <v>93.84</v>
      </c>
      <c r="M10" s="3470">
        <v>5</v>
      </c>
      <c r="N10" s="3470" t="s">
        <v>3661</v>
      </c>
      <c r="O10" s="3470"/>
      <c r="P10" s="3470" t="s">
        <v>3452</v>
      </c>
      <c r="Q10" s="3457">
        <v>533386.56000000006</v>
      </c>
      <c r="R10" s="3495">
        <v>5684</v>
      </c>
      <c r="S10" s="3472">
        <v>52.86</v>
      </c>
      <c r="T10" s="3527">
        <v>528600</v>
      </c>
      <c r="U10" s="3495">
        <v>5634</v>
      </c>
      <c r="V10" s="3529">
        <v>0.1</v>
      </c>
      <c r="W10" s="3475">
        <v>47.57</v>
      </c>
      <c r="X10" s="3473">
        <v>475700</v>
      </c>
      <c r="Y10" s="3495">
        <v>2003</v>
      </c>
      <c r="Z10" s="3441">
        <v>9</v>
      </c>
      <c r="AA10" s="3470">
        <v>18</v>
      </c>
      <c r="AB10" s="3477">
        <v>2640</v>
      </c>
      <c r="AC10" s="3470" t="s">
        <v>3662</v>
      </c>
      <c r="AD10" s="3485"/>
      <c r="AE10" s="3441" t="s">
        <v>3663</v>
      </c>
      <c r="AF10" s="3453" t="s">
        <v>3493</v>
      </c>
      <c r="AG10" s="3522" t="s">
        <v>3466</v>
      </c>
      <c r="AH10" s="3485" t="s">
        <v>3568</v>
      </c>
      <c r="AI10" s="3470" t="s">
        <v>3664</v>
      </c>
      <c r="AJ10" s="3523" t="s">
        <v>3588</v>
      </c>
      <c r="AK10" s="3500">
        <v>9</v>
      </c>
      <c r="AL10" s="3441">
        <v>67641700</v>
      </c>
      <c r="AN10" s="3441" t="s">
        <v>3482</v>
      </c>
      <c r="AO10" s="3441" t="s">
        <v>3568</v>
      </c>
      <c r="AP10" s="3470" t="s">
        <v>3665</v>
      </c>
      <c r="AQ10" s="3441" t="s">
        <v>3457</v>
      </c>
      <c r="AV10" s="3441" t="s">
        <v>3568</v>
      </c>
      <c r="AW10" s="3441" t="s">
        <v>3458</v>
      </c>
      <c r="AY10" s="3524"/>
      <c r="AZ10" s="3441" t="s">
        <v>3666</v>
      </c>
      <c r="BA10" s="3441" t="s">
        <v>3667</v>
      </c>
      <c r="BB10" s="3524" t="s">
        <v>3668</v>
      </c>
      <c r="BC10" s="3441" t="s">
        <v>3669</v>
      </c>
      <c r="BD10" s="3525">
        <v>100037</v>
      </c>
      <c r="BE10" s="3441">
        <v>88118245</v>
      </c>
      <c r="BF10" s="3526">
        <v>2.7</v>
      </c>
      <c r="BG10" s="3518">
        <v>37434</v>
      </c>
      <c r="BI10" s="3441" t="s">
        <v>3665</v>
      </c>
      <c r="BJ10" s="3478">
        <v>37431</v>
      </c>
      <c r="BK10" s="3518" t="s">
        <v>3568</v>
      </c>
      <c r="BL10" s="3470" t="s">
        <v>3670</v>
      </c>
      <c r="BS10" s="3470"/>
      <c r="BT10" s="3470"/>
      <c r="BU10" s="3470"/>
      <c r="BV10" s="3472"/>
      <c r="BW10" s="3472"/>
      <c r="BX10" s="3472"/>
      <c r="BY10" s="3472"/>
      <c r="BZ10" s="3472"/>
      <c r="CA10" s="3472"/>
      <c r="CB10" s="3472"/>
      <c r="CC10" s="3472"/>
      <c r="CD10" s="3472"/>
      <c r="CE10" s="3472"/>
      <c r="CF10" s="3472"/>
      <c r="CG10" s="3472"/>
      <c r="CH10" s="3472"/>
      <c r="CI10" s="3472"/>
      <c r="CJ10" s="3472"/>
      <c r="CK10" s="3472"/>
      <c r="CL10" s="3472"/>
      <c r="CM10" s="3472"/>
      <c r="CN10" s="3472"/>
      <c r="CO10" s="3472"/>
      <c r="CP10" s="3472"/>
      <c r="CQ10" s="3472"/>
      <c r="CR10" s="3472"/>
      <c r="CS10" s="3472"/>
      <c r="CT10" s="3472"/>
      <c r="CU10" s="3472"/>
      <c r="CV10" s="3472"/>
      <c r="CW10" s="3472"/>
      <c r="CX10" s="3472"/>
      <c r="CY10" s="3472"/>
      <c r="CZ10" s="3472"/>
      <c r="DA10" s="3472"/>
      <c r="DB10" s="3472"/>
      <c r="DC10" s="3472"/>
      <c r="DD10" s="3472"/>
      <c r="DE10" s="3472"/>
      <c r="DF10" s="3472"/>
      <c r="DG10" s="3472"/>
      <c r="DH10" s="3472"/>
      <c r="DI10" s="3472"/>
      <c r="DJ10" s="3472"/>
      <c r="DK10" s="3472"/>
      <c r="DL10" s="3472"/>
      <c r="DM10" s="3472"/>
      <c r="DN10" s="3472"/>
      <c r="DO10" s="3472"/>
      <c r="DP10" s="3472"/>
      <c r="DQ10" s="3472"/>
      <c r="DR10" s="3472"/>
      <c r="DS10" s="3472"/>
      <c r="DT10" s="3472"/>
      <c r="DU10" s="3472"/>
      <c r="DV10" s="3472"/>
      <c r="DW10" s="3472"/>
      <c r="DX10" s="3472"/>
      <c r="DY10" s="3472"/>
      <c r="DZ10" s="3472"/>
      <c r="EA10" s="3472"/>
      <c r="EB10" s="3472"/>
      <c r="EC10" s="3472"/>
      <c r="ED10" s="3472"/>
      <c r="EE10" s="3472"/>
      <c r="EF10" s="3472"/>
      <c r="EG10" s="3472"/>
      <c r="EH10" s="3472"/>
      <c r="EI10" s="3472"/>
      <c r="EJ10" s="3472"/>
      <c r="EK10" s="3472"/>
      <c r="EL10" s="3472"/>
      <c r="EM10" s="3472"/>
      <c r="EN10" s="3472"/>
      <c r="EO10" s="3472"/>
      <c r="EP10" s="3472"/>
      <c r="EQ10" s="3472"/>
      <c r="ER10" s="3472"/>
      <c r="ES10" s="3472"/>
      <c r="ET10" s="3472"/>
      <c r="EU10" s="3472"/>
      <c r="EV10" s="3472"/>
      <c r="EW10" s="3472"/>
      <c r="EX10" s="3472"/>
      <c r="EY10" s="3472"/>
      <c r="EZ10" s="3472"/>
      <c r="FA10" s="3472"/>
      <c r="FB10" s="3472"/>
      <c r="FC10" s="3472"/>
      <c r="FD10" s="3472"/>
      <c r="FE10" s="3472"/>
      <c r="FF10" s="3472"/>
      <c r="FG10" s="3472"/>
      <c r="FH10" s="3472"/>
      <c r="FI10" s="3472"/>
      <c r="FJ10" s="3472"/>
      <c r="FK10" s="3472"/>
      <c r="FL10" s="3472"/>
      <c r="FM10" s="3472"/>
      <c r="FN10" s="3472"/>
      <c r="FO10" s="3472"/>
      <c r="FP10" s="3472"/>
      <c r="FQ10" s="3472"/>
      <c r="FR10" s="3472"/>
      <c r="FS10" s="3472"/>
      <c r="FT10" s="3472"/>
      <c r="FU10" s="3472"/>
      <c r="FV10" s="3472"/>
      <c r="FW10" s="3472"/>
      <c r="FX10" s="3472"/>
      <c r="FY10" s="3472"/>
      <c r="FZ10" s="3472"/>
      <c r="GA10" s="3472"/>
      <c r="GB10" s="3472"/>
      <c r="GC10" s="3472"/>
      <c r="GD10" s="3472"/>
      <c r="GE10" s="3472"/>
      <c r="GF10" s="3472"/>
      <c r="GG10" s="3472"/>
      <c r="GH10" s="3472"/>
      <c r="GI10" s="3472"/>
      <c r="GJ10" s="3472"/>
      <c r="GK10" s="3472"/>
      <c r="GL10" s="3472"/>
      <c r="GM10" s="3472"/>
      <c r="GN10" s="3472"/>
      <c r="GO10" s="3472"/>
      <c r="GP10" s="3472"/>
      <c r="GQ10" s="3472"/>
      <c r="GR10" s="3472"/>
      <c r="GS10" s="3472"/>
      <c r="GT10" s="3472"/>
      <c r="GU10" s="3472"/>
      <c r="GV10" s="3472"/>
      <c r="GW10" s="3472"/>
      <c r="GX10" s="3472"/>
      <c r="GY10" s="3472"/>
      <c r="GZ10" s="3472"/>
      <c r="HA10" s="3472"/>
      <c r="HB10" s="3472"/>
      <c r="HC10" s="3472"/>
      <c r="HD10" s="3472"/>
      <c r="HE10" s="3472"/>
      <c r="HF10" s="3472"/>
      <c r="HG10" s="3472"/>
      <c r="HH10" s="3472"/>
      <c r="HI10" s="3472"/>
      <c r="HJ10" s="3472"/>
      <c r="HK10" s="3472"/>
      <c r="HL10" s="3472"/>
      <c r="HM10" s="3472"/>
      <c r="HN10" s="3472"/>
      <c r="HO10" s="3472"/>
      <c r="HP10" s="3472"/>
      <c r="HQ10" s="3472"/>
      <c r="HR10" s="3472"/>
      <c r="HS10" s="3472"/>
      <c r="HT10" s="3472"/>
      <c r="HU10" s="3472"/>
      <c r="HV10" s="3472"/>
      <c r="HW10" s="3472"/>
      <c r="HX10" s="3472"/>
      <c r="HY10" s="3472"/>
      <c r="HZ10" s="3472"/>
      <c r="IA10" s="3472"/>
      <c r="IB10" s="3472"/>
      <c r="IC10" s="3472"/>
      <c r="ID10" s="3472"/>
      <c r="IE10" s="3472"/>
      <c r="IF10" s="3472"/>
      <c r="IG10" s="3472"/>
      <c r="IH10" s="3472"/>
      <c r="II10" s="3472"/>
      <c r="IJ10" s="3472"/>
      <c r="IK10" s="3472"/>
      <c r="IL10" s="3472"/>
      <c r="IM10" s="3472"/>
      <c r="IN10" s="3472"/>
      <c r="IO10" s="3472"/>
      <c r="IP10" s="3472"/>
      <c r="IQ10" s="3472"/>
      <c r="IR10" s="3472"/>
      <c r="IS10" s="3472"/>
    </row>
    <row r="11" spans="1:253" s="3502" customFormat="1" ht="12" hidden="1">
      <c r="A11" s="3485" t="s">
        <v>3671</v>
      </c>
      <c r="B11" s="3486" t="s">
        <v>3672</v>
      </c>
      <c r="C11" s="3481" t="s">
        <v>3673</v>
      </c>
      <c r="D11" s="3487" t="s">
        <v>3674</v>
      </c>
      <c r="E11" s="3488" t="s">
        <v>3558</v>
      </c>
      <c r="F11" s="3489" t="s">
        <v>3559</v>
      </c>
      <c r="G11" s="3490"/>
      <c r="H11" s="3486" t="s">
        <v>3675</v>
      </c>
      <c r="I11" s="3486" t="s">
        <v>3676</v>
      </c>
      <c r="J11" s="3488" t="s">
        <v>3677</v>
      </c>
      <c r="K11" s="3490" t="s">
        <v>3563</v>
      </c>
      <c r="L11" s="3491">
        <v>56.84</v>
      </c>
      <c r="M11" s="3491">
        <v>7</v>
      </c>
      <c r="N11" s="3470" t="s">
        <v>3678</v>
      </c>
      <c r="O11" s="3491">
        <v>46.05</v>
      </c>
      <c r="P11" s="3490" t="s">
        <v>3452</v>
      </c>
      <c r="Q11" s="3492">
        <v>256916.80000000002</v>
      </c>
      <c r="R11" s="3491">
        <v>4520</v>
      </c>
      <c r="S11" s="3472">
        <v>25.91</v>
      </c>
      <c r="T11" s="3473">
        <v>259100</v>
      </c>
      <c r="U11" s="3491">
        <v>4560</v>
      </c>
      <c r="V11" s="3493">
        <v>0.1</v>
      </c>
      <c r="W11" s="3475">
        <v>23.31</v>
      </c>
      <c r="X11" s="3476">
        <v>233100</v>
      </c>
      <c r="Y11" s="3477">
        <v>2003</v>
      </c>
      <c r="Z11" s="3495">
        <v>1</v>
      </c>
      <c r="AA11" s="3441">
        <v>24</v>
      </c>
      <c r="AB11" s="3477">
        <v>1295</v>
      </c>
      <c r="AC11" s="3470" t="s">
        <v>3544</v>
      </c>
      <c r="AD11" s="3496"/>
      <c r="AE11" s="3497" t="s">
        <v>3663</v>
      </c>
      <c r="AF11" s="3453" t="s">
        <v>3587</v>
      </c>
      <c r="AG11" s="3498" t="s">
        <v>3466</v>
      </c>
      <c r="AH11" s="3496" t="s">
        <v>2420</v>
      </c>
      <c r="AI11" s="3456" t="s">
        <v>3679</v>
      </c>
      <c r="AJ11" s="3499">
        <v>37894</v>
      </c>
      <c r="AK11" s="3500">
        <v>1</v>
      </c>
      <c r="AL11" s="3501">
        <v>67641700</v>
      </c>
      <c r="AM11" s="3502" t="s">
        <v>3568</v>
      </c>
      <c r="AN11" s="3441" t="s">
        <v>3680</v>
      </c>
      <c r="AO11" s="3502" t="s">
        <v>3681</v>
      </c>
      <c r="AP11" s="3497" t="s">
        <v>3476</v>
      </c>
      <c r="AQ11" s="3480" t="s">
        <v>3571</v>
      </c>
      <c r="AV11" s="3491"/>
      <c r="AW11" s="3490" t="s">
        <v>3572</v>
      </c>
      <c r="AX11" s="3502" t="s">
        <v>2511</v>
      </c>
      <c r="AY11" s="3503" t="s">
        <v>3682</v>
      </c>
      <c r="AZ11" s="3502" t="s">
        <v>3592</v>
      </c>
      <c r="BA11" s="3502" t="s">
        <v>3574</v>
      </c>
      <c r="BB11" s="3504" t="s">
        <v>3683</v>
      </c>
      <c r="BC11" s="3501" t="s">
        <v>3576</v>
      </c>
      <c r="BD11" s="3505">
        <v>100037</v>
      </c>
      <c r="BE11" s="3502">
        <v>84050046</v>
      </c>
      <c r="BF11" s="3506">
        <v>2.8</v>
      </c>
      <c r="BG11" s="3507">
        <v>37541</v>
      </c>
      <c r="BI11" s="3441" t="s">
        <v>3476</v>
      </c>
      <c r="BJ11" s="3508">
        <v>37587</v>
      </c>
      <c r="BK11" s="3507">
        <v>37627</v>
      </c>
      <c r="BL11" s="3470" t="s">
        <v>3670</v>
      </c>
      <c r="BM11" s="3441"/>
      <c r="BN11" s="3441"/>
      <c r="BO11" s="3441"/>
      <c r="BP11" s="3441"/>
      <c r="BQ11" s="3441"/>
      <c r="BR11" s="3441"/>
      <c r="BS11" s="3470"/>
      <c r="BT11" s="3470"/>
      <c r="BU11" s="3470"/>
    </row>
    <row r="12" spans="1:253" s="3470" customFormat="1" ht="12" hidden="1">
      <c r="A12" s="3470" t="s">
        <v>3684</v>
      </c>
      <c r="B12" s="3470" t="s">
        <v>3685</v>
      </c>
      <c r="C12" s="3471" t="s">
        <v>3686</v>
      </c>
      <c r="D12" s="3470">
        <v>13701243397</v>
      </c>
      <c r="E12" s="3470" t="s">
        <v>3558</v>
      </c>
      <c r="F12" s="3470" t="s">
        <v>3687</v>
      </c>
      <c r="H12" s="3470" t="s">
        <v>3688</v>
      </c>
      <c r="I12" s="3470" t="s">
        <v>3689</v>
      </c>
      <c r="J12" s="3470" t="s">
        <v>3690</v>
      </c>
      <c r="K12" s="3470" t="s">
        <v>3691</v>
      </c>
      <c r="L12" s="3470">
        <v>72.91</v>
      </c>
      <c r="M12" s="3470">
        <v>11</v>
      </c>
      <c r="N12" s="3470" t="s">
        <v>3692</v>
      </c>
      <c r="O12" s="3470">
        <v>61.42</v>
      </c>
      <c r="P12" s="3470" t="s">
        <v>3452</v>
      </c>
      <c r="Q12" s="3457">
        <v>519812</v>
      </c>
      <c r="R12" s="3470">
        <v>8463.24</v>
      </c>
      <c r="S12" s="3472">
        <v>51.56</v>
      </c>
      <c r="T12" s="3473">
        <v>515600</v>
      </c>
      <c r="U12" s="3470">
        <v>7073</v>
      </c>
      <c r="V12" s="3474">
        <v>0.1</v>
      </c>
      <c r="W12" s="3475">
        <v>46.4</v>
      </c>
      <c r="X12" s="3476">
        <v>464000</v>
      </c>
      <c r="Y12" s="3441">
        <v>2003</v>
      </c>
      <c r="Z12" s="3441">
        <v>1</v>
      </c>
      <c r="AA12" s="3470">
        <v>10</v>
      </c>
      <c r="AB12" s="3477">
        <v>2575</v>
      </c>
      <c r="AC12" s="3470" t="s">
        <v>3693</v>
      </c>
      <c r="AE12" s="3470" t="s">
        <v>3663</v>
      </c>
      <c r="AF12" s="3470" t="s">
        <v>3694</v>
      </c>
      <c r="AG12" s="3470" t="s">
        <v>3466</v>
      </c>
      <c r="AI12" s="3470" t="s">
        <v>3679</v>
      </c>
      <c r="AJ12" s="3478">
        <v>37894</v>
      </c>
      <c r="AK12" s="3479" t="s">
        <v>3570</v>
      </c>
      <c r="AL12" s="3470">
        <v>67641700</v>
      </c>
      <c r="AN12" s="3480" t="s">
        <v>3695</v>
      </c>
      <c r="AO12" s="3470" t="s">
        <v>3568</v>
      </c>
      <c r="AP12" s="3470" t="s">
        <v>3476</v>
      </c>
      <c r="AQ12" s="3470" t="s">
        <v>3571</v>
      </c>
      <c r="AW12" s="3470" t="s">
        <v>3572</v>
      </c>
      <c r="AX12" s="3470" t="s">
        <v>2511</v>
      </c>
      <c r="AY12" s="3481" t="s">
        <v>3696</v>
      </c>
      <c r="AZ12" s="3470" t="s">
        <v>3691</v>
      </c>
      <c r="BA12" s="3470" t="s">
        <v>3697</v>
      </c>
      <c r="BB12" s="3481" t="s">
        <v>3698</v>
      </c>
      <c r="BC12" s="3470" t="s">
        <v>3699</v>
      </c>
      <c r="BD12" s="3482">
        <v>101500</v>
      </c>
      <c r="BE12" s="3470">
        <v>82856169</v>
      </c>
      <c r="BF12" s="3483">
        <v>2.8</v>
      </c>
      <c r="BG12" s="3478">
        <v>37574</v>
      </c>
      <c r="BH12" s="3470" t="s">
        <v>3568</v>
      </c>
      <c r="BI12" s="3441" t="s">
        <v>3700</v>
      </c>
      <c r="BJ12" s="3484">
        <v>37599</v>
      </c>
      <c r="BK12" s="3478"/>
      <c r="BL12" s="3441" t="s">
        <v>3670</v>
      </c>
      <c r="BM12" s="3441"/>
      <c r="BN12" s="3441"/>
      <c r="BO12" s="3441"/>
      <c r="BP12" s="3441"/>
      <c r="BQ12" s="3441"/>
      <c r="BR12" s="3441"/>
    </row>
    <row r="13" spans="1:253" s="3470" customFormat="1" ht="12">
      <c r="A13" s="3530" t="s">
        <v>3701</v>
      </c>
      <c r="B13" s="3453" t="s">
        <v>3702</v>
      </c>
      <c r="C13" s="3454" t="s">
        <v>3703</v>
      </c>
      <c r="D13" s="3454" t="s">
        <v>3704</v>
      </c>
      <c r="E13" s="3453" t="s">
        <v>3538</v>
      </c>
      <c r="F13" s="3688" t="s">
        <v>3705</v>
      </c>
      <c r="G13" s="3456"/>
      <c r="H13" s="3453" t="s">
        <v>3706</v>
      </c>
      <c r="I13" s="3453" t="s">
        <v>3582</v>
      </c>
      <c r="J13" s="3454" t="s">
        <v>3707</v>
      </c>
      <c r="K13" s="3453" t="s">
        <v>3708</v>
      </c>
      <c r="L13" s="3495">
        <v>83.86</v>
      </c>
      <c r="M13" s="3495">
        <v>5</v>
      </c>
      <c r="N13" s="3454" t="s">
        <v>3709</v>
      </c>
      <c r="O13" s="3495">
        <v>67.14</v>
      </c>
      <c r="P13" s="3456" t="s">
        <v>3452</v>
      </c>
      <c r="Q13" s="3531">
        <v>628950</v>
      </c>
      <c r="R13" s="3491">
        <v>7500</v>
      </c>
      <c r="S13" s="3532">
        <v>62.34</v>
      </c>
      <c r="T13" s="3533">
        <v>623400</v>
      </c>
      <c r="U13" s="3491">
        <v>7434</v>
      </c>
      <c r="V13" s="3529">
        <v>0.1</v>
      </c>
      <c r="W13" s="3475">
        <v>56.1</v>
      </c>
      <c r="X13" s="3534">
        <v>561000</v>
      </c>
      <c r="Y13" s="3491">
        <v>2003</v>
      </c>
      <c r="Z13" s="3491">
        <v>3</v>
      </c>
      <c r="AA13" s="3491">
        <v>20</v>
      </c>
      <c r="AB13" s="3477">
        <v>3115</v>
      </c>
      <c r="AC13" s="3453" t="s">
        <v>3710</v>
      </c>
      <c r="AD13" s="3455"/>
      <c r="AE13" s="3469" t="s">
        <v>2156</v>
      </c>
      <c r="AF13" s="3453" t="s">
        <v>3587</v>
      </c>
      <c r="AG13" s="3453" t="s">
        <v>3454</v>
      </c>
      <c r="AH13" s="3456"/>
      <c r="AI13" s="3480" t="s">
        <v>3711</v>
      </c>
      <c r="AJ13" s="3535">
        <v>37864</v>
      </c>
      <c r="AK13" s="3479" t="s">
        <v>3482</v>
      </c>
      <c r="AL13" s="3495">
        <v>67641672</v>
      </c>
      <c r="AM13" s="3441"/>
      <c r="AN13" s="3497" t="s">
        <v>3649</v>
      </c>
      <c r="AO13" s="3524" t="s">
        <v>3712</v>
      </c>
      <c r="AP13" s="3441" t="s">
        <v>3713</v>
      </c>
      <c r="AQ13" s="3456" t="s">
        <v>3714</v>
      </c>
      <c r="AR13" s="3456"/>
      <c r="AS13" s="3456"/>
      <c r="AT13" s="3456"/>
      <c r="AU13" s="3522" t="s">
        <v>3715</v>
      </c>
      <c r="AV13" s="3519" t="s">
        <v>3715</v>
      </c>
      <c r="AW13" s="3470" t="s">
        <v>3458</v>
      </c>
      <c r="AX13" s="3441" t="s">
        <v>3549</v>
      </c>
      <c r="AY13" s="3536" t="s">
        <v>3716</v>
      </c>
      <c r="AZ13" s="3463" t="s">
        <v>3717</v>
      </c>
      <c r="BA13" s="3463" t="s">
        <v>3718</v>
      </c>
      <c r="BB13" s="3466" t="s">
        <v>3719</v>
      </c>
      <c r="BC13" s="3463" t="s">
        <v>3720</v>
      </c>
      <c r="BD13" s="3537">
        <v>100037</v>
      </c>
      <c r="BE13" s="3463">
        <v>88083211</v>
      </c>
      <c r="BF13" s="3538">
        <v>2.8</v>
      </c>
      <c r="BG13" s="3539">
        <v>37527</v>
      </c>
      <c r="BH13" s="3502"/>
      <c r="BI13" s="3470" t="s">
        <v>3721</v>
      </c>
      <c r="BJ13" s="3478">
        <v>37699</v>
      </c>
      <c r="BK13" s="3441"/>
      <c r="BL13" s="3441" t="s">
        <v>3594</v>
      </c>
      <c r="BM13" s="3441"/>
      <c r="BN13" s="3441"/>
      <c r="BO13" s="3441"/>
      <c r="BP13" s="3441"/>
      <c r="BQ13" s="3441"/>
      <c r="BR13" s="3441"/>
    </row>
    <row r="14" spans="1:253" s="3470" customFormat="1" ht="12" hidden="1">
      <c r="A14" s="3470" t="s">
        <v>3722</v>
      </c>
      <c r="B14" s="3470" t="s">
        <v>3723</v>
      </c>
      <c r="C14" s="3481" t="s">
        <v>3724</v>
      </c>
      <c r="D14" s="3470">
        <v>13910395565</v>
      </c>
      <c r="E14" s="3470" t="s">
        <v>3558</v>
      </c>
      <c r="F14" s="3470" t="s">
        <v>3559</v>
      </c>
      <c r="H14" s="3453" t="s">
        <v>3725</v>
      </c>
      <c r="I14" s="3453" t="s">
        <v>3726</v>
      </c>
      <c r="J14" s="3453" t="s">
        <v>3727</v>
      </c>
      <c r="K14" s="3470" t="s">
        <v>3563</v>
      </c>
      <c r="L14" s="3495">
        <v>56.84</v>
      </c>
      <c r="M14" s="3495">
        <v>3</v>
      </c>
      <c r="N14" s="3470" t="s">
        <v>3692</v>
      </c>
      <c r="O14" s="3495">
        <v>46.05</v>
      </c>
      <c r="P14" s="3470" t="s">
        <v>3452</v>
      </c>
      <c r="Q14" s="3457">
        <v>257485.2</v>
      </c>
      <c r="R14" s="3495">
        <v>4530</v>
      </c>
      <c r="S14" s="3472">
        <v>25.46</v>
      </c>
      <c r="T14" s="3473">
        <v>254600</v>
      </c>
      <c r="U14" s="3495">
        <v>4480</v>
      </c>
      <c r="V14" s="3512">
        <v>0.1</v>
      </c>
      <c r="W14" s="3475">
        <v>22.91</v>
      </c>
      <c r="X14" s="3476">
        <v>229100</v>
      </c>
      <c r="Y14" s="3495">
        <v>2003</v>
      </c>
      <c r="Z14" s="3441">
        <v>1</v>
      </c>
      <c r="AA14" s="3441">
        <v>16</v>
      </c>
      <c r="AB14" s="3477">
        <v>1270</v>
      </c>
      <c r="AC14" s="3470" t="s">
        <v>3544</v>
      </c>
      <c r="AE14" s="3456" t="s">
        <v>3663</v>
      </c>
      <c r="AF14" s="3453" t="s">
        <v>3728</v>
      </c>
      <c r="AG14" s="3470" t="s">
        <v>3466</v>
      </c>
      <c r="AH14" s="3470" t="s">
        <v>3568</v>
      </c>
      <c r="AI14" s="3470" t="s">
        <v>3679</v>
      </c>
      <c r="AJ14" s="3478">
        <v>37894</v>
      </c>
      <c r="AK14" s="3500">
        <v>1</v>
      </c>
      <c r="AL14" s="3495">
        <v>67641700</v>
      </c>
      <c r="AM14" s="3470" t="s">
        <v>3568</v>
      </c>
      <c r="AN14" s="3480" t="s">
        <v>3649</v>
      </c>
      <c r="AO14" s="3470" t="s">
        <v>3568</v>
      </c>
      <c r="AP14" s="3456" t="s">
        <v>3476</v>
      </c>
      <c r="AQ14" s="3456" t="s">
        <v>3571</v>
      </c>
      <c r="AV14" s="3519"/>
      <c r="AW14" s="3470" t="s">
        <v>3572</v>
      </c>
      <c r="AX14" s="3470" t="s">
        <v>2511</v>
      </c>
      <c r="AY14" s="3495">
        <v>217516</v>
      </c>
      <c r="AZ14" s="3470" t="s">
        <v>3563</v>
      </c>
      <c r="BA14" s="3470" t="s">
        <v>3574</v>
      </c>
      <c r="BC14" s="3470" t="s">
        <v>3576</v>
      </c>
      <c r="BD14" s="3470">
        <v>100037</v>
      </c>
      <c r="BE14" s="3470">
        <v>84050046</v>
      </c>
      <c r="BF14" s="3520">
        <v>2.8</v>
      </c>
      <c r="BG14" s="3478">
        <v>37528</v>
      </c>
      <c r="BI14" s="3441" t="s">
        <v>3476</v>
      </c>
      <c r="BJ14" s="3478">
        <v>37602</v>
      </c>
      <c r="BK14" s="3478">
        <v>37627</v>
      </c>
      <c r="BL14" s="3441" t="s">
        <v>3670</v>
      </c>
      <c r="BM14" s="3441"/>
      <c r="BN14" s="3441"/>
      <c r="BO14" s="3441"/>
      <c r="BP14" s="3441"/>
      <c r="BQ14" s="3441"/>
      <c r="BR14" s="3441"/>
    </row>
    <row r="15" spans="1:253" s="3441" customFormat="1" ht="12" hidden="1">
      <c r="A15" s="3485" t="s">
        <v>3729</v>
      </c>
      <c r="B15" s="3470" t="s">
        <v>3730</v>
      </c>
      <c r="C15" s="3481" t="s">
        <v>3731</v>
      </c>
      <c r="D15" s="3481" t="s">
        <v>3732</v>
      </c>
      <c r="E15" s="3470" t="s">
        <v>3558</v>
      </c>
      <c r="F15" s="3521" t="s">
        <v>3733</v>
      </c>
      <c r="G15" s="3470"/>
      <c r="H15" s="3470" t="s">
        <v>3734</v>
      </c>
      <c r="I15" s="3470" t="s">
        <v>3735</v>
      </c>
      <c r="J15" s="3481" t="s">
        <v>3736</v>
      </c>
      <c r="K15" s="3470" t="s">
        <v>3737</v>
      </c>
      <c r="L15" s="3470">
        <v>115.72</v>
      </c>
      <c r="M15" s="3470">
        <v>3</v>
      </c>
      <c r="N15" s="3470" t="s">
        <v>3738</v>
      </c>
      <c r="O15" s="3470">
        <v>91.76</v>
      </c>
      <c r="P15" s="3470" t="s">
        <v>3452</v>
      </c>
      <c r="Q15" s="3457">
        <v>690848.4</v>
      </c>
      <c r="R15" s="3470">
        <v>5970</v>
      </c>
      <c r="S15" s="3472">
        <v>68.430000000000007</v>
      </c>
      <c r="T15" s="3527">
        <v>684300</v>
      </c>
      <c r="U15" s="3470">
        <v>5914</v>
      </c>
      <c r="V15" s="3474">
        <v>0.1</v>
      </c>
      <c r="W15" s="3475">
        <v>61.58</v>
      </c>
      <c r="X15" s="3473">
        <v>615800</v>
      </c>
      <c r="Y15" s="3441">
        <v>2003</v>
      </c>
      <c r="Z15" s="3441">
        <v>2</v>
      </c>
      <c r="AA15" s="3441">
        <v>21</v>
      </c>
      <c r="AB15" s="3485">
        <v>3420</v>
      </c>
      <c r="AC15" s="3470" t="s">
        <v>3693</v>
      </c>
      <c r="AD15" s="3485"/>
      <c r="AE15" s="3441" t="s">
        <v>3663</v>
      </c>
      <c r="AF15" s="3470" t="s">
        <v>3728</v>
      </c>
      <c r="AG15" s="3522" t="s">
        <v>3466</v>
      </c>
      <c r="AH15" s="3485"/>
      <c r="AI15" s="3470" t="s">
        <v>3679</v>
      </c>
      <c r="AJ15" s="3523">
        <v>38027</v>
      </c>
      <c r="AK15" s="3479">
        <v>2</v>
      </c>
      <c r="AL15" s="3441">
        <v>67641700</v>
      </c>
      <c r="AN15" s="3441" t="s">
        <v>3739</v>
      </c>
      <c r="AO15" s="3441" t="s">
        <v>3740</v>
      </c>
      <c r="AP15" s="3441" t="s">
        <v>3476</v>
      </c>
      <c r="AQ15" s="3441" t="s">
        <v>3571</v>
      </c>
      <c r="AW15" s="3441" t="s">
        <v>3572</v>
      </c>
      <c r="AX15" s="3441" t="s">
        <v>2511</v>
      </c>
      <c r="AY15" s="3524" t="s">
        <v>3741</v>
      </c>
      <c r="AZ15" s="3441" t="s">
        <v>3737</v>
      </c>
      <c r="BA15" s="3441" t="s">
        <v>3742</v>
      </c>
      <c r="BB15" s="3524" t="s">
        <v>3743</v>
      </c>
      <c r="BC15" s="3441" t="s">
        <v>3744</v>
      </c>
      <c r="BD15" s="3525">
        <v>100088</v>
      </c>
      <c r="BE15" s="3441">
        <v>82058259</v>
      </c>
      <c r="BF15" s="3526">
        <v>2.9</v>
      </c>
      <c r="BG15" s="3518">
        <v>37564</v>
      </c>
      <c r="BI15" s="3441" t="s">
        <v>3476</v>
      </c>
      <c r="BJ15" s="3484">
        <v>37631</v>
      </c>
      <c r="BK15" s="3484">
        <v>37667</v>
      </c>
      <c r="BL15" s="3470" t="s">
        <v>3670</v>
      </c>
      <c r="BS15" s="3470"/>
      <c r="BT15" s="3470"/>
      <c r="BU15" s="3470"/>
    </row>
    <row r="16" spans="1:253" s="3470" customFormat="1" ht="12" hidden="1">
      <c r="A16" s="3470" t="s">
        <v>3745</v>
      </c>
      <c r="B16" s="3470" t="s">
        <v>3746</v>
      </c>
      <c r="C16" s="3481" t="s">
        <v>3747</v>
      </c>
      <c r="D16" s="3470">
        <v>62789574</v>
      </c>
      <c r="E16" s="3470" t="s">
        <v>2736</v>
      </c>
      <c r="F16" s="3470" t="s">
        <v>3748</v>
      </c>
      <c r="H16" s="3470" t="s">
        <v>3749</v>
      </c>
      <c r="J16" s="3470" t="s">
        <v>3750</v>
      </c>
      <c r="K16" s="3470" t="s">
        <v>3751</v>
      </c>
      <c r="L16" s="3470">
        <v>98.32</v>
      </c>
      <c r="M16" s="3470">
        <v>20</v>
      </c>
      <c r="N16" s="3470" t="s">
        <v>3451</v>
      </c>
      <c r="O16" s="3470">
        <v>81.099999999999994</v>
      </c>
      <c r="P16" s="3470" t="s">
        <v>3452</v>
      </c>
      <c r="Q16" s="3457">
        <v>373616</v>
      </c>
      <c r="R16" s="3470">
        <v>3800</v>
      </c>
      <c r="S16" s="3472">
        <v>36.96</v>
      </c>
      <c r="T16" s="3527">
        <v>369600</v>
      </c>
      <c r="U16" s="3470">
        <v>3760</v>
      </c>
      <c r="V16" s="3474">
        <v>0.1</v>
      </c>
      <c r="W16" s="3475">
        <v>33.26</v>
      </c>
      <c r="X16" s="3494">
        <v>332600</v>
      </c>
      <c r="Y16" s="3441">
        <v>2003</v>
      </c>
      <c r="Z16" s="3441">
        <v>2</v>
      </c>
      <c r="AA16" s="3470">
        <v>14</v>
      </c>
      <c r="AB16" s="3477">
        <v>1475</v>
      </c>
      <c r="AC16" s="3470" t="s">
        <v>3634</v>
      </c>
      <c r="AE16" s="3470" t="s">
        <v>3663</v>
      </c>
      <c r="AF16" s="3470" t="s">
        <v>3752</v>
      </c>
      <c r="AG16" s="3470" t="s">
        <v>3466</v>
      </c>
      <c r="AI16" s="3470" t="s">
        <v>3679</v>
      </c>
      <c r="AJ16" s="3478">
        <v>38138</v>
      </c>
      <c r="AK16" s="3500">
        <v>2</v>
      </c>
      <c r="AL16" s="3470">
        <v>67641700</v>
      </c>
      <c r="AN16" s="3441" t="s">
        <v>3468</v>
      </c>
      <c r="AO16" s="3470" t="s">
        <v>3753</v>
      </c>
      <c r="AP16" s="3470" t="s">
        <v>3476</v>
      </c>
      <c r="AQ16" s="3470" t="s">
        <v>3571</v>
      </c>
      <c r="AV16" s="3470" t="s">
        <v>3568</v>
      </c>
      <c r="AW16" s="3470" t="s">
        <v>3572</v>
      </c>
      <c r="AY16" s="3481" t="s">
        <v>3754</v>
      </c>
      <c r="AZ16" s="3470" t="s">
        <v>3751</v>
      </c>
      <c r="BA16" s="3470" t="s">
        <v>3755</v>
      </c>
      <c r="BB16" s="3481" t="s">
        <v>3756</v>
      </c>
      <c r="BC16" s="3470" t="s">
        <v>3757</v>
      </c>
      <c r="BD16" s="3482">
        <v>102488</v>
      </c>
      <c r="BE16" s="3470">
        <v>63023627</v>
      </c>
      <c r="BF16" s="3483">
        <v>2.8</v>
      </c>
      <c r="BG16" s="3478">
        <v>37634</v>
      </c>
      <c r="BH16" s="3470" t="s">
        <v>3758</v>
      </c>
      <c r="BI16" s="3441" t="s">
        <v>3476</v>
      </c>
      <c r="BJ16" s="3518">
        <v>37662</v>
      </c>
      <c r="BK16" s="3478"/>
      <c r="BL16" s="3441" t="s">
        <v>3670</v>
      </c>
      <c r="BM16" s="3441"/>
      <c r="BN16" s="3441"/>
      <c r="BO16" s="3441"/>
      <c r="BP16" s="3441"/>
      <c r="BQ16" s="3441"/>
      <c r="BR16" s="3441"/>
    </row>
    <row r="17" spans="1:73" s="3441" customFormat="1" ht="12" hidden="1">
      <c r="A17" s="3470" t="s">
        <v>3759</v>
      </c>
      <c r="B17" s="3470" t="s">
        <v>3760</v>
      </c>
      <c r="C17" s="3481" t="s">
        <v>3761</v>
      </c>
      <c r="D17" s="3481" t="s">
        <v>3762</v>
      </c>
      <c r="E17" s="3470" t="s">
        <v>3763</v>
      </c>
      <c r="F17" s="3528" t="s">
        <v>3748</v>
      </c>
      <c r="G17" s="3470"/>
      <c r="H17" s="3470" t="s">
        <v>3764</v>
      </c>
      <c r="I17" s="3470"/>
      <c r="J17" s="3481" t="s">
        <v>3765</v>
      </c>
      <c r="K17" s="3470" t="s">
        <v>3766</v>
      </c>
      <c r="L17" s="3470">
        <v>150.79</v>
      </c>
      <c r="M17" s="3470">
        <v>6</v>
      </c>
      <c r="N17" s="3470" t="s">
        <v>3767</v>
      </c>
      <c r="O17" s="3470">
        <v>122.24</v>
      </c>
      <c r="P17" s="3470" t="s">
        <v>3452</v>
      </c>
      <c r="Q17" s="3457">
        <v>630302.19999999995</v>
      </c>
      <c r="R17" s="3470">
        <v>4180</v>
      </c>
      <c r="S17" s="3472">
        <v>62.45</v>
      </c>
      <c r="T17" s="3473">
        <v>624500</v>
      </c>
      <c r="U17" s="3470">
        <v>4142</v>
      </c>
      <c r="V17" s="3474">
        <v>0.1</v>
      </c>
      <c r="W17" s="3475">
        <v>56.2</v>
      </c>
      <c r="X17" s="3476">
        <v>562000</v>
      </c>
      <c r="Y17" s="3441">
        <v>2003</v>
      </c>
      <c r="Z17" s="3441">
        <v>1</v>
      </c>
      <c r="AA17" s="3441">
        <v>24</v>
      </c>
      <c r="AB17" s="3477">
        <v>3120</v>
      </c>
      <c r="AC17" s="3470" t="s">
        <v>3634</v>
      </c>
      <c r="AD17" s="3485"/>
      <c r="AE17" s="3441" t="s">
        <v>3663</v>
      </c>
      <c r="AF17" s="3470" t="s">
        <v>3752</v>
      </c>
      <c r="AG17" s="3522" t="s">
        <v>3466</v>
      </c>
      <c r="AH17" s="3485" t="s">
        <v>3568</v>
      </c>
      <c r="AI17" s="3470" t="s">
        <v>3679</v>
      </c>
      <c r="AJ17" s="3523">
        <v>38138</v>
      </c>
      <c r="AK17" s="3500">
        <v>1</v>
      </c>
      <c r="AL17" s="3441">
        <v>67641700</v>
      </c>
      <c r="AN17" s="3480" t="s">
        <v>3768</v>
      </c>
      <c r="AO17" s="3470" t="s">
        <v>3769</v>
      </c>
      <c r="AP17" s="3441" t="s">
        <v>3476</v>
      </c>
      <c r="AQ17" s="3441" t="s">
        <v>3571</v>
      </c>
      <c r="AV17" s="3441" t="s">
        <v>3568</v>
      </c>
      <c r="AW17" s="3470" t="s">
        <v>3572</v>
      </c>
      <c r="AY17" s="3441">
        <v>263242</v>
      </c>
      <c r="AZ17" s="3470" t="s">
        <v>3751</v>
      </c>
      <c r="BA17" s="3441" t="s">
        <v>3770</v>
      </c>
      <c r="BB17" s="3441" t="s">
        <v>3771</v>
      </c>
      <c r="BC17" s="3524" t="s">
        <v>3772</v>
      </c>
      <c r="BD17" s="3441">
        <v>102488</v>
      </c>
      <c r="BE17" s="3525">
        <v>63023627</v>
      </c>
      <c r="BF17" s="3520">
        <v>2.8</v>
      </c>
      <c r="BG17" s="3518">
        <v>37636</v>
      </c>
      <c r="BH17" s="3518"/>
      <c r="BI17" s="3441" t="s">
        <v>3700</v>
      </c>
      <c r="BJ17" s="3484">
        <v>37643</v>
      </c>
      <c r="BK17" s="3518"/>
      <c r="BL17" s="3441" t="s">
        <v>3623</v>
      </c>
      <c r="BS17" s="3470"/>
      <c r="BT17" s="3470"/>
      <c r="BU17" s="3470"/>
    </row>
    <row r="18" spans="1:73" s="3441" customFormat="1" ht="12" hidden="1">
      <c r="A18" s="3485" t="s">
        <v>3773</v>
      </c>
      <c r="B18" s="3470" t="s">
        <v>3774</v>
      </c>
      <c r="C18" s="3481" t="s">
        <v>3775</v>
      </c>
      <c r="D18" s="3481" t="s">
        <v>3776</v>
      </c>
      <c r="E18" s="3470" t="s">
        <v>2736</v>
      </c>
      <c r="F18" s="3470" t="s">
        <v>3748</v>
      </c>
      <c r="G18" s="3470"/>
      <c r="H18" s="3470" t="s">
        <v>3749</v>
      </c>
      <c r="I18" s="3470"/>
      <c r="J18" s="3481" t="s">
        <v>3777</v>
      </c>
      <c r="K18" s="3470" t="s">
        <v>3766</v>
      </c>
      <c r="L18" s="3470">
        <v>109.38</v>
      </c>
      <c r="M18" s="3470">
        <v>7</v>
      </c>
      <c r="N18" s="3470" t="s">
        <v>3778</v>
      </c>
      <c r="O18" s="3470">
        <v>90.22</v>
      </c>
      <c r="P18" s="3470" t="s">
        <v>3452</v>
      </c>
      <c r="Q18" s="3457">
        <v>367516.8</v>
      </c>
      <c r="R18" s="3470">
        <v>3360</v>
      </c>
      <c r="S18" s="3472">
        <v>36.31</v>
      </c>
      <c r="T18" s="3527">
        <v>363100</v>
      </c>
      <c r="U18" s="3470">
        <v>3320</v>
      </c>
      <c r="V18" s="3474">
        <v>0.1</v>
      </c>
      <c r="W18" s="3475">
        <v>32.67</v>
      </c>
      <c r="X18" s="3494">
        <v>326700</v>
      </c>
      <c r="Y18" s="3441">
        <v>2003</v>
      </c>
      <c r="Z18" s="3441">
        <v>2</v>
      </c>
      <c r="AA18" s="3470">
        <v>14</v>
      </c>
      <c r="AB18" s="3477">
        <v>1450</v>
      </c>
      <c r="AC18" s="3470" t="s">
        <v>3648</v>
      </c>
      <c r="AD18" s="3485"/>
      <c r="AE18" s="3441" t="s">
        <v>3663</v>
      </c>
      <c r="AF18" s="3470" t="s">
        <v>3752</v>
      </c>
      <c r="AG18" s="3522" t="s">
        <v>3466</v>
      </c>
      <c r="AH18" s="3485"/>
      <c r="AI18" s="3470" t="s">
        <v>3679</v>
      </c>
      <c r="AJ18" s="3523">
        <v>38138</v>
      </c>
      <c r="AK18" s="3500">
        <v>2</v>
      </c>
      <c r="AL18" s="3441">
        <v>67641700</v>
      </c>
      <c r="AN18" s="3441" t="s">
        <v>3468</v>
      </c>
      <c r="AO18" s="3470" t="s">
        <v>3779</v>
      </c>
      <c r="AP18" s="3441" t="s">
        <v>3476</v>
      </c>
      <c r="AQ18" s="3441" t="s">
        <v>3571</v>
      </c>
      <c r="AV18" s="3441" t="s">
        <v>3568</v>
      </c>
      <c r="AW18" s="3441" t="s">
        <v>3572</v>
      </c>
      <c r="AY18" s="3524" t="s">
        <v>3780</v>
      </c>
      <c r="AZ18" s="3441" t="s">
        <v>3766</v>
      </c>
      <c r="BA18" s="3441" t="s">
        <v>3781</v>
      </c>
      <c r="BB18" s="3524" t="s">
        <v>3756</v>
      </c>
      <c r="BC18" s="3441" t="s">
        <v>3782</v>
      </c>
      <c r="BD18" s="3525">
        <v>102483</v>
      </c>
      <c r="BE18" s="3441">
        <v>63023627</v>
      </c>
      <c r="BF18" s="3526">
        <v>2.8</v>
      </c>
      <c r="BG18" s="3518">
        <v>37630</v>
      </c>
      <c r="BH18" s="3470" t="s">
        <v>3783</v>
      </c>
      <c r="BI18" s="3441" t="s">
        <v>3476</v>
      </c>
      <c r="BJ18" s="3484">
        <v>37638</v>
      </c>
      <c r="BK18" s="3484"/>
      <c r="BL18" s="3441" t="s">
        <v>3670</v>
      </c>
      <c r="BS18" s="3470"/>
      <c r="BT18" s="3470"/>
      <c r="BU18" s="3470"/>
    </row>
    <row r="19" spans="1:73" s="3441" customFormat="1" ht="12" hidden="1">
      <c r="A19" s="3470" t="s">
        <v>3784</v>
      </c>
      <c r="B19" s="3470" t="s">
        <v>3785</v>
      </c>
      <c r="C19" s="3481" t="s">
        <v>3786</v>
      </c>
      <c r="D19" s="3481" t="s">
        <v>3787</v>
      </c>
      <c r="E19" s="3470" t="s">
        <v>3763</v>
      </c>
      <c r="F19" s="3528" t="s">
        <v>3748</v>
      </c>
      <c r="G19" s="3470"/>
      <c r="H19" s="3470" t="s">
        <v>3788</v>
      </c>
      <c r="I19" s="3470"/>
      <c r="J19" s="3481" t="s">
        <v>3789</v>
      </c>
      <c r="K19" s="3470" t="s">
        <v>3751</v>
      </c>
      <c r="L19" s="3470">
        <v>64.98</v>
      </c>
      <c r="M19" s="3470">
        <v>6</v>
      </c>
      <c r="N19" s="3470" t="s">
        <v>3790</v>
      </c>
      <c r="O19" s="3470">
        <v>52.68</v>
      </c>
      <c r="P19" s="3470" t="s">
        <v>3452</v>
      </c>
      <c r="Q19" s="3457">
        <v>223531.2</v>
      </c>
      <c r="R19" s="3470">
        <v>3440</v>
      </c>
      <c r="S19" s="3472">
        <v>22.05</v>
      </c>
      <c r="T19" s="3527">
        <v>220500</v>
      </c>
      <c r="U19" s="3470">
        <v>3394</v>
      </c>
      <c r="V19" s="3474">
        <v>0.1</v>
      </c>
      <c r="W19" s="3475">
        <v>19.84</v>
      </c>
      <c r="X19" s="3476">
        <v>198400</v>
      </c>
      <c r="Y19" s="3441">
        <v>2003</v>
      </c>
      <c r="Z19" s="3441">
        <v>2</v>
      </c>
      <c r="AA19" s="3441">
        <v>8</v>
      </c>
      <c r="AB19" s="3477">
        <v>880</v>
      </c>
      <c r="AC19" s="3470" t="s">
        <v>3634</v>
      </c>
      <c r="AD19" s="3485"/>
      <c r="AE19" s="3441" t="s">
        <v>3663</v>
      </c>
      <c r="AF19" s="3470" t="s">
        <v>3752</v>
      </c>
      <c r="AG19" s="3522" t="s">
        <v>3466</v>
      </c>
      <c r="AH19" s="3485" t="s">
        <v>3568</v>
      </c>
      <c r="AI19" s="3470" t="s">
        <v>3679</v>
      </c>
      <c r="AJ19" s="3523">
        <v>38138</v>
      </c>
      <c r="AK19" s="3500">
        <v>2</v>
      </c>
      <c r="AL19" s="3441">
        <v>67641700</v>
      </c>
      <c r="AN19" s="3480" t="s">
        <v>3791</v>
      </c>
      <c r="AO19" s="3441" t="s">
        <v>3792</v>
      </c>
      <c r="AP19" s="3441" t="s">
        <v>3476</v>
      </c>
      <c r="AQ19" s="3441" t="s">
        <v>3571</v>
      </c>
      <c r="AV19" s="3441" t="s">
        <v>3568</v>
      </c>
      <c r="AW19" s="3470" t="s">
        <v>3572</v>
      </c>
      <c r="AY19" s="3441">
        <v>263243</v>
      </c>
      <c r="AZ19" s="3470" t="s">
        <v>3793</v>
      </c>
      <c r="BA19" s="3441" t="s">
        <v>3755</v>
      </c>
      <c r="BB19" s="3441" t="s">
        <v>3756</v>
      </c>
      <c r="BC19" s="3524" t="s">
        <v>3782</v>
      </c>
      <c r="BD19" s="3441">
        <v>102488</v>
      </c>
      <c r="BE19" s="3525">
        <v>63023627</v>
      </c>
      <c r="BF19" s="3520">
        <v>2.8</v>
      </c>
      <c r="BG19" s="3518">
        <v>37638</v>
      </c>
      <c r="BH19" s="3518"/>
      <c r="BI19" s="3470" t="s">
        <v>3721</v>
      </c>
      <c r="BJ19" s="3484">
        <v>37650</v>
      </c>
      <c r="BK19" s="3518"/>
      <c r="BL19" s="3441" t="s">
        <v>3623</v>
      </c>
      <c r="BS19" s="3470"/>
      <c r="BT19" s="3470"/>
      <c r="BU19" s="3470"/>
    </row>
    <row r="20" spans="1:73" s="3470" customFormat="1" ht="12" hidden="1">
      <c r="A20" s="3470" t="s">
        <v>3794</v>
      </c>
      <c r="B20" s="3470" t="s">
        <v>3795</v>
      </c>
      <c r="C20" s="3481" t="s">
        <v>3796</v>
      </c>
      <c r="D20" s="3470">
        <v>62759015</v>
      </c>
      <c r="E20" s="3470" t="s">
        <v>2736</v>
      </c>
      <c r="F20" s="3470" t="s">
        <v>3748</v>
      </c>
      <c r="H20" s="3470" t="s">
        <v>3749</v>
      </c>
      <c r="J20" s="3470" t="s">
        <v>3797</v>
      </c>
      <c r="K20" s="3470" t="s">
        <v>3766</v>
      </c>
      <c r="L20" s="3470">
        <v>98.32</v>
      </c>
      <c r="M20" s="3470">
        <v>12</v>
      </c>
      <c r="N20" s="3470" t="s">
        <v>3709</v>
      </c>
      <c r="O20" s="3470">
        <v>81.099999999999994</v>
      </c>
      <c r="P20" s="3470" t="s">
        <v>3452</v>
      </c>
      <c r="Q20" s="3457">
        <v>360834.39999999997</v>
      </c>
      <c r="R20" s="3470">
        <v>3670</v>
      </c>
      <c r="S20" s="3472">
        <v>35.69</v>
      </c>
      <c r="T20" s="3527">
        <v>356900</v>
      </c>
      <c r="U20" s="3470">
        <v>3630</v>
      </c>
      <c r="V20" s="3474">
        <v>0.1</v>
      </c>
      <c r="W20" s="3475">
        <v>32.119999999999997</v>
      </c>
      <c r="X20" s="3494">
        <v>321200</v>
      </c>
      <c r="Y20" s="3441">
        <v>2003</v>
      </c>
      <c r="Z20" s="3441">
        <v>2</v>
      </c>
      <c r="AA20" s="3470">
        <v>14</v>
      </c>
      <c r="AB20" s="3477">
        <v>1425</v>
      </c>
      <c r="AC20" s="3470" t="s">
        <v>3798</v>
      </c>
      <c r="AE20" s="3470" t="s">
        <v>3663</v>
      </c>
      <c r="AF20" s="3470" t="s">
        <v>3799</v>
      </c>
      <c r="AG20" s="3470" t="s">
        <v>3466</v>
      </c>
      <c r="AI20" s="3470" t="s">
        <v>3679</v>
      </c>
      <c r="AJ20" s="3478">
        <v>38138</v>
      </c>
      <c r="AK20" s="3500">
        <v>2</v>
      </c>
      <c r="AL20" s="3470">
        <v>67641700</v>
      </c>
      <c r="AN20" s="3441" t="s">
        <v>3800</v>
      </c>
      <c r="AO20" s="3470" t="s">
        <v>3801</v>
      </c>
      <c r="AP20" s="3470" t="s">
        <v>3476</v>
      </c>
      <c r="AQ20" s="3470" t="s">
        <v>3571</v>
      </c>
      <c r="AV20" s="3470" t="s">
        <v>3568</v>
      </c>
      <c r="AW20" s="3470" t="s">
        <v>3572</v>
      </c>
      <c r="AY20" s="3481" t="s">
        <v>3802</v>
      </c>
      <c r="AZ20" s="3470" t="s">
        <v>3751</v>
      </c>
      <c r="BA20" s="3470" t="s">
        <v>3755</v>
      </c>
      <c r="BB20" s="3481" t="s">
        <v>3803</v>
      </c>
      <c r="BC20" s="3470" t="s">
        <v>3772</v>
      </c>
      <c r="BD20" s="3482">
        <v>102488</v>
      </c>
      <c r="BE20" s="3470">
        <v>63023627</v>
      </c>
      <c r="BF20" s="3483">
        <v>2.8</v>
      </c>
      <c r="BG20" s="3478">
        <v>37634</v>
      </c>
      <c r="BH20" s="3470" t="s">
        <v>3437</v>
      </c>
      <c r="BI20" s="3441" t="s">
        <v>3476</v>
      </c>
      <c r="BJ20" s="3518">
        <v>37643</v>
      </c>
      <c r="BK20" s="3478"/>
      <c r="BL20" s="3441" t="s">
        <v>3670</v>
      </c>
      <c r="BM20" s="3441"/>
      <c r="BN20" s="3441"/>
      <c r="BO20" s="3441"/>
      <c r="BP20" s="3441"/>
      <c r="BQ20" s="3441"/>
      <c r="BR20" s="3441"/>
    </row>
    <row r="21" spans="1:73" s="3441" customFormat="1" ht="12" hidden="1">
      <c r="A21" s="3470" t="s">
        <v>3804</v>
      </c>
      <c r="B21" s="3470" t="s">
        <v>3805</v>
      </c>
      <c r="C21" s="3481" t="s">
        <v>3806</v>
      </c>
      <c r="D21" s="3481" t="s">
        <v>3807</v>
      </c>
      <c r="E21" s="3470" t="s">
        <v>2736</v>
      </c>
      <c r="F21" s="3528" t="s">
        <v>3808</v>
      </c>
      <c r="G21" s="3470"/>
      <c r="H21" s="3470" t="s">
        <v>3788</v>
      </c>
      <c r="I21" s="3470"/>
      <c r="J21" s="3481" t="s">
        <v>3809</v>
      </c>
      <c r="K21" s="3470" t="s">
        <v>3751</v>
      </c>
      <c r="L21" s="3470">
        <v>110.36</v>
      </c>
      <c r="M21" s="3470">
        <v>8</v>
      </c>
      <c r="N21" s="3470" t="s">
        <v>3661</v>
      </c>
      <c r="O21" s="3470">
        <v>89.46</v>
      </c>
      <c r="P21" s="3470" t="s">
        <v>3452</v>
      </c>
      <c r="Q21" s="3457">
        <v>422678.8</v>
      </c>
      <c r="R21" s="3470">
        <v>3830</v>
      </c>
      <c r="S21" s="3472">
        <v>41.82</v>
      </c>
      <c r="T21" s="3473">
        <v>418200</v>
      </c>
      <c r="U21" s="3470">
        <v>3790</v>
      </c>
      <c r="V21" s="3474">
        <v>0.1</v>
      </c>
      <c r="W21" s="3475">
        <v>37.630000000000003</v>
      </c>
      <c r="X21" s="3476">
        <v>376300</v>
      </c>
      <c r="Y21" s="3441">
        <v>2003</v>
      </c>
      <c r="Z21" s="3441">
        <v>1</v>
      </c>
      <c r="AA21" s="3441">
        <v>24</v>
      </c>
      <c r="AB21" s="3477">
        <v>2090</v>
      </c>
      <c r="AC21" s="3470" t="s">
        <v>3634</v>
      </c>
      <c r="AD21" s="3485"/>
      <c r="AE21" s="3441" t="s">
        <v>3663</v>
      </c>
      <c r="AF21" s="3470" t="s">
        <v>3810</v>
      </c>
      <c r="AG21" s="3522" t="s">
        <v>3466</v>
      </c>
      <c r="AH21" s="3485" t="s">
        <v>3568</v>
      </c>
      <c r="AI21" s="3470" t="s">
        <v>3679</v>
      </c>
      <c r="AJ21" s="3523">
        <v>38138</v>
      </c>
      <c r="AK21" s="3500">
        <v>1</v>
      </c>
      <c r="AL21" s="3441">
        <v>67641700</v>
      </c>
      <c r="AN21" s="3480" t="s">
        <v>3484</v>
      </c>
      <c r="AO21" s="3441" t="s">
        <v>3811</v>
      </c>
      <c r="AP21" s="3441" t="s">
        <v>3476</v>
      </c>
      <c r="AQ21" s="3441" t="s">
        <v>3571</v>
      </c>
      <c r="AV21" s="3441" t="s">
        <v>3568</v>
      </c>
      <c r="AW21" s="3470" t="s">
        <v>3572</v>
      </c>
      <c r="AY21" s="3441">
        <v>263245</v>
      </c>
      <c r="AZ21" s="3470" t="s">
        <v>3751</v>
      </c>
      <c r="BA21" s="3441" t="s">
        <v>3770</v>
      </c>
      <c r="BB21" s="3441" t="s">
        <v>3756</v>
      </c>
      <c r="BC21" s="3524" t="s">
        <v>3772</v>
      </c>
      <c r="BD21" s="3441">
        <v>102488</v>
      </c>
      <c r="BE21" s="3525">
        <v>63023627</v>
      </c>
      <c r="BF21" s="3520">
        <v>2.8</v>
      </c>
      <c r="BG21" s="3518">
        <v>37636</v>
      </c>
      <c r="BH21" s="3518"/>
      <c r="BI21" s="3441" t="s">
        <v>3475</v>
      </c>
      <c r="BJ21" s="3484">
        <v>37643</v>
      </c>
      <c r="BK21" s="3518"/>
      <c r="BL21" s="3441" t="s">
        <v>3623</v>
      </c>
      <c r="BS21" s="3470"/>
      <c r="BT21" s="3470"/>
      <c r="BU21" s="3470"/>
    </row>
    <row r="22" spans="1:73" s="3470" customFormat="1" ht="12" hidden="1">
      <c r="A22" s="3470" t="s">
        <v>3812</v>
      </c>
      <c r="B22" s="3470" t="s">
        <v>3813</v>
      </c>
      <c r="C22" s="3481" t="s">
        <v>3814</v>
      </c>
      <c r="D22" s="3470">
        <v>13701209844</v>
      </c>
      <c r="E22" s="3470" t="s">
        <v>2736</v>
      </c>
      <c r="F22" s="3470" t="s">
        <v>3748</v>
      </c>
      <c r="H22" s="3470" t="s">
        <v>3749</v>
      </c>
      <c r="J22" s="3470" t="s">
        <v>3815</v>
      </c>
      <c r="K22" s="3470" t="s">
        <v>3793</v>
      </c>
      <c r="L22" s="3470">
        <v>147.93</v>
      </c>
      <c r="M22" s="3470">
        <v>11</v>
      </c>
      <c r="N22" s="3470" t="s">
        <v>3816</v>
      </c>
      <c r="O22" s="3470">
        <v>122.02</v>
      </c>
      <c r="P22" s="3470" t="s">
        <v>3452</v>
      </c>
      <c r="Q22" s="3457">
        <v>635359.35</v>
      </c>
      <c r="R22" s="3470">
        <v>4295</v>
      </c>
      <c r="S22" s="3472">
        <v>62.91</v>
      </c>
      <c r="T22" s="3527">
        <v>629100</v>
      </c>
      <c r="U22" s="3470">
        <v>4253</v>
      </c>
      <c r="V22" s="3474">
        <v>0.1</v>
      </c>
      <c r="W22" s="3475">
        <v>56.61</v>
      </c>
      <c r="X22" s="3494">
        <v>566100</v>
      </c>
      <c r="Y22" s="3441">
        <v>2003</v>
      </c>
      <c r="Z22" s="3441">
        <v>2</v>
      </c>
      <c r="AA22" s="3470">
        <v>14</v>
      </c>
      <c r="AB22" s="3477">
        <v>2515</v>
      </c>
      <c r="AC22" s="3470" t="s">
        <v>3634</v>
      </c>
      <c r="AE22" s="3470" t="s">
        <v>3663</v>
      </c>
      <c r="AF22" s="3470" t="s">
        <v>3799</v>
      </c>
      <c r="AG22" s="3470" t="s">
        <v>3466</v>
      </c>
      <c r="AI22" s="3470" t="s">
        <v>3679</v>
      </c>
      <c r="AJ22" s="3478">
        <v>38138</v>
      </c>
      <c r="AK22" s="3500">
        <v>2</v>
      </c>
      <c r="AL22" s="3470">
        <v>67641700</v>
      </c>
      <c r="AN22" s="3441" t="s">
        <v>3468</v>
      </c>
      <c r="AO22" s="3470" t="s">
        <v>3817</v>
      </c>
      <c r="AP22" s="3470" t="s">
        <v>3476</v>
      </c>
      <c r="AQ22" s="3470" t="s">
        <v>3571</v>
      </c>
      <c r="AV22" s="3470" t="s">
        <v>3568</v>
      </c>
      <c r="AW22" s="3470" t="s">
        <v>3572</v>
      </c>
      <c r="AY22" s="3481" t="s">
        <v>3818</v>
      </c>
      <c r="AZ22" s="3470" t="s">
        <v>3751</v>
      </c>
      <c r="BA22" s="3470" t="s">
        <v>3755</v>
      </c>
      <c r="BB22" s="3481" t="s">
        <v>3771</v>
      </c>
      <c r="BC22" s="3470" t="s">
        <v>3782</v>
      </c>
      <c r="BD22" s="3482">
        <v>102488</v>
      </c>
      <c r="BE22" s="3470">
        <v>63023627</v>
      </c>
      <c r="BF22" s="3483">
        <v>2.8</v>
      </c>
      <c r="BG22" s="3478">
        <v>37637</v>
      </c>
      <c r="BH22" s="3470" t="s">
        <v>3437</v>
      </c>
      <c r="BI22" s="3441" t="s">
        <v>3476</v>
      </c>
      <c r="BJ22" s="3518">
        <v>37650</v>
      </c>
      <c r="BK22" s="3478"/>
      <c r="BL22" s="3441" t="s">
        <v>3670</v>
      </c>
      <c r="BM22" s="3441"/>
      <c r="BN22" s="3441"/>
      <c r="BO22" s="3441"/>
      <c r="BP22" s="3441"/>
      <c r="BQ22" s="3441"/>
      <c r="BR22" s="3441"/>
    </row>
    <row r="23" spans="1:73" s="3441" customFormat="1" ht="12" hidden="1">
      <c r="A23" s="3470" t="s">
        <v>3819</v>
      </c>
      <c r="B23" s="3470" t="s">
        <v>3820</v>
      </c>
      <c r="C23" s="3481" t="s">
        <v>3821</v>
      </c>
      <c r="D23" s="3481" t="s">
        <v>3822</v>
      </c>
      <c r="E23" s="3470" t="s">
        <v>2736</v>
      </c>
      <c r="F23" s="3528" t="s">
        <v>3823</v>
      </c>
      <c r="G23" s="3470"/>
      <c r="H23" s="3470" t="s">
        <v>3824</v>
      </c>
      <c r="I23" s="3470"/>
      <c r="J23" s="3481" t="s">
        <v>3825</v>
      </c>
      <c r="K23" s="3470" t="s">
        <v>3793</v>
      </c>
      <c r="L23" s="3470">
        <v>140.69999999999999</v>
      </c>
      <c r="M23" s="3470">
        <v>8</v>
      </c>
      <c r="N23" s="3470" t="s">
        <v>3488</v>
      </c>
      <c r="O23" s="3470">
        <v>114.06</v>
      </c>
      <c r="P23" s="3470" t="s">
        <v>3452</v>
      </c>
      <c r="Q23" s="3457">
        <v>540288</v>
      </c>
      <c r="R23" s="3470">
        <v>3840</v>
      </c>
      <c r="S23" s="3472">
        <v>53.35</v>
      </c>
      <c r="T23" s="3527">
        <v>533500</v>
      </c>
      <c r="U23" s="3470">
        <v>3792</v>
      </c>
      <c r="V23" s="3474">
        <v>0.1</v>
      </c>
      <c r="W23" s="3475">
        <v>48.01</v>
      </c>
      <c r="X23" s="3476">
        <v>480100</v>
      </c>
      <c r="Y23" s="3441">
        <v>2003</v>
      </c>
      <c r="Z23" s="3441">
        <v>2</v>
      </c>
      <c r="AA23" s="3441">
        <v>10</v>
      </c>
      <c r="AB23" s="3477">
        <v>2130</v>
      </c>
      <c r="AC23" s="3470" t="s">
        <v>3634</v>
      </c>
      <c r="AD23" s="3485"/>
      <c r="AE23" s="3441" t="s">
        <v>3663</v>
      </c>
      <c r="AF23" s="3470" t="s">
        <v>3752</v>
      </c>
      <c r="AG23" s="3522" t="s">
        <v>3466</v>
      </c>
      <c r="AH23" s="3485" t="s">
        <v>3568</v>
      </c>
      <c r="AI23" s="3470" t="s">
        <v>3679</v>
      </c>
      <c r="AJ23" s="3523">
        <v>38138</v>
      </c>
      <c r="AK23" s="3500">
        <v>2</v>
      </c>
      <c r="AL23" s="3441">
        <v>67641700</v>
      </c>
      <c r="AN23" s="3480" t="s">
        <v>3791</v>
      </c>
      <c r="AO23" s="3441" t="s">
        <v>3826</v>
      </c>
      <c r="AP23" s="3441" t="s">
        <v>3476</v>
      </c>
      <c r="AQ23" s="3441" t="s">
        <v>3571</v>
      </c>
      <c r="AV23" s="3441" t="s">
        <v>3568</v>
      </c>
      <c r="AW23" s="3470" t="s">
        <v>3572</v>
      </c>
      <c r="AY23" s="3441">
        <v>263240</v>
      </c>
      <c r="AZ23" s="3470" t="s">
        <v>3751</v>
      </c>
      <c r="BA23" s="3441" t="s">
        <v>3770</v>
      </c>
      <c r="BB23" s="3441" t="s">
        <v>3771</v>
      </c>
      <c r="BC23" s="3524" t="s">
        <v>3772</v>
      </c>
      <c r="BD23" s="3441">
        <v>102488</v>
      </c>
      <c r="BE23" s="3525">
        <v>63023627</v>
      </c>
      <c r="BF23" s="3520">
        <v>2.8</v>
      </c>
      <c r="BG23" s="3518">
        <v>37638</v>
      </c>
      <c r="BH23" s="3518"/>
      <c r="BI23" s="3441" t="s">
        <v>3700</v>
      </c>
      <c r="BJ23" s="3484">
        <v>37660</v>
      </c>
      <c r="BK23" s="3518"/>
      <c r="BL23" s="3441" t="s">
        <v>3594</v>
      </c>
      <c r="BS23" s="3470"/>
      <c r="BT23" s="3470"/>
      <c r="BU23" s="3470"/>
    </row>
    <row r="24" spans="1:73" s="3441" customFormat="1" ht="12" hidden="1">
      <c r="A24" s="3470" t="s">
        <v>3827</v>
      </c>
      <c r="B24" s="3470" t="s">
        <v>3828</v>
      </c>
      <c r="C24" s="3481" t="s">
        <v>3829</v>
      </c>
      <c r="D24" s="3481" t="s">
        <v>3830</v>
      </c>
      <c r="E24" s="3470" t="s">
        <v>2736</v>
      </c>
      <c r="F24" s="3528" t="s">
        <v>3808</v>
      </c>
      <c r="G24" s="3470"/>
      <c r="H24" s="3470" t="s">
        <v>3824</v>
      </c>
      <c r="I24" s="3470"/>
      <c r="J24" s="3481" t="s">
        <v>3831</v>
      </c>
      <c r="K24" s="3470" t="s">
        <v>3766</v>
      </c>
      <c r="L24" s="3470">
        <v>99.93</v>
      </c>
      <c r="M24" s="3470">
        <v>14</v>
      </c>
      <c r="N24" s="3470" t="s">
        <v>3451</v>
      </c>
      <c r="O24" s="3470">
        <v>81.010000000000005</v>
      </c>
      <c r="P24" s="3470" t="s">
        <v>3452</v>
      </c>
      <c r="Q24" s="3457">
        <v>367742.4</v>
      </c>
      <c r="R24" s="3470">
        <v>3680</v>
      </c>
      <c r="S24" s="3472">
        <v>36.29</v>
      </c>
      <c r="T24" s="3527">
        <v>362900</v>
      </c>
      <c r="U24" s="3470">
        <v>3632</v>
      </c>
      <c r="V24" s="3474">
        <v>0.1</v>
      </c>
      <c r="W24" s="3475">
        <v>32.659999999999997</v>
      </c>
      <c r="X24" s="3476">
        <v>326599.99999999994</v>
      </c>
      <c r="Y24" s="3441">
        <v>2003</v>
      </c>
      <c r="Z24" s="3441">
        <v>2</v>
      </c>
      <c r="AA24" s="3441">
        <v>10</v>
      </c>
      <c r="AB24" s="3477">
        <v>1450</v>
      </c>
      <c r="AC24" s="3470" t="s">
        <v>3634</v>
      </c>
      <c r="AD24" s="3485"/>
      <c r="AE24" s="3441" t="s">
        <v>3663</v>
      </c>
      <c r="AF24" s="3470" t="s">
        <v>3752</v>
      </c>
      <c r="AG24" s="3522" t="s">
        <v>3466</v>
      </c>
      <c r="AH24" s="3485" t="s">
        <v>3568</v>
      </c>
      <c r="AI24" s="3470" t="s">
        <v>3679</v>
      </c>
      <c r="AJ24" s="3523">
        <v>38138</v>
      </c>
      <c r="AK24" s="3500">
        <v>2</v>
      </c>
      <c r="AL24" s="3441">
        <v>67641700</v>
      </c>
      <c r="AN24" s="3480" t="s">
        <v>3468</v>
      </c>
      <c r="AO24" s="3441" t="s">
        <v>3832</v>
      </c>
      <c r="AP24" s="3441" t="s">
        <v>3476</v>
      </c>
      <c r="AQ24" s="3441" t="s">
        <v>3571</v>
      </c>
      <c r="AV24" s="3441" t="s">
        <v>3568</v>
      </c>
      <c r="AW24" s="3470" t="s">
        <v>3572</v>
      </c>
      <c r="AY24" s="3441">
        <v>263248</v>
      </c>
      <c r="AZ24" s="3470" t="s">
        <v>3793</v>
      </c>
      <c r="BA24" s="3441" t="s">
        <v>3770</v>
      </c>
      <c r="BB24" s="3441" t="s">
        <v>3803</v>
      </c>
      <c r="BC24" s="3524" t="s">
        <v>3772</v>
      </c>
      <c r="BD24" s="3441">
        <v>102488</v>
      </c>
      <c r="BE24" s="3525">
        <v>63023627</v>
      </c>
      <c r="BF24" s="3520">
        <v>2.8</v>
      </c>
      <c r="BG24" s="3518">
        <v>37632</v>
      </c>
      <c r="BH24" s="3518"/>
      <c r="BI24" s="3441" t="s">
        <v>3700</v>
      </c>
      <c r="BJ24" s="3484">
        <v>37660</v>
      </c>
      <c r="BK24" s="3518"/>
      <c r="BL24" s="3441" t="s">
        <v>3833</v>
      </c>
      <c r="BS24" s="3470"/>
      <c r="BT24" s="3470"/>
      <c r="BU24" s="3470"/>
    </row>
    <row r="25" spans="1:73" s="3470" customFormat="1" ht="12" hidden="1">
      <c r="A25" s="3470" t="s">
        <v>3834</v>
      </c>
      <c r="B25" s="3470" t="s">
        <v>3835</v>
      </c>
      <c r="C25" s="3481" t="s">
        <v>3836</v>
      </c>
      <c r="D25" s="3470">
        <v>13691028141</v>
      </c>
      <c r="E25" s="3470" t="s">
        <v>2736</v>
      </c>
      <c r="F25" s="3470" t="s">
        <v>3823</v>
      </c>
      <c r="H25" s="3470" t="s">
        <v>3837</v>
      </c>
      <c r="J25" s="3470" t="s">
        <v>3838</v>
      </c>
      <c r="K25" s="3470" t="s">
        <v>3793</v>
      </c>
      <c r="L25" s="3470">
        <v>110.36</v>
      </c>
      <c r="M25" s="3470">
        <v>18</v>
      </c>
      <c r="N25" s="3470" t="s">
        <v>3778</v>
      </c>
      <c r="O25" s="3470">
        <v>89.46</v>
      </c>
      <c r="P25" s="3470" t="s">
        <v>3452</v>
      </c>
      <c r="Q25" s="3457">
        <v>433714.8</v>
      </c>
      <c r="R25" s="3470">
        <v>3930</v>
      </c>
      <c r="S25" s="3472">
        <v>42.87</v>
      </c>
      <c r="T25" s="3527">
        <v>428700</v>
      </c>
      <c r="U25" s="3470">
        <v>3885</v>
      </c>
      <c r="V25" s="3474">
        <v>0.1</v>
      </c>
      <c r="W25" s="3475">
        <v>38.58</v>
      </c>
      <c r="X25" s="3494">
        <v>385800</v>
      </c>
      <c r="Y25" s="3441">
        <v>2003</v>
      </c>
      <c r="Z25" s="3441">
        <v>2</v>
      </c>
      <c r="AA25" s="3470">
        <v>14</v>
      </c>
      <c r="AB25" s="3477">
        <v>1710</v>
      </c>
      <c r="AC25" s="3470" t="s">
        <v>3634</v>
      </c>
      <c r="AE25" s="3470" t="s">
        <v>3663</v>
      </c>
      <c r="AF25" s="3470" t="s">
        <v>3810</v>
      </c>
      <c r="AG25" s="3470" t="s">
        <v>3466</v>
      </c>
      <c r="AI25" s="3470" t="s">
        <v>3679</v>
      </c>
      <c r="AJ25" s="3478">
        <v>38138</v>
      </c>
      <c r="AK25" s="3500">
        <v>2</v>
      </c>
      <c r="AL25" s="3470">
        <v>67641700</v>
      </c>
      <c r="AN25" s="3441" t="s">
        <v>3468</v>
      </c>
      <c r="AO25" s="3470" t="s">
        <v>3839</v>
      </c>
      <c r="AP25" s="3470" t="s">
        <v>3476</v>
      </c>
      <c r="AQ25" s="3470" t="s">
        <v>3571</v>
      </c>
      <c r="AV25" s="3470" t="s">
        <v>3568</v>
      </c>
      <c r="AW25" s="3470" t="s">
        <v>3572</v>
      </c>
      <c r="AY25" s="3481" t="s">
        <v>3840</v>
      </c>
      <c r="AZ25" s="3470" t="s">
        <v>3751</v>
      </c>
      <c r="BA25" s="3470" t="s">
        <v>3755</v>
      </c>
      <c r="BB25" s="3481" t="s">
        <v>3803</v>
      </c>
      <c r="BC25" s="3470" t="s">
        <v>3772</v>
      </c>
      <c r="BD25" s="3482">
        <v>102488</v>
      </c>
      <c r="BE25" s="3470">
        <v>63023627</v>
      </c>
      <c r="BF25" s="3483">
        <v>2.8</v>
      </c>
      <c r="BG25" s="3478">
        <v>37641</v>
      </c>
      <c r="BH25" s="3470" t="s">
        <v>3437</v>
      </c>
      <c r="BI25" s="3441" t="s">
        <v>3476</v>
      </c>
      <c r="BJ25" s="3518">
        <v>37662</v>
      </c>
      <c r="BK25" s="3478"/>
      <c r="BL25" s="3441" t="s">
        <v>3670</v>
      </c>
      <c r="BM25" s="3441"/>
      <c r="BN25" s="3441"/>
      <c r="BO25" s="3441"/>
      <c r="BP25" s="3441"/>
      <c r="BQ25" s="3441"/>
      <c r="BR25" s="3441"/>
    </row>
    <row r="26" spans="1:73" s="3470" customFormat="1" ht="12" hidden="1">
      <c r="A26" s="3470" t="s">
        <v>3841</v>
      </c>
      <c r="B26" s="3470" t="s">
        <v>3842</v>
      </c>
      <c r="C26" s="3481" t="s">
        <v>3843</v>
      </c>
      <c r="D26" s="3470">
        <v>13621300727</v>
      </c>
      <c r="E26" s="3470" t="s">
        <v>3538</v>
      </c>
      <c r="F26" s="3470" t="s">
        <v>3748</v>
      </c>
      <c r="H26" s="3470" t="s">
        <v>3749</v>
      </c>
      <c r="J26" s="3470" t="s">
        <v>3844</v>
      </c>
      <c r="K26" s="3470" t="s">
        <v>3751</v>
      </c>
      <c r="L26" s="3470">
        <v>112.34</v>
      </c>
      <c r="M26" s="3470">
        <v>7</v>
      </c>
      <c r="N26" s="3470" t="s">
        <v>3778</v>
      </c>
      <c r="O26" s="3470">
        <v>92.66</v>
      </c>
      <c r="P26" s="3470" t="s">
        <v>3452</v>
      </c>
      <c r="Q26" s="3457">
        <v>473513.10000000003</v>
      </c>
      <c r="R26" s="3470">
        <v>4215</v>
      </c>
      <c r="S26" s="3472">
        <v>46.87</v>
      </c>
      <c r="T26" s="3527">
        <v>468700</v>
      </c>
      <c r="U26" s="3470">
        <v>4173</v>
      </c>
      <c r="V26" s="3474">
        <v>0.1</v>
      </c>
      <c r="W26" s="3475">
        <v>42.18</v>
      </c>
      <c r="X26" s="3494">
        <v>421800</v>
      </c>
      <c r="Y26" s="3441">
        <v>2003</v>
      </c>
      <c r="Z26" s="3441">
        <v>2</v>
      </c>
      <c r="AA26" s="3470">
        <v>14</v>
      </c>
      <c r="AB26" s="3477">
        <v>1870</v>
      </c>
      <c r="AC26" s="3470" t="s">
        <v>3634</v>
      </c>
      <c r="AE26" s="3470" t="s">
        <v>3663</v>
      </c>
      <c r="AF26" s="3470" t="s">
        <v>3810</v>
      </c>
      <c r="AG26" s="3470" t="s">
        <v>3466</v>
      </c>
      <c r="AI26" s="3470" t="s">
        <v>3679</v>
      </c>
      <c r="AJ26" s="3478">
        <v>38138</v>
      </c>
      <c r="AK26" s="3500">
        <v>2</v>
      </c>
      <c r="AL26" s="3470">
        <v>67641700</v>
      </c>
      <c r="AN26" s="3441" t="s">
        <v>3791</v>
      </c>
      <c r="AO26" s="3470" t="s">
        <v>3845</v>
      </c>
      <c r="AP26" s="3470" t="s">
        <v>3476</v>
      </c>
      <c r="AQ26" s="3470" t="s">
        <v>3571</v>
      </c>
      <c r="AV26" s="3470" t="s">
        <v>3568</v>
      </c>
      <c r="AW26" s="3470" t="s">
        <v>3572</v>
      </c>
      <c r="AY26" s="3481" t="s">
        <v>3846</v>
      </c>
      <c r="AZ26" s="3470" t="s">
        <v>3793</v>
      </c>
      <c r="BA26" s="3470" t="s">
        <v>3755</v>
      </c>
      <c r="BB26" s="3481" t="s">
        <v>3756</v>
      </c>
      <c r="BC26" s="3470" t="s">
        <v>3782</v>
      </c>
      <c r="BD26" s="3482">
        <v>102488</v>
      </c>
      <c r="BE26" s="3470">
        <v>63023627</v>
      </c>
      <c r="BF26" s="3483">
        <v>2.8</v>
      </c>
      <c r="BG26" s="3478">
        <v>37635</v>
      </c>
      <c r="BH26" s="3470" t="s">
        <v>3783</v>
      </c>
      <c r="BI26" s="3441" t="s">
        <v>3476</v>
      </c>
      <c r="BJ26" s="3518">
        <v>37643</v>
      </c>
      <c r="BK26" s="3478"/>
      <c r="BL26" s="3441" t="s">
        <v>3670</v>
      </c>
      <c r="BM26" s="3441"/>
      <c r="BN26" s="3441"/>
      <c r="BO26" s="3441"/>
      <c r="BP26" s="3441"/>
      <c r="BQ26" s="3441"/>
      <c r="BR26" s="3441"/>
    </row>
    <row r="27" spans="1:73" s="3441" customFormat="1" ht="12" hidden="1">
      <c r="A27" s="3470" t="s">
        <v>3847</v>
      </c>
      <c r="B27" s="3470" t="s">
        <v>3848</v>
      </c>
      <c r="C27" s="3481" t="s">
        <v>3849</v>
      </c>
      <c r="D27" s="3481" t="s">
        <v>3850</v>
      </c>
      <c r="E27" s="3470" t="s">
        <v>3538</v>
      </c>
      <c r="F27" s="3528" t="s">
        <v>3808</v>
      </c>
      <c r="G27" s="3470"/>
      <c r="H27" s="3470" t="s">
        <v>3824</v>
      </c>
      <c r="I27" s="3470"/>
      <c r="J27" s="3481" t="s">
        <v>3851</v>
      </c>
      <c r="K27" s="3470" t="s">
        <v>3766</v>
      </c>
      <c r="L27" s="3470">
        <v>150.79</v>
      </c>
      <c r="M27" s="3470">
        <v>12</v>
      </c>
      <c r="N27" s="3470" t="s">
        <v>3852</v>
      </c>
      <c r="O27" s="3470">
        <v>122.24</v>
      </c>
      <c r="P27" s="3470" t="s">
        <v>3452</v>
      </c>
      <c r="Q27" s="3457">
        <v>633318</v>
      </c>
      <c r="R27" s="3470">
        <v>4200</v>
      </c>
      <c r="S27" s="3472">
        <v>62.57</v>
      </c>
      <c r="T27" s="3527">
        <v>625700</v>
      </c>
      <c r="U27" s="3470">
        <v>4150</v>
      </c>
      <c r="V27" s="3474">
        <v>0.1</v>
      </c>
      <c r="W27" s="3475">
        <v>56.31</v>
      </c>
      <c r="X27" s="3476">
        <v>563100</v>
      </c>
      <c r="Y27" s="3441">
        <v>2003</v>
      </c>
      <c r="Z27" s="3441">
        <v>2</v>
      </c>
      <c r="AA27" s="3441">
        <v>11</v>
      </c>
      <c r="AB27" s="3477">
        <v>2500</v>
      </c>
      <c r="AC27" s="3470" t="s">
        <v>3798</v>
      </c>
      <c r="AD27" s="3485"/>
      <c r="AE27" s="3441" t="s">
        <v>3663</v>
      </c>
      <c r="AF27" s="3470" t="s">
        <v>3752</v>
      </c>
      <c r="AG27" s="3522" t="s">
        <v>3466</v>
      </c>
      <c r="AH27" s="3485" t="s">
        <v>3568</v>
      </c>
      <c r="AI27" s="3470" t="s">
        <v>3679</v>
      </c>
      <c r="AJ27" s="3523">
        <v>38138</v>
      </c>
      <c r="AK27" s="3500">
        <v>2</v>
      </c>
      <c r="AL27" s="3441">
        <v>67641700</v>
      </c>
      <c r="AN27" s="3480" t="s">
        <v>3468</v>
      </c>
      <c r="AO27" s="3441" t="s">
        <v>3853</v>
      </c>
      <c r="AP27" s="3441" t="s">
        <v>3476</v>
      </c>
      <c r="AQ27" s="3441" t="s">
        <v>3571</v>
      </c>
      <c r="AV27" s="3441" t="s">
        <v>3568</v>
      </c>
      <c r="AW27" s="3470" t="s">
        <v>3572</v>
      </c>
      <c r="AY27" s="3441">
        <v>264703</v>
      </c>
      <c r="AZ27" s="3470" t="s">
        <v>3751</v>
      </c>
      <c r="BA27" s="3441" t="s">
        <v>3770</v>
      </c>
      <c r="BB27" s="3441" t="s">
        <v>3771</v>
      </c>
      <c r="BC27" s="3524" t="s">
        <v>3757</v>
      </c>
      <c r="BD27" s="3441">
        <v>102488</v>
      </c>
      <c r="BE27" s="3525">
        <v>63023627</v>
      </c>
      <c r="BF27" s="3520">
        <v>2.8</v>
      </c>
      <c r="BG27" s="3518">
        <v>37643</v>
      </c>
      <c r="BH27" s="3518"/>
      <c r="BI27" s="3470" t="s">
        <v>3721</v>
      </c>
      <c r="BJ27" s="3484">
        <v>37662</v>
      </c>
      <c r="BK27" s="3518"/>
      <c r="BL27" s="3441" t="s">
        <v>3594</v>
      </c>
      <c r="BS27" s="3470"/>
      <c r="BT27" s="3470"/>
      <c r="BU27" s="3470"/>
    </row>
    <row r="28" spans="1:73" s="3470" customFormat="1" ht="12" hidden="1">
      <c r="A28" s="3470" t="s">
        <v>3854</v>
      </c>
      <c r="B28" s="3470" t="s">
        <v>3855</v>
      </c>
      <c r="C28" s="3481" t="s">
        <v>3856</v>
      </c>
      <c r="D28" s="3470">
        <v>13020061081</v>
      </c>
      <c r="E28" s="3470" t="s">
        <v>3538</v>
      </c>
      <c r="F28" s="3470" t="s">
        <v>3823</v>
      </c>
      <c r="H28" s="3470" t="s">
        <v>3857</v>
      </c>
      <c r="J28" s="3470" t="s">
        <v>3858</v>
      </c>
      <c r="K28" s="3470" t="s">
        <v>3751</v>
      </c>
      <c r="L28" s="3470">
        <v>147.93</v>
      </c>
      <c r="M28" s="3470">
        <v>5</v>
      </c>
      <c r="N28" s="3470" t="s">
        <v>3852</v>
      </c>
      <c r="O28" s="3470">
        <v>122.02</v>
      </c>
      <c r="P28" s="3470" t="s">
        <v>3452</v>
      </c>
      <c r="Q28" s="3457">
        <v>616868.1</v>
      </c>
      <c r="R28" s="3470">
        <v>4170</v>
      </c>
      <c r="S28" s="3472">
        <v>61.06</v>
      </c>
      <c r="T28" s="3527">
        <v>610600</v>
      </c>
      <c r="U28" s="3470">
        <v>4128</v>
      </c>
      <c r="V28" s="3474">
        <v>0.1</v>
      </c>
      <c r="W28" s="3475">
        <v>54.95</v>
      </c>
      <c r="X28" s="3494">
        <v>549500</v>
      </c>
      <c r="Y28" s="3441">
        <v>2003</v>
      </c>
      <c r="Z28" s="3441">
        <v>2</v>
      </c>
      <c r="AA28" s="3470">
        <v>14</v>
      </c>
      <c r="AB28" s="3477">
        <v>2440</v>
      </c>
      <c r="AC28" s="3470" t="s">
        <v>3798</v>
      </c>
      <c r="AE28" s="3470" t="s">
        <v>3663</v>
      </c>
      <c r="AF28" s="3470" t="s">
        <v>3810</v>
      </c>
      <c r="AG28" s="3470" t="s">
        <v>3466</v>
      </c>
      <c r="AI28" s="3470" t="s">
        <v>3679</v>
      </c>
      <c r="AJ28" s="3478">
        <v>38138</v>
      </c>
      <c r="AK28" s="3500">
        <v>2</v>
      </c>
      <c r="AL28" s="3470">
        <v>67641700</v>
      </c>
      <c r="AN28" s="3441" t="s">
        <v>3800</v>
      </c>
      <c r="AO28" s="3470" t="s">
        <v>3859</v>
      </c>
      <c r="AP28" s="3470" t="s">
        <v>3476</v>
      </c>
      <c r="AQ28" s="3470" t="s">
        <v>3571</v>
      </c>
      <c r="AV28" s="3470" t="s">
        <v>3568</v>
      </c>
      <c r="AW28" s="3470" t="s">
        <v>3572</v>
      </c>
      <c r="AY28" s="3481" t="s">
        <v>3860</v>
      </c>
      <c r="AZ28" s="3470" t="s">
        <v>3751</v>
      </c>
      <c r="BA28" s="3470" t="s">
        <v>3755</v>
      </c>
      <c r="BB28" s="3481" t="s">
        <v>3771</v>
      </c>
      <c r="BC28" s="3470" t="s">
        <v>3772</v>
      </c>
      <c r="BD28" s="3482">
        <v>102488</v>
      </c>
      <c r="BE28" s="3470">
        <v>63023627</v>
      </c>
      <c r="BF28" s="3483">
        <v>2.8</v>
      </c>
      <c r="BG28" s="3478">
        <v>37633</v>
      </c>
      <c r="BH28" s="3470" t="s">
        <v>3758</v>
      </c>
      <c r="BI28" s="3441" t="s">
        <v>3476</v>
      </c>
      <c r="BJ28" s="3518">
        <v>37643</v>
      </c>
      <c r="BK28" s="3478"/>
      <c r="BL28" s="3441" t="s">
        <v>3670</v>
      </c>
      <c r="BM28" s="3441"/>
      <c r="BN28" s="3441"/>
      <c r="BO28" s="3441"/>
      <c r="BP28" s="3441"/>
      <c r="BQ28" s="3441"/>
      <c r="BR28" s="3441"/>
    </row>
    <row r="29" spans="1:73" s="3441" customFormat="1" ht="12" hidden="1">
      <c r="A29" s="3470" t="s">
        <v>3861</v>
      </c>
      <c r="B29" s="3470" t="s">
        <v>3862</v>
      </c>
      <c r="C29" s="3481" t="s">
        <v>3863</v>
      </c>
      <c r="D29" s="3481" t="s">
        <v>3864</v>
      </c>
      <c r="E29" s="3470" t="s">
        <v>2736</v>
      </c>
      <c r="F29" s="3528" t="s">
        <v>3748</v>
      </c>
      <c r="G29" s="3470"/>
      <c r="H29" s="3470" t="s">
        <v>3764</v>
      </c>
      <c r="I29" s="3470"/>
      <c r="J29" s="3481" t="s">
        <v>3865</v>
      </c>
      <c r="K29" s="3470" t="s">
        <v>3751</v>
      </c>
      <c r="L29" s="3470">
        <v>99.93</v>
      </c>
      <c r="M29" s="3470">
        <v>12</v>
      </c>
      <c r="N29" s="3470" t="s">
        <v>3451</v>
      </c>
      <c r="O29" s="3470">
        <v>81.010000000000005</v>
      </c>
      <c r="P29" s="3470" t="s">
        <v>3452</v>
      </c>
      <c r="Q29" s="3457">
        <v>365743.80000000005</v>
      </c>
      <c r="R29" s="3470">
        <v>3660</v>
      </c>
      <c r="S29" s="3472">
        <v>36.1</v>
      </c>
      <c r="T29" s="3527">
        <v>361000</v>
      </c>
      <c r="U29" s="3470">
        <v>3613</v>
      </c>
      <c r="V29" s="3474">
        <v>0.1</v>
      </c>
      <c r="W29" s="3475">
        <v>32.49</v>
      </c>
      <c r="X29" s="3476">
        <v>324900</v>
      </c>
      <c r="Y29" s="3441">
        <v>2003</v>
      </c>
      <c r="Z29" s="3441">
        <v>2</v>
      </c>
      <c r="AA29" s="3441">
        <v>8</v>
      </c>
      <c r="AB29" s="3477">
        <v>1440</v>
      </c>
      <c r="AC29" s="3470" t="s">
        <v>3634</v>
      </c>
      <c r="AD29" s="3485"/>
      <c r="AE29" s="3441" t="s">
        <v>3663</v>
      </c>
      <c r="AF29" s="3470" t="s">
        <v>3752</v>
      </c>
      <c r="AG29" s="3522" t="s">
        <v>3466</v>
      </c>
      <c r="AH29" s="3485" t="s">
        <v>3568</v>
      </c>
      <c r="AI29" s="3470" t="s">
        <v>3679</v>
      </c>
      <c r="AJ29" s="3523">
        <v>38138</v>
      </c>
      <c r="AK29" s="3500">
        <v>2</v>
      </c>
      <c r="AL29" s="3441">
        <v>67641700</v>
      </c>
      <c r="AN29" s="3480" t="s">
        <v>3468</v>
      </c>
      <c r="AO29" s="3441" t="s">
        <v>3866</v>
      </c>
      <c r="AP29" s="3441" t="s">
        <v>3476</v>
      </c>
      <c r="AQ29" s="3441" t="s">
        <v>3571</v>
      </c>
      <c r="AV29" s="3441" t="s">
        <v>3568</v>
      </c>
      <c r="AW29" s="3470" t="s">
        <v>3572</v>
      </c>
      <c r="AY29" s="3441">
        <v>263236</v>
      </c>
      <c r="AZ29" s="3470" t="s">
        <v>3751</v>
      </c>
      <c r="BA29" s="3441" t="s">
        <v>3781</v>
      </c>
      <c r="BB29" s="3441" t="s">
        <v>3771</v>
      </c>
      <c r="BC29" s="3524" t="s">
        <v>3772</v>
      </c>
      <c r="BD29" s="3441">
        <v>102488</v>
      </c>
      <c r="BE29" s="3525">
        <v>63023627</v>
      </c>
      <c r="BF29" s="3520">
        <v>2.8</v>
      </c>
      <c r="BG29" s="3518">
        <v>37638</v>
      </c>
      <c r="BH29" s="3518"/>
      <c r="BI29" s="3470" t="s">
        <v>3721</v>
      </c>
      <c r="BJ29" s="3484">
        <v>37650</v>
      </c>
      <c r="BK29" s="3518"/>
      <c r="BL29" s="3441" t="s">
        <v>3623</v>
      </c>
      <c r="BS29" s="3470"/>
      <c r="BT29" s="3470"/>
      <c r="BU29" s="3470"/>
    </row>
    <row r="30" spans="1:73" s="3441" customFormat="1" ht="12" hidden="1">
      <c r="A30" s="3485" t="s">
        <v>3867</v>
      </c>
      <c r="B30" s="3470" t="s">
        <v>3868</v>
      </c>
      <c r="C30" s="3481" t="s">
        <v>3869</v>
      </c>
      <c r="D30" s="3481" t="s">
        <v>3870</v>
      </c>
      <c r="E30" s="3470" t="s">
        <v>2736</v>
      </c>
      <c r="F30" s="3470" t="s">
        <v>3823</v>
      </c>
      <c r="G30" s="3470"/>
      <c r="H30" s="3470" t="s">
        <v>3749</v>
      </c>
      <c r="I30" s="3470"/>
      <c r="J30" s="3481" t="s">
        <v>3871</v>
      </c>
      <c r="K30" s="3470" t="s">
        <v>3751</v>
      </c>
      <c r="L30" s="3470">
        <v>109.38</v>
      </c>
      <c r="M30" s="3470">
        <v>4</v>
      </c>
      <c r="N30" s="3470" t="s">
        <v>3872</v>
      </c>
      <c r="O30" s="3470">
        <v>90.22</v>
      </c>
      <c r="P30" s="3470" t="s">
        <v>3452</v>
      </c>
      <c r="Q30" s="3457">
        <v>362594.7</v>
      </c>
      <c r="R30" s="3470">
        <v>3315</v>
      </c>
      <c r="S30" s="3472">
        <v>35.82</v>
      </c>
      <c r="T30" s="3527">
        <v>358200</v>
      </c>
      <c r="U30" s="3470">
        <v>3275</v>
      </c>
      <c r="V30" s="3474">
        <v>0.1</v>
      </c>
      <c r="W30" s="3475">
        <v>32.229999999999997</v>
      </c>
      <c r="X30" s="3494">
        <v>322299.99999999994</v>
      </c>
      <c r="Y30" s="3441">
        <v>2003</v>
      </c>
      <c r="Z30" s="3441">
        <v>2</v>
      </c>
      <c r="AA30" s="3470">
        <v>14</v>
      </c>
      <c r="AB30" s="3477">
        <v>1430</v>
      </c>
      <c r="AC30" s="3470" t="s">
        <v>3634</v>
      </c>
      <c r="AD30" s="3485"/>
      <c r="AE30" s="3441" t="s">
        <v>3663</v>
      </c>
      <c r="AF30" s="3470" t="s">
        <v>3799</v>
      </c>
      <c r="AG30" s="3522" t="s">
        <v>3466</v>
      </c>
      <c r="AH30" s="3485"/>
      <c r="AI30" s="3470" t="s">
        <v>3679</v>
      </c>
      <c r="AJ30" s="3523">
        <v>38138</v>
      </c>
      <c r="AK30" s="3500">
        <v>2</v>
      </c>
      <c r="AL30" s="3441">
        <v>67641700</v>
      </c>
      <c r="AN30" s="3441" t="s">
        <v>3800</v>
      </c>
      <c r="AO30" s="3470" t="s">
        <v>3873</v>
      </c>
      <c r="AP30" s="3441" t="s">
        <v>3476</v>
      </c>
      <c r="AQ30" s="3441" t="s">
        <v>3571</v>
      </c>
      <c r="AV30" s="3441" t="s">
        <v>3568</v>
      </c>
      <c r="AW30" s="3441" t="s">
        <v>3572</v>
      </c>
      <c r="AY30" s="3524" t="s">
        <v>3874</v>
      </c>
      <c r="AZ30" s="3441" t="s">
        <v>3751</v>
      </c>
      <c r="BA30" s="3441" t="s">
        <v>3770</v>
      </c>
      <c r="BB30" s="3524" t="s">
        <v>3756</v>
      </c>
      <c r="BC30" s="3441" t="s">
        <v>3772</v>
      </c>
      <c r="BD30" s="3525">
        <v>102483</v>
      </c>
      <c r="BE30" s="3441">
        <v>63023627</v>
      </c>
      <c r="BF30" s="3526">
        <v>2.8</v>
      </c>
      <c r="BG30" s="3518">
        <v>37630</v>
      </c>
      <c r="BH30" s="3470" t="s">
        <v>3437</v>
      </c>
      <c r="BI30" s="3441" t="s">
        <v>3476</v>
      </c>
      <c r="BJ30" s="3484">
        <v>37635</v>
      </c>
      <c r="BK30" s="3484"/>
      <c r="BL30" s="3441" t="s">
        <v>3670</v>
      </c>
      <c r="BS30" s="3470"/>
      <c r="BT30" s="3470"/>
      <c r="BU30" s="3470"/>
    </row>
    <row r="31" spans="1:73" s="3441" customFormat="1" ht="12" hidden="1">
      <c r="A31" s="3485" t="s">
        <v>3875</v>
      </c>
      <c r="B31" s="3470" t="s">
        <v>3876</v>
      </c>
      <c r="C31" s="3481" t="s">
        <v>3877</v>
      </c>
      <c r="D31" s="3481" t="s">
        <v>3878</v>
      </c>
      <c r="E31" s="3470" t="s">
        <v>3538</v>
      </c>
      <c r="F31" s="3470" t="s">
        <v>3748</v>
      </c>
      <c r="G31" s="3470"/>
      <c r="H31" s="3470" t="s">
        <v>3879</v>
      </c>
      <c r="I31" s="3470"/>
      <c r="J31" s="3481" t="s">
        <v>3880</v>
      </c>
      <c r="K31" s="3470" t="s">
        <v>3751</v>
      </c>
      <c r="L31" s="3470">
        <v>112.34</v>
      </c>
      <c r="M31" s="3470">
        <v>6</v>
      </c>
      <c r="N31" s="3470" t="s">
        <v>3872</v>
      </c>
      <c r="O31" s="3470">
        <v>92.66</v>
      </c>
      <c r="P31" s="3470" t="s">
        <v>3452</v>
      </c>
      <c r="Q31" s="3457">
        <v>472951.4</v>
      </c>
      <c r="R31" s="3470">
        <v>4210</v>
      </c>
      <c r="S31" s="3472">
        <v>46.82</v>
      </c>
      <c r="T31" s="3527">
        <v>468200</v>
      </c>
      <c r="U31" s="3470">
        <v>4168</v>
      </c>
      <c r="V31" s="3474">
        <v>0.1</v>
      </c>
      <c r="W31" s="3475">
        <v>42.13</v>
      </c>
      <c r="X31" s="3494">
        <v>421300</v>
      </c>
      <c r="Y31" s="3441">
        <v>2003</v>
      </c>
      <c r="Z31" s="3441">
        <v>2</v>
      </c>
      <c r="AA31" s="3470">
        <v>14</v>
      </c>
      <c r="AB31" s="3477">
        <v>1870</v>
      </c>
      <c r="AC31" s="3470" t="s">
        <v>3634</v>
      </c>
      <c r="AD31" s="3485"/>
      <c r="AE31" s="3441" t="s">
        <v>3663</v>
      </c>
      <c r="AF31" s="3470" t="s">
        <v>3752</v>
      </c>
      <c r="AG31" s="3522" t="s">
        <v>3466</v>
      </c>
      <c r="AH31" s="3485"/>
      <c r="AI31" s="3470" t="s">
        <v>3679</v>
      </c>
      <c r="AJ31" s="3523">
        <v>38138</v>
      </c>
      <c r="AK31" s="3500">
        <v>2</v>
      </c>
      <c r="AL31" s="3441">
        <v>67641700</v>
      </c>
      <c r="AN31" s="3441" t="s">
        <v>3468</v>
      </c>
      <c r="AO31" s="3470" t="s">
        <v>3881</v>
      </c>
      <c r="AP31" s="3441" t="s">
        <v>3476</v>
      </c>
      <c r="AQ31" s="3441" t="s">
        <v>3571</v>
      </c>
      <c r="AV31" s="3441" t="s">
        <v>3568</v>
      </c>
      <c r="AW31" s="3441" t="s">
        <v>3572</v>
      </c>
      <c r="AY31" s="3524" t="s">
        <v>3882</v>
      </c>
      <c r="AZ31" s="3441" t="s">
        <v>3793</v>
      </c>
      <c r="BA31" s="3441" t="s">
        <v>3770</v>
      </c>
      <c r="BB31" s="3524" t="s">
        <v>3803</v>
      </c>
      <c r="BC31" s="3441" t="s">
        <v>3772</v>
      </c>
      <c r="BD31" s="3525">
        <v>102483</v>
      </c>
      <c r="BE31" s="3441">
        <v>63023627</v>
      </c>
      <c r="BF31" s="3526">
        <v>2.8</v>
      </c>
      <c r="BG31" s="3518">
        <v>37630</v>
      </c>
      <c r="BH31" s="3470" t="s">
        <v>3783</v>
      </c>
      <c r="BI31" s="3441" t="s">
        <v>3476</v>
      </c>
      <c r="BJ31" s="3484">
        <v>37638</v>
      </c>
      <c r="BK31" s="3484"/>
      <c r="BL31" s="3441" t="s">
        <v>3670</v>
      </c>
      <c r="BS31" s="3470"/>
      <c r="BT31" s="3470"/>
      <c r="BU31" s="3470"/>
    </row>
    <row r="32" spans="1:73" s="3441" customFormat="1" ht="12" hidden="1">
      <c r="A32" s="3485" t="s">
        <v>3883</v>
      </c>
      <c r="B32" s="3470" t="s">
        <v>3884</v>
      </c>
      <c r="C32" s="3481" t="s">
        <v>3885</v>
      </c>
      <c r="D32" s="3481" t="s">
        <v>3886</v>
      </c>
      <c r="E32" s="3470" t="s">
        <v>2736</v>
      </c>
      <c r="F32" s="3470" t="s">
        <v>3748</v>
      </c>
      <c r="G32" s="3470"/>
      <c r="H32" s="3470" t="s">
        <v>3749</v>
      </c>
      <c r="I32" s="3470"/>
      <c r="J32" s="3481" t="s">
        <v>3887</v>
      </c>
      <c r="K32" s="3470" t="s">
        <v>3766</v>
      </c>
      <c r="L32" s="3470">
        <v>138.19999999999999</v>
      </c>
      <c r="M32" s="3470">
        <v>7</v>
      </c>
      <c r="N32" s="3470" t="s">
        <v>3488</v>
      </c>
      <c r="O32" s="3470">
        <v>113.99</v>
      </c>
      <c r="P32" s="3470" t="s">
        <v>3452</v>
      </c>
      <c r="Q32" s="3457">
        <v>467115.99999999994</v>
      </c>
      <c r="R32" s="3470">
        <v>3380</v>
      </c>
      <c r="S32" s="3472">
        <v>46.15</v>
      </c>
      <c r="T32" s="3527">
        <v>461500</v>
      </c>
      <c r="U32" s="3470">
        <v>3340</v>
      </c>
      <c r="V32" s="3474">
        <v>0.1</v>
      </c>
      <c r="W32" s="3475">
        <v>41.53</v>
      </c>
      <c r="X32" s="3494">
        <v>415300</v>
      </c>
      <c r="Y32" s="3441">
        <v>2003</v>
      </c>
      <c r="Z32" s="3441">
        <v>2</v>
      </c>
      <c r="AA32" s="3470">
        <v>14</v>
      </c>
      <c r="AB32" s="3477">
        <v>1845</v>
      </c>
      <c r="AC32" s="3470" t="s">
        <v>3634</v>
      </c>
      <c r="AD32" s="3485"/>
      <c r="AE32" s="3441" t="s">
        <v>3663</v>
      </c>
      <c r="AF32" s="3470" t="s">
        <v>3810</v>
      </c>
      <c r="AG32" s="3522" t="s">
        <v>3466</v>
      </c>
      <c r="AH32" s="3485"/>
      <c r="AI32" s="3470" t="s">
        <v>3679</v>
      </c>
      <c r="AJ32" s="3523">
        <v>38138</v>
      </c>
      <c r="AK32" s="3500">
        <v>2</v>
      </c>
      <c r="AL32" s="3441">
        <v>67641700</v>
      </c>
      <c r="AN32" s="3441" t="s">
        <v>3468</v>
      </c>
      <c r="AO32" s="3470" t="s">
        <v>3888</v>
      </c>
      <c r="AP32" s="3441" t="s">
        <v>3476</v>
      </c>
      <c r="AQ32" s="3441" t="s">
        <v>3571</v>
      </c>
      <c r="AV32" s="3441" t="s">
        <v>3568</v>
      </c>
      <c r="AW32" s="3441" t="s">
        <v>3572</v>
      </c>
      <c r="AY32" s="3524" t="s">
        <v>3889</v>
      </c>
      <c r="AZ32" s="3441" t="s">
        <v>3751</v>
      </c>
      <c r="BA32" s="3441" t="s">
        <v>3770</v>
      </c>
      <c r="BB32" s="3524" t="s">
        <v>3803</v>
      </c>
      <c r="BC32" s="3441" t="s">
        <v>3772</v>
      </c>
      <c r="BD32" s="3525">
        <v>102483</v>
      </c>
      <c r="BE32" s="3441">
        <v>63023627</v>
      </c>
      <c r="BF32" s="3526">
        <v>2.8</v>
      </c>
      <c r="BG32" s="3518">
        <v>37630</v>
      </c>
      <c r="BH32" s="3470" t="s">
        <v>3437</v>
      </c>
      <c r="BI32" s="3441" t="s">
        <v>3476</v>
      </c>
      <c r="BJ32" s="3484">
        <v>37634</v>
      </c>
      <c r="BK32" s="3484"/>
      <c r="BL32" s="3441" t="s">
        <v>3670</v>
      </c>
      <c r="BS32" s="3470"/>
      <c r="BT32" s="3470"/>
      <c r="BU32" s="3470"/>
    </row>
    <row r="33" spans="1:73" s="3441" customFormat="1" ht="12" hidden="1">
      <c r="A33" s="3470" t="s">
        <v>3890</v>
      </c>
      <c r="B33" s="3470" t="s">
        <v>3891</v>
      </c>
      <c r="C33" s="3481" t="s">
        <v>3892</v>
      </c>
      <c r="D33" s="3481" t="s">
        <v>3893</v>
      </c>
      <c r="E33" s="3470" t="s">
        <v>3763</v>
      </c>
      <c r="F33" s="3528" t="s">
        <v>3808</v>
      </c>
      <c r="G33" s="3470"/>
      <c r="H33" s="3470" t="s">
        <v>3824</v>
      </c>
      <c r="I33" s="3470"/>
      <c r="J33" s="3481" t="s">
        <v>3894</v>
      </c>
      <c r="K33" s="3470" t="s">
        <v>3751</v>
      </c>
      <c r="L33" s="3470">
        <v>99.93</v>
      </c>
      <c r="M33" s="3470">
        <v>13</v>
      </c>
      <c r="N33" s="3470" t="s">
        <v>3451</v>
      </c>
      <c r="O33" s="3470">
        <v>81.010000000000005</v>
      </c>
      <c r="P33" s="3470" t="s">
        <v>3452</v>
      </c>
      <c r="Q33" s="3457">
        <v>373738.2</v>
      </c>
      <c r="R33" s="3470">
        <v>3740</v>
      </c>
      <c r="S33" s="3472">
        <v>36.89</v>
      </c>
      <c r="T33" s="3527">
        <v>368900</v>
      </c>
      <c r="U33" s="3470">
        <v>3692</v>
      </c>
      <c r="V33" s="3474">
        <v>0.1</v>
      </c>
      <c r="W33" s="3475">
        <v>33.200000000000003</v>
      </c>
      <c r="X33" s="3476">
        <v>332000</v>
      </c>
      <c r="Y33" s="3441">
        <v>2003</v>
      </c>
      <c r="Z33" s="3441">
        <v>2</v>
      </c>
      <c r="AA33" s="3441">
        <v>8</v>
      </c>
      <c r="AB33" s="3477">
        <v>1475</v>
      </c>
      <c r="AC33" s="3470" t="s">
        <v>3648</v>
      </c>
      <c r="AD33" s="3485"/>
      <c r="AE33" s="3441" t="s">
        <v>3663</v>
      </c>
      <c r="AF33" s="3470" t="s">
        <v>3752</v>
      </c>
      <c r="AG33" s="3522" t="s">
        <v>3466</v>
      </c>
      <c r="AH33" s="3485" t="s">
        <v>3568</v>
      </c>
      <c r="AI33" s="3470" t="s">
        <v>3679</v>
      </c>
      <c r="AJ33" s="3523">
        <v>38138</v>
      </c>
      <c r="AK33" s="3500">
        <v>2</v>
      </c>
      <c r="AL33" s="3441">
        <v>67641700</v>
      </c>
      <c r="AN33" s="3480" t="s">
        <v>3468</v>
      </c>
      <c r="AO33" s="3441" t="s">
        <v>3895</v>
      </c>
      <c r="AP33" s="3441" t="s">
        <v>3476</v>
      </c>
      <c r="AQ33" s="3441" t="s">
        <v>3571</v>
      </c>
      <c r="AV33" s="3441" t="s">
        <v>3568</v>
      </c>
      <c r="AW33" s="3470" t="s">
        <v>3572</v>
      </c>
      <c r="AY33" s="3441">
        <v>264746</v>
      </c>
      <c r="AZ33" s="3470" t="s">
        <v>3766</v>
      </c>
      <c r="BA33" s="3441" t="s">
        <v>3781</v>
      </c>
      <c r="BB33" s="3441" t="s">
        <v>3756</v>
      </c>
      <c r="BC33" s="3524" t="s">
        <v>3782</v>
      </c>
      <c r="BD33" s="3441">
        <v>102488</v>
      </c>
      <c r="BE33" s="3525">
        <v>63023627</v>
      </c>
      <c r="BF33" s="3520">
        <v>2.8</v>
      </c>
      <c r="BG33" s="3518">
        <v>37636</v>
      </c>
      <c r="BH33" s="3518"/>
      <c r="BI33" s="3470" t="s">
        <v>3896</v>
      </c>
      <c r="BJ33" s="3484">
        <v>37650</v>
      </c>
      <c r="BK33" s="3518"/>
      <c r="BL33" s="3441" t="s">
        <v>3623</v>
      </c>
      <c r="BS33" s="3470"/>
      <c r="BT33" s="3470"/>
      <c r="BU33" s="3470"/>
    </row>
    <row r="34" spans="1:73" s="3470" customFormat="1" ht="12" hidden="1">
      <c r="A34" s="3470" t="s">
        <v>3897</v>
      </c>
      <c r="B34" s="3470" t="s">
        <v>3898</v>
      </c>
      <c r="C34" s="3471" t="s">
        <v>3899</v>
      </c>
      <c r="D34" s="3470">
        <v>13661392993</v>
      </c>
      <c r="E34" s="3470" t="s">
        <v>3763</v>
      </c>
      <c r="F34" s="3470" t="s">
        <v>3808</v>
      </c>
      <c r="H34" s="3470" t="s">
        <v>3879</v>
      </c>
      <c r="J34" s="3470" t="s">
        <v>3900</v>
      </c>
      <c r="K34" s="3470" t="s">
        <v>3751</v>
      </c>
      <c r="L34" s="3470">
        <v>108.37</v>
      </c>
      <c r="M34" s="3470">
        <v>6</v>
      </c>
      <c r="N34" s="3470" t="s">
        <v>3778</v>
      </c>
      <c r="O34" s="3470">
        <v>89.39</v>
      </c>
      <c r="P34" s="3470" t="s">
        <v>3452</v>
      </c>
      <c r="Q34" s="3457">
        <v>413973.4</v>
      </c>
      <c r="R34" s="3470">
        <v>3820</v>
      </c>
      <c r="S34" s="3472">
        <v>40.96</v>
      </c>
      <c r="T34" s="3527">
        <v>409600</v>
      </c>
      <c r="U34" s="3470">
        <v>3780</v>
      </c>
      <c r="V34" s="3474">
        <v>0.1</v>
      </c>
      <c r="W34" s="3475">
        <v>36.86</v>
      </c>
      <c r="X34" s="3494">
        <v>368600</v>
      </c>
      <c r="Y34" s="3441">
        <v>2003</v>
      </c>
      <c r="Z34" s="3441">
        <v>2</v>
      </c>
      <c r="AA34" s="3470">
        <v>14</v>
      </c>
      <c r="AB34" s="3477">
        <v>1635</v>
      </c>
      <c r="AC34" s="3470" t="s">
        <v>3634</v>
      </c>
      <c r="AE34" s="3470" t="s">
        <v>3663</v>
      </c>
      <c r="AF34" s="3470" t="s">
        <v>3752</v>
      </c>
      <c r="AG34" s="3470" t="s">
        <v>3466</v>
      </c>
      <c r="AI34" s="3470" t="s">
        <v>3679</v>
      </c>
      <c r="AJ34" s="3478">
        <v>38138</v>
      </c>
      <c r="AK34" s="3500">
        <v>2</v>
      </c>
      <c r="AL34" s="3470">
        <v>67641700</v>
      </c>
      <c r="AN34" s="3441" t="s">
        <v>3800</v>
      </c>
      <c r="AO34" s="3470" t="s">
        <v>3901</v>
      </c>
      <c r="AP34" s="3470" t="s">
        <v>3476</v>
      </c>
      <c r="AQ34" s="3470" t="s">
        <v>3571</v>
      </c>
      <c r="AV34" s="3470" t="s">
        <v>3568</v>
      </c>
      <c r="AW34" s="3470" t="s">
        <v>3572</v>
      </c>
      <c r="AY34" s="3481" t="s">
        <v>3902</v>
      </c>
      <c r="AZ34" s="3470" t="s">
        <v>3793</v>
      </c>
      <c r="BA34" s="3470" t="s">
        <v>3755</v>
      </c>
      <c r="BB34" s="3481" t="s">
        <v>3756</v>
      </c>
      <c r="BC34" s="3470" t="s">
        <v>3782</v>
      </c>
      <c r="BD34" s="3482">
        <v>102488</v>
      </c>
      <c r="BE34" s="3470">
        <v>63023627</v>
      </c>
      <c r="BF34" s="3483">
        <v>2.8</v>
      </c>
      <c r="BG34" s="3478">
        <v>37634</v>
      </c>
      <c r="BH34" s="3470" t="s">
        <v>3437</v>
      </c>
      <c r="BI34" s="3441" t="s">
        <v>3476</v>
      </c>
      <c r="BJ34" s="3518">
        <v>37664</v>
      </c>
      <c r="BK34" s="3478"/>
      <c r="BL34" s="3441" t="s">
        <v>3670</v>
      </c>
      <c r="BM34" s="3441"/>
      <c r="BN34" s="3441"/>
      <c r="BO34" s="3441"/>
      <c r="BP34" s="3441"/>
      <c r="BQ34" s="3441"/>
      <c r="BR34" s="3441"/>
    </row>
    <row r="35" spans="1:73" s="3441" customFormat="1" ht="12" hidden="1">
      <c r="A35" s="3470" t="s">
        <v>3903</v>
      </c>
      <c r="B35" s="3470" t="s">
        <v>3904</v>
      </c>
      <c r="C35" s="3481" t="s">
        <v>3905</v>
      </c>
      <c r="D35" s="3481" t="s">
        <v>3906</v>
      </c>
      <c r="E35" s="3470" t="s">
        <v>3538</v>
      </c>
      <c r="F35" s="3470" t="s">
        <v>3748</v>
      </c>
      <c r="G35" s="3470"/>
      <c r="H35" s="3470" t="s">
        <v>3857</v>
      </c>
      <c r="I35" s="3470"/>
      <c r="J35" s="3481" t="s">
        <v>3907</v>
      </c>
      <c r="K35" s="3470" t="s">
        <v>3766</v>
      </c>
      <c r="L35" s="3470">
        <v>98.32</v>
      </c>
      <c r="M35" s="3470">
        <v>7</v>
      </c>
      <c r="N35" s="3470" t="s">
        <v>3451</v>
      </c>
      <c r="O35" s="3470">
        <v>81.099999999999994</v>
      </c>
      <c r="P35" s="3470" t="s">
        <v>3452</v>
      </c>
      <c r="Q35" s="3457">
        <v>355918.39999999997</v>
      </c>
      <c r="R35" s="3470">
        <v>3620</v>
      </c>
      <c r="S35" s="3472">
        <v>35.119999999999997</v>
      </c>
      <c r="T35" s="3527">
        <v>351200</v>
      </c>
      <c r="U35" s="3470">
        <v>3573</v>
      </c>
      <c r="V35" s="3474">
        <v>0.1</v>
      </c>
      <c r="W35" s="3475">
        <v>31.6</v>
      </c>
      <c r="X35" s="3494">
        <v>316000</v>
      </c>
      <c r="Y35" s="3441">
        <v>2003</v>
      </c>
      <c r="Z35" s="3441">
        <v>2</v>
      </c>
      <c r="AA35" s="3470">
        <v>17</v>
      </c>
      <c r="AB35" s="3477">
        <v>1400</v>
      </c>
      <c r="AC35" s="3470" t="s">
        <v>3634</v>
      </c>
      <c r="AD35" s="3485"/>
      <c r="AE35" s="3441" t="s">
        <v>3663</v>
      </c>
      <c r="AF35" s="3470" t="s">
        <v>3752</v>
      </c>
      <c r="AG35" s="3522" t="s">
        <v>3466</v>
      </c>
      <c r="AH35" s="3485"/>
      <c r="AI35" s="3470" t="s">
        <v>3679</v>
      </c>
      <c r="AJ35" s="3523">
        <v>38138</v>
      </c>
      <c r="AK35" s="3500">
        <v>2</v>
      </c>
      <c r="AL35" s="3441">
        <v>67641700</v>
      </c>
      <c r="AN35" s="3441" t="s">
        <v>3482</v>
      </c>
      <c r="AO35" s="3470" t="s">
        <v>3908</v>
      </c>
      <c r="AP35" s="3441" t="s">
        <v>3476</v>
      </c>
      <c r="AQ35" s="3441" t="s">
        <v>3571</v>
      </c>
      <c r="AV35" s="3441" t="s">
        <v>3568</v>
      </c>
      <c r="AW35" s="3441" t="s">
        <v>3572</v>
      </c>
      <c r="AY35" s="3524" t="s">
        <v>3909</v>
      </c>
      <c r="AZ35" s="3441" t="s">
        <v>3766</v>
      </c>
      <c r="BA35" s="3441" t="s">
        <v>3770</v>
      </c>
      <c r="BB35" s="3524" t="s">
        <v>3803</v>
      </c>
      <c r="BC35" s="3441" t="s">
        <v>3772</v>
      </c>
      <c r="BD35" s="3525">
        <v>102483</v>
      </c>
      <c r="BE35" s="3441">
        <v>63023627</v>
      </c>
      <c r="BF35" s="3526">
        <v>2.8</v>
      </c>
      <c r="BG35" s="3518">
        <v>37640</v>
      </c>
      <c r="BH35" s="3470" t="s">
        <v>3437</v>
      </c>
      <c r="BI35" s="3441" t="s">
        <v>3476</v>
      </c>
      <c r="BJ35" s="3518">
        <v>37666</v>
      </c>
      <c r="BK35" s="3484"/>
      <c r="BL35" s="3441" t="s">
        <v>3670</v>
      </c>
      <c r="BS35" s="3470"/>
      <c r="BT35" s="3470"/>
      <c r="BU35" s="3470"/>
    </row>
    <row r="36" spans="1:73" s="3470" customFormat="1" ht="12" hidden="1">
      <c r="A36" s="3470" t="s">
        <v>3910</v>
      </c>
      <c r="B36" s="3470" t="s">
        <v>3911</v>
      </c>
      <c r="C36" s="3481" t="s">
        <v>3912</v>
      </c>
      <c r="D36" s="3470">
        <v>13910696193</v>
      </c>
      <c r="E36" s="3470" t="s">
        <v>3763</v>
      </c>
      <c r="F36" s="3470" t="s">
        <v>3823</v>
      </c>
      <c r="H36" s="3470" t="s">
        <v>3837</v>
      </c>
      <c r="J36" s="3470" t="s">
        <v>3913</v>
      </c>
      <c r="K36" s="3470" t="s">
        <v>3793</v>
      </c>
      <c r="L36" s="3470">
        <v>110.36</v>
      </c>
      <c r="M36" s="3470">
        <v>18</v>
      </c>
      <c r="N36" s="3470" t="s">
        <v>3778</v>
      </c>
      <c r="O36" s="3470">
        <v>89.46</v>
      </c>
      <c r="P36" s="3470" t="s">
        <v>3452</v>
      </c>
      <c r="Q36" s="3457">
        <v>429300.4</v>
      </c>
      <c r="R36" s="3470">
        <v>3890</v>
      </c>
      <c r="S36" s="3472">
        <v>42.43</v>
      </c>
      <c r="T36" s="3527">
        <v>424300</v>
      </c>
      <c r="U36" s="3470">
        <v>3845</v>
      </c>
      <c r="V36" s="3474">
        <v>0.1</v>
      </c>
      <c r="W36" s="3475">
        <v>38.18</v>
      </c>
      <c r="X36" s="3494">
        <v>381800</v>
      </c>
      <c r="Y36" s="3441">
        <v>2003</v>
      </c>
      <c r="Z36" s="3441">
        <v>2</v>
      </c>
      <c r="AA36" s="3470">
        <v>14</v>
      </c>
      <c r="AB36" s="3477">
        <v>1695</v>
      </c>
      <c r="AC36" s="3470" t="s">
        <v>3634</v>
      </c>
      <c r="AE36" s="3470" t="s">
        <v>3663</v>
      </c>
      <c r="AF36" s="3470" t="s">
        <v>3752</v>
      </c>
      <c r="AG36" s="3470" t="s">
        <v>3466</v>
      </c>
      <c r="AI36" s="3470" t="s">
        <v>3679</v>
      </c>
      <c r="AJ36" s="3478">
        <v>38138</v>
      </c>
      <c r="AK36" s="3500">
        <v>2</v>
      </c>
      <c r="AL36" s="3470">
        <v>67641700</v>
      </c>
      <c r="AN36" s="3441" t="s">
        <v>3791</v>
      </c>
      <c r="AO36" s="3470" t="s">
        <v>3914</v>
      </c>
      <c r="AP36" s="3470" t="s">
        <v>3476</v>
      </c>
      <c r="AQ36" s="3470" t="s">
        <v>3571</v>
      </c>
      <c r="AV36" s="3470" t="s">
        <v>3568</v>
      </c>
      <c r="AW36" s="3470" t="s">
        <v>3572</v>
      </c>
      <c r="AY36" s="3481" t="s">
        <v>3915</v>
      </c>
      <c r="AZ36" s="3470" t="s">
        <v>3751</v>
      </c>
      <c r="BA36" s="3470" t="s">
        <v>3781</v>
      </c>
      <c r="BB36" s="3481" t="s">
        <v>3803</v>
      </c>
      <c r="BC36" s="3470" t="s">
        <v>3782</v>
      </c>
      <c r="BD36" s="3482">
        <v>102488</v>
      </c>
      <c r="BE36" s="3470">
        <v>63023627</v>
      </c>
      <c r="BF36" s="3483">
        <v>2.8</v>
      </c>
      <c r="BG36" s="3478">
        <v>37641</v>
      </c>
      <c r="BH36" s="3470" t="s">
        <v>3437</v>
      </c>
      <c r="BI36" s="3441" t="s">
        <v>3476</v>
      </c>
      <c r="BJ36" s="3518">
        <v>37662</v>
      </c>
      <c r="BK36" s="3478"/>
      <c r="BL36" s="3441" t="s">
        <v>3670</v>
      </c>
      <c r="BM36" s="3441"/>
      <c r="BN36" s="3441"/>
      <c r="BO36" s="3441"/>
      <c r="BP36" s="3441"/>
      <c r="BQ36" s="3441"/>
      <c r="BR36" s="3441"/>
    </row>
    <row r="37" spans="1:73" s="3441" customFormat="1" ht="12" hidden="1">
      <c r="A37" s="3470" t="s">
        <v>3916</v>
      </c>
      <c r="B37" s="3470" t="s">
        <v>3917</v>
      </c>
      <c r="C37" s="3481" t="s">
        <v>3918</v>
      </c>
      <c r="D37" s="3481" t="s">
        <v>3919</v>
      </c>
      <c r="E37" s="3470" t="s">
        <v>3763</v>
      </c>
      <c r="F37" s="3528" t="s">
        <v>3748</v>
      </c>
      <c r="G37" s="3470"/>
      <c r="H37" s="3470" t="s">
        <v>3788</v>
      </c>
      <c r="I37" s="3470"/>
      <c r="J37" s="3481" t="s">
        <v>3920</v>
      </c>
      <c r="K37" s="3470" t="s">
        <v>3751</v>
      </c>
      <c r="L37" s="3470">
        <v>99.93</v>
      </c>
      <c r="M37" s="3470">
        <v>6</v>
      </c>
      <c r="N37" s="3470" t="s">
        <v>3451</v>
      </c>
      <c r="O37" s="3470">
        <v>81.010000000000005</v>
      </c>
      <c r="P37" s="3470" t="s">
        <v>3452</v>
      </c>
      <c r="Q37" s="3457">
        <v>366743.10000000003</v>
      </c>
      <c r="R37" s="3470">
        <v>3670</v>
      </c>
      <c r="S37" s="3472">
        <v>36.270000000000003</v>
      </c>
      <c r="T37" s="3473">
        <v>362700.00000000006</v>
      </c>
      <c r="U37" s="3470">
        <v>3630</v>
      </c>
      <c r="V37" s="3474">
        <v>0.1</v>
      </c>
      <c r="W37" s="3475">
        <v>32.64</v>
      </c>
      <c r="X37" s="3476">
        <v>326400</v>
      </c>
      <c r="Y37" s="3441">
        <v>2003</v>
      </c>
      <c r="Z37" s="3441">
        <v>1</v>
      </c>
      <c r="AA37" s="3441">
        <v>24</v>
      </c>
      <c r="AB37" s="3477">
        <v>1810</v>
      </c>
      <c r="AC37" s="3470" t="s">
        <v>3634</v>
      </c>
      <c r="AD37" s="3485"/>
      <c r="AE37" s="3441" t="s">
        <v>3663</v>
      </c>
      <c r="AF37" s="3470" t="s">
        <v>3752</v>
      </c>
      <c r="AG37" s="3522" t="s">
        <v>3466</v>
      </c>
      <c r="AH37" s="3485" t="s">
        <v>3568</v>
      </c>
      <c r="AI37" s="3470" t="s">
        <v>3679</v>
      </c>
      <c r="AJ37" s="3523">
        <v>38138</v>
      </c>
      <c r="AK37" s="3500">
        <v>1</v>
      </c>
      <c r="AL37" s="3441">
        <v>67641700</v>
      </c>
      <c r="AN37" s="3480" t="s">
        <v>3768</v>
      </c>
      <c r="AO37" s="3441" t="s">
        <v>3921</v>
      </c>
      <c r="AP37" s="3441" t="s">
        <v>3476</v>
      </c>
      <c r="AQ37" s="3441" t="s">
        <v>3571</v>
      </c>
      <c r="AV37" s="3441" t="s">
        <v>3568</v>
      </c>
      <c r="AW37" s="3470" t="s">
        <v>3572</v>
      </c>
      <c r="AY37" s="3441">
        <v>263257</v>
      </c>
      <c r="AZ37" s="3470" t="s">
        <v>3793</v>
      </c>
      <c r="BA37" s="3441" t="s">
        <v>3770</v>
      </c>
      <c r="BB37" s="3441" t="s">
        <v>3803</v>
      </c>
      <c r="BC37" s="3524" t="s">
        <v>3782</v>
      </c>
      <c r="BD37" s="3441">
        <v>102488</v>
      </c>
      <c r="BE37" s="3525">
        <v>63023627</v>
      </c>
      <c r="BF37" s="3520">
        <v>2.8</v>
      </c>
      <c r="BG37" s="3518">
        <v>37637</v>
      </c>
      <c r="BH37" s="3518"/>
      <c r="BI37" s="3441" t="s">
        <v>3922</v>
      </c>
      <c r="BJ37" s="3484">
        <v>37643</v>
      </c>
      <c r="BK37" s="3518"/>
      <c r="BL37" s="3441" t="s">
        <v>3594</v>
      </c>
      <c r="BS37" s="3470"/>
      <c r="BT37" s="3470"/>
      <c r="BU37" s="3470"/>
    </row>
    <row r="38" spans="1:73" s="3441" customFormat="1" ht="12" hidden="1">
      <c r="A38" s="3470" t="s">
        <v>3923</v>
      </c>
      <c r="B38" s="3470" t="s">
        <v>3924</v>
      </c>
      <c r="C38" s="3481" t="s">
        <v>3925</v>
      </c>
      <c r="D38" s="3481" t="s">
        <v>3926</v>
      </c>
      <c r="E38" s="3470" t="s">
        <v>2736</v>
      </c>
      <c r="F38" s="3528" t="s">
        <v>3748</v>
      </c>
      <c r="G38" s="3470"/>
      <c r="H38" s="3470" t="s">
        <v>3788</v>
      </c>
      <c r="I38" s="3470"/>
      <c r="J38" s="3481" t="s">
        <v>3927</v>
      </c>
      <c r="K38" s="3470" t="s">
        <v>3766</v>
      </c>
      <c r="L38" s="3470">
        <v>99.93</v>
      </c>
      <c r="M38" s="3470">
        <v>16</v>
      </c>
      <c r="N38" s="3470" t="s">
        <v>3451</v>
      </c>
      <c r="O38" s="3470">
        <v>81.010000000000005</v>
      </c>
      <c r="P38" s="3470" t="s">
        <v>3452</v>
      </c>
      <c r="Q38" s="3457">
        <v>376736.10000000003</v>
      </c>
      <c r="R38" s="3470">
        <v>3770</v>
      </c>
      <c r="S38" s="3472">
        <v>37.200000000000003</v>
      </c>
      <c r="T38" s="3527">
        <v>372000</v>
      </c>
      <c r="U38" s="3470">
        <v>3723</v>
      </c>
      <c r="V38" s="3474">
        <v>0.1</v>
      </c>
      <c r="W38" s="3475">
        <v>33.479999999999997</v>
      </c>
      <c r="X38" s="3476">
        <v>334799.99999999994</v>
      </c>
      <c r="Y38" s="3441">
        <v>2003</v>
      </c>
      <c r="Z38" s="3441">
        <v>2</v>
      </c>
      <c r="AA38" s="3441">
        <v>14</v>
      </c>
      <c r="AB38" s="3477">
        <v>1485</v>
      </c>
      <c r="AC38" s="3470" t="s">
        <v>3634</v>
      </c>
      <c r="AD38" s="3485"/>
      <c r="AE38" s="3441" t="s">
        <v>3663</v>
      </c>
      <c r="AF38" s="3470" t="s">
        <v>3799</v>
      </c>
      <c r="AG38" s="3522" t="s">
        <v>3466</v>
      </c>
      <c r="AH38" s="3485" t="s">
        <v>3568</v>
      </c>
      <c r="AI38" s="3470" t="s">
        <v>3679</v>
      </c>
      <c r="AJ38" s="3523">
        <v>38138</v>
      </c>
      <c r="AK38" s="3500">
        <v>2</v>
      </c>
      <c r="AL38" s="3441">
        <v>67641700</v>
      </c>
      <c r="AN38" s="3480" t="s">
        <v>3468</v>
      </c>
      <c r="AO38" s="3441" t="s">
        <v>3928</v>
      </c>
      <c r="AP38" s="3441" t="s">
        <v>3476</v>
      </c>
      <c r="AQ38" s="3441" t="s">
        <v>3571</v>
      </c>
      <c r="AV38" s="3441" t="s">
        <v>3568</v>
      </c>
      <c r="AW38" s="3470" t="s">
        <v>3572</v>
      </c>
      <c r="AY38" s="3441">
        <v>263342</v>
      </c>
      <c r="AZ38" s="3470" t="s">
        <v>3793</v>
      </c>
      <c r="BA38" s="3441" t="s">
        <v>3781</v>
      </c>
      <c r="BB38" s="3441" t="s">
        <v>3803</v>
      </c>
      <c r="BC38" s="3524" t="s">
        <v>3772</v>
      </c>
      <c r="BD38" s="3441">
        <v>102488</v>
      </c>
      <c r="BE38" s="3525">
        <v>63023627</v>
      </c>
      <c r="BF38" s="3520">
        <v>2.8</v>
      </c>
      <c r="BG38" s="3518">
        <v>37645</v>
      </c>
      <c r="BH38" s="3518"/>
      <c r="BI38" s="3441" t="s">
        <v>3700</v>
      </c>
      <c r="BJ38" s="3484">
        <v>37664</v>
      </c>
      <c r="BK38" s="3518"/>
      <c r="BL38" s="3441" t="s">
        <v>3833</v>
      </c>
      <c r="BS38" s="3470"/>
      <c r="BT38" s="3470"/>
      <c r="BU38" s="3470"/>
    </row>
    <row r="39" spans="1:73" s="3470" customFormat="1" ht="12" hidden="1">
      <c r="A39" s="3470" t="s">
        <v>3929</v>
      </c>
      <c r="B39" s="3470" t="s">
        <v>3930</v>
      </c>
      <c r="C39" s="3481" t="s">
        <v>3931</v>
      </c>
      <c r="D39" s="3470">
        <v>13910028748</v>
      </c>
      <c r="E39" s="3470" t="s">
        <v>2736</v>
      </c>
      <c r="F39" s="3470" t="s">
        <v>3823</v>
      </c>
      <c r="H39" s="3470" t="s">
        <v>3749</v>
      </c>
      <c r="J39" s="3470" t="s">
        <v>3932</v>
      </c>
      <c r="K39" s="3470" t="s">
        <v>3766</v>
      </c>
      <c r="L39" s="3470">
        <v>147.93</v>
      </c>
      <c r="M39" s="3470">
        <v>7</v>
      </c>
      <c r="N39" s="3470" t="s">
        <v>3816</v>
      </c>
      <c r="O39" s="3470">
        <v>122.02</v>
      </c>
      <c r="P39" s="3470" t="s">
        <v>3452</v>
      </c>
      <c r="Q39" s="3457">
        <v>622045.65</v>
      </c>
      <c r="R39" s="3470">
        <v>4205</v>
      </c>
      <c r="S39" s="3472">
        <v>61.58</v>
      </c>
      <c r="T39" s="3527">
        <v>615800</v>
      </c>
      <c r="U39" s="3470">
        <v>4163</v>
      </c>
      <c r="V39" s="3474">
        <v>0.1</v>
      </c>
      <c r="W39" s="3475">
        <v>55.42</v>
      </c>
      <c r="X39" s="3494">
        <v>554200</v>
      </c>
      <c r="Y39" s="3441">
        <v>2003</v>
      </c>
      <c r="Z39" s="3441">
        <v>2</v>
      </c>
      <c r="AA39" s="3470">
        <v>14</v>
      </c>
      <c r="AB39" s="3477">
        <v>2460</v>
      </c>
      <c r="AC39" s="3470" t="s">
        <v>3634</v>
      </c>
      <c r="AE39" s="3470" t="s">
        <v>3663</v>
      </c>
      <c r="AF39" s="3470" t="s">
        <v>3810</v>
      </c>
      <c r="AG39" s="3470" t="s">
        <v>3466</v>
      </c>
      <c r="AI39" s="3470" t="s">
        <v>3679</v>
      </c>
      <c r="AJ39" s="3478">
        <v>38138</v>
      </c>
      <c r="AK39" s="3500">
        <v>2</v>
      </c>
      <c r="AL39" s="3470">
        <v>67641700</v>
      </c>
      <c r="AN39" s="3441" t="s">
        <v>3791</v>
      </c>
      <c r="AO39" s="3470" t="s">
        <v>3933</v>
      </c>
      <c r="AP39" s="3470" t="s">
        <v>3476</v>
      </c>
      <c r="AQ39" s="3470" t="s">
        <v>3571</v>
      </c>
      <c r="AV39" s="3470" t="s">
        <v>3568</v>
      </c>
      <c r="AW39" s="3470" t="s">
        <v>3572</v>
      </c>
      <c r="AY39" s="3481" t="s">
        <v>3934</v>
      </c>
      <c r="AZ39" s="3470" t="s">
        <v>3751</v>
      </c>
      <c r="BA39" s="3470" t="s">
        <v>3781</v>
      </c>
      <c r="BB39" s="3481" t="s">
        <v>3756</v>
      </c>
      <c r="BC39" s="3470" t="s">
        <v>3782</v>
      </c>
      <c r="BD39" s="3482">
        <v>102488</v>
      </c>
      <c r="BE39" s="3470">
        <v>63023627</v>
      </c>
      <c r="BF39" s="3483">
        <v>2.8</v>
      </c>
      <c r="BG39" s="3478">
        <v>37634</v>
      </c>
      <c r="BH39" s="3470" t="s">
        <v>3437</v>
      </c>
      <c r="BI39" s="3441" t="s">
        <v>3476</v>
      </c>
      <c r="BJ39" s="3518">
        <v>37643</v>
      </c>
      <c r="BK39" s="3478"/>
      <c r="BL39" s="3441" t="s">
        <v>3670</v>
      </c>
      <c r="BM39" s="3441"/>
      <c r="BN39" s="3441"/>
      <c r="BO39" s="3441"/>
      <c r="BP39" s="3441"/>
      <c r="BQ39" s="3441"/>
      <c r="BR39" s="3441"/>
    </row>
    <row r="40" spans="1:73" s="3441" customFormat="1" ht="12" hidden="1">
      <c r="A40" s="3470" t="s">
        <v>3935</v>
      </c>
      <c r="B40" s="3470" t="s">
        <v>3936</v>
      </c>
      <c r="C40" s="3481" t="s">
        <v>3937</v>
      </c>
      <c r="D40" s="3481" t="s">
        <v>3938</v>
      </c>
      <c r="E40" s="3470" t="s">
        <v>2736</v>
      </c>
      <c r="F40" s="3528" t="s">
        <v>3748</v>
      </c>
      <c r="G40" s="3470"/>
      <c r="H40" s="3470" t="s">
        <v>3824</v>
      </c>
      <c r="I40" s="3470"/>
      <c r="J40" s="3481" t="s">
        <v>3939</v>
      </c>
      <c r="K40" s="3470" t="s">
        <v>3751</v>
      </c>
      <c r="L40" s="3470">
        <v>99.93</v>
      </c>
      <c r="M40" s="3470">
        <v>10</v>
      </c>
      <c r="N40" s="3470" t="s">
        <v>3543</v>
      </c>
      <c r="O40" s="3470">
        <v>81.010000000000005</v>
      </c>
      <c r="P40" s="3470" t="s">
        <v>3452</v>
      </c>
      <c r="Q40" s="3457">
        <v>370740.30000000005</v>
      </c>
      <c r="R40" s="3470">
        <v>3710</v>
      </c>
      <c r="S40" s="3472">
        <v>36.590000000000003</v>
      </c>
      <c r="T40" s="3527">
        <v>365900.00000000006</v>
      </c>
      <c r="U40" s="3470">
        <v>3662</v>
      </c>
      <c r="V40" s="3474">
        <v>0.1</v>
      </c>
      <c r="W40" s="3475">
        <v>32.93</v>
      </c>
      <c r="X40" s="3476">
        <v>329300</v>
      </c>
      <c r="Y40" s="3441">
        <v>2003</v>
      </c>
      <c r="Z40" s="3441">
        <v>2</v>
      </c>
      <c r="AA40" s="3441">
        <v>10</v>
      </c>
      <c r="AB40" s="3477">
        <v>1460</v>
      </c>
      <c r="AC40" s="3470" t="s">
        <v>3634</v>
      </c>
      <c r="AD40" s="3485"/>
      <c r="AE40" s="3441" t="s">
        <v>3663</v>
      </c>
      <c r="AF40" s="3470" t="s">
        <v>3810</v>
      </c>
      <c r="AG40" s="3522" t="s">
        <v>3466</v>
      </c>
      <c r="AH40" s="3485" t="s">
        <v>3568</v>
      </c>
      <c r="AI40" s="3470" t="s">
        <v>3679</v>
      </c>
      <c r="AJ40" s="3523">
        <v>38138</v>
      </c>
      <c r="AK40" s="3500">
        <v>2</v>
      </c>
      <c r="AL40" s="3441">
        <v>67641700</v>
      </c>
      <c r="AN40" s="3480" t="s">
        <v>3791</v>
      </c>
      <c r="AO40" s="3441" t="s">
        <v>3940</v>
      </c>
      <c r="AP40" s="3441" t="s">
        <v>3476</v>
      </c>
      <c r="AQ40" s="3441" t="s">
        <v>3571</v>
      </c>
      <c r="AV40" s="3441" t="s">
        <v>3568</v>
      </c>
      <c r="AW40" s="3470" t="s">
        <v>3572</v>
      </c>
      <c r="AY40" s="3441">
        <v>263246</v>
      </c>
      <c r="AZ40" s="3470" t="s">
        <v>3766</v>
      </c>
      <c r="BA40" s="3441" t="s">
        <v>3755</v>
      </c>
      <c r="BB40" s="3441" t="s">
        <v>3771</v>
      </c>
      <c r="BC40" s="3524" t="s">
        <v>3757</v>
      </c>
      <c r="BD40" s="3441">
        <v>102488</v>
      </c>
      <c r="BE40" s="3525">
        <v>63023627</v>
      </c>
      <c r="BF40" s="3520">
        <v>2.8</v>
      </c>
      <c r="BG40" s="3518">
        <v>37639</v>
      </c>
      <c r="BH40" s="3518"/>
      <c r="BI40" s="3441" t="s">
        <v>3700</v>
      </c>
      <c r="BJ40" s="3484">
        <v>37660</v>
      </c>
      <c r="BK40" s="3518"/>
      <c r="BL40" s="3441" t="s">
        <v>3833</v>
      </c>
      <c r="BS40" s="3470"/>
      <c r="BT40" s="3470"/>
      <c r="BU40" s="3470"/>
    </row>
    <row r="41" spans="1:73" s="3470" customFormat="1" ht="12" hidden="1">
      <c r="A41" s="3470" t="s">
        <v>3941</v>
      </c>
      <c r="B41" s="3470" t="s">
        <v>3942</v>
      </c>
      <c r="C41" s="3481" t="s">
        <v>3943</v>
      </c>
      <c r="D41" s="3470">
        <v>13681271353</v>
      </c>
      <c r="E41" s="3470" t="s">
        <v>2736</v>
      </c>
      <c r="F41" s="3470" t="s">
        <v>3823</v>
      </c>
      <c r="H41" s="3470" t="s">
        <v>3749</v>
      </c>
      <c r="J41" s="3470" t="s">
        <v>3944</v>
      </c>
      <c r="K41" s="3470" t="s">
        <v>3766</v>
      </c>
      <c r="L41" s="3470">
        <v>109.38</v>
      </c>
      <c r="M41" s="3470">
        <v>14</v>
      </c>
      <c r="N41" s="3470" t="s">
        <v>3778</v>
      </c>
      <c r="O41" s="3470">
        <v>90.22</v>
      </c>
      <c r="P41" s="3470" t="s">
        <v>3452</v>
      </c>
      <c r="Q41" s="3457">
        <v>375173.39999999997</v>
      </c>
      <c r="R41" s="3470">
        <v>3430</v>
      </c>
      <c r="S41" s="3472">
        <v>37.07</v>
      </c>
      <c r="T41" s="3527">
        <v>370700</v>
      </c>
      <c r="U41" s="3470">
        <v>3390</v>
      </c>
      <c r="V41" s="3474">
        <v>0.1</v>
      </c>
      <c r="W41" s="3475">
        <v>33.36</v>
      </c>
      <c r="X41" s="3494">
        <v>333600</v>
      </c>
      <c r="Y41" s="3441">
        <v>2003</v>
      </c>
      <c r="Z41" s="3441">
        <v>2</v>
      </c>
      <c r="AA41" s="3470">
        <v>14</v>
      </c>
      <c r="AB41" s="3477">
        <v>1480</v>
      </c>
      <c r="AC41" s="3470" t="s">
        <v>3648</v>
      </c>
      <c r="AE41" s="3470" t="s">
        <v>3663</v>
      </c>
      <c r="AF41" s="3470" t="s">
        <v>3752</v>
      </c>
      <c r="AG41" s="3470" t="s">
        <v>3466</v>
      </c>
      <c r="AI41" s="3470" t="s">
        <v>3679</v>
      </c>
      <c r="AJ41" s="3478">
        <v>38138</v>
      </c>
      <c r="AK41" s="3500">
        <v>2</v>
      </c>
      <c r="AL41" s="3470">
        <v>67641700</v>
      </c>
      <c r="AN41" s="3441" t="s">
        <v>3468</v>
      </c>
      <c r="AO41" s="3470" t="s">
        <v>3945</v>
      </c>
      <c r="AP41" s="3470" t="s">
        <v>3476</v>
      </c>
      <c r="AQ41" s="3470" t="s">
        <v>3571</v>
      </c>
      <c r="AV41" s="3470" t="s">
        <v>3568</v>
      </c>
      <c r="AW41" s="3470" t="s">
        <v>3572</v>
      </c>
      <c r="AY41" s="3481" t="s">
        <v>3946</v>
      </c>
      <c r="AZ41" s="3470" t="s">
        <v>3751</v>
      </c>
      <c r="BA41" s="3470" t="s">
        <v>3770</v>
      </c>
      <c r="BB41" s="3481" t="s">
        <v>3771</v>
      </c>
      <c r="BC41" s="3470" t="s">
        <v>3772</v>
      </c>
      <c r="BD41" s="3482">
        <v>102488</v>
      </c>
      <c r="BE41" s="3470">
        <v>63023627</v>
      </c>
      <c r="BF41" s="3483">
        <v>2.8</v>
      </c>
      <c r="BG41" s="3478">
        <v>37635</v>
      </c>
      <c r="BH41" s="3470" t="s">
        <v>3437</v>
      </c>
      <c r="BI41" s="3441" t="s">
        <v>3476</v>
      </c>
      <c r="BJ41" s="3518">
        <v>37650</v>
      </c>
      <c r="BK41" s="3478"/>
      <c r="BL41" s="3441" t="s">
        <v>3670</v>
      </c>
      <c r="BM41" s="3441"/>
      <c r="BN41" s="3441"/>
      <c r="BO41" s="3441"/>
      <c r="BP41" s="3441"/>
      <c r="BQ41" s="3441"/>
      <c r="BR41" s="3441"/>
    </row>
    <row r="42" spans="1:73" s="3441" customFormat="1" ht="12" hidden="1">
      <c r="A42" s="3485" t="s">
        <v>3947</v>
      </c>
      <c r="B42" s="3470" t="s">
        <v>3948</v>
      </c>
      <c r="C42" s="3481" t="s">
        <v>3949</v>
      </c>
      <c r="D42" s="3481" t="s">
        <v>3950</v>
      </c>
      <c r="E42" s="3470" t="s">
        <v>3558</v>
      </c>
      <c r="F42" s="3521" t="s">
        <v>3951</v>
      </c>
      <c r="G42" s="3470"/>
      <c r="H42" s="3470" t="s">
        <v>3952</v>
      </c>
      <c r="I42" s="3470" t="s">
        <v>3953</v>
      </c>
      <c r="J42" s="3481" t="s">
        <v>3954</v>
      </c>
      <c r="K42" s="3470" t="s">
        <v>3955</v>
      </c>
      <c r="L42" s="3470">
        <v>86.81</v>
      </c>
      <c r="M42" s="3470">
        <v>2</v>
      </c>
      <c r="N42" s="3470" t="s">
        <v>3602</v>
      </c>
      <c r="O42" s="3470">
        <v>77.760000000000005</v>
      </c>
      <c r="P42" s="3470" t="s">
        <v>3452</v>
      </c>
      <c r="Q42" s="3457">
        <v>401548.33600000007</v>
      </c>
      <c r="R42" s="3470">
        <v>4625.6000000000004</v>
      </c>
      <c r="S42" s="3472">
        <v>39.72</v>
      </c>
      <c r="T42" s="3473">
        <v>397200</v>
      </c>
      <c r="U42" s="3470">
        <v>4576</v>
      </c>
      <c r="V42" s="3474">
        <v>0.1</v>
      </c>
      <c r="W42" s="3475">
        <v>35.74</v>
      </c>
      <c r="X42" s="3476">
        <v>357400</v>
      </c>
      <c r="Y42" s="3441">
        <v>2003</v>
      </c>
      <c r="Z42" s="3441">
        <v>1</v>
      </c>
      <c r="AA42" s="3441">
        <v>2</v>
      </c>
      <c r="AB42" s="3477">
        <v>1985</v>
      </c>
      <c r="AC42" s="3470" t="s">
        <v>3693</v>
      </c>
      <c r="AD42" s="3485"/>
      <c r="AE42" s="3441" t="s">
        <v>3663</v>
      </c>
      <c r="AF42" s="3470" t="s">
        <v>3956</v>
      </c>
      <c r="AG42" s="3522" t="s">
        <v>3466</v>
      </c>
      <c r="AH42" s="3485"/>
      <c r="AI42" s="3470" t="s">
        <v>3679</v>
      </c>
      <c r="AJ42" s="3523">
        <v>37652</v>
      </c>
      <c r="AK42" s="3479" t="s">
        <v>3456</v>
      </c>
      <c r="AL42" s="3441" t="s">
        <v>3957</v>
      </c>
      <c r="AN42" s="3441" t="s">
        <v>3456</v>
      </c>
      <c r="AP42" s="3441" t="s">
        <v>3476</v>
      </c>
      <c r="AQ42" s="3441" t="s">
        <v>3571</v>
      </c>
      <c r="AV42" s="3441" t="s">
        <v>3568</v>
      </c>
      <c r="AW42" s="3441" t="s">
        <v>3572</v>
      </c>
      <c r="AX42" s="3441" t="s">
        <v>2511</v>
      </c>
      <c r="AY42" s="3524" t="s">
        <v>3958</v>
      </c>
      <c r="AZ42" s="3441" t="s">
        <v>3955</v>
      </c>
      <c r="BA42" s="3441" t="s">
        <v>3959</v>
      </c>
      <c r="BB42" s="3524" t="s">
        <v>3960</v>
      </c>
      <c r="BC42" s="3441" t="s">
        <v>3961</v>
      </c>
      <c r="BD42" s="3525">
        <v>102100</v>
      </c>
      <c r="BE42" s="3441">
        <v>62998398</v>
      </c>
      <c r="BF42" s="3526">
        <v>2.8</v>
      </c>
      <c r="BG42" s="3518">
        <v>37604</v>
      </c>
      <c r="BI42" s="3441" t="s">
        <v>3896</v>
      </c>
      <c r="BJ42" s="3484">
        <v>37621</v>
      </c>
      <c r="BK42" s="3484"/>
      <c r="BL42" s="3470" t="s">
        <v>3670</v>
      </c>
      <c r="BS42" s="3470"/>
      <c r="BT42" s="3470"/>
      <c r="BU42" s="3470"/>
    </row>
    <row r="43" spans="1:73" s="3441" customFormat="1" ht="12" hidden="1">
      <c r="A43" s="3470" t="s">
        <v>3962</v>
      </c>
      <c r="B43" s="3470" t="s">
        <v>3963</v>
      </c>
      <c r="C43" s="3481" t="s">
        <v>3964</v>
      </c>
      <c r="D43" s="3454" t="s">
        <v>3965</v>
      </c>
      <c r="E43" s="3470" t="s">
        <v>3558</v>
      </c>
      <c r="F43" s="3528" t="s">
        <v>3613</v>
      </c>
      <c r="G43" s="3470"/>
      <c r="H43" s="3470" t="s">
        <v>3966</v>
      </c>
      <c r="I43" s="3470" t="s">
        <v>3676</v>
      </c>
      <c r="J43" s="3481" t="s">
        <v>3967</v>
      </c>
      <c r="K43" s="3470" t="s">
        <v>3968</v>
      </c>
      <c r="L43" s="3470">
        <v>149.78</v>
      </c>
      <c r="M43" s="3470">
        <v>1</v>
      </c>
      <c r="N43" s="3470" t="s">
        <v>3969</v>
      </c>
      <c r="O43" s="3470">
        <v>137.47999999999999</v>
      </c>
      <c r="P43" s="3470" t="s">
        <v>3452</v>
      </c>
      <c r="Q43" s="3457">
        <v>673611.58519999997</v>
      </c>
      <c r="R43" s="3477">
        <v>4497.34</v>
      </c>
      <c r="S43" s="3472">
        <v>66.62</v>
      </c>
      <c r="T43" s="3473">
        <v>666200</v>
      </c>
      <c r="U43" s="3477">
        <v>4448</v>
      </c>
      <c r="V43" s="3540">
        <v>0.1</v>
      </c>
      <c r="W43" s="3475">
        <v>59.95</v>
      </c>
      <c r="X43" s="3476">
        <v>599500</v>
      </c>
      <c r="Y43" s="3477">
        <v>2003</v>
      </c>
      <c r="Z43" s="3477">
        <v>1</v>
      </c>
      <c r="AA43" s="3477">
        <v>2</v>
      </c>
      <c r="AB43" s="3477">
        <v>3330</v>
      </c>
      <c r="AC43" s="3470" t="s">
        <v>3970</v>
      </c>
      <c r="AD43" s="3485"/>
      <c r="AE43" s="3470" t="s">
        <v>3663</v>
      </c>
      <c r="AF43" s="3470" t="s">
        <v>3587</v>
      </c>
      <c r="AG43" s="3522" t="s">
        <v>3466</v>
      </c>
      <c r="AH43" s="3485"/>
      <c r="AI43" s="3470" t="s">
        <v>3679</v>
      </c>
      <c r="AJ43" s="3523">
        <v>37894</v>
      </c>
      <c r="AK43" s="3479" t="s">
        <v>3570</v>
      </c>
      <c r="AL43" s="3470">
        <v>67641700</v>
      </c>
      <c r="AN43" s="3441" t="s">
        <v>3570</v>
      </c>
      <c r="AP43" s="3441" t="s">
        <v>3476</v>
      </c>
      <c r="AQ43" s="3441" t="s">
        <v>3571</v>
      </c>
      <c r="AW43" s="3470" t="s">
        <v>3572</v>
      </c>
      <c r="AX43" s="3441" t="s">
        <v>2511</v>
      </c>
      <c r="AY43" s="3441">
        <v>252178</v>
      </c>
      <c r="AZ43" s="3524" t="s">
        <v>3968</v>
      </c>
      <c r="BA43" s="3441" t="s">
        <v>3971</v>
      </c>
      <c r="BB43" s="3441" t="s">
        <v>3972</v>
      </c>
      <c r="BC43" s="3524" t="s">
        <v>3973</v>
      </c>
      <c r="BD43" s="3441">
        <v>100096</v>
      </c>
      <c r="BE43" s="3525">
        <v>82919961</v>
      </c>
      <c r="BF43" s="3441">
        <v>2.9</v>
      </c>
      <c r="BG43" s="3518">
        <v>37612</v>
      </c>
      <c r="BH43" s="3518"/>
      <c r="BI43" s="3470" t="s">
        <v>3476</v>
      </c>
      <c r="BJ43" s="3484">
        <v>37620</v>
      </c>
      <c r="BK43" s="3484"/>
      <c r="BL43" s="3441" t="s">
        <v>3594</v>
      </c>
      <c r="BS43" s="3470"/>
      <c r="BT43" s="3470"/>
      <c r="BU43" s="3470"/>
    </row>
    <row r="44" spans="1:73" s="3470" customFormat="1" ht="12" hidden="1">
      <c r="A44" s="3470" t="s">
        <v>3974</v>
      </c>
      <c r="B44" s="3470" t="s">
        <v>3975</v>
      </c>
      <c r="C44" s="3471" t="s">
        <v>3976</v>
      </c>
      <c r="D44" s="3470" t="s">
        <v>3977</v>
      </c>
      <c r="E44" s="3470" t="s">
        <v>3558</v>
      </c>
      <c r="F44" s="3470" t="s">
        <v>3978</v>
      </c>
      <c r="H44" s="3470" t="s">
        <v>3979</v>
      </c>
      <c r="I44" s="3470" t="s">
        <v>3561</v>
      </c>
      <c r="J44" s="3470" t="s">
        <v>3980</v>
      </c>
      <c r="K44" s="3470" t="s">
        <v>3981</v>
      </c>
      <c r="L44" s="3470">
        <v>204.83</v>
      </c>
      <c r="M44" s="3470">
        <v>2</v>
      </c>
      <c r="N44" s="3470" t="s">
        <v>3982</v>
      </c>
      <c r="O44" s="3470">
        <v>181.18</v>
      </c>
      <c r="P44" s="3470" t="s">
        <v>3452</v>
      </c>
      <c r="Q44" s="3457">
        <v>1269946</v>
      </c>
      <c r="R44" s="3470">
        <v>6200</v>
      </c>
      <c r="S44" s="3472">
        <v>125.76</v>
      </c>
      <c r="T44" s="3473">
        <v>1257600</v>
      </c>
      <c r="U44" s="3470">
        <v>6140</v>
      </c>
      <c r="V44" s="3474">
        <v>0.1</v>
      </c>
      <c r="W44" s="3475">
        <v>113.18</v>
      </c>
      <c r="X44" s="3476">
        <v>1131800</v>
      </c>
      <c r="Y44" s="3441">
        <v>2003</v>
      </c>
      <c r="Z44" s="3441">
        <v>1</v>
      </c>
      <c r="AA44" s="3470">
        <v>3</v>
      </c>
      <c r="AB44" s="3477">
        <v>5640</v>
      </c>
      <c r="AC44" s="3470" t="s">
        <v>3603</v>
      </c>
      <c r="AE44" s="3470" t="s">
        <v>3566</v>
      </c>
      <c r="AF44" s="3470" t="s">
        <v>3493</v>
      </c>
      <c r="AG44" s="3470" t="s">
        <v>3466</v>
      </c>
      <c r="AI44" s="3470" t="s">
        <v>3569</v>
      </c>
      <c r="AJ44" s="3478">
        <v>37590</v>
      </c>
      <c r="AK44" s="3479" t="s">
        <v>3570</v>
      </c>
      <c r="AL44" s="3470">
        <v>64256608</v>
      </c>
      <c r="AN44" s="3480" t="s">
        <v>3570</v>
      </c>
      <c r="AP44" s="3470" t="s">
        <v>3566</v>
      </c>
      <c r="AQ44" s="3470" t="s">
        <v>3571</v>
      </c>
      <c r="AW44" s="3470" t="s">
        <v>3572</v>
      </c>
      <c r="AX44" s="3470" t="s">
        <v>2511</v>
      </c>
      <c r="AY44" s="3481" t="s">
        <v>3983</v>
      </c>
      <c r="AZ44" s="3470" t="s">
        <v>3981</v>
      </c>
      <c r="BA44" s="3470" t="s">
        <v>3984</v>
      </c>
      <c r="BB44" s="3481">
        <v>1102261089510</v>
      </c>
      <c r="BC44" s="3470" t="s">
        <v>3985</v>
      </c>
      <c r="BD44" s="3482">
        <v>100101</v>
      </c>
      <c r="BE44" s="3470">
        <v>64858999</v>
      </c>
      <c r="BF44" s="3483">
        <v>2.8</v>
      </c>
      <c r="BG44" s="3478">
        <v>37566</v>
      </c>
      <c r="BI44" s="3441" t="s">
        <v>3566</v>
      </c>
      <c r="BJ44" s="3484">
        <v>37601</v>
      </c>
      <c r="BK44" s="3478"/>
      <c r="BL44" s="3441"/>
      <c r="BM44" s="3441"/>
      <c r="BN44" s="3441"/>
      <c r="BO44" s="3441"/>
      <c r="BP44" s="3441"/>
      <c r="BQ44" s="3441"/>
      <c r="BR44" s="3441"/>
    </row>
    <row r="45" spans="1:73" s="3441" customFormat="1" ht="12" hidden="1">
      <c r="A45" s="3485" t="s">
        <v>3986</v>
      </c>
      <c r="B45" s="3470" t="s">
        <v>3987</v>
      </c>
      <c r="C45" s="3481" t="s">
        <v>3988</v>
      </c>
      <c r="D45" s="3481" t="s">
        <v>3989</v>
      </c>
      <c r="E45" s="3470" t="s">
        <v>2736</v>
      </c>
      <c r="F45" s="3521" t="s">
        <v>3990</v>
      </c>
      <c r="G45" s="3470"/>
      <c r="H45" s="3470" t="s">
        <v>3991</v>
      </c>
      <c r="I45" s="3470" t="s">
        <v>3992</v>
      </c>
      <c r="J45" s="3481" t="s">
        <v>3993</v>
      </c>
      <c r="K45" s="3470" t="s">
        <v>3647</v>
      </c>
      <c r="L45" s="3470">
        <v>113.18</v>
      </c>
      <c r="M45" s="3470">
        <v>11</v>
      </c>
      <c r="N45" s="3486" t="s">
        <v>3994</v>
      </c>
      <c r="O45" s="3470">
        <v>91.76</v>
      </c>
      <c r="P45" s="3470" t="s">
        <v>3452</v>
      </c>
      <c r="Q45" s="3457">
        <v>711902.20000000007</v>
      </c>
      <c r="R45" s="3470">
        <v>6290</v>
      </c>
      <c r="S45" s="3472">
        <v>70.510000000000005</v>
      </c>
      <c r="T45" s="3527">
        <v>705100</v>
      </c>
      <c r="U45" s="3470">
        <v>6230</v>
      </c>
      <c r="V45" s="3474">
        <v>0.1</v>
      </c>
      <c r="W45" s="3475">
        <v>63.45</v>
      </c>
      <c r="X45" s="3473">
        <v>634500</v>
      </c>
      <c r="Y45" s="3441">
        <v>2003</v>
      </c>
      <c r="Z45" s="3441">
        <v>3</v>
      </c>
      <c r="AA45" s="3441">
        <v>3</v>
      </c>
      <c r="AB45" s="3485">
        <v>3525</v>
      </c>
      <c r="AC45" s="3470" t="s">
        <v>3634</v>
      </c>
      <c r="AD45" s="3485"/>
      <c r="AE45" s="3441" t="s">
        <v>3593</v>
      </c>
      <c r="AF45" s="3453" t="s">
        <v>3587</v>
      </c>
      <c r="AG45" s="3522" t="s">
        <v>3466</v>
      </c>
      <c r="AH45" s="3485"/>
      <c r="AI45" s="3470" t="s">
        <v>3589</v>
      </c>
      <c r="AJ45" s="3523">
        <v>37965</v>
      </c>
      <c r="AK45" s="3479" t="s">
        <v>3482</v>
      </c>
      <c r="AL45" s="3441">
        <v>64256608</v>
      </c>
      <c r="AN45" s="3441" t="s">
        <v>3456</v>
      </c>
      <c r="AP45" s="3441" t="s">
        <v>3586</v>
      </c>
      <c r="AQ45" s="3441" t="s">
        <v>3457</v>
      </c>
      <c r="AW45" s="3441" t="s">
        <v>3636</v>
      </c>
      <c r="AX45" s="3441" t="s">
        <v>2511</v>
      </c>
      <c r="AY45" s="3524" t="s">
        <v>3995</v>
      </c>
      <c r="AZ45" s="3441" t="s">
        <v>3647</v>
      </c>
      <c r="BA45" s="3441" t="s">
        <v>3996</v>
      </c>
      <c r="BB45" s="3524" t="s">
        <v>3997</v>
      </c>
      <c r="BC45" s="3441" t="s">
        <v>3641</v>
      </c>
      <c r="BD45" s="3525">
        <v>100088</v>
      </c>
      <c r="BE45" s="3441">
        <v>82058259</v>
      </c>
      <c r="BF45" s="3526">
        <v>2.9</v>
      </c>
      <c r="BG45" s="3518">
        <v>37606</v>
      </c>
      <c r="BI45" s="3441" t="s">
        <v>3586</v>
      </c>
      <c r="BJ45" s="3484">
        <v>37687</v>
      </c>
      <c r="BK45" s="3484">
        <v>37679</v>
      </c>
      <c r="BL45" s="3470" t="s">
        <v>3623</v>
      </c>
      <c r="BS45" s="3470"/>
      <c r="BT45" s="3470"/>
      <c r="BU45" s="3470"/>
    </row>
    <row r="46" spans="1:73" s="3470" customFormat="1" ht="12" hidden="1">
      <c r="A46" s="3470" t="s">
        <v>3998</v>
      </c>
      <c r="B46" s="3470" t="s">
        <v>3999</v>
      </c>
      <c r="C46" s="3471">
        <v>110102720325331</v>
      </c>
      <c r="D46" s="3470">
        <v>13601354559</v>
      </c>
      <c r="E46" s="3470" t="s">
        <v>3558</v>
      </c>
      <c r="F46" s="3470" t="s">
        <v>3613</v>
      </c>
      <c r="H46" s="3470" t="s">
        <v>4000</v>
      </c>
      <c r="I46" s="3470" t="s">
        <v>4001</v>
      </c>
      <c r="J46" s="3470" t="s">
        <v>4002</v>
      </c>
      <c r="K46" s="3470" t="s">
        <v>3968</v>
      </c>
      <c r="L46" s="3470">
        <v>161.27000000000001</v>
      </c>
      <c r="M46" s="3470">
        <v>1</v>
      </c>
      <c r="N46" s="3470" t="s">
        <v>4003</v>
      </c>
      <c r="O46" s="3470">
        <v>148.03</v>
      </c>
      <c r="P46" s="3470" t="s">
        <v>3452</v>
      </c>
      <c r="Q46" s="3457">
        <v>754743.6</v>
      </c>
      <c r="R46" s="3470">
        <v>4680</v>
      </c>
      <c r="S46" s="3472">
        <v>74.5</v>
      </c>
      <c r="T46" s="3473">
        <v>745000</v>
      </c>
      <c r="U46" s="3470">
        <v>4620</v>
      </c>
      <c r="V46" s="3474">
        <v>0.1</v>
      </c>
      <c r="W46" s="3475">
        <v>67.05</v>
      </c>
      <c r="X46" s="3476">
        <v>670500</v>
      </c>
      <c r="Y46" s="3441">
        <v>2003</v>
      </c>
      <c r="Z46" s="3441">
        <v>1</v>
      </c>
      <c r="AA46" s="3470">
        <v>8</v>
      </c>
      <c r="AB46" s="3477">
        <v>3725</v>
      </c>
      <c r="AC46" s="3470" t="s">
        <v>4004</v>
      </c>
      <c r="AE46" s="3470" t="s">
        <v>3566</v>
      </c>
      <c r="AF46" s="3470" t="s">
        <v>3728</v>
      </c>
      <c r="AG46" s="3470" t="s">
        <v>3466</v>
      </c>
      <c r="AI46" s="3470" t="s">
        <v>3569</v>
      </c>
      <c r="AJ46" s="3478">
        <v>37894</v>
      </c>
      <c r="AK46" s="3479" t="s">
        <v>3570</v>
      </c>
      <c r="AL46" s="3470">
        <v>64256608</v>
      </c>
      <c r="AN46" s="3480" t="s">
        <v>3695</v>
      </c>
      <c r="AP46" s="3470" t="s">
        <v>3569</v>
      </c>
      <c r="AQ46" s="3470" t="s">
        <v>3571</v>
      </c>
      <c r="AW46" s="3470" t="s">
        <v>3572</v>
      </c>
      <c r="AX46" s="3470" t="s">
        <v>2511</v>
      </c>
      <c r="AY46" s="3481" t="s">
        <v>4005</v>
      </c>
      <c r="AZ46" s="3470" t="s">
        <v>3968</v>
      </c>
      <c r="BA46" s="3470" t="s">
        <v>3971</v>
      </c>
      <c r="BB46" s="3481" t="s">
        <v>3972</v>
      </c>
      <c r="BC46" s="3470" t="s">
        <v>3973</v>
      </c>
      <c r="BD46" s="3482">
        <v>100096</v>
      </c>
      <c r="BE46" s="3470">
        <v>82919961</v>
      </c>
      <c r="BF46" s="3483">
        <v>2.9</v>
      </c>
      <c r="BG46" s="3478">
        <v>37572</v>
      </c>
      <c r="BI46" s="3441" t="s">
        <v>3569</v>
      </c>
      <c r="BJ46" s="3484">
        <v>37262</v>
      </c>
      <c r="BK46" s="3478"/>
      <c r="BL46" s="3441" t="s">
        <v>3670</v>
      </c>
      <c r="BM46" s="3441"/>
      <c r="BN46" s="3441"/>
      <c r="BO46" s="3441"/>
      <c r="BP46" s="3441"/>
      <c r="BQ46" s="3441"/>
      <c r="BR46" s="3441"/>
    </row>
    <row r="47" spans="1:73" s="3441" customFormat="1" ht="12" hidden="1">
      <c r="A47" s="3485" t="s">
        <v>4006</v>
      </c>
      <c r="B47" s="3470" t="s">
        <v>4007</v>
      </c>
      <c r="C47" s="3481" t="s">
        <v>4008</v>
      </c>
      <c r="D47" s="3481" t="s">
        <v>4009</v>
      </c>
      <c r="E47" s="3470" t="s">
        <v>2736</v>
      </c>
      <c r="F47" s="3521" t="s">
        <v>3628</v>
      </c>
      <c r="G47" s="3470"/>
      <c r="H47" s="3470" t="s">
        <v>4010</v>
      </c>
      <c r="I47" s="3470" t="s">
        <v>4011</v>
      </c>
      <c r="J47" s="3481" t="s">
        <v>4012</v>
      </c>
      <c r="K47" s="3470" t="s">
        <v>3631</v>
      </c>
      <c r="L47" s="3470">
        <v>113.18</v>
      </c>
      <c r="M47" s="3470">
        <v>2</v>
      </c>
      <c r="N47" s="3486" t="s">
        <v>3661</v>
      </c>
      <c r="O47" s="3470">
        <v>91.76</v>
      </c>
      <c r="P47" s="3470" t="s">
        <v>3452</v>
      </c>
      <c r="Q47" s="3457">
        <v>639467</v>
      </c>
      <c r="R47" s="3470">
        <v>5650</v>
      </c>
      <c r="S47" s="3472">
        <v>63.38</v>
      </c>
      <c r="T47" s="3527">
        <v>633800</v>
      </c>
      <c r="U47" s="3470">
        <v>5600</v>
      </c>
      <c r="V47" s="3474">
        <v>0.1</v>
      </c>
      <c r="W47" s="3475">
        <v>57.04</v>
      </c>
      <c r="X47" s="3473">
        <v>570400</v>
      </c>
      <c r="Y47" s="3441">
        <v>2003</v>
      </c>
      <c r="Z47" s="3441">
        <v>3</v>
      </c>
      <c r="AA47" s="3441">
        <v>3</v>
      </c>
      <c r="AB47" s="3485">
        <v>3165</v>
      </c>
      <c r="AC47" s="3470" t="s">
        <v>4013</v>
      </c>
      <c r="AD47" s="3485"/>
      <c r="AE47" s="3441" t="s">
        <v>3586</v>
      </c>
      <c r="AF47" s="3453" t="s">
        <v>3587</v>
      </c>
      <c r="AG47" s="3522" t="s">
        <v>3466</v>
      </c>
      <c r="AH47" s="3485"/>
      <c r="AI47" s="3470" t="s">
        <v>2152</v>
      </c>
      <c r="AJ47" s="3523">
        <v>37965</v>
      </c>
      <c r="AK47" s="3479" t="s">
        <v>3482</v>
      </c>
      <c r="AL47" s="3441">
        <v>64256608</v>
      </c>
      <c r="AN47" s="3441" t="s">
        <v>3456</v>
      </c>
      <c r="AP47" s="3441" t="s">
        <v>3586</v>
      </c>
      <c r="AQ47" s="3441" t="s">
        <v>3650</v>
      </c>
      <c r="AW47" s="3441" t="s">
        <v>3636</v>
      </c>
      <c r="AX47" s="3441" t="s">
        <v>2511</v>
      </c>
      <c r="AY47" s="3524" t="s">
        <v>4014</v>
      </c>
      <c r="AZ47" s="3441" t="s">
        <v>3638</v>
      </c>
      <c r="BA47" s="3441" t="s">
        <v>3639</v>
      </c>
      <c r="BB47" s="3524" t="s">
        <v>3640</v>
      </c>
      <c r="BC47" s="3441" t="s">
        <v>4015</v>
      </c>
      <c r="BD47" s="3525">
        <v>100088</v>
      </c>
      <c r="BE47" s="3441">
        <v>82058259</v>
      </c>
      <c r="BF47" s="3526">
        <v>2.9</v>
      </c>
      <c r="BG47" s="3518">
        <v>37603</v>
      </c>
      <c r="BI47" s="3441" t="s">
        <v>3586</v>
      </c>
      <c r="BJ47" s="3484">
        <v>37627</v>
      </c>
      <c r="BK47" s="3484">
        <v>37679</v>
      </c>
      <c r="BL47" s="3470" t="s">
        <v>3594</v>
      </c>
      <c r="BS47" s="3470"/>
      <c r="BT47" s="3470"/>
      <c r="BU47" s="3470"/>
    </row>
    <row r="48" spans="1:73" s="3470" customFormat="1" ht="12" hidden="1">
      <c r="A48" s="3470" t="s">
        <v>4016</v>
      </c>
      <c r="B48" s="3470" t="s">
        <v>4017</v>
      </c>
      <c r="C48" s="3471">
        <v>110108691016222</v>
      </c>
      <c r="D48" s="3470">
        <v>82326314</v>
      </c>
      <c r="E48" s="3470" t="s">
        <v>3558</v>
      </c>
      <c r="F48" s="3470" t="s">
        <v>3613</v>
      </c>
      <c r="H48" s="3470" t="s">
        <v>4018</v>
      </c>
      <c r="I48" s="3470" t="s">
        <v>4019</v>
      </c>
      <c r="J48" s="3470" t="s">
        <v>4002</v>
      </c>
      <c r="K48" s="3470" t="s">
        <v>3968</v>
      </c>
      <c r="L48" s="3470">
        <v>149.11000000000001</v>
      </c>
      <c r="M48" s="3470">
        <v>1</v>
      </c>
      <c r="N48" s="3470" t="s">
        <v>4003</v>
      </c>
      <c r="O48" s="3470">
        <v>135.76</v>
      </c>
      <c r="P48" s="3470" t="s">
        <v>3452</v>
      </c>
      <c r="Q48" s="3457">
        <v>653951.72700000007</v>
      </c>
      <c r="R48" s="3470">
        <v>4385.7</v>
      </c>
      <c r="S48" s="3472">
        <v>64.63</v>
      </c>
      <c r="T48" s="3473">
        <v>646300</v>
      </c>
      <c r="U48" s="3470">
        <v>4335</v>
      </c>
      <c r="V48" s="3474">
        <v>0.1</v>
      </c>
      <c r="W48" s="3475">
        <v>58.16</v>
      </c>
      <c r="X48" s="3476">
        <v>581600</v>
      </c>
      <c r="Y48" s="3441">
        <v>2003</v>
      </c>
      <c r="Z48" s="3441">
        <v>1</v>
      </c>
      <c r="AA48" s="3470">
        <v>8</v>
      </c>
      <c r="AB48" s="3477">
        <v>3230</v>
      </c>
      <c r="AC48" s="3470" t="s">
        <v>4020</v>
      </c>
      <c r="AE48" s="3470" t="s">
        <v>3566</v>
      </c>
      <c r="AF48" s="3470" t="s">
        <v>3728</v>
      </c>
      <c r="AG48" s="3470" t="s">
        <v>3466</v>
      </c>
      <c r="AI48" s="3470" t="s">
        <v>3569</v>
      </c>
      <c r="AJ48" s="3478">
        <v>37894</v>
      </c>
      <c r="AK48" s="3479" t="s">
        <v>3570</v>
      </c>
      <c r="AL48" s="3470">
        <v>64256608</v>
      </c>
      <c r="AN48" s="3480" t="s">
        <v>3695</v>
      </c>
      <c r="AP48" s="3470" t="s">
        <v>3569</v>
      </c>
      <c r="AQ48" s="3470" t="s">
        <v>3571</v>
      </c>
      <c r="AW48" s="3470" t="s">
        <v>3572</v>
      </c>
      <c r="AX48" s="3470" t="s">
        <v>2511</v>
      </c>
      <c r="AY48" s="3481" t="s">
        <v>4021</v>
      </c>
      <c r="AZ48" s="3470" t="s">
        <v>3968</v>
      </c>
      <c r="BA48" s="3470" t="s">
        <v>3971</v>
      </c>
      <c r="BB48" s="3481" t="s">
        <v>3972</v>
      </c>
      <c r="BC48" s="3470" t="s">
        <v>3973</v>
      </c>
      <c r="BD48" s="3482">
        <v>100096</v>
      </c>
      <c r="BE48" s="3470">
        <v>82919961</v>
      </c>
      <c r="BF48" s="3483">
        <v>2.9</v>
      </c>
      <c r="BG48" s="3478">
        <v>37601</v>
      </c>
      <c r="BI48" s="3441" t="s">
        <v>3569</v>
      </c>
      <c r="BJ48" s="3484">
        <v>37628</v>
      </c>
      <c r="BK48" s="3478"/>
      <c r="BL48" s="3441" t="s">
        <v>3670</v>
      </c>
      <c r="BM48" s="3441"/>
      <c r="BN48" s="3441"/>
      <c r="BO48" s="3441"/>
      <c r="BP48" s="3441"/>
      <c r="BQ48" s="3441"/>
      <c r="BR48" s="3441"/>
    </row>
    <row r="49" spans="1:73" s="3470" customFormat="1" ht="12" hidden="1">
      <c r="A49" s="3470" t="s">
        <v>4022</v>
      </c>
      <c r="B49" s="3470" t="s">
        <v>4023</v>
      </c>
      <c r="C49" s="3471" t="s">
        <v>4024</v>
      </c>
      <c r="D49" s="3470">
        <v>62206286</v>
      </c>
      <c r="E49" s="3470" t="s">
        <v>3558</v>
      </c>
      <c r="F49" s="3470" t="s">
        <v>4025</v>
      </c>
      <c r="H49" s="3470" t="s">
        <v>4026</v>
      </c>
      <c r="I49" s="3470" t="s">
        <v>4027</v>
      </c>
      <c r="J49" s="3470" t="s">
        <v>4028</v>
      </c>
      <c r="K49" s="3470" t="s">
        <v>4029</v>
      </c>
      <c r="L49" s="3470">
        <v>85.86</v>
      </c>
      <c r="M49" s="3470">
        <v>6</v>
      </c>
      <c r="N49" s="3470" t="s">
        <v>4030</v>
      </c>
      <c r="O49" s="3470">
        <v>69.540000000000006</v>
      </c>
      <c r="P49" s="3470" t="s">
        <v>3452</v>
      </c>
      <c r="Q49" s="3457">
        <v>349450.2</v>
      </c>
      <c r="R49" s="3470">
        <v>4070</v>
      </c>
      <c r="S49" s="3472">
        <v>34.51</v>
      </c>
      <c r="T49" s="3473">
        <v>345100</v>
      </c>
      <c r="U49" s="3470">
        <v>4020</v>
      </c>
      <c r="V49" s="3474">
        <v>0.1</v>
      </c>
      <c r="W49" s="3475">
        <v>31.05</v>
      </c>
      <c r="X49" s="3476">
        <v>310500</v>
      </c>
      <c r="Y49" s="3441">
        <v>2003</v>
      </c>
      <c r="Z49" s="3441">
        <v>1</v>
      </c>
      <c r="AA49" s="3470">
        <v>8</v>
      </c>
      <c r="AB49" s="3477">
        <v>1725</v>
      </c>
      <c r="AC49" s="3470" t="s">
        <v>4031</v>
      </c>
      <c r="AE49" s="3470" t="s">
        <v>3566</v>
      </c>
      <c r="AF49" s="3470" t="s">
        <v>4032</v>
      </c>
      <c r="AG49" s="3470" t="s">
        <v>3466</v>
      </c>
      <c r="AH49" s="3470" t="s">
        <v>3568</v>
      </c>
      <c r="AI49" s="3470" t="s">
        <v>3569</v>
      </c>
      <c r="AJ49" s="3478">
        <v>37621</v>
      </c>
      <c r="AK49" s="3479" t="s">
        <v>3570</v>
      </c>
      <c r="AL49" s="3470">
        <v>64256608</v>
      </c>
      <c r="AN49" s="3480" t="s">
        <v>3680</v>
      </c>
      <c r="AO49" s="3470" t="s">
        <v>3568</v>
      </c>
      <c r="AP49" s="3470" t="s">
        <v>3569</v>
      </c>
      <c r="AQ49" s="3470" t="s">
        <v>3571</v>
      </c>
      <c r="AW49" s="3470" t="s">
        <v>3572</v>
      </c>
      <c r="AX49" s="3470" t="s">
        <v>2511</v>
      </c>
      <c r="AY49" s="3481" t="s">
        <v>4033</v>
      </c>
      <c r="AZ49" s="3470" t="s">
        <v>4029</v>
      </c>
      <c r="BA49" s="3470" t="s">
        <v>4034</v>
      </c>
      <c r="BB49" s="3481"/>
      <c r="BC49" s="3470" t="s">
        <v>4035</v>
      </c>
      <c r="BD49" s="3482">
        <v>100034</v>
      </c>
      <c r="BE49" s="3470">
        <v>66177078</v>
      </c>
      <c r="BF49" s="3483">
        <v>2.7</v>
      </c>
      <c r="BG49" s="3478">
        <v>37479</v>
      </c>
      <c r="BI49" s="3441" t="s">
        <v>3569</v>
      </c>
      <c r="BJ49" s="3484">
        <v>37628</v>
      </c>
      <c r="BK49" s="3478"/>
      <c r="BL49" s="3441" t="s">
        <v>3670</v>
      </c>
      <c r="BM49" s="3441"/>
      <c r="BN49" s="3441"/>
      <c r="BO49" s="3441"/>
      <c r="BP49" s="3441"/>
      <c r="BQ49" s="3441"/>
      <c r="BR49" s="3441"/>
    </row>
    <row r="50" spans="1:73" s="3441" customFormat="1" ht="12" hidden="1">
      <c r="A50" s="3485" t="s">
        <v>4036</v>
      </c>
      <c r="B50" s="3470" t="s">
        <v>4037</v>
      </c>
      <c r="C50" s="3481" t="s">
        <v>4038</v>
      </c>
      <c r="D50" s="3481" t="s">
        <v>4039</v>
      </c>
      <c r="E50" s="3470" t="s">
        <v>2736</v>
      </c>
      <c r="F50" s="3528" t="s">
        <v>3628</v>
      </c>
      <c r="G50" s="3470"/>
      <c r="H50" s="3470" t="s">
        <v>4040</v>
      </c>
      <c r="I50" s="3470" t="s">
        <v>4041</v>
      </c>
      <c r="J50" s="3481" t="s">
        <v>4042</v>
      </c>
      <c r="K50" s="3470" t="s">
        <v>3647</v>
      </c>
      <c r="L50" s="3470">
        <v>115.72</v>
      </c>
      <c r="M50" s="3470">
        <v>3</v>
      </c>
      <c r="N50" s="3470" t="s">
        <v>4043</v>
      </c>
      <c r="O50" s="3470">
        <v>91.76</v>
      </c>
      <c r="P50" s="3470" t="s">
        <v>3452</v>
      </c>
      <c r="Q50" s="3457">
        <v>690848.4</v>
      </c>
      <c r="R50" s="3470">
        <v>5970</v>
      </c>
      <c r="S50" s="3472">
        <v>68.5</v>
      </c>
      <c r="T50" s="3527">
        <v>685000</v>
      </c>
      <c r="U50" s="3470">
        <v>5920</v>
      </c>
      <c r="V50" s="3474">
        <v>0.1</v>
      </c>
      <c r="W50" s="3475">
        <v>61.65</v>
      </c>
      <c r="X50" s="3494">
        <v>616500</v>
      </c>
      <c r="Y50" s="3441">
        <v>2003</v>
      </c>
      <c r="Z50" s="3441">
        <v>2</v>
      </c>
      <c r="AA50" s="3441">
        <v>22</v>
      </c>
      <c r="AB50" s="3485">
        <v>3425</v>
      </c>
      <c r="AC50" s="3470" t="s">
        <v>4044</v>
      </c>
      <c r="AD50" s="3485"/>
      <c r="AE50" s="3441" t="s">
        <v>3593</v>
      </c>
      <c r="AF50" s="3470" t="s">
        <v>3618</v>
      </c>
      <c r="AG50" s="3522" t="s">
        <v>3605</v>
      </c>
      <c r="AH50" s="3485"/>
      <c r="AI50" s="3456" t="s">
        <v>4045</v>
      </c>
      <c r="AJ50" s="3523">
        <v>38027</v>
      </c>
      <c r="AK50" s="3462" t="s">
        <v>3800</v>
      </c>
      <c r="AL50" s="3515">
        <v>64256608</v>
      </c>
      <c r="AP50" s="3441" t="s">
        <v>3593</v>
      </c>
      <c r="AQ50" s="3469" t="s">
        <v>3571</v>
      </c>
      <c r="AW50" s="3441" t="s">
        <v>3458</v>
      </c>
      <c r="AX50" s="3484" t="s">
        <v>4046</v>
      </c>
      <c r="AY50" s="3524" t="s">
        <v>4047</v>
      </c>
      <c r="AZ50" s="3470" t="s">
        <v>3638</v>
      </c>
      <c r="BA50" s="3441" t="s">
        <v>4048</v>
      </c>
      <c r="BB50" s="3524" t="s">
        <v>3640</v>
      </c>
      <c r="BC50" s="3441" t="s">
        <v>4049</v>
      </c>
      <c r="BD50" s="3525">
        <v>100088</v>
      </c>
      <c r="BE50" s="3441">
        <v>82058259</v>
      </c>
      <c r="BF50" s="3526">
        <v>2.9</v>
      </c>
      <c r="BG50" s="3518">
        <v>37589</v>
      </c>
      <c r="BI50" s="3441" t="s">
        <v>3593</v>
      </c>
      <c r="BJ50" s="3484">
        <v>37629</v>
      </c>
      <c r="BK50" s="3484">
        <v>37667</v>
      </c>
      <c r="BL50" s="3441" t="s">
        <v>3594</v>
      </c>
      <c r="BS50" s="3470"/>
      <c r="BT50" s="3470"/>
      <c r="BU50" s="3470"/>
    </row>
    <row r="51" spans="1:73" s="3441" customFormat="1" ht="12" hidden="1">
      <c r="A51" s="3470" t="s">
        <v>4050</v>
      </c>
      <c r="B51" s="3453" t="s">
        <v>4051</v>
      </c>
      <c r="C51" s="3454" t="s">
        <v>4052</v>
      </c>
      <c r="D51" s="3454" t="s">
        <v>4053</v>
      </c>
      <c r="E51" s="3453" t="s">
        <v>3558</v>
      </c>
      <c r="F51" s="3528" t="s">
        <v>3613</v>
      </c>
      <c r="G51" s="3470"/>
      <c r="H51" s="3470" t="s">
        <v>4054</v>
      </c>
      <c r="I51" s="3470" t="s">
        <v>3464</v>
      </c>
      <c r="J51" s="3481" t="s">
        <v>3495</v>
      </c>
      <c r="K51" s="3470" t="s">
        <v>3968</v>
      </c>
      <c r="L51" s="3470">
        <v>129.01</v>
      </c>
      <c r="M51" s="3470">
        <v>2</v>
      </c>
      <c r="N51" s="3470" t="s">
        <v>3632</v>
      </c>
      <c r="O51" s="3470">
        <v>117.87</v>
      </c>
      <c r="P51" s="3470" t="s">
        <v>3452</v>
      </c>
      <c r="Q51" s="3457">
        <v>559413.16199999989</v>
      </c>
      <c r="R51" s="3477">
        <v>4336.2</v>
      </c>
      <c r="S51" s="3472">
        <v>54.31</v>
      </c>
      <c r="T51" s="3473">
        <v>543100</v>
      </c>
      <c r="U51" s="3477">
        <v>4210</v>
      </c>
      <c r="V51" s="3540">
        <v>0.1</v>
      </c>
      <c r="W51" s="3475">
        <v>48.87</v>
      </c>
      <c r="X51" s="3473">
        <v>488700</v>
      </c>
      <c r="Y51" s="3477">
        <v>2003</v>
      </c>
      <c r="Z51" s="3477">
        <v>1</v>
      </c>
      <c r="AA51" s="3477">
        <v>10</v>
      </c>
      <c r="AB51" s="3485">
        <v>2715</v>
      </c>
      <c r="AC51" s="3470" t="s">
        <v>3634</v>
      </c>
      <c r="AD51" s="3485"/>
      <c r="AE51" s="3456" t="s">
        <v>3586</v>
      </c>
      <c r="AF51" s="3470" t="s">
        <v>3587</v>
      </c>
      <c r="AG51" s="3522" t="s">
        <v>3466</v>
      </c>
      <c r="AH51" s="3485"/>
      <c r="AI51" s="3456" t="s">
        <v>2152</v>
      </c>
      <c r="AJ51" s="3523">
        <v>37894</v>
      </c>
      <c r="AK51" s="3541" t="s">
        <v>3570</v>
      </c>
      <c r="AL51" s="3470">
        <v>64256608</v>
      </c>
      <c r="AN51" s="3441" t="s">
        <v>3570</v>
      </c>
      <c r="AP51" s="3470" t="s">
        <v>2152</v>
      </c>
      <c r="AQ51" s="3441" t="s">
        <v>3571</v>
      </c>
      <c r="AW51" s="3470" t="s">
        <v>3572</v>
      </c>
      <c r="AX51" s="3441" t="s">
        <v>2511</v>
      </c>
      <c r="AY51" s="3441">
        <v>245876</v>
      </c>
      <c r="AZ51" s="3524" t="s">
        <v>3968</v>
      </c>
      <c r="BA51" s="3441" t="s">
        <v>3971</v>
      </c>
      <c r="BB51" s="3441" t="s">
        <v>3972</v>
      </c>
      <c r="BC51" s="3524" t="s">
        <v>3973</v>
      </c>
      <c r="BD51" s="3441">
        <v>100096</v>
      </c>
      <c r="BE51" s="3525">
        <v>82919961</v>
      </c>
      <c r="BF51" s="3441">
        <v>2.9</v>
      </c>
      <c r="BG51" s="3518">
        <v>37584</v>
      </c>
      <c r="BH51" s="3518"/>
      <c r="BI51" s="3470" t="s">
        <v>4045</v>
      </c>
      <c r="BJ51" s="3484">
        <v>37603</v>
      </c>
      <c r="BK51" s="3484"/>
      <c r="BL51" s="3441" t="s">
        <v>3594</v>
      </c>
      <c r="BS51" s="3470"/>
      <c r="BT51" s="3470"/>
      <c r="BU51" s="3470"/>
    </row>
    <row r="52" spans="1:73" s="3470" customFormat="1" ht="12" hidden="1">
      <c r="A52" s="3470" t="s">
        <v>4055</v>
      </c>
      <c r="B52" s="3453" t="s">
        <v>4056</v>
      </c>
      <c r="C52" s="3481" t="s">
        <v>4057</v>
      </c>
      <c r="D52" s="3454" t="s">
        <v>4058</v>
      </c>
      <c r="E52" s="3454" t="s">
        <v>3538</v>
      </c>
      <c r="F52" s="3454" t="s">
        <v>4059</v>
      </c>
      <c r="G52" s="3481"/>
      <c r="H52" s="3454" t="s">
        <v>4060</v>
      </c>
      <c r="I52" s="3454" t="s">
        <v>3615</v>
      </c>
      <c r="J52" s="3454" t="s">
        <v>4061</v>
      </c>
      <c r="K52" s="3470" t="s">
        <v>4062</v>
      </c>
      <c r="L52" s="3495">
        <v>153.97</v>
      </c>
      <c r="M52" s="3495">
        <v>5</v>
      </c>
      <c r="N52" s="3470" t="s">
        <v>3816</v>
      </c>
      <c r="O52" s="3495">
        <v>135.18</v>
      </c>
      <c r="P52" s="3470" t="s">
        <v>3452</v>
      </c>
      <c r="Q52" s="3457">
        <v>800644</v>
      </c>
      <c r="R52" s="3495">
        <v>5200</v>
      </c>
      <c r="S52" s="3472">
        <v>93.92</v>
      </c>
      <c r="T52" s="3473">
        <v>939200</v>
      </c>
      <c r="U52" s="3495">
        <v>6100</v>
      </c>
      <c r="V52" s="3512">
        <v>0.1</v>
      </c>
      <c r="W52" s="3475">
        <v>84.52</v>
      </c>
      <c r="X52" s="3473">
        <v>845200</v>
      </c>
      <c r="Y52" s="3441">
        <v>2003</v>
      </c>
      <c r="Z52" s="3441">
        <v>1</v>
      </c>
      <c r="AA52" s="3441">
        <v>14</v>
      </c>
      <c r="AB52" s="3485">
        <v>4695</v>
      </c>
      <c r="AC52" s="3470" t="s">
        <v>3585</v>
      </c>
      <c r="AE52" s="3456" t="s">
        <v>3590</v>
      </c>
      <c r="AF52" s="3453" t="s">
        <v>4063</v>
      </c>
      <c r="AG52" s="3453" t="s">
        <v>3605</v>
      </c>
      <c r="AI52" s="3456" t="s">
        <v>2152</v>
      </c>
      <c r="AJ52" s="3478"/>
      <c r="AK52" s="3541" t="s">
        <v>3619</v>
      </c>
      <c r="AL52" s="3470">
        <v>64256608</v>
      </c>
      <c r="AM52" s="3481"/>
      <c r="AN52" s="3469" t="s">
        <v>3468</v>
      </c>
      <c r="AO52" s="3441"/>
      <c r="AP52" s="3470" t="s">
        <v>3589</v>
      </c>
      <c r="AQ52" s="3469" t="s">
        <v>3457</v>
      </c>
      <c r="AV52" s="3519"/>
      <c r="AW52" s="3456" t="s">
        <v>4064</v>
      </c>
      <c r="AX52" s="3469" t="s">
        <v>3606</v>
      </c>
      <c r="AY52" s="3536" t="s">
        <v>4065</v>
      </c>
      <c r="AZ52" s="3441" t="s">
        <v>4062</v>
      </c>
      <c r="BA52" s="3470" t="s">
        <v>4066</v>
      </c>
      <c r="BB52" s="3470">
        <v>1100001045583</v>
      </c>
      <c r="BC52" s="3470" t="s">
        <v>4067</v>
      </c>
      <c r="BD52" s="3470">
        <v>100031</v>
      </c>
      <c r="BE52" s="3470">
        <v>88460666</v>
      </c>
      <c r="BF52" s="3520">
        <v>2.8</v>
      </c>
      <c r="BG52" s="3478">
        <v>37356</v>
      </c>
      <c r="BI52" s="3470" t="s">
        <v>3589</v>
      </c>
      <c r="BJ52" s="3518">
        <v>37627</v>
      </c>
      <c r="BK52" s="3441"/>
      <c r="BM52" s="3441"/>
      <c r="BN52" s="3441"/>
      <c r="BO52" s="3441"/>
      <c r="BP52" s="3441"/>
      <c r="BQ52" s="3441"/>
      <c r="BR52" s="3441"/>
    </row>
    <row r="53" spans="1:73" s="3441" customFormat="1" ht="12" hidden="1">
      <c r="A53" s="3485" t="s">
        <v>4068</v>
      </c>
      <c r="B53" s="3470" t="s">
        <v>4069</v>
      </c>
      <c r="C53" s="3481" t="s">
        <v>4070</v>
      </c>
      <c r="D53" s="3481" t="s">
        <v>4071</v>
      </c>
      <c r="E53" s="3470" t="s">
        <v>3763</v>
      </c>
      <c r="F53" s="3521" t="s">
        <v>4072</v>
      </c>
      <c r="G53" s="3470"/>
      <c r="H53" s="3470" t="s">
        <v>4073</v>
      </c>
      <c r="I53" s="3470" t="s">
        <v>4074</v>
      </c>
      <c r="J53" s="3481" t="s">
        <v>4075</v>
      </c>
      <c r="K53" s="3470" t="s">
        <v>4076</v>
      </c>
      <c r="L53" s="3470">
        <v>116.56</v>
      </c>
      <c r="M53" s="3470">
        <v>4</v>
      </c>
      <c r="N53" s="3490" t="s">
        <v>4077</v>
      </c>
      <c r="O53" s="3470">
        <v>104.56</v>
      </c>
      <c r="P53" s="3490" t="s">
        <v>3452</v>
      </c>
      <c r="Q53" s="3457">
        <v>578137.59999999998</v>
      </c>
      <c r="R53" s="3470">
        <v>4960</v>
      </c>
      <c r="S53" s="3472">
        <v>57.16</v>
      </c>
      <c r="T53" s="3527">
        <v>571600</v>
      </c>
      <c r="U53" s="3470">
        <v>4904</v>
      </c>
      <c r="V53" s="3474">
        <v>0.1</v>
      </c>
      <c r="W53" s="3475">
        <v>51.44</v>
      </c>
      <c r="X53" s="3473">
        <v>514400</v>
      </c>
      <c r="Y53" s="3441">
        <v>2003</v>
      </c>
      <c r="Z53" s="3441">
        <v>2</v>
      </c>
      <c r="AA53" s="3441">
        <v>8</v>
      </c>
      <c r="AB53" s="3485">
        <v>2855</v>
      </c>
      <c r="AC53" s="3453" t="s">
        <v>4078</v>
      </c>
      <c r="AD53" s="3485">
        <v>24</v>
      </c>
      <c r="AE53" s="3441" t="s">
        <v>3586</v>
      </c>
      <c r="AF53" s="3470" t="s">
        <v>3587</v>
      </c>
      <c r="AG53" s="3490" t="s">
        <v>3466</v>
      </c>
      <c r="AH53" s="3485"/>
      <c r="AI53" s="3470" t="s">
        <v>3589</v>
      </c>
      <c r="AJ53" s="3523">
        <v>37833</v>
      </c>
      <c r="AK53" s="3479" t="s">
        <v>3468</v>
      </c>
      <c r="AL53" s="3441">
        <v>64256608</v>
      </c>
      <c r="AP53" s="3441" t="s">
        <v>3586</v>
      </c>
      <c r="AQ53" s="3441" t="s">
        <v>3457</v>
      </c>
      <c r="AW53" s="3441" t="s">
        <v>4064</v>
      </c>
      <c r="AX53" s="3441" t="s">
        <v>3606</v>
      </c>
      <c r="AY53" s="3524" t="s">
        <v>4079</v>
      </c>
      <c r="AZ53" s="3441" t="s">
        <v>4080</v>
      </c>
      <c r="BA53" s="3441" t="s">
        <v>4081</v>
      </c>
      <c r="BB53" s="3524" t="s">
        <v>4082</v>
      </c>
      <c r="BC53" s="3441" t="s">
        <v>4083</v>
      </c>
      <c r="BD53" s="3525">
        <v>100026</v>
      </c>
      <c r="BE53" s="3441">
        <v>65007756</v>
      </c>
      <c r="BF53" s="3526">
        <v>2.8</v>
      </c>
      <c r="BG53" s="3518">
        <v>37627</v>
      </c>
      <c r="BI53" s="3441" t="s">
        <v>3593</v>
      </c>
      <c r="BJ53" s="3484">
        <v>37638</v>
      </c>
      <c r="BK53" s="3484"/>
      <c r="BL53" s="3470" t="s">
        <v>3623</v>
      </c>
      <c r="BS53" s="3470"/>
      <c r="BT53" s="3470"/>
      <c r="BU53" s="3470"/>
    </row>
    <row r="54" spans="1:73" s="3441" customFormat="1" ht="13.2" hidden="1">
      <c r="A54" s="3470" t="s">
        <v>4084</v>
      </c>
      <c r="B54" s="3542" t="s">
        <v>4085</v>
      </c>
      <c r="C54" s="3454" t="s">
        <v>4086</v>
      </c>
      <c r="D54" s="3543" t="s">
        <v>4087</v>
      </c>
      <c r="E54" s="3542" t="s">
        <v>3538</v>
      </c>
      <c r="F54" s="3542" t="s">
        <v>4088</v>
      </c>
      <c r="G54" s="3485"/>
      <c r="H54" s="3485" t="s">
        <v>4089</v>
      </c>
      <c r="I54" s="3485" t="s">
        <v>4090</v>
      </c>
      <c r="J54" s="3543" t="s">
        <v>3630</v>
      </c>
      <c r="K54" s="3485" t="s">
        <v>4091</v>
      </c>
      <c r="L54" s="3477">
        <v>148.29</v>
      </c>
      <c r="M54" s="3477">
        <v>6</v>
      </c>
      <c r="N54" s="3486" t="s">
        <v>3488</v>
      </c>
      <c r="O54" s="3485">
        <v>117.42</v>
      </c>
      <c r="P54" s="3470" t="s">
        <v>3452</v>
      </c>
      <c r="Q54" s="3457">
        <v>1126999.5512999999</v>
      </c>
      <c r="R54" s="3495">
        <v>7599.97</v>
      </c>
      <c r="S54" s="3472">
        <v>111.88</v>
      </c>
      <c r="T54" s="3473">
        <v>1118800</v>
      </c>
      <c r="U54" s="3470">
        <v>7545</v>
      </c>
      <c r="V54" s="3474">
        <v>0.1</v>
      </c>
      <c r="W54" s="3475">
        <v>100.69</v>
      </c>
      <c r="X54" s="3473">
        <v>1006900</v>
      </c>
      <c r="Y54" s="3515">
        <v>2003</v>
      </c>
      <c r="Z54" s="3515">
        <v>1</v>
      </c>
      <c r="AA54" s="3515">
        <v>21</v>
      </c>
      <c r="AB54" s="3485">
        <v>5295</v>
      </c>
      <c r="AC54" s="3485" t="s">
        <v>3634</v>
      </c>
      <c r="AD54" s="3485"/>
      <c r="AE54" s="3441" t="s">
        <v>3586</v>
      </c>
      <c r="AF54" s="3490" t="s">
        <v>3618</v>
      </c>
      <c r="AG54" s="3485" t="s">
        <v>3454</v>
      </c>
      <c r="AH54" s="3485"/>
      <c r="AI54" s="3470" t="s">
        <v>2152</v>
      </c>
      <c r="AJ54" s="3539">
        <v>37863</v>
      </c>
      <c r="AK54" s="3462" t="s">
        <v>3619</v>
      </c>
      <c r="AL54" s="3441">
        <v>64256608</v>
      </c>
      <c r="AN54" s="3456" t="s">
        <v>3482</v>
      </c>
      <c r="AP54" s="3441" t="s">
        <v>2152</v>
      </c>
      <c r="AQ54" s="3470" t="s">
        <v>3457</v>
      </c>
      <c r="AU54" s="3463"/>
      <c r="AV54" s="3518"/>
      <c r="AW54" s="3470" t="s">
        <v>3458</v>
      </c>
      <c r="AX54" s="3441" t="s">
        <v>3606</v>
      </c>
      <c r="AY54" s="3536" t="s">
        <v>4092</v>
      </c>
      <c r="AZ54" s="3485" t="s">
        <v>4091</v>
      </c>
      <c r="BA54" s="3463" t="s">
        <v>4093</v>
      </c>
      <c r="BB54" s="3466">
        <v>1102272096110</v>
      </c>
      <c r="BC54" s="3463" t="s">
        <v>4094</v>
      </c>
      <c r="BD54" s="3537">
        <v>100044</v>
      </c>
      <c r="BE54" s="3441">
        <v>62251419</v>
      </c>
      <c r="BF54" s="3544">
        <v>2.8</v>
      </c>
      <c r="BG54" s="3518">
        <v>37599</v>
      </c>
      <c r="BI54" s="3470" t="s">
        <v>3569</v>
      </c>
      <c r="BJ54" s="3545">
        <v>37637</v>
      </c>
      <c r="BL54" s="3441" t="s">
        <v>3594</v>
      </c>
      <c r="BS54" s="3470"/>
      <c r="BT54" s="3470"/>
      <c r="BU54" s="3470"/>
    </row>
    <row r="55" spans="1:73" s="3481" customFormat="1" ht="12">
      <c r="A55" s="3470" t="s">
        <v>4095</v>
      </c>
      <c r="B55" s="3481" t="s">
        <v>4096</v>
      </c>
      <c r="C55" s="3481" t="s">
        <v>4097</v>
      </c>
      <c r="D55" s="3481" t="s">
        <v>4098</v>
      </c>
      <c r="E55" s="3481" t="s">
        <v>3763</v>
      </c>
      <c r="F55" s="3546" t="s">
        <v>4099</v>
      </c>
      <c r="H55" s="3454" t="s">
        <v>4073</v>
      </c>
      <c r="I55" s="3454" t="s">
        <v>4100</v>
      </c>
      <c r="J55" s="3454" t="s">
        <v>4101</v>
      </c>
      <c r="K55" s="3481" t="s">
        <v>4076</v>
      </c>
      <c r="L55" s="3547">
        <v>90.82</v>
      </c>
      <c r="M55" s="3547">
        <v>2</v>
      </c>
      <c r="N55" s="3454" t="s">
        <v>3451</v>
      </c>
      <c r="O55" s="3547">
        <v>81.47</v>
      </c>
      <c r="P55" s="3481" t="s">
        <v>3452</v>
      </c>
      <c r="Q55" s="3470">
        <v>415955.6</v>
      </c>
      <c r="R55" s="3547">
        <v>4580</v>
      </c>
      <c r="S55" s="3472">
        <v>41.14</v>
      </c>
      <c r="T55" s="3527">
        <v>411400</v>
      </c>
      <c r="U55" s="3470">
        <v>4530</v>
      </c>
      <c r="V55" s="3474">
        <v>0.1</v>
      </c>
      <c r="W55" s="3475">
        <v>37.020000000000003</v>
      </c>
      <c r="X55" s="3476">
        <v>370200.00000000006</v>
      </c>
      <c r="Y55" s="3441">
        <v>2003</v>
      </c>
      <c r="Z55" s="3441">
        <v>2</v>
      </c>
      <c r="AA55" s="3441">
        <v>8</v>
      </c>
      <c r="AB55" s="3477">
        <v>2055</v>
      </c>
      <c r="AC55" s="3481" t="s">
        <v>4102</v>
      </c>
      <c r="AE55" s="3456" t="s">
        <v>3586</v>
      </c>
      <c r="AF55" s="3454" t="s">
        <v>3618</v>
      </c>
      <c r="AG55" s="3481" t="s">
        <v>3466</v>
      </c>
      <c r="AI55" s="3470" t="s">
        <v>3589</v>
      </c>
      <c r="AJ55" s="3478">
        <v>37833</v>
      </c>
      <c r="AK55" s="3548" t="s">
        <v>3468</v>
      </c>
      <c r="AL55" s="3470">
        <v>64256608</v>
      </c>
      <c r="AM55" s="3524"/>
      <c r="AN55" s="3480"/>
      <c r="AO55" s="3524"/>
      <c r="AP55" s="3470" t="s">
        <v>3593</v>
      </c>
      <c r="AQ55" s="3524" t="s">
        <v>3457</v>
      </c>
      <c r="AV55" s="3547"/>
      <c r="AW55" s="3481" t="s">
        <v>4064</v>
      </c>
      <c r="AX55" s="3481" t="s">
        <v>4046</v>
      </c>
      <c r="AY55" s="3536" t="s">
        <v>4103</v>
      </c>
      <c r="AZ55" s="3481" t="s">
        <v>4076</v>
      </c>
      <c r="BA55" s="3481" t="s">
        <v>4104</v>
      </c>
      <c r="BB55" s="3524" t="s">
        <v>4105</v>
      </c>
      <c r="BC55" s="3481" t="s">
        <v>4106</v>
      </c>
      <c r="BD55" s="3481">
        <v>100026</v>
      </c>
      <c r="BE55" s="3481">
        <v>65007756</v>
      </c>
      <c r="BF55" s="3481">
        <v>2.8</v>
      </c>
      <c r="BG55" s="3478">
        <v>37627</v>
      </c>
      <c r="BI55" s="3441" t="s">
        <v>3586</v>
      </c>
      <c r="BJ55" s="3478">
        <v>37641</v>
      </c>
      <c r="BK55" s="3478"/>
      <c r="BL55" s="3470" t="s">
        <v>3594</v>
      </c>
      <c r="BM55" s="3441"/>
      <c r="BN55" s="3441"/>
      <c r="BO55" s="3441"/>
      <c r="BP55" s="3441"/>
      <c r="BQ55" s="3441"/>
      <c r="BR55" s="3441"/>
      <c r="BS55" s="3470"/>
      <c r="BT55" s="3470"/>
      <c r="BU55" s="3470"/>
    </row>
    <row r="56" spans="1:73" s="3441" customFormat="1" ht="12" hidden="1">
      <c r="A56" s="3470" t="s">
        <v>4107</v>
      </c>
      <c r="B56" s="3470" t="s">
        <v>4108</v>
      </c>
      <c r="C56" s="3481" t="s">
        <v>4109</v>
      </c>
      <c r="D56" s="3481" t="s">
        <v>4110</v>
      </c>
      <c r="E56" s="3470" t="s">
        <v>3558</v>
      </c>
      <c r="F56" s="3528" t="s">
        <v>4111</v>
      </c>
      <c r="G56" s="3470"/>
      <c r="H56" s="3470" t="s">
        <v>4112</v>
      </c>
      <c r="I56" s="3470" t="s">
        <v>4113</v>
      </c>
      <c r="J56" s="3481" t="s">
        <v>4114</v>
      </c>
      <c r="K56" s="3470" t="s">
        <v>4115</v>
      </c>
      <c r="L56" s="3470">
        <v>146.03</v>
      </c>
      <c r="M56" s="3470">
        <v>9</v>
      </c>
      <c r="N56" s="3470" t="s">
        <v>3632</v>
      </c>
      <c r="O56" s="3470">
        <v>119.21</v>
      </c>
      <c r="P56" s="3470" t="s">
        <v>3452</v>
      </c>
      <c r="Q56" s="3470">
        <v>879684.72</v>
      </c>
      <c r="R56" s="3470">
        <v>6024</v>
      </c>
      <c r="S56" s="3472">
        <v>87.61</v>
      </c>
      <c r="T56" s="3527">
        <v>876100</v>
      </c>
      <c r="U56" s="3470">
        <v>6000</v>
      </c>
      <c r="V56" s="3474">
        <v>0.1</v>
      </c>
      <c r="W56" s="3475">
        <v>78.84</v>
      </c>
      <c r="X56" s="3476">
        <v>788400</v>
      </c>
      <c r="Y56" s="3441">
        <v>2003</v>
      </c>
      <c r="Z56" s="3441">
        <v>2</v>
      </c>
      <c r="AA56" s="3441">
        <v>10</v>
      </c>
      <c r="AB56" s="3477">
        <v>4380</v>
      </c>
      <c r="AC56" s="3470" t="s">
        <v>4116</v>
      </c>
      <c r="AD56" s="3485"/>
      <c r="AE56" s="3456" t="s">
        <v>3590</v>
      </c>
      <c r="AF56" s="3470" t="s">
        <v>3493</v>
      </c>
      <c r="AG56" s="3522" t="s">
        <v>3466</v>
      </c>
      <c r="AH56" s="3485"/>
      <c r="AI56" s="3470" t="s">
        <v>2152</v>
      </c>
      <c r="AJ56" s="3523"/>
      <c r="AK56" s="3500" t="s">
        <v>3791</v>
      </c>
      <c r="AL56" s="3441">
        <v>64256608</v>
      </c>
      <c r="AN56" s="3470" t="s">
        <v>3680</v>
      </c>
      <c r="AP56" s="3456" t="s">
        <v>2152</v>
      </c>
      <c r="AQ56" s="3441" t="s">
        <v>3571</v>
      </c>
      <c r="AW56" s="3441" t="s">
        <v>3572</v>
      </c>
      <c r="AX56" s="3441" t="s">
        <v>2511</v>
      </c>
      <c r="AY56" s="3524" t="s">
        <v>4117</v>
      </c>
      <c r="AZ56" s="3441" t="s">
        <v>4115</v>
      </c>
      <c r="BA56" s="3441" t="s">
        <v>4118</v>
      </c>
      <c r="BB56" s="3524" t="s">
        <v>4119</v>
      </c>
      <c r="BC56" s="3441" t="s">
        <v>4120</v>
      </c>
      <c r="BD56" s="3525">
        <v>100086</v>
      </c>
      <c r="BE56" s="3441">
        <v>63260460</v>
      </c>
      <c r="BF56" s="3526">
        <v>2.7</v>
      </c>
      <c r="BG56" s="3518">
        <v>37560</v>
      </c>
      <c r="BI56" s="3470" t="s">
        <v>4045</v>
      </c>
      <c r="BJ56" s="3478">
        <v>37660</v>
      </c>
      <c r="BK56" s="3518"/>
      <c r="BS56" s="3470"/>
      <c r="BT56" s="3470"/>
      <c r="BU56" s="3470"/>
    </row>
    <row r="57" spans="1:73" s="3470" customFormat="1" ht="12" hidden="1">
      <c r="A57" s="3470" t="s">
        <v>4121</v>
      </c>
      <c r="B57" s="3470" t="s">
        <v>4122</v>
      </c>
      <c r="C57" s="3481" t="s">
        <v>4123</v>
      </c>
      <c r="D57" s="3470">
        <v>13910406362</v>
      </c>
      <c r="E57" s="3470" t="s">
        <v>3558</v>
      </c>
      <c r="F57" s="3470" t="s">
        <v>4025</v>
      </c>
      <c r="H57" s="3453" t="s">
        <v>4026</v>
      </c>
      <c r="I57" s="3453" t="s">
        <v>4124</v>
      </c>
      <c r="J57" s="3453" t="s">
        <v>4125</v>
      </c>
      <c r="K57" s="3470" t="s">
        <v>4029</v>
      </c>
      <c r="L57" s="3495">
        <v>82.81</v>
      </c>
      <c r="M57" s="3495">
        <v>8</v>
      </c>
      <c r="N57" s="3470" t="s">
        <v>4030</v>
      </c>
      <c r="O57" s="3495">
        <v>67.069999999999993</v>
      </c>
      <c r="P57" s="3470" t="s">
        <v>3452</v>
      </c>
      <c r="Q57" s="3470">
        <v>343661.5</v>
      </c>
      <c r="R57" s="3470">
        <v>4150</v>
      </c>
      <c r="S57" s="3472">
        <v>33.950000000000003</v>
      </c>
      <c r="T57" s="3527">
        <v>339500</v>
      </c>
      <c r="U57" s="3470">
        <v>4100</v>
      </c>
      <c r="V57" s="3474">
        <v>0.1</v>
      </c>
      <c r="W57" s="3475">
        <v>30.55</v>
      </c>
      <c r="X57" s="3476">
        <v>305500</v>
      </c>
      <c r="Y57" s="3441">
        <v>2003</v>
      </c>
      <c r="Z57" s="3441">
        <v>2</v>
      </c>
      <c r="AA57" s="3441">
        <v>11</v>
      </c>
      <c r="AB57" s="3477">
        <v>1695</v>
      </c>
      <c r="AC57" s="3470" t="s">
        <v>4044</v>
      </c>
      <c r="AE57" s="3456" t="s">
        <v>3586</v>
      </c>
      <c r="AF57" s="3470" t="s">
        <v>4126</v>
      </c>
      <c r="AG57" s="3470" t="s">
        <v>3466</v>
      </c>
      <c r="AH57" s="3470" t="s">
        <v>3568</v>
      </c>
      <c r="AI57" s="3470" t="s">
        <v>2152</v>
      </c>
      <c r="AJ57" s="3478">
        <v>37621</v>
      </c>
      <c r="AK57" s="3479" t="s">
        <v>3800</v>
      </c>
      <c r="AL57" s="3470">
        <v>64256608</v>
      </c>
      <c r="AN57" s="3480" t="s">
        <v>3482</v>
      </c>
      <c r="AO57" s="3470" t="s">
        <v>3568</v>
      </c>
      <c r="AP57" s="3470" t="s">
        <v>3589</v>
      </c>
      <c r="AQ57" s="3456" t="s">
        <v>3571</v>
      </c>
      <c r="AV57" s="3519"/>
      <c r="AW57" s="3470" t="s">
        <v>3572</v>
      </c>
      <c r="AX57" s="3470" t="s">
        <v>2511</v>
      </c>
      <c r="AY57" s="3495">
        <v>243652</v>
      </c>
      <c r="AZ57" s="3470" t="s">
        <v>4029</v>
      </c>
      <c r="BA57" s="3470" t="s">
        <v>4034</v>
      </c>
      <c r="BB57" s="3470" t="s">
        <v>4127</v>
      </c>
      <c r="BC57" s="3470" t="s">
        <v>4035</v>
      </c>
      <c r="BD57" s="3470">
        <v>100034</v>
      </c>
      <c r="BE57" s="3470">
        <v>66177078</v>
      </c>
      <c r="BF57" s="3520">
        <v>2.7</v>
      </c>
      <c r="BG57" s="3478">
        <v>37620</v>
      </c>
      <c r="BI57" s="3441" t="s">
        <v>4045</v>
      </c>
      <c r="BJ57" s="3478">
        <v>37663</v>
      </c>
      <c r="BK57" s="3478"/>
      <c r="BL57" s="3441" t="s">
        <v>3670</v>
      </c>
      <c r="BM57" s="3441"/>
      <c r="BN57" s="3441"/>
      <c r="BO57" s="3441"/>
      <c r="BP57" s="3441"/>
      <c r="BQ57" s="3441"/>
      <c r="BR57" s="3441"/>
    </row>
    <row r="58" spans="1:73" s="3441" customFormat="1" ht="12" hidden="1">
      <c r="A58" s="3453" t="s">
        <v>4128</v>
      </c>
      <c r="B58" s="3470" t="s">
        <v>4129</v>
      </c>
      <c r="C58" s="3481" t="s">
        <v>4130</v>
      </c>
      <c r="D58" s="3481" t="s">
        <v>4131</v>
      </c>
      <c r="E58" s="3470" t="s">
        <v>2736</v>
      </c>
      <c r="F58" s="3521" t="s">
        <v>4132</v>
      </c>
      <c r="G58" s="3470" t="s">
        <v>4133</v>
      </c>
      <c r="H58" s="3453" t="s">
        <v>4134</v>
      </c>
      <c r="I58" s="3453"/>
      <c r="J58" s="3454" t="s">
        <v>4135</v>
      </c>
      <c r="K58" s="3470" t="s">
        <v>4136</v>
      </c>
      <c r="L58" s="3495">
        <v>115.76</v>
      </c>
      <c r="M58" s="3495">
        <v>4</v>
      </c>
      <c r="N58" s="3470" t="s">
        <v>4137</v>
      </c>
      <c r="O58" s="3495">
        <v>106.56</v>
      </c>
      <c r="P58" s="3470" t="s">
        <v>3452</v>
      </c>
      <c r="Q58" s="3531">
        <v>497768</v>
      </c>
      <c r="R58" s="3495">
        <v>4300</v>
      </c>
      <c r="S58" s="3549">
        <v>52.09</v>
      </c>
      <c r="T58" s="3550">
        <v>520900.00000000006</v>
      </c>
      <c r="U58" s="3495">
        <v>4500</v>
      </c>
      <c r="V58" s="3512">
        <v>0.1</v>
      </c>
      <c r="W58" s="3475">
        <v>46.88</v>
      </c>
      <c r="X58" s="3473">
        <v>468800</v>
      </c>
      <c r="Y58" s="3501">
        <v>2003</v>
      </c>
      <c r="Z58" s="3495">
        <v>2</v>
      </c>
      <c r="AA58" s="3495">
        <v>14</v>
      </c>
      <c r="AB58" s="3551">
        <v>2600</v>
      </c>
      <c r="AC58" s="3470" t="s">
        <v>3585</v>
      </c>
      <c r="AD58" s="3485"/>
      <c r="AE58" s="3456" t="s">
        <v>3586</v>
      </c>
      <c r="AF58" s="3453" t="s">
        <v>4063</v>
      </c>
      <c r="AG58" s="3522" t="s">
        <v>3454</v>
      </c>
      <c r="AH58" s="3485"/>
      <c r="AI58" s="3469" t="s">
        <v>2152</v>
      </c>
      <c r="AJ58" s="3523"/>
      <c r="AK58" s="3462" t="s">
        <v>3468</v>
      </c>
      <c r="AL58" s="3495">
        <v>64256608</v>
      </c>
      <c r="AM58" s="3482"/>
      <c r="AN58" s="3469" t="s">
        <v>3695</v>
      </c>
      <c r="AO58" s="3470"/>
      <c r="AP58" s="3469" t="s">
        <v>2152</v>
      </c>
      <c r="AQ58" s="3456" t="s">
        <v>3714</v>
      </c>
      <c r="AV58" s="3519"/>
      <c r="AW58" s="3486" t="s">
        <v>3458</v>
      </c>
      <c r="AX58" s="3552" t="s">
        <v>3606</v>
      </c>
      <c r="AY58" s="3503" t="s">
        <v>4138</v>
      </c>
      <c r="AZ58" s="3470" t="s">
        <v>4139</v>
      </c>
      <c r="BA58" s="3441" t="s">
        <v>4140</v>
      </c>
      <c r="BB58" s="3441" t="s">
        <v>4141</v>
      </c>
      <c r="BC58" s="3441" t="s">
        <v>4142</v>
      </c>
      <c r="BD58" s="3441">
        <v>100080</v>
      </c>
      <c r="BE58" s="3441">
        <v>82611170</v>
      </c>
      <c r="BF58" s="3544">
        <v>2.7</v>
      </c>
      <c r="BG58" s="3514">
        <v>36582</v>
      </c>
      <c r="BI58" s="3453" t="s">
        <v>2152</v>
      </c>
      <c r="BJ58" s="3514">
        <v>37298</v>
      </c>
      <c r="BL58" s="3470"/>
      <c r="BS58" s="3470"/>
      <c r="BT58" s="3470"/>
      <c r="BU58" s="3470"/>
    </row>
    <row r="59" spans="1:73" s="3441" customFormat="1" ht="13.2">
      <c r="A59" s="3470" t="s">
        <v>4143</v>
      </c>
      <c r="B59" s="3542" t="s">
        <v>4144</v>
      </c>
      <c r="C59" s="3454" t="s">
        <v>4145</v>
      </c>
      <c r="D59" s="3543" t="s">
        <v>4146</v>
      </c>
      <c r="E59" s="3542" t="s">
        <v>2736</v>
      </c>
      <c r="F59" s="3553" t="s">
        <v>4147</v>
      </c>
      <c r="G59" s="3485"/>
      <c r="H59" s="3485" t="s">
        <v>4148</v>
      </c>
      <c r="I59" s="3485" t="s">
        <v>4149</v>
      </c>
      <c r="J59" s="3543" t="s">
        <v>4150</v>
      </c>
      <c r="K59" s="3485" t="s">
        <v>4151</v>
      </c>
      <c r="L59" s="3477">
        <v>99.21</v>
      </c>
      <c r="M59" s="3477">
        <v>19</v>
      </c>
      <c r="N59" s="3470" t="s">
        <v>3543</v>
      </c>
      <c r="O59" s="3485">
        <v>77.06</v>
      </c>
      <c r="P59" s="3470" t="s">
        <v>3452</v>
      </c>
      <c r="Q59" s="3470">
        <v>752111.01</v>
      </c>
      <c r="R59" s="3495">
        <v>7581</v>
      </c>
      <c r="S59" s="3472">
        <v>74.650000000000006</v>
      </c>
      <c r="T59" s="3527">
        <v>746500</v>
      </c>
      <c r="U59" s="3470">
        <v>7525</v>
      </c>
      <c r="V59" s="3474">
        <v>0.1</v>
      </c>
      <c r="W59" s="3475">
        <v>67.180000000000007</v>
      </c>
      <c r="X59" s="3476">
        <v>671800.00000000012</v>
      </c>
      <c r="Y59" s="3515">
        <v>2003</v>
      </c>
      <c r="Z59" s="3441">
        <v>2</v>
      </c>
      <c r="AA59" s="3441">
        <v>18</v>
      </c>
      <c r="AB59" s="3477">
        <v>3730</v>
      </c>
      <c r="AC59" s="3485" t="s">
        <v>3648</v>
      </c>
      <c r="AD59" s="3485"/>
      <c r="AE59" s="3441" t="s">
        <v>3590</v>
      </c>
      <c r="AF59" s="3490" t="s">
        <v>4152</v>
      </c>
      <c r="AG59" s="3485" t="s">
        <v>3605</v>
      </c>
      <c r="AH59" s="3485"/>
      <c r="AI59" s="3470" t="s">
        <v>2152</v>
      </c>
      <c r="AJ59" s="3539">
        <v>37863</v>
      </c>
      <c r="AK59" s="3548">
        <v>2</v>
      </c>
      <c r="AL59" s="3441">
        <v>64256608</v>
      </c>
      <c r="AN59" s="3456" t="s">
        <v>3482</v>
      </c>
      <c r="AP59" s="3469" t="s">
        <v>4045</v>
      </c>
      <c r="AQ59" s="3470" t="s">
        <v>3457</v>
      </c>
      <c r="AU59" s="3463"/>
      <c r="AV59" s="3518"/>
      <c r="AW59" s="3470" t="s">
        <v>4064</v>
      </c>
      <c r="AX59" s="3441" t="s">
        <v>3549</v>
      </c>
      <c r="AY59" s="3536" t="s">
        <v>4153</v>
      </c>
      <c r="AZ59" s="3485" t="s">
        <v>4154</v>
      </c>
      <c r="BA59" s="3463" t="s">
        <v>4155</v>
      </c>
      <c r="BB59" s="3466">
        <v>1102272096110</v>
      </c>
      <c r="BC59" s="3463" t="s">
        <v>4094</v>
      </c>
      <c r="BD59" s="3537">
        <v>100044</v>
      </c>
      <c r="BE59" s="3441">
        <v>62251419</v>
      </c>
      <c r="BF59" s="3544">
        <v>2.8</v>
      </c>
      <c r="BG59" s="3518">
        <v>37620</v>
      </c>
      <c r="BI59" s="3470" t="s">
        <v>3569</v>
      </c>
      <c r="BJ59" s="3535">
        <v>37669</v>
      </c>
      <c r="BL59" s="3441" t="s">
        <v>3623</v>
      </c>
      <c r="BS59" s="3470"/>
      <c r="BT59" s="3470"/>
      <c r="BU59" s="3470"/>
    </row>
    <row r="60" spans="1:73" s="3470" customFormat="1" ht="12" hidden="1">
      <c r="A60" s="3470" t="s">
        <v>4156</v>
      </c>
      <c r="B60" s="3470" t="s">
        <v>4157</v>
      </c>
      <c r="C60" s="3454" t="s">
        <v>4158</v>
      </c>
      <c r="D60" s="3470">
        <v>13601029959</v>
      </c>
      <c r="E60" s="3470" t="s">
        <v>2736</v>
      </c>
      <c r="F60" s="3470" t="s">
        <v>4099</v>
      </c>
      <c r="G60" s="3470" t="s">
        <v>2420</v>
      </c>
      <c r="H60" s="3470" t="s">
        <v>4159</v>
      </c>
      <c r="I60" s="3453" t="s">
        <v>4160</v>
      </c>
      <c r="J60" s="3453" t="s">
        <v>4042</v>
      </c>
      <c r="K60" s="3470" t="s">
        <v>4076</v>
      </c>
      <c r="L60" s="3495">
        <v>129.74</v>
      </c>
      <c r="M60" s="3495">
        <v>3</v>
      </c>
      <c r="N60" s="3470" t="s">
        <v>3488</v>
      </c>
      <c r="O60" s="3495">
        <v>116.38</v>
      </c>
      <c r="P60" s="3470" t="s">
        <v>3452</v>
      </c>
      <c r="Q60" s="3470">
        <v>643510.4</v>
      </c>
      <c r="R60" s="3470">
        <v>4960</v>
      </c>
      <c r="S60" s="3472">
        <v>63.7</v>
      </c>
      <c r="T60" s="3527">
        <v>637000</v>
      </c>
      <c r="U60" s="3470">
        <v>4910</v>
      </c>
      <c r="V60" s="3474">
        <v>0.1</v>
      </c>
      <c r="W60" s="3475">
        <v>57.33</v>
      </c>
      <c r="X60" s="3476">
        <v>573300</v>
      </c>
      <c r="Y60" s="3441">
        <v>2003</v>
      </c>
      <c r="Z60" s="3441">
        <v>2</v>
      </c>
      <c r="AA60" s="3441">
        <v>18</v>
      </c>
      <c r="AB60" s="3477">
        <v>3185</v>
      </c>
      <c r="AC60" s="3453" t="s">
        <v>4102</v>
      </c>
      <c r="AE60" s="3470" t="s">
        <v>3566</v>
      </c>
      <c r="AF60" s="3470" t="s">
        <v>3587</v>
      </c>
      <c r="AG60" s="3470" t="s">
        <v>3466</v>
      </c>
      <c r="AI60" s="3470" t="s">
        <v>3569</v>
      </c>
      <c r="AJ60" s="3478">
        <v>37833</v>
      </c>
      <c r="AK60" s="3548">
        <v>2</v>
      </c>
      <c r="AL60" s="3441">
        <v>64256608</v>
      </c>
      <c r="AN60" s="3480" t="s">
        <v>3695</v>
      </c>
      <c r="AO60" s="3441"/>
      <c r="AP60" s="3469" t="s">
        <v>3589</v>
      </c>
      <c r="AQ60" s="3456" t="s">
        <v>3571</v>
      </c>
      <c r="AV60" s="3519"/>
      <c r="AW60" s="3470" t="s">
        <v>3572</v>
      </c>
      <c r="AX60" s="3470" t="s">
        <v>3588</v>
      </c>
      <c r="AY60" s="3495">
        <v>261044</v>
      </c>
      <c r="AZ60" s="3470" t="s">
        <v>4080</v>
      </c>
      <c r="BA60" s="3470" t="s">
        <v>4161</v>
      </c>
      <c r="BB60" s="3470" t="s">
        <v>4162</v>
      </c>
      <c r="BC60" s="3470" t="s">
        <v>4083</v>
      </c>
      <c r="BD60" s="3470" t="s">
        <v>3715</v>
      </c>
      <c r="BE60" s="3470">
        <v>68152860</v>
      </c>
      <c r="BF60" s="3520">
        <v>2.8</v>
      </c>
      <c r="BG60" s="3478">
        <v>37537</v>
      </c>
      <c r="BH60" s="3470" t="s">
        <v>4163</v>
      </c>
      <c r="BI60" s="3470" t="s">
        <v>4045</v>
      </c>
      <c r="BJ60" s="3519">
        <v>37666</v>
      </c>
      <c r="BK60" s="3478"/>
      <c r="BL60" s="3441" t="s">
        <v>3670</v>
      </c>
      <c r="BM60" s="3441"/>
      <c r="BN60" s="3441"/>
      <c r="BO60" s="3441"/>
      <c r="BP60" s="3441"/>
      <c r="BQ60" s="3441"/>
      <c r="BR60" s="3441"/>
    </row>
    <row r="61" spans="1:73" s="3470" customFormat="1" ht="12" hidden="1">
      <c r="A61" s="3470" t="s">
        <v>4164</v>
      </c>
      <c r="B61" s="3470" t="s">
        <v>4165</v>
      </c>
      <c r="C61" s="3481" t="s">
        <v>4166</v>
      </c>
      <c r="D61" s="3470">
        <v>62243983</v>
      </c>
      <c r="E61" s="3470" t="s">
        <v>3558</v>
      </c>
      <c r="F61" s="3470" t="s">
        <v>4167</v>
      </c>
      <c r="H61" s="3453" t="s">
        <v>4168</v>
      </c>
      <c r="I61" s="3453" t="s">
        <v>3726</v>
      </c>
      <c r="J61" s="3453" t="s">
        <v>3727</v>
      </c>
      <c r="K61" s="3470" t="s">
        <v>4029</v>
      </c>
      <c r="L61" s="3495">
        <v>117.6</v>
      </c>
      <c r="M61" s="3495">
        <v>5</v>
      </c>
      <c r="N61" s="3470" t="s">
        <v>3632</v>
      </c>
      <c r="O61" s="3495">
        <v>105.73</v>
      </c>
      <c r="P61" s="3470" t="s">
        <v>3452</v>
      </c>
      <c r="Q61" s="3470">
        <v>452760</v>
      </c>
      <c r="R61" s="3495">
        <v>3850</v>
      </c>
      <c r="S61" s="3472">
        <v>44.68</v>
      </c>
      <c r="T61" s="3527">
        <v>446800</v>
      </c>
      <c r="U61" s="3495">
        <v>3800</v>
      </c>
      <c r="V61" s="3512">
        <v>0.1</v>
      </c>
      <c r="W61" s="3475">
        <v>40.21</v>
      </c>
      <c r="X61" s="3476">
        <v>402100</v>
      </c>
      <c r="Y61" s="3515">
        <v>2003</v>
      </c>
      <c r="Z61" s="3515">
        <v>2</v>
      </c>
      <c r="AA61" s="3515">
        <v>19</v>
      </c>
      <c r="AB61" s="3477">
        <v>2230</v>
      </c>
      <c r="AC61" s="3470" t="s">
        <v>3648</v>
      </c>
      <c r="AE61" s="3441" t="s">
        <v>3586</v>
      </c>
      <c r="AF61" s="3453" t="s">
        <v>3493</v>
      </c>
      <c r="AG61" s="3470" t="s">
        <v>3466</v>
      </c>
      <c r="AH61" s="3470" t="s">
        <v>3568</v>
      </c>
      <c r="AI61" s="3470" t="s">
        <v>4045</v>
      </c>
      <c r="AJ61" s="3478"/>
      <c r="AK61" s="3548">
        <v>2</v>
      </c>
      <c r="AL61" s="3441">
        <v>64256608</v>
      </c>
      <c r="AN61" s="3456" t="s">
        <v>3695</v>
      </c>
      <c r="AO61" s="3470" t="s">
        <v>3568</v>
      </c>
      <c r="AP61" s="3469" t="s">
        <v>2152</v>
      </c>
      <c r="AQ61" s="3456" t="s">
        <v>3571</v>
      </c>
      <c r="AV61" s="3519"/>
      <c r="AW61" s="3470" t="s">
        <v>3572</v>
      </c>
      <c r="AX61" s="3470" t="s">
        <v>2511</v>
      </c>
      <c r="AY61" s="3495">
        <v>232306</v>
      </c>
      <c r="AZ61" s="3470" t="s">
        <v>4029</v>
      </c>
      <c r="BA61" s="3470" t="s">
        <v>4034</v>
      </c>
      <c r="BC61" s="3470" t="s">
        <v>4035</v>
      </c>
      <c r="BD61" s="3470">
        <v>100034</v>
      </c>
      <c r="BE61" s="3470">
        <v>66177078</v>
      </c>
      <c r="BF61" s="3520">
        <v>2.7</v>
      </c>
      <c r="BG61" s="3478">
        <v>37565</v>
      </c>
      <c r="BI61" s="3470" t="s">
        <v>3569</v>
      </c>
      <c r="BJ61" s="3478">
        <v>37670</v>
      </c>
      <c r="BM61" s="3441"/>
      <c r="BN61" s="3441"/>
      <c r="BO61" s="3441"/>
      <c r="BP61" s="3441"/>
      <c r="BQ61" s="3441"/>
      <c r="BR61" s="3441"/>
    </row>
    <row r="62" spans="1:73" s="3441" customFormat="1" ht="12" hidden="1">
      <c r="A62" s="3470" t="s">
        <v>4169</v>
      </c>
      <c r="B62" s="3470" t="s">
        <v>4170</v>
      </c>
      <c r="C62" s="3481" t="s">
        <v>4171</v>
      </c>
      <c r="D62" s="3481" t="s">
        <v>4172</v>
      </c>
      <c r="E62" s="3470" t="s">
        <v>3538</v>
      </c>
      <c r="F62" s="3521" t="s">
        <v>4099</v>
      </c>
      <c r="G62" s="3470"/>
      <c r="H62" s="3470" t="s">
        <v>4073</v>
      </c>
      <c r="I62" s="3470" t="s">
        <v>4173</v>
      </c>
      <c r="J62" s="3481" t="s">
        <v>4174</v>
      </c>
      <c r="K62" s="3470" t="s">
        <v>4175</v>
      </c>
      <c r="L62" s="3470">
        <v>129.74</v>
      </c>
      <c r="M62" s="3470">
        <v>2</v>
      </c>
      <c r="N62" s="3470" t="s">
        <v>3738</v>
      </c>
      <c r="O62" s="3470">
        <v>116.38</v>
      </c>
      <c r="P62" s="3490" t="s">
        <v>3452</v>
      </c>
      <c r="Q62" s="3470">
        <v>630536.4</v>
      </c>
      <c r="R62" s="3470">
        <v>4860</v>
      </c>
      <c r="S62" s="3472">
        <v>62.4</v>
      </c>
      <c r="T62" s="3527">
        <v>624000</v>
      </c>
      <c r="U62" s="3470">
        <v>4810</v>
      </c>
      <c r="V62" s="3474">
        <v>0.1</v>
      </c>
      <c r="W62" s="3475">
        <v>56.16</v>
      </c>
      <c r="X62" s="3476">
        <v>561600</v>
      </c>
      <c r="Y62" s="3441">
        <v>2003</v>
      </c>
      <c r="Z62" s="3441">
        <v>2</v>
      </c>
      <c r="AA62" s="3441">
        <v>20</v>
      </c>
      <c r="AB62" s="3477">
        <v>3120</v>
      </c>
      <c r="AC62" s="3453" t="s">
        <v>4176</v>
      </c>
      <c r="AD62" s="3485"/>
      <c r="AE62" s="3441" t="s">
        <v>3590</v>
      </c>
      <c r="AF62" s="3470" t="s">
        <v>3618</v>
      </c>
      <c r="AG62" s="3490" t="s">
        <v>3466</v>
      </c>
      <c r="AH62" s="3485"/>
      <c r="AI62" s="3470" t="s">
        <v>3589</v>
      </c>
      <c r="AJ62" s="3523">
        <v>37833</v>
      </c>
      <c r="AK62" s="3479" t="s">
        <v>3468</v>
      </c>
      <c r="AL62" s="3441">
        <v>64256608</v>
      </c>
      <c r="AP62" s="3469" t="s">
        <v>2152</v>
      </c>
      <c r="AQ62" s="3441" t="s">
        <v>3650</v>
      </c>
      <c r="AW62" s="3441" t="s">
        <v>4064</v>
      </c>
      <c r="AX62" s="3441" t="s">
        <v>3549</v>
      </c>
      <c r="AY62" s="3524" t="s">
        <v>4177</v>
      </c>
      <c r="AZ62" s="3441" t="s">
        <v>4175</v>
      </c>
      <c r="BA62" s="3441" t="s">
        <v>4081</v>
      </c>
      <c r="BB62" s="3524" t="s">
        <v>4178</v>
      </c>
      <c r="BC62" s="3441" t="s">
        <v>4179</v>
      </c>
      <c r="BD62" s="3525">
        <v>100026</v>
      </c>
      <c r="BE62" s="3441">
        <v>65007756</v>
      </c>
      <c r="BF62" s="3526">
        <v>2.8</v>
      </c>
      <c r="BG62" s="3518">
        <v>37537</v>
      </c>
      <c r="BI62" s="3441" t="s">
        <v>3589</v>
      </c>
      <c r="BJ62" s="3484">
        <v>37669</v>
      </c>
      <c r="BK62" s="3484"/>
      <c r="BL62" s="3470" t="s">
        <v>3833</v>
      </c>
      <c r="BS62" s="3470"/>
      <c r="BT62" s="3470"/>
      <c r="BU62" s="3470"/>
    </row>
    <row r="63" spans="1:73" s="3470" customFormat="1" ht="12" hidden="1">
      <c r="A63" s="3470" t="s">
        <v>4180</v>
      </c>
      <c r="B63" s="3470" t="s">
        <v>4181</v>
      </c>
      <c r="C63" s="3471" t="s">
        <v>4182</v>
      </c>
      <c r="D63" s="3453">
        <v>62844944</v>
      </c>
      <c r="E63" s="3470" t="s">
        <v>3558</v>
      </c>
      <c r="F63" s="3470" t="s">
        <v>3613</v>
      </c>
      <c r="H63" s="3470" t="s">
        <v>4018</v>
      </c>
      <c r="I63" s="3470" t="s">
        <v>3676</v>
      </c>
      <c r="J63" s="3470" t="s">
        <v>4002</v>
      </c>
      <c r="K63" s="3470" t="s">
        <v>3968</v>
      </c>
      <c r="L63" s="3470">
        <v>146.44</v>
      </c>
      <c r="M63" s="3470">
        <v>1</v>
      </c>
      <c r="N63" s="3470" t="s">
        <v>4003</v>
      </c>
      <c r="O63" s="3470">
        <v>133.33000000000001</v>
      </c>
      <c r="P63" s="3470" t="s">
        <v>3452</v>
      </c>
      <c r="Q63" s="3457">
        <v>650105.73599999992</v>
      </c>
      <c r="R63" s="3470">
        <v>4439.3999999999996</v>
      </c>
      <c r="S63" s="3472">
        <v>64.28</v>
      </c>
      <c r="T63" s="3527">
        <v>642800</v>
      </c>
      <c r="U63" s="3470">
        <v>4390</v>
      </c>
      <c r="V63" s="3474">
        <v>0.1</v>
      </c>
      <c r="W63" s="3475">
        <v>57.85</v>
      </c>
      <c r="X63" s="3476">
        <v>578500</v>
      </c>
      <c r="Y63" s="3441">
        <v>2003</v>
      </c>
      <c r="Z63" s="3441">
        <v>2</v>
      </c>
      <c r="AA63" s="3470">
        <v>21</v>
      </c>
      <c r="AB63" s="3477">
        <v>3210</v>
      </c>
      <c r="AC63" s="3470" t="s">
        <v>3648</v>
      </c>
      <c r="AE63" s="3470" t="s">
        <v>3566</v>
      </c>
      <c r="AF63" s="3470" t="s">
        <v>3604</v>
      </c>
      <c r="AG63" s="3470" t="s">
        <v>3466</v>
      </c>
      <c r="AI63" s="3470" t="s">
        <v>3569</v>
      </c>
      <c r="AJ63" s="3478">
        <v>37894</v>
      </c>
      <c r="AK63" s="3479" t="s">
        <v>3468</v>
      </c>
      <c r="AL63" s="3470">
        <v>64256608</v>
      </c>
      <c r="AN63" s="3480" t="s">
        <v>3695</v>
      </c>
      <c r="AP63" s="3470" t="s">
        <v>3569</v>
      </c>
      <c r="AQ63" s="3470" t="s">
        <v>3571</v>
      </c>
      <c r="AW63" s="3470" t="s">
        <v>3572</v>
      </c>
      <c r="AX63" s="3470" t="s">
        <v>2511</v>
      </c>
      <c r="AY63" s="3481" t="s">
        <v>4183</v>
      </c>
      <c r="AZ63" s="3470" t="s">
        <v>3968</v>
      </c>
      <c r="BA63" s="3470" t="s">
        <v>3971</v>
      </c>
      <c r="BB63" s="3481" t="s">
        <v>3972</v>
      </c>
      <c r="BC63" s="3470" t="s">
        <v>3973</v>
      </c>
      <c r="BD63" s="3482">
        <v>100096</v>
      </c>
      <c r="BE63" s="3470">
        <v>82919961</v>
      </c>
      <c r="BF63" s="3483">
        <v>2.9</v>
      </c>
      <c r="BG63" s="3478">
        <v>37631</v>
      </c>
      <c r="BI63" s="3441" t="s">
        <v>3569</v>
      </c>
      <c r="BJ63" s="3484">
        <v>37670</v>
      </c>
      <c r="BK63" s="3478"/>
      <c r="BL63" s="3441" t="s">
        <v>3670</v>
      </c>
      <c r="BM63" s="3441"/>
      <c r="BN63" s="3441"/>
      <c r="BO63" s="3441"/>
      <c r="BP63" s="3441"/>
      <c r="BQ63" s="3441"/>
      <c r="BR63" s="3441"/>
    </row>
    <row r="64" spans="1:73" s="3470" customFormat="1" ht="12" hidden="1">
      <c r="A64" s="3470" t="s">
        <v>4184</v>
      </c>
      <c r="B64" s="3470" t="s">
        <v>4185</v>
      </c>
      <c r="C64" s="3454" t="s">
        <v>4186</v>
      </c>
      <c r="D64" s="3453">
        <v>68161914</v>
      </c>
      <c r="E64" s="3470" t="s">
        <v>2736</v>
      </c>
      <c r="F64" s="3470" t="s">
        <v>4099</v>
      </c>
      <c r="G64" s="3470" t="s">
        <v>2420</v>
      </c>
      <c r="H64" s="3470" t="s">
        <v>4187</v>
      </c>
      <c r="I64" s="3453" t="s">
        <v>4188</v>
      </c>
      <c r="J64" s="3453" t="s">
        <v>4174</v>
      </c>
      <c r="K64" s="3470" t="s">
        <v>4175</v>
      </c>
      <c r="L64" s="3495">
        <v>123.17</v>
      </c>
      <c r="M64" s="3495">
        <v>2</v>
      </c>
      <c r="N64" s="3470" t="s">
        <v>4189</v>
      </c>
      <c r="O64" s="3495">
        <v>109.75</v>
      </c>
      <c r="P64" s="3470" t="s">
        <v>3452</v>
      </c>
      <c r="Q64" s="3457">
        <v>591216</v>
      </c>
      <c r="R64" s="3470">
        <v>4800</v>
      </c>
      <c r="S64" s="3472">
        <v>58.5</v>
      </c>
      <c r="T64" s="3527">
        <v>585000</v>
      </c>
      <c r="U64" s="3470">
        <v>4750</v>
      </c>
      <c r="V64" s="3474">
        <v>0.1</v>
      </c>
      <c r="W64" s="3475">
        <v>52.65</v>
      </c>
      <c r="X64" s="3476">
        <v>526500</v>
      </c>
      <c r="Y64" s="3441">
        <v>2003</v>
      </c>
      <c r="Z64" s="3441">
        <v>2</v>
      </c>
      <c r="AA64" s="3441">
        <v>24</v>
      </c>
      <c r="AB64" s="3477">
        <v>2925</v>
      </c>
      <c r="AC64" s="3453" t="s">
        <v>4078</v>
      </c>
      <c r="AE64" s="3470" t="s">
        <v>3566</v>
      </c>
      <c r="AF64" s="3470" t="s">
        <v>3618</v>
      </c>
      <c r="AG64" s="3470" t="s">
        <v>3466</v>
      </c>
      <c r="AI64" s="3470" t="s">
        <v>2152</v>
      </c>
      <c r="AJ64" s="3478">
        <v>37833</v>
      </c>
      <c r="AK64" s="3548">
        <v>2</v>
      </c>
      <c r="AL64" s="3470">
        <v>64256608</v>
      </c>
      <c r="AN64" s="3480" t="s">
        <v>3482</v>
      </c>
      <c r="AO64" s="3441"/>
      <c r="AP64" s="3441" t="s">
        <v>2152</v>
      </c>
      <c r="AQ64" s="3456" t="s">
        <v>3571</v>
      </c>
      <c r="AV64" s="3519"/>
      <c r="AW64" s="3470" t="s">
        <v>3572</v>
      </c>
      <c r="AX64" s="3470" t="s">
        <v>2420</v>
      </c>
      <c r="AY64" s="3495">
        <v>261078</v>
      </c>
      <c r="AZ64" s="3470" t="s">
        <v>4175</v>
      </c>
      <c r="BA64" s="3470" t="s">
        <v>4104</v>
      </c>
      <c r="BB64" s="3470" t="s">
        <v>4190</v>
      </c>
      <c r="BC64" s="3470" t="s">
        <v>4106</v>
      </c>
      <c r="BD64" s="3470" t="s">
        <v>3715</v>
      </c>
      <c r="BE64" s="3470">
        <v>68152860</v>
      </c>
      <c r="BF64" s="3520">
        <v>2.8</v>
      </c>
      <c r="BG64" s="3478">
        <v>37537</v>
      </c>
      <c r="BH64" s="3470" t="s">
        <v>4191</v>
      </c>
      <c r="BI64" s="3470" t="s">
        <v>3569</v>
      </c>
      <c r="BJ64" s="3484">
        <v>37665</v>
      </c>
      <c r="BK64" s="3478"/>
      <c r="BL64" s="3441" t="s">
        <v>3670</v>
      </c>
      <c r="BM64" s="3441"/>
      <c r="BN64" s="3441"/>
      <c r="BO64" s="3441"/>
      <c r="BP64" s="3441"/>
      <c r="BQ64" s="3441"/>
      <c r="BR64" s="3441"/>
    </row>
    <row r="65" spans="1:76" s="3470" customFormat="1" ht="12" hidden="1">
      <c r="A65" s="3453" t="s">
        <v>4192</v>
      </c>
      <c r="B65" s="3470" t="s">
        <v>4193</v>
      </c>
      <c r="C65" s="3454" t="s">
        <v>4194</v>
      </c>
      <c r="D65" s="3453">
        <v>13621127815</v>
      </c>
      <c r="E65" s="3470" t="s">
        <v>3558</v>
      </c>
      <c r="F65" s="3470" t="s">
        <v>11663</v>
      </c>
      <c r="H65" s="3453" t="s">
        <v>4196</v>
      </c>
      <c r="I65" s="3453" t="s">
        <v>4197</v>
      </c>
      <c r="J65" s="3453" t="s">
        <v>4198</v>
      </c>
      <c r="K65" s="3470" t="s">
        <v>4199</v>
      </c>
      <c r="L65" s="3495">
        <v>76.150000000000006</v>
      </c>
      <c r="M65" s="3495">
        <v>24</v>
      </c>
      <c r="N65" s="3470" t="s">
        <v>3451</v>
      </c>
      <c r="O65" s="3495">
        <v>61.26</v>
      </c>
      <c r="P65" s="3470" t="s">
        <v>3452</v>
      </c>
      <c r="Q65" s="3457">
        <v>470000.0845</v>
      </c>
      <c r="R65" s="3495">
        <v>6172.03</v>
      </c>
      <c r="S65" s="3472">
        <v>46.67</v>
      </c>
      <c r="T65" s="3527">
        <v>466700</v>
      </c>
      <c r="U65" s="3495">
        <v>6130</v>
      </c>
      <c r="V65" s="3512">
        <v>0.1</v>
      </c>
      <c r="W65" s="3475">
        <v>42</v>
      </c>
      <c r="X65" s="3476">
        <v>420000</v>
      </c>
      <c r="Y65" s="3515">
        <v>2003</v>
      </c>
      <c r="Z65" s="3515">
        <v>2</v>
      </c>
      <c r="AA65" s="3515">
        <v>25</v>
      </c>
      <c r="AB65" s="3477">
        <v>2330</v>
      </c>
      <c r="AC65" s="3470" t="s">
        <v>3634</v>
      </c>
      <c r="AE65" s="3497" t="s">
        <v>3593</v>
      </c>
      <c r="AF65" s="3453" t="s">
        <v>4200</v>
      </c>
      <c r="AG65" s="3470" t="s">
        <v>3466</v>
      </c>
      <c r="AI65" s="3456" t="s">
        <v>4045</v>
      </c>
      <c r="AJ65" s="3478">
        <v>37741</v>
      </c>
      <c r="AK65" s="3470" t="s">
        <v>3468</v>
      </c>
      <c r="AL65" s="3495">
        <v>64256608</v>
      </c>
      <c r="AN65" s="3497" t="s">
        <v>3768</v>
      </c>
      <c r="AP65" s="3456" t="s">
        <v>2152</v>
      </c>
      <c r="AQ65" s="3456" t="s">
        <v>3571</v>
      </c>
      <c r="AV65" s="3519"/>
      <c r="AW65" s="3470" t="s">
        <v>3572</v>
      </c>
      <c r="AX65" s="3470" t="s">
        <v>2511</v>
      </c>
      <c r="AY65" s="3495">
        <v>156726</v>
      </c>
      <c r="AZ65" s="3470" t="s">
        <v>4199</v>
      </c>
      <c r="BA65" s="3470" t="s">
        <v>4201</v>
      </c>
      <c r="BB65" s="3470">
        <v>1101081512146</v>
      </c>
      <c r="BC65" s="3470" t="s">
        <v>4202</v>
      </c>
      <c r="BD65" s="3470">
        <v>100088</v>
      </c>
      <c r="BE65" s="3470">
        <v>82025518</v>
      </c>
      <c r="BF65" s="3520">
        <v>2.8</v>
      </c>
      <c r="BG65" s="3478">
        <v>37635</v>
      </c>
      <c r="BI65" s="3470" t="s">
        <v>2152</v>
      </c>
      <c r="BJ65" s="3478">
        <v>37676</v>
      </c>
      <c r="BM65" s="3441"/>
      <c r="BN65" s="3441"/>
      <c r="BO65" s="3441"/>
      <c r="BP65" s="3441"/>
      <c r="BQ65" s="3441"/>
      <c r="BR65" s="3441"/>
    </row>
    <row r="66" spans="1:76" s="3441" customFormat="1" ht="12" hidden="1">
      <c r="A66" s="3485" t="s">
        <v>4203</v>
      </c>
      <c r="B66" s="3470" t="s">
        <v>4204</v>
      </c>
      <c r="C66" s="3481" t="s">
        <v>4205</v>
      </c>
      <c r="D66" s="3481" t="s">
        <v>4206</v>
      </c>
      <c r="E66" s="3470" t="s">
        <v>2736</v>
      </c>
      <c r="F66" s="3521" t="s">
        <v>3628</v>
      </c>
      <c r="G66" s="3470"/>
      <c r="H66" s="3470" t="s">
        <v>3629</v>
      </c>
      <c r="I66" s="3470" t="s">
        <v>4207</v>
      </c>
      <c r="J66" s="3481" t="s">
        <v>4208</v>
      </c>
      <c r="K66" s="3470" t="s">
        <v>3647</v>
      </c>
      <c r="L66" s="3470">
        <v>113.18</v>
      </c>
      <c r="M66" s="3470">
        <v>8</v>
      </c>
      <c r="N66" s="3486" t="s">
        <v>3661</v>
      </c>
      <c r="O66" s="3470">
        <v>91.76</v>
      </c>
      <c r="P66" s="3470" t="s">
        <v>3452</v>
      </c>
      <c r="Q66" s="3457">
        <v>705111.4</v>
      </c>
      <c r="R66" s="3470">
        <v>6230</v>
      </c>
      <c r="S66" s="3472">
        <v>69.88</v>
      </c>
      <c r="T66" s="3527">
        <v>698800</v>
      </c>
      <c r="U66" s="3470">
        <v>6175</v>
      </c>
      <c r="V66" s="3474">
        <v>0.1</v>
      </c>
      <c r="W66" s="3475">
        <v>62.89</v>
      </c>
      <c r="X66" s="3473">
        <v>628900</v>
      </c>
      <c r="Y66" s="3441">
        <v>2003</v>
      </c>
      <c r="Z66" s="3441">
        <v>3</v>
      </c>
      <c r="AA66" s="3441">
        <v>3</v>
      </c>
      <c r="AB66" s="3485">
        <v>3490</v>
      </c>
      <c r="AC66" s="3470" t="s">
        <v>4209</v>
      </c>
      <c r="AD66" s="3485"/>
      <c r="AE66" s="3441" t="s">
        <v>3593</v>
      </c>
      <c r="AF66" s="3453" t="s">
        <v>3587</v>
      </c>
      <c r="AG66" s="3522" t="s">
        <v>3466</v>
      </c>
      <c r="AH66" s="3485"/>
      <c r="AI66" s="3470" t="s">
        <v>4045</v>
      </c>
      <c r="AJ66" s="3523">
        <v>37965</v>
      </c>
      <c r="AK66" s="3479" t="s">
        <v>4210</v>
      </c>
      <c r="AL66" s="3441">
        <v>64256608</v>
      </c>
      <c r="AN66" s="3441" t="s">
        <v>3456</v>
      </c>
      <c r="AP66" s="3441" t="s">
        <v>3586</v>
      </c>
      <c r="AQ66" s="3441" t="s">
        <v>3457</v>
      </c>
      <c r="AW66" s="3441" t="s">
        <v>3636</v>
      </c>
      <c r="AX66" s="3441" t="s">
        <v>2511</v>
      </c>
      <c r="AY66" s="3524" t="s">
        <v>4211</v>
      </c>
      <c r="AZ66" s="3441" t="s">
        <v>3647</v>
      </c>
      <c r="BA66" s="3441" t="s">
        <v>3996</v>
      </c>
      <c r="BB66" s="3524" t="s">
        <v>3997</v>
      </c>
      <c r="BC66" s="3441" t="s">
        <v>3641</v>
      </c>
      <c r="BD66" s="3525">
        <v>100088</v>
      </c>
      <c r="BE66" s="3441">
        <v>82058259</v>
      </c>
      <c r="BF66" s="3526">
        <v>2.9</v>
      </c>
      <c r="BG66" s="3518">
        <v>37601</v>
      </c>
      <c r="BI66" s="3441" t="s">
        <v>3586</v>
      </c>
      <c r="BJ66" s="3484">
        <v>37678</v>
      </c>
      <c r="BK66" s="3484">
        <v>37679</v>
      </c>
      <c r="BL66" s="3470" t="s">
        <v>3594</v>
      </c>
      <c r="BS66" s="3470"/>
      <c r="BT66" s="3470"/>
      <c r="BU66" s="3470"/>
    </row>
    <row r="67" spans="1:76" s="3481" customFormat="1" ht="12" hidden="1">
      <c r="A67" s="3470" t="s">
        <v>4212</v>
      </c>
      <c r="B67" s="3454" t="s">
        <v>4213</v>
      </c>
      <c r="C67" s="3481" t="s">
        <v>4214</v>
      </c>
      <c r="D67" s="3481" t="s">
        <v>4215</v>
      </c>
      <c r="E67" s="3481" t="s">
        <v>2736</v>
      </c>
      <c r="F67" s="3481" t="s">
        <v>4072</v>
      </c>
      <c r="H67" s="3454" t="s">
        <v>4216</v>
      </c>
      <c r="I67" s="3454" t="s">
        <v>4217</v>
      </c>
      <c r="J67" s="3454" t="s">
        <v>4218</v>
      </c>
      <c r="K67" s="3481" t="s">
        <v>4175</v>
      </c>
      <c r="L67" s="3547" t="s">
        <v>4219</v>
      </c>
      <c r="M67" s="3547" t="s">
        <v>4220</v>
      </c>
      <c r="N67" s="3454" t="s">
        <v>3451</v>
      </c>
      <c r="O67" s="3547" t="s">
        <v>4221</v>
      </c>
      <c r="P67" s="3481" t="s">
        <v>4222</v>
      </c>
      <c r="Q67" s="3455">
        <v>523985.8</v>
      </c>
      <c r="R67" s="3547" t="s">
        <v>4223</v>
      </c>
      <c r="S67" s="3547">
        <v>51.81</v>
      </c>
      <c r="T67" s="3554">
        <v>518100</v>
      </c>
      <c r="U67" s="3470">
        <v>4885</v>
      </c>
      <c r="V67" s="3474">
        <v>0.1</v>
      </c>
      <c r="W67" s="3475">
        <v>46.62</v>
      </c>
      <c r="X67" s="3476">
        <v>466200</v>
      </c>
      <c r="Y67" s="3441">
        <v>2003</v>
      </c>
      <c r="Z67" s="3515">
        <v>3</v>
      </c>
      <c r="AA67" s="3515">
        <v>3</v>
      </c>
      <c r="AB67" s="3485">
        <v>2590</v>
      </c>
      <c r="AC67" s="3481" t="s">
        <v>4224</v>
      </c>
      <c r="AE67" s="3456" t="s">
        <v>3593</v>
      </c>
      <c r="AF67" s="3454" t="s">
        <v>3587</v>
      </c>
      <c r="AG67" s="3481" t="s">
        <v>3466</v>
      </c>
      <c r="AI67" s="3470" t="s">
        <v>2152</v>
      </c>
      <c r="AJ67" s="3478">
        <v>37833</v>
      </c>
      <c r="AK67" s="3548" t="s">
        <v>4210</v>
      </c>
      <c r="AL67" s="3470">
        <v>64256608</v>
      </c>
      <c r="AM67" s="3524"/>
      <c r="AN67" s="3480"/>
      <c r="AO67" s="3524"/>
      <c r="AP67" s="3470" t="s">
        <v>2152</v>
      </c>
      <c r="AQ67" s="3524" t="s">
        <v>3457</v>
      </c>
      <c r="AV67" s="3547"/>
      <c r="AW67" s="3481" t="s">
        <v>3458</v>
      </c>
      <c r="AX67" s="3481" t="s">
        <v>3606</v>
      </c>
      <c r="AY67" s="3536" t="s">
        <v>4225</v>
      </c>
      <c r="AZ67" s="3481" t="s">
        <v>4076</v>
      </c>
      <c r="BA67" s="3481" t="s">
        <v>4081</v>
      </c>
      <c r="BB67" s="3524" t="s">
        <v>4105</v>
      </c>
      <c r="BC67" s="3481" t="s">
        <v>4179</v>
      </c>
      <c r="BD67" s="3481">
        <v>100026</v>
      </c>
      <c r="BE67" s="3481">
        <v>65007756</v>
      </c>
      <c r="BF67" s="3481">
        <v>2.8</v>
      </c>
      <c r="BG67" s="3478">
        <v>37639</v>
      </c>
      <c r="BI67" s="3441" t="s">
        <v>3589</v>
      </c>
      <c r="BJ67" s="3478">
        <v>37680</v>
      </c>
      <c r="BK67" s="3478"/>
      <c r="BL67" s="3470" t="s">
        <v>3594</v>
      </c>
      <c r="BM67" s="3441"/>
      <c r="BN67" s="3441"/>
      <c r="BO67" s="3441"/>
      <c r="BP67" s="3441"/>
      <c r="BQ67" s="3441"/>
      <c r="BR67" s="3441"/>
      <c r="BS67" s="3470"/>
      <c r="BT67" s="3470"/>
      <c r="BU67" s="3470"/>
    </row>
    <row r="68" spans="1:76" s="3470" customFormat="1" ht="12" hidden="1">
      <c r="A68" s="3470" t="s">
        <v>4226</v>
      </c>
      <c r="B68" s="3453" t="s">
        <v>4227</v>
      </c>
      <c r="C68" s="3481" t="s">
        <v>4228</v>
      </c>
      <c r="D68" s="3470">
        <v>13301350758</v>
      </c>
      <c r="E68" s="3470" t="s">
        <v>3558</v>
      </c>
      <c r="F68" s="3470" t="s">
        <v>4229</v>
      </c>
      <c r="H68" s="3453" t="s">
        <v>4168</v>
      </c>
      <c r="I68" s="3453" t="s">
        <v>4230</v>
      </c>
      <c r="J68" s="3453">
        <v>1209</v>
      </c>
      <c r="K68" s="3470" t="s">
        <v>4029</v>
      </c>
      <c r="L68" s="3495">
        <v>154.61000000000001</v>
      </c>
      <c r="M68" s="3495">
        <v>2</v>
      </c>
      <c r="N68" s="3470" t="s">
        <v>3816</v>
      </c>
      <c r="O68" s="3495">
        <v>143.66999999999999</v>
      </c>
      <c r="P68" s="3470" t="s">
        <v>3452</v>
      </c>
      <c r="Q68" s="3455">
        <v>633901</v>
      </c>
      <c r="R68" s="3495">
        <v>4100</v>
      </c>
      <c r="S68" s="3547">
        <v>62.61</v>
      </c>
      <c r="T68" s="3554">
        <v>626100</v>
      </c>
      <c r="U68" s="3495">
        <v>4050</v>
      </c>
      <c r="V68" s="3512">
        <v>0.1</v>
      </c>
      <c r="W68" s="3475">
        <v>56.34</v>
      </c>
      <c r="X68" s="3476">
        <v>563400</v>
      </c>
      <c r="Y68" s="3515">
        <v>2003</v>
      </c>
      <c r="Z68" s="3515">
        <v>3</v>
      </c>
      <c r="AA68" s="3515">
        <v>3</v>
      </c>
      <c r="AB68" s="3485">
        <v>3130</v>
      </c>
      <c r="AC68" s="3470" t="s">
        <v>4231</v>
      </c>
      <c r="AE68" s="3441" t="s">
        <v>3593</v>
      </c>
      <c r="AF68" s="3453" t="s">
        <v>3493</v>
      </c>
      <c r="AG68" s="3470" t="s">
        <v>3466</v>
      </c>
      <c r="AH68" s="3470" t="s">
        <v>3568</v>
      </c>
      <c r="AI68" s="3470" t="s">
        <v>4045</v>
      </c>
      <c r="AJ68" s="3478"/>
      <c r="AK68" s="3548">
        <v>3</v>
      </c>
      <c r="AL68" s="3441">
        <v>64256608</v>
      </c>
      <c r="AN68" s="3456" t="s">
        <v>3695</v>
      </c>
      <c r="AO68" s="3470" t="s">
        <v>3568</v>
      </c>
      <c r="AP68" s="3469" t="s">
        <v>3589</v>
      </c>
      <c r="AQ68" s="3456" t="s">
        <v>3571</v>
      </c>
      <c r="AV68" s="3519"/>
      <c r="AW68" s="3470" t="s">
        <v>3572</v>
      </c>
      <c r="AX68" s="3470" t="s">
        <v>2511</v>
      </c>
      <c r="AY68" s="3495">
        <v>232312</v>
      </c>
      <c r="AZ68" s="3470" t="s">
        <v>4029</v>
      </c>
      <c r="BA68" s="3470" t="s">
        <v>4034</v>
      </c>
      <c r="BC68" s="3470" t="s">
        <v>4035</v>
      </c>
      <c r="BD68" s="3470">
        <v>100034</v>
      </c>
      <c r="BE68" s="3470">
        <v>66177078</v>
      </c>
      <c r="BF68" s="3520">
        <v>2.7</v>
      </c>
      <c r="BG68" s="3478">
        <v>37566</v>
      </c>
      <c r="BI68" s="3470" t="s">
        <v>3569</v>
      </c>
      <c r="BJ68" s="3478">
        <v>37679</v>
      </c>
      <c r="BM68" s="3441"/>
      <c r="BN68" s="3441"/>
      <c r="BO68" s="3441"/>
      <c r="BP68" s="3441"/>
      <c r="BQ68" s="3441"/>
      <c r="BR68" s="3441"/>
    </row>
    <row r="69" spans="1:76" s="3481" customFormat="1" ht="12" hidden="1">
      <c r="A69" s="3470" t="s">
        <v>4232</v>
      </c>
      <c r="B69" s="3454" t="s">
        <v>4233</v>
      </c>
      <c r="C69" s="3481" t="s">
        <v>4234</v>
      </c>
      <c r="D69" s="3481" t="s">
        <v>4235</v>
      </c>
      <c r="E69" s="3481" t="s">
        <v>3538</v>
      </c>
      <c r="F69" s="3481" t="s">
        <v>4099</v>
      </c>
      <c r="H69" s="3454" t="s">
        <v>4073</v>
      </c>
      <c r="I69" s="3454" t="s">
        <v>4236</v>
      </c>
      <c r="J69" s="3454" t="s">
        <v>4042</v>
      </c>
      <c r="K69" s="3481" t="s">
        <v>4080</v>
      </c>
      <c r="L69" s="3547" t="s">
        <v>4237</v>
      </c>
      <c r="M69" s="3547" t="s">
        <v>4238</v>
      </c>
      <c r="N69" s="3470" t="s">
        <v>3632</v>
      </c>
      <c r="O69" s="3547" t="s">
        <v>4239</v>
      </c>
      <c r="P69" s="3481" t="s">
        <v>3452</v>
      </c>
      <c r="Q69" s="3455">
        <v>641030.40000000002</v>
      </c>
      <c r="R69" s="3547" t="s">
        <v>4240</v>
      </c>
      <c r="S69" s="3547">
        <v>63.45</v>
      </c>
      <c r="T69" s="3554">
        <v>634500</v>
      </c>
      <c r="U69" s="3470">
        <v>4910</v>
      </c>
      <c r="V69" s="3474">
        <v>0.1</v>
      </c>
      <c r="W69" s="3475">
        <v>57.1</v>
      </c>
      <c r="X69" s="3476">
        <v>571000</v>
      </c>
      <c r="Y69" s="3441">
        <v>2003</v>
      </c>
      <c r="Z69" s="3515">
        <v>3</v>
      </c>
      <c r="AA69" s="3515">
        <v>3</v>
      </c>
      <c r="AB69" s="3485">
        <v>3170</v>
      </c>
      <c r="AC69" s="3481" t="s">
        <v>4241</v>
      </c>
      <c r="AE69" s="3456" t="s">
        <v>3590</v>
      </c>
      <c r="AF69" s="3454" t="s">
        <v>3587</v>
      </c>
      <c r="AG69" s="3481" t="s">
        <v>3466</v>
      </c>
      <c r="AI69" s="3470" t="s">
        <v>4045</v>
      </c>
      <c r="AJ69" s="3478">
        <v>37833</v>
      </c>
      <c r="AK69" s="3548" t="s">
        <v>3482</v>
      </c>
      <c r="AL69" s="3470">
        <v>64256608</v>
      </c>
      <c r="AM69" s="3524"/>
      <c r="AN69" s="3480"/>
      <c r="AO69" s="3524"/>
      <c r="AP69" s="3470" t="s">
        <v>3589</v>
      </c>
      <c r="AQ69" s="3524" t="s">
        <v>3457</v>
      </c>
      <c r="AV69" s="3547"/>
      <c r="AW69" s="3481" t="s">
        <v>4064</v>
      </c>
      <c r="AX69" s="3481" t="s">
        <v>3606</v>
      </c>
      <c r="AY69" s="3536" t="s">
        <v>4242</v>
      </c>
      <c r="AZ69" s="3481" t="s">
        <v>4076</v>
      </c>
      <c r="BA69" s="3481" t="s">
        <v>4104</v>
      </c>
      <c r="BB69" s="3524" t="s">
        <v>4105</v>
      </c>
      <c r="BC69" s="3481" t="s">
        <v>4179</v>
      </c>
      <c r="BD69" s="3481">
        <v>100026</v>
      </c>
      <c r="BE69" s="3481">
        <v>65007756</v>
      </c>
      <c r="BF69" s="3481">
        <v>2.8</v>
      </c>
      <c r="BG69" s="3478">
        <v>37627</v>
      </c>
      <c r="BI69" s="3441" t="s">
        <v>2152</v>
      </c>
      <c r="BJ69" s="3478">
        <v>37679</v>
      </c>
      <c r="BK69" s="3478"/>
      <c r="BL69" s="3470" t="s">
        <v>3594</v>
      </c>
      <c r="BM69" s="3441"/>
      <c r="BN69" s="3441"/>
      <c r="BO69" s="3441"/>
      <c r="BP69" s="3441"/>
      <c r="BQ69" s="3441"/>
      <c r="BR69" s="3441"/>
      <c r="BS69" s="3470"/>
      <c r="BT69" s="3470"/>
      <c r="BU69" s="3470"/>
    </row>
    <row r="70" spans="1:76" s="3481" customFormat="1" ht="12" hidden="1">
      <c r="A70" s="3542" t="s">
        <v>4243</v>
      </c>
      <c r="B70" s="3454" t="s">
        <v>4244</v>
      </c>
      <c r="C70" s="3481" t="s">
        <v>4245</v>
      </c>
      <c r="D70" s="3481" t="s">
        <v>4246</v>
      </c>
      <c r="E70" s="3481" t="s">
        <v>2736</v>
      </c>
      <c r="F70" s="3481" t="s">
        <v>4099</v>
      </c>
      <c r="H70" s="3454" t="s">
        <v>4073</v>
      </c>
      <c r="I70" s="3454" t="s">
        <v>4160</v>
      </c>
      <c r="J70" s="3454" t="s">
        <v>3492</v>
      </c>
      <c r="K70" s="3481" t="s">
        <v>4076</v>
      </c>
      <c r="L70" s="3547" t="s">
        <v>4247</v>
      </c>
      <c r="M70" s="3547" t="s">
        <v>4248</v>
      </c>
      <c r="N70" s="3470" t="s">
        <v>3632</v>
      </c>
      <c r="O70" s="3547" t="s">
        <v>4249</v>
      </c>
      <c r="P70" s="3481" t="s">
        <v>3452</v>
      </c>
      <c r="Q70" s="3455">
        <v>594209.20000000007</v>
      </c>
      <c r="R70" s="3547" t="s">
        <v>4250</v>
      </c>
      <c r="S70" s="3547">
        <v>58.77</v>
      </c>
      <c r="T70" s="3554">
        <v>587700</v>
      </c>
      <c r="U70" s="3470">
        <v>4530</v>
      </c>
      <c r="V70" s="3474">
        <v>0.1</v>
      </c>
      <c r="W70" s="3475">
        <v>52.89</v>
      </c>
      <c r="X70" s="3476">
        <v>528900</v>
      </c>
      <c r="Y70" s="3441">
        <v>2003</v>
      </c>
      <c r="Z70" s="3515">
        <v>3</v>
      </c>
      <c r="AA70" s="3515">
        <v>5</v>
      </c>
      <c r="AB70" s="3485">
        <v>2935</v>
      </c>
      <c r="AC70" s="3481" t="s">
        <v>4078</v>
      </c>
      <c r="AE70" s="3456" t="s">
        <v>3593</v>
      </c>
      <c r="AF70" s="3454" t="s">
        <v>3587</v>
      </c>
      <c r="AG70" s="3481" t="s">
        <v>3466</v>
      </c>
      <c r="AI70" s="3470" t="s">
        <v>2152</v>
      </c>
      <c r="AJ70" s="3478">
        <v>37833</v>
      </c>
      <c r="AK70" s="3548" t="s">
        <v>3482</v>
      </c>
      <c r="AL70" s="3441">
        <v>64256608</v>
      </c>
      <c r="AM70" s="3524"/>
      <c r="AN70" s="3480"/>
      <c r="AO70" s="3524"/>
      <c r="AP70" s="3470" t="s">
        <v>3589</v>
      </c>
      <c r="AQ70" s="3524" t="s">
        <v>3457</v>
      </c>
      <c r="AV70" s="3547"/>
      <c r="AW70" s="3481" t="s">
        <v>3458</v>
      </c>
      <c r="AX70" s="3481" t="s">
        <v>4046</v>
      </c>
      <c r="AY70" s="3536" t="s">
        <v>4251</v>
      </c>
      <c r="AZ70" s="3481" t="s">
        <v>4175</v>
      </c>
      <c r="BA70" s="3481" t="s">
        <v>4161</v>
      </c>
      <c r="BB70" s="3524" t="s">
        <v>4082</v>
      </c>
      <c r="BC70" s="3481" t="s">
        <v>4106</v>
      </c>
      <c r="BD70" s="3481">
        <v>100026</v>
      </c>
      <c r="BE70" s="3481">
        <v>65007756</v>
      </c>
      <c r="BF70" s="3481">
        <v>2.8</v>
      </c>
      <c r="BG70" s="3478">
        <v>37648</v>
      </c>
      <c r="BI70" s="3441" t="s">
        <v>3589</v>
      </c>
      <c r="BJ70" s="3478">
        <v>37683</v>
      </c>
      <c r="BK70" s="3478"/>
      <c r="BL70" s="3470" t="s">
        <v>3623</v>
      </c>
      <c r="BM70" s="3441"/>
      <c r="BN70" s="3441"/>
      <c r="BO70" s="3441"/>
      <c r="BP70" s="3441"/>
      <c r="BQ70" s="3441"/>
      <c r="BR70" s="3441"/>
      <c r="BS70" s="3470"/>
      <c r="BT70" s="3470"/>
      <c r="BU70" s="3470"/>
    </row>
    <row r="71" spans="1:76" s="3470" customFormat="1" ht="12" hidden="1">
      <c r="A71" s="3470" t="s">
        <v>4252</v>
      </c>
      <c r="B71" s="3470" t="s">
        <v>4253</v>
      </c>
      <c r="C71" s="3481" t="s">
        <v>4254</v>
      </c>
      <c r="D71" s="3470">
        <v>13701260884</v>
      </c>
      <c r="E71" s="3470" t="s">
        <v>3558</v>
      </c>
      <c r="F71" s="3470" t="s">
        <v>3559</v>
      </c>
      <c r="H71" s="3453" t="s">
        <v>4134</v>
      </c>
      <c r="I71" s="3453" t="s">
        <v>4255</v>
      </c>
      <c r="J71" s="3453" t="s">
        <v>3809</v>
      </c>
      <c r="K71" s="3470" t="s">
        <v>3563</v>
      </c>
      <c r="L71" s="3495">
        <v>62.81</v>
      </c>
      <c r="M71" s="3495">
        <v>8</v>
      </c>
      <c r="N71" s="3470" t="s">
        <v>3489</v>
      </c>
      <c r="O71" s="3495">
        <v>50.89</v>
      </c>
      <c r="P71" s="3470" t="s">
        <v>3452</v>
      </c>
      <c r="Q71" s="3457">
        <v>298598.74</v>
      </c>
      <c r="R71" s="3470">
        <v>4754</v>
      </c>
      <c r="S71" s="3472">
        <v>29.55</v>
      </c>
      <c r="T71" s="3527">
        <v>295500</v>
      </c>
      <c r="U71" s="3470">
        <v>4705</v>
      </c>
      <c r="V71" s="3474">
        <v>0.1</v>
      </c>
      <c r="W71" s="3475">
        <v>26.59</v>
      </c>
      <c r="X71" s="3476">
        <v>265900</v>
      </c>
      <c r="Y71" s="3441">
        <v>2003</v>
      </c>
      <c r="Z71" s="3441">
        <v>3</v>
      </c>
      <c r="AA71" s="3470">
        <v>17</v>
      </c>
      <c r="AB71" s="3477">
        <v>1475</v>
      </c>
      <c r="AC71" s="3470" t="s">
        <v>4013</v>
      </c>
      <c r="AE71" s="3456" t="s">
        <v>3586</v>
      </c>
      <c r="AF71" s="3453" t="s">
        <v>4256</v>
      </c>
      <c r="AG71" s="3470" t="s">
        <v>3466</v>
      </c>
      <c r="AH71" s="3470" t="s">
        <v>3568</v>
      </c>
      <c r="AI71" s="3490" t="s">
        <v>3589</v>
      </c>
      <c r="AJ71" s="3478">
        <v>37894</v>
      </c>
      <c r="AK71" s="3479" t="s">
        <v>3482</v>
      </c>
      <c r="AL71" s="3502">
        <v>64256608</v>
      </c>
      <c r="AM71" s="3470" t="s">
        <v>3568</v>
      </c>
      <c r="AN71" s="3480" t="s">
        <v>4257</v>
      </c>
      <c r="AO71" s="3470" t="s">
        <v>3568</v>
      </c>
      <c r="AP71" s="3502" t="s">
        <v>3586</v>
      </c>
      <c r="AQ71" s="3456" t="s">
        <v>3571</v>
      </c>
      <c r="AV71" s="3519"/>
      <c r="AW71" s="3470" t="s">
        <v>3572</v>
      </c>
      <c r="AX71" s="3470" t="s">
        <v>2511</v>
      </c>
      <c r="AY71" s="3495">
        <v>250186</v>
      </c>
      <c r="AZ71" s="3470" t="s">
        <v>3563</v>
      </c>
      <c r="BA71" s="3470" t="s">
        <v>3574</v>
      </c>
      <c r="BB71" s="3470">
        <v>1101021053367</v>
      </c>
      <c r="BC71" s="3470" t="s">
        <v>3576</v>
      </c>
      <c r="BD71" s="3470">
        <v>100037</v>
      </c>
      <c r="BE71" s="3470">
        <v>84050046</v>
      </c>
      <c r="BF71" s="3520">
        <v>2.8</v>
      </c>
      <c r="BG71" s="3478">
        <v>37663</v>
      </c>
      <c r="BI71" s="3502" t="s">
        <v>3586</v>
      </c>
      <c r="BJ71" s="3478">
        <v>37684</v>
      </c>
      <c r="BK71" s="3478">
        <v>37690</v>
      </c>
      <c r="BL71" s="3441" t="s">
        <v>3670</v>
      </c>
      <c r="BM71" s="3441"/>
      <c r="BN71" s="3441"/>
      <c r="BO71" s="3441"/>
      <c r="BP71" s="3441"/>
      <c r="BQ71" s="3441"/>
      <c r="BR71" s="3441"/>
    </row>
    <row r="72" spans="1:76" s="3502" customFormat="1" ht="12" hidden="1">
      <c r="A72" s="3542" t="s">
        <v>4258</v>
      </c>
      <c r="B72" s="3490" t="s">
        <v>4259</v>
      </c>
      <c r="C72" s="3487" t="s">
        <v>4260</v>
      </c>
      <c r="D72" s="3487" t="s">
        <v>4261</v>
      </c>
      <c r="E72" s="3490" t="s">
        <v>3763</v>
      </c>
      <c r="F72" s="3489" t="s">
        <v>11664</v>
      </c>
      <c r="G72" s="3490"/>
      <c r="H72" s="3486" t="s">
        <v>4262</v>
      </c>
      <c r="I72" s="3486" t="s">
        <v>3448</v>
      </c>
      <c r="J72" s="3488" t="s">
        <v>4263</v>
      </c>
      <c r="K72" s="3490" t="s">
        <v>4264</v>
      </c>
      <c r="L72" s="3491">
        <v>127.2</v>
      </c>
      <c r="M72" s="3491">
        <v>7</v>
      </c>
      <c r="N72" s="3490" t="s">
        <v>3994</v>
      </c>
      <c r="O72" s="3491">
        <v>105.93</v>
      </c>
      <c r="P72" s="3490" t="s">
        <v>3452</v>
      </c>
      <c r="Q72" s="3455">
        <v>855394.56</v>
      </c>
      <c r="R72" s="3491">
        <v>6724.8</v>
      </c>
      <c r="S72" s="3547">
        <v>84.84</v>
      </c>
      <c r="T72" s="3554">
        <v>848400</v>
      </c>
      <c r="U72" s="3491">
        <v>6670</v>
      </c>
      <c r="V72" s="3529">
        <v>0.1</v>
      </c>
      <c r="W72" s="3475">
        <v>76.349999999999994</v>
      </c>
      <c r="X72" s="3476">
        <v>763500</v>
      </c>
      <c r="Y72" s="3470">
        <v>2003</v>
      </c>
      <c r="Z72" s="3515">
        <v>3</v>
      </c>
      <c r="AA72" s="3515">
        <v>6</v>
      </c>
      <c r="AB72" s="3485">
        <v>4240</v>
      </c>
      <c r="AC72" s="3490" t="s">
        <v>3634</v>
      </c>
      <c r="AD72" s="3496"/>
      <c r="AE72" s="3456" t="s">
        <v>3593</v>
      </c>
      <c r="AF72" s="3470" t="s">
        <v>3453</v>
      </c>
      <c r="AG72" s="3555" t="s">
        <v>3605</v>
      </c>
      <c r="AH72" s="3496" t="s">
        <v>2420</v>
      </c>
      <c r="AI72" s="3470" t="s">
        <v>2152</v>
      </c>
      <c r="AJ72" s="3499"/>
      <c r="AK72" s="3548" t="s">
        <v>3649</v>
      </c>
      <c r="AL72" s="3470">
        <v>64256608</v>
      </c>
      <c r="AM72" s="3502" t="s">
        <v>2420</v>
      </c>
      <c r="AN72" s="3497" t="s">
        <v>3456</v>
      </c>
      <c r="AP72" s="3456" t="s">
        <v>3589</v>
      </c>
      <c r="AQ72" s="3456" t="s">
        <v>3571</v>
      </c>
      <c r="AV72" s="3556"/>
      <c r="AW72" s="3490" t="s">
        <v>4064</v>
      </c>
      <c r="AX72" s="3502" t="s">
        <v>3606</v>
      </c>
      <c r="AY72" s="3501">
        <v>272805</v>
      </c>
      <c r="AZ72" s="3502" t="s">
        <v>4265</v>
      </c>
      <c r="BA72" s="3502" t="s">
        <v>4266</v>
      </c>
      <c r="BB72" s="3502" t="s">
        <v>4267</v>
      </c>
      <c r="BC72" s="3501" t="s">
        <v>4268</v>
      </c>
      <c r="BD72" s="3502">
        <v>100055</v>
      </c>
      <c r="BE72" s="3502">
        <v>63461188</v>
      </c>
      <c r="BF72" s="3506">
        <v>2.9</v>
      </c>
      <c r="BG72" s="3539">
        <v>37663</v>
      </c>
      <c r="BI72" s="3470" t="s">
        <v>2152</v>
      </c>
      <c r="BJ72" s="3507">
        <v>37685</v>
      </c>
      <c r="BL72" s="3470"/>
      <c r="BM72" s="3441"/>
      <c r="BN72" s="3441"/>
      <c r="BO72" s="3441"/>
      <c r="BP72" s="3441"/>
      <c r="BQ72" s="3441"/>
      <c r="BR72" s="3441"/>
      <c r="BS72" s="3470"/>
      <c r="BT72" s="3470"/>
      <c r="BU72" s="3470"/>
    </row>
    <row r="73" spans="1:76" s="3441" customFormat="1" ht="12" hidden="1">
      <c r="A73" s="3542" t="s">
        <v>4269</v>
      </c>
      <c r="B73" s="3470" t="s">
        <v>4270</v>
      </c>
      <c r="C73" s="3481" t="s">
        <v>4271</v>
      </c>
      <c r="D73" s="3481" t="s">
        <v>4272</v>
      </c>
      <c r="E73" s="3470" t="s">
        <v>3558</v>
      </c>
      <c r="F73" s="3521" t="s">
        <v>3951</v>
      </c>
      <c r="G73" s="3470"/>
      <c r="H73" s="3470" t="s">
        <v>4273</v>
      </c>
      <c r="I73" s="3470" t="s">
        <v>4100</v>
      </c>
      <c r="J73" s="3481" t="s">
        <v>4274</v>
      </c>
      <c r="K73" s="3470" t="s">
        <v>3955</v>
      </c>
      <c r="L73" s="3470">
        <v>117.68</v>
      </c>
      <c r="M73" s="3470">
        <v>5</v>
      </c>
      <c r="N73" s="3470" t="s">
        <v>3451</v>
      </c>
      <c r="O73" s="3470">
        <v>97.39</v>
      </c>
      <c r="P73" s="3470" t="s">
        <v>3452</v>
      </c>
      <c r="Q73" s="3457">
        <v>485524.14400000003</v>
      </c>
      <c r="R73" s="3470">
        <v>4125.8</v>
      </c>
      <c r="S73" s="3547">
        <v>48.01</v>
      </c>
      <c r="T73" s="3554">
        <v>480100</v>
      </c>
      <c r="U73" s="3470">
        <v>4080</v>
      </c>
      <c r="V73" s="3474">
        <v>0.1</v>
      </c>
      <c r="W73" s="3475">
        <v>43.2</v>
      </c>
      <c r="X73" s="3476">
        <v>432000</v>
      </c>
      <c r="Y73" s="3470">
        <v>2003</v>
      </c>
      <c r="Z73" s="3515">
        <v>3</v>
      </c>
      <c r="AA73" s="3515">
        <v>7</v>
      </c>
      <c r="AB73" s="3485">
        <v>2400</v>
      </c>
      <c r="AC73" s="3470" t="s">
        <v>3634</v>
      </c>
      <c r="AD73" s="3485"/>
      <c r="AE73" s="3456" t="s">
        <v>3590</v>
      </c>
      <c r="AF73" s="3470" t="s">
        <v>3604</v>
      </c>
      <c r="AG73" s="3555" t="s">
        <v>3454</v>
      </c>
      <c r="AH73" s="3485"/>
      <c r="AI73" s="3470" t="s">
        <v>3589</v>
      </c>
      <c r="AJ73" s="3523">
        <v>37802</v>
      </c>
      <c r="AK73" s="3479" t="s">
        <v>3482</v>
      </c>
      <c r="AL73" s="3441">
        <v>64256608</v>
      </c>
      <c r="AN73" s="3441" t="s">
        <v>3482</v>
      </c>
      <c r="AP73" s="3441" t="s">
        <v>2152</v>
      </c>
      <c r="AQ73" s="3456" t="s">
        <v>3571</v>
      </c>
      <c r="AV73" s="3441" t="s">
        <v>3568</v>
      </c>
      <c r="AW73" s="3441" t="s">
        <v>3572</v>
      </c>
      <c r="AX73" s="3441" t="s">
        <v>2511</v>
      </c>
      <c r="AY73" s="3524" t="s">
        <v>4275</v>
      </c>
      <c r="AZ73" s="3441" t="s">
        <v>3955</v>
      </c>
      <c r="BA73" s="3441" t="s">
        <v>3959</v>
      </c>
      <c r="BB73" s="3524" t="s">
        <v>3960</v>
      </c>
      <c r="BC73" s="3441" t="s">
        <v>3961</v>
      </c>
      <c r="BD73" s="3525">
        <v>102100</v>
      </c>
      <c r="BE73" s="3441">
        <v>62998398</v>
      </c>
      <c r="BF73" s="3526">
        <v>2.8</v>
      </c>
      <c r="BG73" s="3518">
        <v>37679</v>
      </c>
      <c r="BI73" s="3441" t="s">
        <v>3589</v>
      </c>
      <c r="BJ73" s="3484">
        <v>37686</v>
      </c>
      <c r="BK73" s="3484"/>
      <c r="BL73" s="3470" t="s">
        <v>3670</v>
      </c>
      <c r="BS73" s="3470"/>
      <c r="BT73" s="3470"/>
      <c r="BU73" s="3470"/>
    </row>
    <row r="74" spans="1:76" s="3441" customFormat="1" ht="12" hidden="1">
      <c r="A74" s="3542" t="s">
        <v>4276</v>
      </c>
      <c r="B74" s="3470" t="s">
        <v>4277</v>
      </c>
      <c r="C74" s="3481" t="s">
        <v>4278</v>
      </c>
      <c r="D74" s="3481" t="s">
        <v>4279</v>
      </c>
      <c r="E74" s="3470" t="s">
        <v>2736</v>
      </c>
      <c r="F74" s="3528" t="s">
        <v>4280</v>
      </c>
      <c r="G74" s="3470"/>
      <c r="H74" s="3470" t="s">
        <v>4281</v>
      </c>
      <c r="I74" s="3470" t="s">
        <v>4282</v>
      </c>
      <c r="J74" s="3481" t="s">
        <v>3449</v>
      </c>
      <c r="K74" s="3470" t="s">
        <v>4283</v>
      </c>
      <c r="L74" s="3470">
        <v>113.82</v>
      </c>
      <c r="M74" s="3470">
        <v>4</v>
      </c>
      <c r="N74" s="3470" t="s">
        <v>3778</v>
      </c>
      <c r="O74" s="3470"/>
      <c r="P74" s="3470" t="s">
        <v>3452</v>
      </c>
      <c r="Q74" s="3457">
        <v>612351.6</v>
      </c>
      <c r="R74" s="3470">
        <v>5380</v>
      </c>
      <c r="S74" s="3547">
        <v>60.73</v>
      </c>
      <c r="T74" s="3554">
        <v>607300</v>
      </c>
      <c r="U74" s="3495">
        <v>5336</v>
      </c>
      <c r="V74" s="3512">
        <v>0.1</v>
      </c>
      <c r="W74" s="3475">
        <v>54.65</v>
      </c>
      <c r="X74" s="3476">
        <v>546500</v>
      </c>
      <c r="Y74" s="3470">
        <v>2003</v>
      </c>
      <c r="Z74" s="3515">
        <v>3</v>
      </c>
      <c r="AA74" s="3515">
        <v>7</v>
      </c>
      <c r="AB74" s="3485">
        <v>3035</v>
      </c>
      <c r="AC74" s="3470" t="s">
        <v>4284</v>
      </c>
      <c r="AD74" s="3485"/>
      <c r="AE74" s="3456" t="s">
        <v>3593</v>
      </c>
      <c r="AF74" s="3470" t="s">
        <v>3587</v>
      </c>
      <c r="AG74" s="3522" t="s">
        <v>3546</v>
      </c>
      <c r="AH74" s="3485"/>
      <c r="AI74" s="3470" t="s">
        <v>4045</v>
      </c>
      <c r="AJ74" s="3523">
        <v>38078</v>
      </c>
      <c r="AK74" s="3500" t="s">
        <v>3482</v>
      </c>
      <c r="AL74" s="3441">
        <v>64256608</v>
      </c>
      <c r="AN74" s="3456"/>
      <c r="AP74" s="3441" t="s">
        <v>2152</v>
      </c>
      <c r="AQ74" s="3441" t="s">
        <v>3571</v>
      </c>
      <c r="AW74" s="3470" t="s">
        <v>3572</v>
      </c>
      <c r="AX74" s="3484" t="s">
        <v>2511</v>
      </c>
      <c r="AY74" s="3441" t="s">
        <v>4285</v>
      </c>
      <c r="AZ74" s="3441" t="s">
        <v>4286</v>
      </c>
      <c r="BA74" s="3441" t="s">
        <v>4287</v>
      </c>
      <c r="BB74" s="3524" t="s">
        <v>4288</v>
      </c>
      <c r="BC74" s="3441" t="s">
        <v>4289</v>
      </c>
      <c r="BD74" s="3441">
        <v>100873</v>
      </c>
      <c r="BE74" s="3441">
        <v>68498961</v>
      </c>
      <c r="BF74" s="3441">
        <v>2.8</v>
      </c>
      <c r="BG74" s="3518">
        <v>37670</v>
      </c>
      <c r="BH74" s="3470"/>
      <c r="BI74" s="3441" t="s">
        <v>2152</v>
      </c>
      <c r="BJ74" s="3518">
        <v>37686</v>
      </c>
      <c r="BK74" s="3518"/>
      <c r="BS74" s="3470"/>
      <c r="BT74" s="3470"/>
      <c r="BU74" s="3470"/>
    </row>
    <row r="75" spans="1:76" s="3470" customFormat="1" ht="12" hidden="1">
      <c r="A75" s="3485" t="s">
        <v>4290</v>
      </c>
      <c r="B75" s="3453" t="s">
        <v>4291</v>
      </c>
      <c r="C75" s="3481" t="s">
        <v>4292</v>
      </c>
      <c r="D75" s="3453">
        <v>82871086</v>
      </c>
      <c r="E75" s="3470" t="s">
        <v>3558</v>
      </c>
      <c r="F75" s="3453" t="s">
        <v>4025</v>
      </c>
      <c r="H75" s="3470" t="s">
        <v>4026</v>
      </c>
      <c r="I75" s="3470" t="s">
        <v>3599</v>
      </c>
      <c r="J75" s="3470" t="s">
        <v>4293</v>
      </c>
      <c r="K75" s="3470" t="s">
        <v>4029</v>
      </c>
      <c r="L75" s="3470">
        <v>82.75</v>
      </c>
      <c r="M75" s="3470">
        <v>13</v>
      </c>
      <c r="N75" s="3470" t="s">
        <v>4030</v>
      </c>
      <c r="O75" s="3470">
        <v>67.02</v>
      </c>
      <c r="P75" s="3470" t="s">
        <v>3452</v>
      </c>
      <c r="Q75" s="3557">
        <v>322725</v>
      </c>
      <c r="R75" s="3470">
        <v>3900</v>
      </c>
      <c r="S75" s="3472">
        <v>31.85</v>
      </c>
      <c r="T75" s="3527">
        <v>318500</v>
      </c>
      <c r="U75" s="3470">
        <v>3850</v>
      </c>
      <c r="V75" s="3474">
        <v>0.1</v>
      </c>
      <c r="W75" s="3475">
        <v>28.66</v>
      </c>
      <c r="X75" s="3473">
        <v>286600</v>
      </c>
      <c r="Y75" s="3441">
        <v>2003</v>
      </c>
      <c r="Z75" s="3441">
        <v>3</v>
      </c>
      <c r="AA75" s="3441">
        <v>11</v>
      </c>
      <c r="AB75" s="3485">
        <v>1590</v>
      </c>
      <c r="AC75" s="3470" t="s">
        <v>4294</v>
      </c>
      <c r="AE75" s="3441" t="s">
        <v>3590</v>
      </c>
      <c r="AF75" s="3470" t="s">
        <v>4295</v>
      </c>
      <c r="AG75" s="3470" t="s">
        <v>3466</v>
      </c>
      <c r="AH75" s="3470" t="s">
        <v>3568</v>
      </c>
      <c r="AI75" s="3490" t="s">
        <v>3569</v>
      </c>
      <c r="AJ75" s="3523">
        <v>37742</v>
      </c>
      <c r="AK75" s="3500" t="s">
        <v>4210</v>
      </c>
      <c r="AL75" s="3470">
        <v>64256608</v>
      </c>
      <c r="AN75" s="3441" t="s">
        <v>3680</v>
      </c>
      <c r="AO75" s="3470" t="s">
        <v>3568</v>
      </c>
      <c r="AP75" s="3470" t="s">
        <v>3589</v>
      </c>
      <c r="AQ75" s="3470" t="s">
        <v>3571</v>
      </c>
      <c r="AW75" s="3470" t="s">
        <v>3572</v>
      </c>
      <c r="AX75" s="3470" t="s">
        <v>2511</v>
      </c>
      <c r="AY75" s="3481" t="s">
        <v>4296</v>
      </c>
      <c r="AZ75" s="3470" t="s">
        <v>4029</v>
      </c>
      <c r="BA75" s="3470" t="s">
        <v>4034</v>
      </c>
      <c r="BB75" s="3481" t="s">
        <v>4297</v>
      </c>
      <c r="BC75" s="3470" t="s">
        <v>4035</v>
      </c>
      <c r="BD75" s="3482">
        <v>100034</v>
      </c>
      <c r="BE75" s="3470">
        <v>66177078</v>
      </c>
      <c r="BF75" s="3483">
        <v>2.7</v>
      </c>
      <c r="BG75" s="3478">
        <v>37678</v>
      </c>
      <c r="BI75" s="3441" t="s">
        <v>2152</v>
      </c>
      <c r="BJ75" s="3508">
        <v>37690</v>
      </c>
      <c r="BK75" s="3508"/>
      <c r="BL75" s="3441" t="s">
        <v>3594</v>
      </c>
      <c r="BM75" s="3441"/>
      <c r="BN75" s="3441"/>
      <c r="BO75" s="3441"/>
      <c r="BP75" s="3441"/>
      <c r="BQ75" s="3441"/>
      <c r="BR75" s="3441"/>
    </row>
    <row r="76" spans="1:76" s="3470" customFormat="1" ht="12" hidden="1">
      <c r="A76" s="3470" t="s">
        <v>4298</v>
      </c>
      <c r="B76" s="3453" t="s">
        <v>4299</v>
      </c>
      <c r="C76" s="3481" t="s">
        <v>4300</v>
      </c>
      <c r="D76" s="3453">
        <v>13601241075</v>
      </c>
      <c r="E76" s="3470" t="s">
        <v>3558</v>
      </c>
      <c r="F76" s="3453" t="s">
        <v>4025</v>
      </c>
      <c r="H76" s="3470" t="s">
        <v>4026</v>
      </c>
      <c r="I76" s="3470" t="s">
        <v>4301</v>
      </c>
      <c r="J76" s="3470" t="s">
        <v>4302</v>
      </c>
      <c r="K76" s="3470" t="s">
        <v>4029</v>
      </c>
      <c r="L76" s="3470">
        <v>82.81</v>
      </c>
      <c r="M76" s="3470">
        <v>8</v>
      </c>
      <c r="N76" s="3470" t="s">
        <v>4030</v>
      </c>
      <c r="O76" s="3470">
        <v>67.069999999999993</v>
      </c>
      <c r="P76" s="3470" t="s">
        <v>3452</v>
      </c>
      <c r="Q76" s="3557">
        <v>335380.5</v>
      </c>
      <c r="R76" s="3470">
        <v>4050</v>
      </c>
      <c r="S76" s="3472">
        <v>33.119999999999997</v>
      </c>
      <c r="T76" s="3527">
        <v>331200</v>
      </c>
      <c r="U76" s="3470">
        <v>4000</v>
      </c>
      <c r="V76" s="3474">
        <v>0.1</v>
      </c>
      <c r="W76" s="3475">
        <v>29.8</v>
      </c>
      <c r="X76" s="3473">
        <v>298000</v>
      </c>
      <c r="Y76" s="3441">
        <v>2003</v>
      </c>
      <c r="Z76" s="3441">
        <v>3</v>
      </c>
      <c r="AA76" s="3441">
        <v>13</v>
      </c>
      <c r="AB76" s="3485">
        <v>1655</v>
      </c>
      <c r="AC76" s="3470" t="s">
        <v>4209</v>
      </c>
      <c r="AE76" s="3441" t="s">
        <v>3593</v>
      </c>
      <c r="AF76" s="3470" t="s">
        <v>3956</v>
      </c>
      <c r="AG76" s="3470" t="s">
        <v>3466</v>
      </c>
      <c r="AH76" s="3470" t="s">
        <v>3568</v>
      </c>
      <c r="AI76" s="3490" t="s">
        <v>3569</v>
      </c>
      <c r="AJ76" s="3523">
        <v>37621</v>
      </c>
      <c r="AK76" s="3500" t="s">
        <v>4210</v>
      </c>
      <c r="AL76" s="3470">
        <v>64256608</v>
      </c>
      <c r="AN76" s="3441" t="s">
        <v>3680</v>
      </c>
      <c r="AO76" s="3470" t="s">
        <v>3568</v>
      </c>
      <c r="AP76" s="3470" t="s">
        <v>4045</v>
      </c>
      <c r="AQ76" s="3470" t="s">
        <v>3571</v>
      </c>
      <c r="AW76" s="3470" t="s">
        <v>3572</v>
      </c>
      <c r="AX76" s="3470" t="s">
        <v>2511</v>
      </c>
      <c r="AY76" s="3481" t="s">
        <v>4303</v>
      </c>
      <c r="AZ76" s="3470" t="s">
        <v>4029</v>
      </c>
      <c r="BA76" s="3470" t="s">
        <v>4034</v>
      </c>
      <c r="BB76" s="3481" t="s">
        <v>4304</v>
      </c>
      <c r="BC76" s="3470" t="s">
        <v>4035</v>
      </c>
      <c r="BD76" s="3482">
        <v>100034</v>
      </c>
      <c r="BE76" s="3470">
        <v>66177078</v>
      </c>
      <c r="BF76" s="3483">
        <v>2.7</v>
      </c>
      <c r="BG76" s="3478">
        <v>37519</v>
      </c>
      <c r="BI76" s="3441" t="s">
        <v>2152</v>
      </c>
      <c r="BJ76" s="3508">
        <v>37684</v>
      </c>
      <c r="BK76" s="3508"/>
      <c r="BL76" s="3441" t="s">
        <v>3594</v>
      </c>
      <c r="BM76" s="3441"/>
      <c r="BN76" s="3441"/>
      <c r="BO76" s="3441"/>
      <c r="BP76" s="3441"/>
      <c r="BQ76" s="3441"/>
      <c r="BR76" s="3441"/>
    </row>
    <row r="77" spans="1:76" s="3565" customFormat="1" hidden="1">
      <c r="A77" s="3496" t="s">
        <v>4305</v>
      </c>
      <c r="B77" s="3490" t="s">
        <v>4306</v>
      </c>
      <c r="C77" s="3487" t="s">
        <v>4307</v>
      </c>
      <c r="D77" s="3487" t="s">
        <v>4308</v>
      </c>
      <c r="E77" s="3490" t="s">
        <v>3558</v>
      </c>
      <c r="F77" s="3558" t="s">
        <v>3559</v>
      </c>
      <c r="G77" s="3490"/>
      <c r="H77" s="3490" t="s">
        <v>3560</v>
      </c>
      <c r="I77" s="3490" t="s">
        <v>4309</v>
      </c>
      <c r="J77" s="3487" t="s">
        <v>4310</v>
      </c>
      <c r="K77" s="3490" t="s">
        <v>3563</v>
      </c>
      <c r="L77" s="3490">
        <v>45.95</v>
      </c>
      <c r="M77" s="3490">
        <v>2</v>
      </c>
      <c r="N77" s="3490" t="s">
        <v>3692</v>
      </c>
      <c r="O77" s="3490">
        <v>37.229999999999997</v>
      </c>
      <c r="P77" s="3490" t="s">
        <v>3452</v>
      </c>
      <c r="Q77" s="3557">
        <v>214402.7</v>
      </c>
      <c r="R77" s="3490">
        <v>4666</v>
      </c>
      <c r="S77" s="3532">
        <v>21.22</v>
      </c>
      <c r="T77" s="3554">
        <v>212200</v>
      </c>
      <c r="U77" s="3490">
        <v>4620</v>
      </c>
      <c r="V77" s="3559">
        <v>0.1</v>
      </c>
      <c r="W77" s="3560">
        <v>19.09</v>
      </c>
      <c r="X77" s="3534">
        <v>190900</v>
      </c>
      <c r="Y77" s="3502">
        <v>2003</v>
      </c>
      <c r="Z77" s="3502">
        <v>4</v>
      </c>
      <c r="AA77" s="3502">
        <v>17</v>
      </c>
      <c r="AB77" s="3496">
        <v>1060</v>
      </c>
      <c r="AC77" s="3490" t="s">
        <v>4044</v>
      </c>
      <c r="AD77" s="3496"/>
      <c r="AE77" s="3502" t="s">
        <v>3590</v>
      </c>
      <c r="AF77" s="3490" t="s">
        <v>4295</v>
      </c>
      <c r="AG77" s="3561" t="s">
        <v>3466</v>
      </c>
      <c r="AH77" s="3496" t="s">
        <v>3568</v>
      </c>
      <c r="AI77" s="3490" t="s">
        <v>2152</v>
      </c>
      <c r="AJ77" s="3499">
        <v>37894</v>
      </c>
      <c r="AK77" s="3562" t="s">
        <v>3484</v>
      </c>
      <c r="AL77" s="3502">
        <v>64256608</v>
      </c>
      <c r="AM77" s="3502" t="s">
        <v>3568</v>
      </c>
      <c r="AN77" s="3502"/>
      <c r="AO77" s="3502" t="s">
        <v>3568</v>
      </c>
      <c r="AP77" s="3502" t="s">
        <v>3586</v>
      </c>
      <c r="AQ77" s="3502" t="s">
        <v>3571</v>
      </c>
      <c r="AR77" s="3502"/>
      <c r="AS77" s="3502"/>
      <c r="AT77" s="3502"/>
      <c r="AU77" s="3502"/>
      <c r="AV77" s="3502"/>
      <c r="AW77" s="3502" t="s">
        <v>3572</v>
      </c>
      <c r="AX77" s="3502" t="s">
        <v>2511</v>
      </c>
      <c r="AY77" s="3504" t="s">
        <v>4311</v>
      </c>
      <c r="AZ77" s="3502" t="s">
        <v>3563</v>
      </c>
      <c r="BA77" s="3502" t="s">
        <v>3574</v>
      </c>
      <c r="BB77" s="3504">
        <v>1101021053367</v>
      </c>
      <c r="BC77" s="3502" t="s">
        <v>3576</v>
      </c>
      <c r="BD77" s="3505">
        <v>100037</v>
      </c>
      <c r="BE77" s="3502">
        <v>84050046</v>
      </c>
      <c r="BF77" s="3563">
        <v>2.8</v>
      </c>
      <c r="BG77" s="3507">
        <v>37674</v>
      </c>
      <c r="BH77" s="3502"/>
      <c r="BI77" s="3502" t="s">
        <v>3586</v>
      </c>
      <c r="BJ77" s="3564">
        <v>37687</v>
      </c>
      <c r="BK77" s="3564">
        <v>37697</v>
      </c>
      <c r="BL77" s="3490" t="s">
        <v>3670</v>
      </c>
      <c r="BM77" s="3441"/>
      <c r="BN77" s="3441"/>
      <c r="BO77" s="3441"/>
      <c r="BP77" s="3441"/>
      <c r="BQ77" s="3441"/>
      <c r="BR77" s="3441"/>
      <c r="BS77" s="3470"/>
      <c r="BT77" s="3470"/>
      <c r="BU77" s="3470"/>
      <c r="BV77" s="3502"/>
      <c r="BW77" s="3502"/>
      <c r="BX77" s="3502"/>
    </row>
    <row r="78" spans="1:76" s="3470" customFormat="1" ht="13.2" hidden="1">
      <c r="A78" s="3470" t="s">
        <v>4312</v>
      </c>
      <c r="B78" s="3542" t="s">
        <v>4313</v>
      </c>
      <c r="C78" s="3454" t="s">
        <v>4314</v>
      </c>
      <c r="D78" s="3530" t="s">
        <v>4315</v>
      </c>
      <c r="E78" s="3542" t="s">
        <v>3538</v>
      </c>
      <c r="F78" s="3542" t="s">
        <v>5200</v>
      </c>
      <c r="G78" s="3485"/>
      <c r="H78" s="3485" t="s">
        <v>4316</v>
      </c>
      <c r="I78" s="3485" t="s">
        <v>4317</v>
      </c>
      <c r="J78" s="3543" t="s">
        <v>4318</v>
      </c>
      <c r="K78" s="3485" t="s">
        <v>4091</v>
      </c>
      <c r="L78" s="3477">
        <v>123.13</v>
      </c>
      <c r="M78" s="3477">
        <v>12</v>
      </c>
      <c r="N78" s="3470" t="s">
        <v>3994</v>
      </c>
      <c r="O78" s="3485">
        <v>97.5</v>
      </c>
      <c r="P78" s="3470" t="s">
        <v>3452</v>
      </c>
      <c r="Q78" s="3457">
        <v>959059.57</v>
      </c>
      <c r="R78" s="3495">
        <v>7789</v>
      </c>
      <c r="S78" s="3472">
        <v>95.3</v>
      </c>
      <c r="T78" s="3550">
        <v>953000</v>
      </c>
      <c r="U78" s="3470">
        <v>7740</v>
      </c>
      <c r="V78" s="3474">
        <v>0.1</v>
      </c>
      <c r="W78" s="3475">
        <v>85.77</v>
      </c>
      <c r="X78" s="3476">
        <v>857700</v>
      </c>
      <c r="Y78" s="3515">
        <v>2003</v>
      </c>
      <c r="Z78" s="3441">
        <v>3</v>
      </c>
      <c r="AA78" s="3470">
        <v>18</v>
      </c>
      <c r="AB78" s="3477">
        <v>4765</v>
      </c>
      <c r="AC78" s="3485" t="s">
        <v>3648</v>
      </c>
      <c r="AD78" s="3485"/>
      <c r="AE78" s="3469" t="s">
        <v>3586</v>
      </c>
      <c r="AF78" s="3490" t="s">
        <v>3587</v>
      </c>
      <c r="AG78" s="3485" t="s">
        <v>3605</v>
      </c>
      <c r="AH78" s="3485"/>
      <c r="AI78" s="3456" t="s">
        <v>2152</v>
      </c>
      <c r="AJ78" s="3539">
        <v>37863</v>
      </c>
      <c r="AK78" s="3548">
        <v>3</v>
      </c>
      <c r="AL78" s="3441">
        <v>64256608</v>
      </c>
      <c r="AM78" s="3441"/>
      <c r="AN78" s="3456" t="s">
        <v>3482</v>
      </c>
      <c r="AO78" s="3441"/>
      <c r="AP78" s="3469" t="s">
        <v>3589</v>
      </c>
      <c r="AQ78" s="3470" t="s">
        <v>3457</v>
      </c>
      <c r="AR78" s="3441"/>
      <c r="AS78" s="3441"/>
      <c r="AT78" s="3441"/>
      <c r="AU78" s="3463"/>
      <c r="AV78" s="3518"/>
      <c r="AW78" s="3470" t="s">
        <v>3458</v>
      </c>
      <c r="AX78" s="3441" t="s">
        <v>3606</v>
      </c>
      <c r="AY78" s="3536" t="s">
        <v>4319</v>
      </c>
      <c r="AZ78" s="3485" t="s">
        <v>4154</v>
      </c>
      <c r="BA78" s="3463" t="s">
        <v>4155</v>
      </c>
      <c r="BB78" s="3466">
        <v>1102272096110</v>
      </c>
      <c r="BC78" s="3463" t="s">
        <v>4094</v>
      </c>
      <c r="BD78" s="3537">
        <v>100044</v>
      </c>
      <c r="BE78" s="3441">
        <v>62251419</v>
      </c>
      <c r="BF78" s="3544">
        <v>2.8</v>
      </c>
      <c r="BG78" s="3518">
        <v>37682</v>
      </c>
      <c r="BH78" s="3441"/>
      <c r="BI78" s="3470" t="s">
        <v>3569</v>
      </c>
      <c r="BJ78" s="3535">
        <v>37691</v>
      </c>
      <c r="BK78" s="3441"/>
      <c r="BL78" s="3441" t="s">
        <v>3833</v>
      </c>
      <c r="BM78" s="3441"/>
      <c r="BN78" s="3441"/>
      <c r="BO78" s="3441"/>
      <c r="BP78" s="3441"/>
      <c r="BQ78" s="3441"/>
      <c r="BR78" s="3441"/>
    </row>
    <row r="79" spans="1:76" s="3565" customFormat="1" hidden="1">
      <c r="A79" s="3485" t="s">
        <v>4320</v>
      </c>
      <c r="B79" s="3470" t="s">
        <v>4321</v>
      </c>
      <c r="C79" s="3481" t="s">
        <v>4322</v>
      </c>
      <c r="D79" s="3481" t="s">
        <v>4323</v>
      </c>
      <c r="E79" s="3470" t="s">
        <v>2736</v>
      </c>
      <c r="F79" s="3528" t="s">
        <v>3628</v>
      </c>
      <c r="G79" s="3470"/>
      <c r="H79" s="3470" t="s">
        <v>4324</v>
      </c>
      <c r="I79" s="3470" t="s">
        <v>4282</v>
      </c>
      <c r="J79" s="3481" t="s">
        <v>4325</v>
      </c>
      <c r="K79" s="3470" t="s">
        <v>3631</v>
      </c>
      <c r="L79" s="3470">
        <v>158.44999999999999</v>
      </c>
      <c r="M79" s="3470">
        <v>5</v>
      </c>
      <c r="N79" s="3470" t="s">
        <v>3632</v>
      </c>
      <c r="O79" s="3470">
        <v>126.37</v>
      </c>
      <c r="P79" s="3470" t="s">
        <v>3452</v>
      </c>
      <c r="Q79" s="3557">
        <v>995066</v>
      </c>
      <c r="R79" s="3470">
        <v>6280</v>
      </c>
      <c r="S79" s="3472">
        <v>98.71</v>
      </c>
      <c r="T79" s="3527">
        <v>987100</v>
      </c>
      <c r="U79" s="3470">
        <v>6230</v>
      </c>
      <c r="V79" s="3474">
        <v>0.1</v>
      </c>
      <c r="W79" s="3475">
        <v>88.83</v>
      </c>
      <c r="X79" s="3494">
        <v>888300</v>
      </c>
      <c r="Y79" s="3441">
        <v>2003</v>
      </c>
      <c r="Z79" s="3495">
        <v>4</v>
      </c>
      <c r="AA79" s="3495">
        <v>5</v>
      </c>
      <c r="AB79" s="3485">
        <v>4935</v>
      </c>
      <c r="AC79" s="3470" t="s">
        <v>3798</v>
      </c>
      <c r="AD79" s="3485"/>
      <c r="AE79" s="3441" t="s">
        <v>3586</v>
      </c>
      <c r="AF79" s="3470" t="s">
        <v>4152</v>
      </c>
      <c r="AG79" s="3522" t="s">
        <v>3454</v>
      </c>
      <c r="AH79" s="3485"/>
      <c r="AI79" s="3456" t="s">
        <v>2152</v>
      </c>
      <c r="AJ79" s="3523">
        <v>37953</v>
      </c>
      <c r="AK79" s="3500" t="s">
        <v>3484</v>
      </c>
      <c r="AL79" s="3515">
        <v>64256608</v>
      </c>
      <c r="AM79" s="3441"/>
      <c r="AN79" s="3470" t="s">
        <v>3456</v>
      </c>
      <c r="AO79" s="3441"/>
      <c r="AP79" s="3456" t="s">
        <v>3586</v>
      </c>
      <c r="AQ79" s="3469" t="s">
        <v>3571</v>
      </c>
      <c r="AR79" s="3441"/>
      <c r="AS79" s="3441"/>
      <c r="AT79" s="3441"/>
      <c r="AU79" s="3441"/>
      <c r="AV79" s="3441"/>
      <c r="AW79" s="3441" t="s">
        <v>3548</v>
      </c>
      <c r="AX79" s="3484" t="s">
        <v>3606</v>
      </c>
      <c r="AY79" s="3524" t="s">
        <v>4326</v>
      </c>
      <c r="AZ79" s="3470" t="s">
        <v>3647</v>
      </c>
      <c r="BA79" s="3441" t="s">
        <v>4327</v>
      </c>
      <c r="BB79" s="3524" t="s">
        <v>3640</v>
      </c>
      <c r="BC79" s="3441" t="s">
        <v>4049</v>
      </c>
      <c r="BD79" s="3525">
        <v>100088</v>
      </c>
      <c r="BE79" s="3441">
        <v>82058259</v>
      </c>
      <c r="BF79" s="3526" t="s">
        <v>4328</v>
      </c>
      <c r="BG79" s="3518">
        <v>37544</v>
      </c>
      <c r="BH79" s="3441"/>
      <c r="BI79" s="3470" t="s">
        <v>3590</v>
      </c>
      <c r="BJ79" s="3518">
        <v>37697</v>
      </c>
      <c r="BK79" s="3484">
        <v>37712</v>
      </c>
      <c r="BL79" s="3470" t="s">
        <v>3670</v>
      </c>
      <c r="BM79" s="3441"/>
      <c r="BN79" s="3441"/>
      <c r="BO79" s="3441"/>
      <c r="BP79" s="3441"/>
      <c r="BQ79" s="3441"/>
      <c r="BR79" s="3441"/>
      <c r="BS79" s="3470"/>
      <c r="BT79" s="3470"/>
      <c r="BU79" s="3470"/>
      <c r="BV79" s="3441"/>
      <c r="BW79" s="3441"/>
      <c r="BX79" s="3441"/>
    </row>
    <row r="80" spans="1:76" s="3565" customFormat="1" hidden="1">
      <c r="A80" s="3485" t="s">
        <v>4329</v>
      </c>
      <c r="B80" s="3470" t="s">
        <v>4330</v>
      </c>
      <c r="C80" s="3481" t="s">
        <v>4331</v>
      </c>
      <c r="D80" s="3481" t="s">
        <v>4332</v>
      </c>
      <c r="E80" s="3470" t="s">
        <v>2736</v>
      </c>
      <c r="F80" s="3528" t="s">
        <v>4333</v>
      </c>
      <c r="G80" s="3470"/>
      <c r="H80" s="3470" t="s">
        <v>4334</v>
      </c>
      <c r="I80" s="3470" t="s">
        <v>3582</v>
      </c>
      <c r="J80" s="3481" t="s">
        <v>4335</v>
      </c>
      <c r="K80" s="3470" t="s">
        <v>3647</v>
      </c>
      <c r="L80" s="3470">
        <v>133.41</v>
      </c>
      <c r="M80" s="3470">
        <v>10</v>
      </c>
      <c r="N80" s="3470" t="s">
        <v>4336</v>
      </c>
      <c r="O80" s="3470">
        <v>108.06</v>
      </c>
      <c r="P80" s="3470" t="s">
        <v>3452</v>
      </c>
      <c r="Q80" s="3557">
        <v>827142</v>
      </c>
      <c r="R80" s="3470">
        <v>6200</v>
      </c>
      <c r="S80" s="3472">
        <v>81.95</v>
      </c>
      <c r="T80" s="3527">
        <v>819500</v>
      </c>
      <c r="U80" s="3470">
        <v>6143</v>
      </c>
      <c r="V80" s="3474">
        <v>0.1</v>
      </c>
      <c r="W80" s="3475">
        <v>73.75</v>
      </c>
      <c r="X80" s="3494">
        <v>737500</v>
      </c>
      <c r="Y80" s="3441">
        <v>2003</v>
      </c>
      <c r="Z80" s="3495">
        <v>4</v>
      </c>
      <c r="AA80" s="3495">
        <v>4</v>
      </c>
      <c r="AB80" s="3485">
        <v>4095</v>
      </c>
      <c r="AC80" s="3470" t="s">
        <v>3648</v>
      </c>
      <c r="AD80" s="3485"/>
      <c r="AE80" s="3441" t="s">
        <v>3586</v>
      </c>
      <c r="AF80" s="3470" t="s">
        <v>4152</v>
      </c>
      <c r="AG80" s="3522" t="s">
        <v>3546</v>
      </c>
      <c r="AH80" s="3485"/>
      <c r="AI80" s="3456" t="s">
        <v>3589</v>
      </c>
      <c r="AJ80" s="3523">
        <v>37992</v>
      </c>
      <c r="AK80" s="3500" t="s">
        <v>3484</v>
      </c>
      <c r="AL80" s="3515">
        <v>64256608</v>
      </c>
      <c r="AM80" s="3441"/>
      <c r="AN80" s="3470" t="s">
        <v>3456</v>
      </c>
      <c r="AO80" s="3441"/>
      <c r="AP80" s="3456" t="s">
        <v>3590</v>
      </c>
      <c r="AQ80" s="3469" t="s">
        <v>3571</v>
      </c>
      <c r="AR80" s="3441"/>
      <c r="AS80" s="3441"/>
      <c r="AT80" s="3441"/>
      <c r="AU80" s="3441"/>
      <c r="AV80" s="3441"/>
      <c r="AW80" s="3441" t="s">
        <v>4064</v>
      </c>
      <c r="AX80" s="3484" t="s">
        <v>3549</v>
      </c>
      <c r="AY80" s="3524" t="s">
        <v>4337</v>
      </c>
      <c r="AZ80" s="3470" t="s">
        <v>3638</v>
      </c>
      <c r="BA80" s="3441" t="s">
        <v>4338</v>
      </c>
      <c r="BB80" s="3524" t="s">
        <v>3997</v>
      </c>
      <c r="BC80" s="3441" t="s">
        <v>4339</v>
      </c>
      <c r="BD80" s="3525">
        <v>100088</v>
      </c>
      <c r="BE80" s="3441">
        <v>82058259</v>
      </c>
      <c r="BF80" s="3526" t="s">
        <v>4340</v>
      </c>
      <c r="BG80" s="3518">
        <v>37671</v>
      </c>
      <c r="BH80" s="3441"/>
      <c r="BI80" s="3470" t="s">
        <v>3593</v>
      </c>
      <c r="BJ80" s="3518">
        <v>37698</v>
      </c>
      <c r="BK80" s="3484">
        <v>37712</v>
      </c>
      <c r="BL80" s="3470" t="s">
        <v>3670</v>
      </c>
      <c r="BM80" s="3441"/>
      <c r="BN80" s="3441"/>
      <c r="BO80" s="3441"/>
      <c r="BP80" s="3441"/>
      <c r="BQ80" s="3441"/>
      <c r="BR80" s="3441"/>
      <c r="BS80" s="3470"/>
      <c r="BT80" s="3470"/>
      <c r="BU80" s="3470"/>
      <c r="BV80" s="3441"/>
      <c r="BW80" s="3441"/>
      <c r="BX80" s="3441"/>
    </row>
    <row r="81" spans="1:76" s="3565" customFormat="1" hidden="1">
      <c r="A81" s="3453" t="s">
        <v>4341</v>
      </c>
      <c r="B81" s="3453" t="s">
        <v>4342</v>
      </c>
      <c r="C81" s="3454" t="s">
        <v>4343</v>
      </c>
      <c r="D81" s="3454" t="s">
        <v>4344</v>
      </c>
      <c r="E81" s="3454" t="s">
        <v>2736</v>
      </c>
      <c r="F81" s="3454" t="s">
        <v>4345</v>
      </c>
      <c r="G81" s="3453"/>
      <c r="H81" s="3453" t="s">
        <v>4346</v>
      </c>
      <c r="I81" s="3453" t="s">
        <v>3992</v>
      </c>
      <c r="J81" s="3454" t="s">
        <v>3777</v>
      </c>
      <c r="K81" s="3453" t="s">
        <v>4347</v>
      </c>
      <c r="L81" s="3495">
        <v>141.85</v>
      </c>
      <c r="M81" s="3495">
        <v>7</v>
      </c>
      <c r="N81" s="3453" t="s">
        <v>3632</v>
      </c>
      <c r="O81" s="3495">
        <v>117.27</v>
      </c>
      <c r="P81" s="3453" t="s">
        <v>3452</v>
      </c>
      <c r="Q81" s="3510">
        <v>685135.5</v>
      </c>
      <c r="R81" s="3495">
        <v>4830</v>
      </c>
      <c r="S81" s="3472">
        <v>67.8</v>
      </c>
      <c r="T81" s="3550">
        <v>678000</v>
      </c>
      <c r="U81" s="3495">
        <v>4780</v>
      </c>
      <c r="V81" s="3512">
        <v>0.1</v>
      </c>
      <c r="W81" s="3475">
        <v>61.02</v>
      </c>
      <c r="X81" s="3473">
        <v>610200</v>
      </c>
      <c r="Y81" s="3495">
        <v>2003</v>
      </c>
      <c r="Z81" s="3495">
        <v>4</v>
      </c>
      <c r="AA81" s="3495">
        <v>2</v>
      </c>
      <c r="AB81" s="3477">
        <v>3390</v>
      </c>
      <c r="AC81" s="3453" t="s">
        <v>3585</v>
      </c>
      <c r="AD81" s="3470"/>
      <c r="AE81" s="3456" t="s">
        <v>3586</v>
      </c>
      <c r="AF81" s="3486" t="s">
        <v>4348</v>
      </c>
      <c r="AG81" s="3454" t="s">
        <v>3454</v>
      </c>
      <c r="AH81" s="3470"/>
      <c r="AI81" s="3456" t="s">
        <v>3589</v>
      </c>
      <c r="AJ81" s="3535">
        <v>37790</v>
      </c>
      <c r="AK81" s="3548" t="s">
        <v>3484</v>
      </c>
      <c r="AL81" s="3495">
        <v>64256608</v>
      </c>
      <c r="AM81" s="3441">
        <v>13311151121</v>
      </c>
      <c r="AN81" s="3497"/>
      <c r="AO81" s="3453"/>
      <c r="AP81" s="3456" t="s">
        <v>3586</v>
      </c>
      <c r="AQ81" s="3456" t="s">
        <v>3457</v>
      </c>
      <c r="AR81" s="3453"/>
      <c r="AS81" s="3453"/>
      <c r="AT81" s="3453"/>
      <c r="AU81" s="3456"/>
      <c r="AV81" s="3514" t="s">
        <v>2420</v>
      </c>
      <c r="AW81" s="3441" t="s">
        <v>3458</v>
      </c>
      <c r="AX81" s="3441" t="s">
        <v>3606</v>
      </c>
      <c r="AY81" s="3515">
        <v>145442</v>
      </c>
      <c r="AZ81" s="3453" t="s">
        <v>4347</v>
      </c>
      <c r="BA81" s="3463" t="s">
        <v>4349</v>
      </c>
      <c r="BB81" s="3466" t="s">
        <v>4350</v>
      </c>
      <c r="BC81" s="3463" t="s">
        <v>4351</v>
      </c>
      <c r="BD81" s="3537">
        <v>100010</v>
      </c>
      <c r="BE81" s="3515">
        <v>65233356</v>
      </c>
      <c r="BF81" s="3538">
        <v>2.7</v>
      </c>
      <c r="BG81" s="3535">
        <v>37651</v>
      </c>
      <c r="BH81" s="3453"/>
      <c r="BI81" s="3490" t="s">
        <v>3586</v>
      </c>
      <c r="BJ81" s="3566">
        <v>37690</v>
      </c>
      <c r="BK81" s="3566">
        <v>37713</v>
      </c>
      <c r="BL81" s="3470" t="s">
        <v>3594</v>
      </c>
      <c r="BM81" s="3441"/>
      <c r="BN81" s="3441"/>
      <c r="BO81" s="3441"/>
      <c r="BP81" s="3441"/>
      <c r="BQ81" s="3441"/>
      <c r="BR81" s="3441"/>
      <c r="BS81" s="3470"/>
      <c r="BT81" s="3470"/>
      <c r="BU81" s="3470"/>
      <c r="BV81" s="3453"/>
      <c r="BW81" s="3453"/>
      <c r="BX81" s="3453"/>
    </row>
    <row r="82" spans="1:76" s="3565" customFormat="1" hidden="1">
      <c r="A82" s="3496" t="s">
        <v>4352</v>
      </c>
      <c r="B82" s="3490" t="s">
        <v>4353</v>
      </c>
      <c r="C82" s="3487" t="s">
        <v>4354</v>
      </c>
      <c r="D82" s="3487" t="s">
        <v>4355</v>
      </c>
      <c r="E82" s="3490" t="s">
        <v>3558</v>
      </c>
      <c r="F82" s="3558" t="s">
        <v>3559</v>
      </c>
      <c r="G82" s="3490"/>
      <c r="H82" s="3490" t="s">
        <v>3560</v>
      </c>
      <c r="I82" s="3490" t="s">
        <v>4255</v>
      </c>
      <c r="J82" s="3487" t="s">
        <v>4356</v>
      </c>
      <c r="K82" s="3490" t="s">
        <v>3563</v>
      </c>
      <c r="L82" s="3490">
        <v>57.09</v>
      </c>
      <c r="M82" s="3490">
        <v>12</v>
      </c>
      <c r="N82" s="3490" t="s">
        <v>3692</v>
      </c>
      <c r="O82" s="3490">
        <v>46.25</v>
      </c>
      <c r="P82" s="3490" t="s">
        <v>3452</v>
      </c>
      <c r="Q82" s="3557">
        <v>266381.94</v>
      </c>
      <c r="R82" s="3490">
        <v>4666</v>
      </c>
      <c r="S82" s="3532">
        <v>26.34</v>
      </c>
      <c r="T82" s="3554">
        <v>263400</v>
      </c>
      <c r="U82" s="3490">
        <v>4615</v>
      </c>
      <c r="V82" s="3559">
        <v>0.1</v>
      </c>
      <c r="W82" s="3560">
        <v>23.7</v>
      </c>
      <c r="X82" s="3534">
        <v>237000</v>
      </c>
      <c r="Y82" s="3502">
        <v>2003</v>
      </c>
      <c r="Z82" s="3502">
        <v>4</v>
      </c>
      <c r="AA82" s="3502">
        <v>17</v>
      </c>
      <c r="AB82" s="3496">
        <v>1315</v>
      </c>
      <c r="AC82" s="3490" t="s">
        <v>4044</v>
      </c>
      <c r="AD82" s="3496"/>
      <c r="AE82" s="3502" t="s">
        <v>3586</v>
      </c>
      <c r="AF82" s="3490" t="s">
        <v>4295</v>
      </c>
      <c r="AG82" s="3561" t="s">
        <v>3466</v>
      </c>
      <c r="AH82" s="3496" t="s">
        <v>3568</v>
      </c>
      <c r="AI82" s="3490" t="s">
        <v>2152</v>
      </c>
      <c r="AJ82" s="3499">
        <v>37894</v>
      </c>
      <c r="AK82" s="3562" t="s">
        <v>3484</v>
      </c>
      <c r="AL82" s="3502">
        <v>64256608</v>
      </c>
      <c r="AM82" s="3502" t="s">
        <v>3568</v>
      </c>
      <c r="AN82" s="3502"/>
      <c r="AO82" s="3502" t="s">
        <v>3568</v>
      </c>
      <c r="AP82" s="3502" t="s">
        <v>3590</v>
      </c>
      <c r="AQ82" s="3502" t="s">
        <v>3571</v>
      </c>
      <c r="AR82" s="3502"/>
      <c r="AS82" s="3502"/>
      <c r="AT82" s="3502"/>
      <c r="AU82" s="3502"/>
      <c r="AV82" s="3502"/>
      <c r="AW82" s="3502" t="s">
        <v>3572</v>
      </c>
      <c r="AX82" s="3502" t="s">
        <v>2511</v>
      </c>
      <c r="AY82" s="3504" t="s">
        <v>4357</v>
      </c>
      <c r="AZ82" s="3502" t="s">
        <v>3563</v>
      </c>
      <c r="BA82" s="3502" t="s">
        <v>3574</v>
      </c>
      <c r="BB82" s="3504">
        <v>1101021053367</v>
      </c>
      <c r="BC82" s="3502" t="s">
        <v>3576</v>
      </c>
      <c r="BD82" s="3505">
        <v>100037</v>
      </c>
      <c r="BE82" s="3502">
        <v>84050046</v>
      </c>
      <c r="BF82" s="3563">
        <v>2.8</v>
      </c>
      <c r="BG82" s="3507">
        <v>37675</v>
      </c>
      <c r="BH82" s="3502"/>
      <c r="BI82" s="3502" t="s">
        <v>3586</v>
      </c>
      <c r="BJ82" s="3564">
        <v>37701</v>
      </c>
      <c r="BK82" s="3564">
        <v>37726</v>
      </c>
      <c r="BL82" s="3490" t="s">
        <v>3670</v>
      </c>
      <c r="BM82" s="3441"/>
      <c r="BN82" s="3441"/>
      <c r="BO82" s="3441"/>
      <c r="BP82" s="3441"/>
      <c r="BQ82" s="3441"/>
      <c r="BR82" s="3441"/>
      <c r="BS82" s="3470"/>
      <c r="BT82" s="3470"/>
      <c r="BU82" s="3470"/>
      <c r="BV82" s="3502"/>
      <c r="BW82" s="3502"/>
      <c r="BX82" s="3502"/>
    </row>
    <row r="83" spans="1:76" s="3565" customFormat="1" hidden="1">
      <c r="A83" s="3485" t="s">
        <v>4358</v>
      </c>
      <c r="B83" s="3470" t="s">
        <v>4359</v>
      </c>
      <c r="C83" s="3481" t="s">
        <v>4360</v>
      </c>
      <c r="D83" s="3481" t="s">
        <v>4361</v>
      </c>
      <c r="E83" s="3470" t="s">
        <v>3538</v>
      </c>
      <c r="F83" s="3528" t="s">
        <v>3628</v>
      </c>
      <c r="G83" s="3470"/>
      <c r="H83" s="3470" t="s">
        <v>4334</v>
      </c>
      <c r="I83" s="3470" t="s">
        <v>4362</v>
      </c>
      <c r="J83" s="3481" t="s">
        <v>3777</v>
      </c>
      <c r="K83" s="3470" t="s">
        <v>3647</v>
      </c>
      <c r="L83" s="3470">
        <v>101.19</v>
      </c>
      <c r="M83" s="3470">
        <v>7</v>
      </c>
      <c r="N83" s="3470" t="s">
        <v>3602</v>
      </c>
      <c r="O83" s="3470">
        <v>81.96</v>
      </c>
      <c r="P83" s="3470" t="s">
        <v>3452</v>
      </c>
      <c r="Q83" s="3557">
        <v>601068.6</v>
      </c>
      <c r="R83" s="3470">
        <v>5940</v>
      </c>
      <c r="S83" s="3472">
        <v>59.65</v>
      </c>
      <c r="T83" s="3527">
        <v>596500</v>
      </c>
      <c r="U83" s="3470">
        <v>5895</v>
      </c>
      <c r="V83" s="3474">
        <v>0.1</v>
      </c>
      <c r="W83" s="3475">
        <v>53.68</v>
      </c>
      <c r="X83" s="3494">
        <v>536800</v>
      </c>
      <c r="Y83" s="3441">
        <v>2003</v>
      </c>
      <c r="Z83" s="3495">
        <v>4</v>
      </c>
      <c r="AA83" s="3495">
        <v>4</v>
      </c>
      <c r="AB83" s="3485">
        <v>2980</v>
      </c>
      <c r="AC83" s="3470" t="s">
        <v>3634</v>
      </c>
      <c r="AD83" s="3485"/>
      <c r="AE83" s="3441" t="s">
        <v>3586</v>
      </c>
      <c r="AF83" s="3470" t="s">
        <v>3587</v>
      </c>
      <c r="AG83" s="3522" t="s">
        <v>3546</v>
      </c>
      <c r="AH83" s="3485"/>
      <c r="AI83" s="3456" t="s">
        <v>2152</v>
      </c>
      <c r="AJ83" s="3523">
        <v>37992</v>
      </c>
      <c r="AK83" s="3500" t="s">
        <v>3484</v>
      </c>
      <c r="AL83" s="3515">
        <v>64256608</v>
      </c>
      <c r="AM83" s="3441"/>
      <c r="AN83" s="3470" t="s">
        <v>3456</v>
      </c>
      <c r="AO83" s="3441"/>
      <c r="AP83" s="3456" t="s">
        <v>3593</v>
      </c>
      <c r="AQ83" s="3469" t="s">
        <v>3571</v>
      </c>
      <c r="AR83" s="3441"/>
      <c r="AS83" s="3441"/>
      <c r="AT83" s="3441"/>
      <c r="AU83" s="3441"/>
      <c r="AV83" s="3441"/>
      <c r="AW83" s="3441" t="s">
        <v>4064</v>
      </c>
      <c r="AX83" s="3484" t="s">
        <v>3606</v>
      </c>
      <c r="AY83" s="3524" t="s">
        <v>4363</v>
      </c>
      <c r="AZ83" s="3470" t="s">
        <v>3647</v>
      </c>
      <c r="BA83" s="3441" t="s">
        <v>4338</v>
      </c>
      <c r="BB83" s="3524" t="s">
        <v>4364</v>
      </c>
      <c r="BC83" s="3441" t="s">
        <v>4339</v>
      </c>
      <c r="BD83" s="3525">
        <v>100088</v>
      </c>
      <c r="BE83" s="3441">
        <v>82058259</v>
      </c>
      <c r="BF83" s="3526" t="s">
        <v>4365</v>
      </c>
      <c r="BG83" s="3518">
        <v>37638</v>
      </c>
      <c r="BH83" s="3441"/>
      <c r="BI83" s="3470" t="s">
        <v>3586</v>
      </c>
      <c r="BJ83" s="3518">
        <v>37705</v>
      </c>
      <c r="BK83" s="3484">
        <v>37711</v>
      </c>
      <c r="BL83" s="3470" t="s">
        <v>3670</v>
      </c>
      <c r="BM83" s="3441"/>
      <c r="BN83" s="3441"/>
      <c r="BO83" s="3441"/>
      <c r="BP83" s="3441"/>
      <c r="BQ83" s="3441"/>
      <c r="BR83" s="3441"/>
      <c r="BS83" s="3470"/>
      <c r="BT83" s="3470"/>
      <c r="BU83" s="3470"/>
      <c r="BV83" s="3441"/>
      <c r="BW83" s="3441"/>
      <c r="BX83" s="3441"/>
    </row>
    <row r="84" spans="1:76" s="3565" customFormat="1" hidden="1">
      <c r="A84" s="3485" t="s">
        <v>4366</v>
      </c>
      <c r="B84" s="3470" t="s">
        <v>4367</v>
      </c>
      <c r="C84" s="3481" t="s">
        <v>4368</v>
      </c>
      <c r="D84" s="3481" t="s">
        <v>4369</v>
      </c>
      <c r="E84" s="3470" t="s">
        <v>2736</v>
      </c>
      <c r="F84" s="3528" t="s">
        <v>4333</v>
      </c>
      <c r="G84" s="3470"/>
      <c r="H84" s="3470" t="s">
        <v>4370</v>
      </c>
      <c r="I84" s="3470" t="s">
        <v>3582</v>
      </c>
      <c r="J84" s="3481" t="s">
        <v>4012</v>
      </c>
      <c r="K84" s="3470" t="s">
        <v>3647</v>
      </c>
      <c r="L84" s="3470">
        <v>101.19</v>
      </c>
      <c r="M84" s="3470">
        <v>2</v>
      </c>
      <c r="N84" s="3470" t="s">
        <v>3486</v>
      </c>
      <c r="O84" s="3470">
        <v>81.96</v>
      </c>
      <c r="P84" s="3470" t="s">
        <v>3633</v>
      </c>
      <c r="Q84" s="3557">
        <v>552497.4</v>
      </c>
      <c r="R84" s="3470">
        <v>5460</v>
      </c>
      <c r="S84" s="3472">
        <v>54.84</v>
      </c>
      <c r="T84" s="3527">
        <v>548400</v>
      </c>
      <c r="U84" s="3470">
        <v>5420</v>
      </c>
      <c r="V84" s="3474">
        <v>0.1</v>
      </c>
      <c r="W84" s="3475">
        <v>49.35</v>
      </c>
      <c r="X84" s="3494">
        <v>493500</v>
      </c>
      <c r="Y84" s="3441">
        <v>2003</v>
      </c>
      <c r="Z84" s="3495">
        <v>4</v>
      </c>
      <c r="AA84" s="3495">
        <v>4</v>
      </c>
      <c r="AB84" s="3485">
        <v>2740</v>
      </c>
      <c r="AC84" s="3470" t="s">
        <v>4116</v>
      </c>
      <c r="AD84" s="3485"/>
      <c r="AE84" s="3441" t="s">
        <v>3590</v>
      </c>
      <c r="AF84" s="3470" t="s">
        <v>4152</v>
      </c>
      <c r="AG84" s="3522" t="s">
        <v>3546</v>
      </c>
      <c r="AH84" s="3485"/>
      <c r="AI84" s="3456" t="s">
        <v>3589</v>
      </c>
      <c r="AJ84" s="3523">
        <v>37992</v>
      </c>
      <c r="AK84" s="3500" t="s">
        <v>3484</v>
      </c>
      <c r="AL84" s="3515">
        <v>64256608</v>
      </c>
      <c r="AM84" s="3441"/>
      <c r="AN84" s="3470" t="s">
        <v>3635</v>
      </c>
      <c r="AO84" s="3441"/>
      <c r="AP84" s="3456" t="s">
        <v>3593</v>
      </c>
      <c r="AQ84" s="3469" t="s">
        <v>3571</v>
      </c>
      <c r="AR84" s="3441"/>
      <c r="AS84" s="3441"/>
      <c r="AT84" s="3441"/>
      <c r="AU84" s="3441"/>
      <c r="AV84" s="3441"/>
      <c r="AW84" s="3441" t="s">
        <v>3458</v>
      </c>
      <c r="AX84" s="3484" t="s">
        <v>3606</v>
      </c>
      <c r="AY84" s="3524" t="s">
        <v>4371</v>
      </c>
      <c r="AZ84" s="3470" t="s">
        <v>3647</v>
      </c>
      <c r="BA84" s="3441" t="s">
        <v>4327</v>
      </c>
      <c r="BB84" s="3524" t="s">
        <v>3640</v>
      </c>
      <c r="BC84" s="3441" t="s">
        <v>4049</v>
      </c>
      <c r="BD84" s="3525">
        <v>100088</v>
      </c>
      <c r="BE84" s="3441">
        <v>82058259</v>
      </c>
      <c r="BF84" s="3526" t="s">
        <v>4340</v>
      </c>
      <c r="BG84" s="3518">
        <v>37638</v>
      </c>
      <c r="BH84" s="3441"/>
      <c r="BI84" s="3470" t="s">
        <v>3593</v>
      </c>
      <c r="BJ84" s="3518">
        <v>37707</v>
      </c>
      <c r="BK84" s="3484">
        <v>37711</v>
      </c>
      <c r="BL84" s="3470" t="s">
        <v>3670</v>
      </c>
      <c r="BM84" s="3441"/>
      <c r="BN84" s="3441"/>
      <c r="BO84" s="3441"/>
      <c r="BP84" s="3441"/>
      <c r="BQ84" s="3441"/>
      <c r="BR84" s="3441"/>
      <c r="BS84" s="3470"/>
      <c r="BT84" s="3470"/>
      <c r="BU84" s="3470"/>
      <c r="BV84" s="3441"/>
      <c r="BW84" s="3441"/>
      <c r="BX84" s="3441"/>
    </row>
    <row r="85" spans="1:76" s="3441" customFormat="1" ht="12" hidden="1">
      <c r="A85" s="3485" t="s">
        <v>4372</v>
      </c>
      <c r="B85" s="3470" t="s">
        <v>4373</v>
      </c>
      <c r="C85" s="3481" t="s">
        <v>4374</v>
      </c>
      <c r="D85" s="3481" t="s">
        <v>4375</v>
      </c>
      <c r="E85" s="3470" t="s">
        <v>3558</v>
      </c>
      <c r="F85" s="3521" t="s">
        <v>3951</v>
      </c>
      <c r="G85" s="3470"/>
      <c r="H85" s="3470" t="s">
        <v>4376</v>
      </c>
      <c r="I85" s="3470" t="s">
        <v>3992</v>
      </c>
      <c r="J85" s="3481" t="s">
        <v>4377</v>
      </c>
      <c r="K85" s="3470" t="s">
        <v>3955</v>
      </c>
      <c r="L85" s="3470">
        <v>96.94</v>
      </c>
      <c r="M85" s="3470">
        <v>7</v>
      </c>
      <c r="N85" s="3470" t="s">
        <v>3486</v>
      </c>
      <c r="O85" s="3470">
        <v>80.23</v>
      </c>
      <c r="P85" s="3470" t="s">
        <v>3452</v>
      </c>
      <c r="Q85" s="3557">
        <v>419905.304</v>
      </c>
      <c r="R85" s="3470">
        <v>4331.6000000000004</v>
      </c>
      <c r="S85" s="3532">
        <v>41.49</v>
      </c>
      <c r="T85" s="3554">
        <v>414900</v>
      </c>
      <c r="U85" s="3470">
        <v>4280</v>
      </c>
      <c r="V85" s="3474">
        <v>0.1</v>
      </c>
      <c r="W85" s="3475">
        <v>37.340000000000003</v>
      </c>
      <c r="X85" s="3473">
        <v>373400.00000000006</v>
      </c>
      <c r="Y85" s="3470">
        <v>2003</v>
      </c>
      <c r="Z85" s="3515">
        <v>3</v>
      </c>
      <c r="AA85" s="3441">
        <v>31</v>
      </c>
      <c r="AB85" s="3485">
        <v>2070</v>
      </c>
      <c r="AC85" s="3470" t="s">
        <v>3585</v>
      </c>
      <c r="AD85" s="3485"/>
      <c r="AE85" s="3456" t="s">
        <v>3586</v>
      </c>
      <c r="AF85" s="3470" t="s">
        <v>3956</v>
      </c>
      <c r="AG85" s="3555" t="s">
        <v>3605</v>
      </c>
      <c r="AH85" s="3485"/>
      <c r="AI85" s="3470" t="s">
        <v>2152</v>
      </c>
      <c r="AJ85" s="3523">
        <v>37802</v>
      </c>
      <c r="AK85" s="3479" t="s">
        <v>4210</v>
      </c>
      <c r="AL85" s="3441">
        <v>64256608</v>
      </c>
      <c r="AN85" s="3441" t="s">
        <v>3482</v>
      </c>
      <c r="AP85" s="3441" t="s">
        <v>4045</v>
      </c>
      <c r="AQ85" s="3456" t="s">
        <v>3571</v>
      </c>
      <c r="AV85" s="3441" t="s">
        <v>3568</v>
      </c>
      <c r="AW85" s="3441" t="s">
        <v>3572</v>
      </c>
      <c r="AX85" s="3441" t="s">
        <v>2511</v>
      </c>
      <c r="AY85" s="3524" t="s">
        <v>4378</v>
      </c>
      <c r="AZ85" s="3441" t="s">
        <v>3955</v>
      </c>
      <c r="BA85" s="3441" t="s">
        <v>3959</v>
      </c>
      <c r="BB85" s="3524" t="s">
        <v>3960</v>
      </c>
      <c r="BC85" s="3441" t="s">
        <v>3961</v>
      </c>
      <c r="BD85" s="3525">
        <v>102100</v>
      </c>
      <c r="BE85" s="3441">
        <v>62998398</v>
      </c>
      <c r="BF85" s="3526">
        <v>2.8</v>
      </c>
      <c r="BG85" s="3518">
        <v>37684</v>
      </c>
      <c r="BI85" s="3441" t="s">
        <v>2152</v>
      </c>
      <c r="BJ85" s="3484">
        <v>37706</v>
      </c>
      <c r="BK85" s="3484"/>
      <c r="BL85" s="3470" t="s">
        <v>3670</v>
      </c>
      <c r="BS85" s="3470"/>
      <c r="BT85" s="3470"/>
      <c r="BU85" s="3470"/>
    </row>
    <row r="86" spans="1:76" s="3470" customFormat="1" ht="12" hidden="1">
      <c r="A86" s="3485" t="s">
        <v>4379</v>
      </c>
      <c r="B86" s="3470" t="s">
        <v>4380</v>
      </c>
      <c r="C86" s="3481" t="s">
        <v>4381</v>
      </c>
      <c r="D86" s="3470">
        <v>13810056928</v>
      </c>
      <c r="E86" s="3470" t="s">
        <v>3558</v>
      </c>
      <c r="F86" s="3470" t="s">
        <v>4167</v>
      </c>
      <c r="H86" s="3453" t="s">
        <v>4168</v>
      </c>
      <c r="I86" s="3453" t="s">
        <v>3615</v>
      </c>
      <c r="J86" s="3453" t="s">
        <v>4382</v>
      </c>
      <c r="K86" s="3470" t="s">
        <v>4029</v>
      </c>
      <c r="L86" s="3495">
        <v>117.6</v>
      </c>
      <c r="M86" s="3495">
        <v>4</v>
      </c>
      <c r="N86" s="3470" t="s">
        <v>3661</v>
      </c>
      <c r="O86" s="3495">
        <v>105.73</v>
      </c>
      <c r="P86" s="3470" t="s">
        <v>3452</v>
      </c>
      <c r="Q86" s="3557">
        <v>458640</v>
      </c>
      <c r="R86" s="3495">
        <v>3900</v>
      </c>
      <c r="S86" s="3532">
        <v>45.33</v>
      </c>
      <c r="T86" s="3554">
        <v>453300</v>
      </c>
      <c r="U86" s="3495">
        <v>3855</v>
      </c>
      <c r="V86" s="3512">
        <v>0.1</v>
      </c>
      <c r="W86" s="3475">
        <v>40.79</v>
      </c>
      <c r="X86" s="3473">
        <v>407900</v>
      </c>
      <c r="Y86" s="3515">
        <v>2003</v>
      </c>
      <c r="Z86" s="3441">
        <v>3</v>
      </c>
      <c r="AA86" s="3441">
        <v>28</v>
      </c>
      <c r="AB86" s="3485">
        <v>2265</v>
      </c>
      <c r="AC86" s="3470" t="s">
        <v>4383</v>
      </c>
      <c r="AE86" s="3441" t="s">
        <v>3593</v>
      </c>
      <c r="AF86" s="3453" t="s">
        <v>3493</v>
      </c>
      <c r="AG86" s="3470" t="s">
        <v>3466</v>
      </c>
      <c r="AH86" s="3470" t="s">
        <v>3568</v>
      </c>
      <c r="AI86" s="3470" t="s">
        <v>3589</v>
      </c>
      <c r="AJ86" s="3478"/>
      <c r="AK86" s="3548">
        <v>3</v>
      </c>
      <c r="AL86" s="3441">
        <v>64256608</v>
      </c>
      <c r="AN86" s="3456" t="s">
        <v>3695</v>
      </c>
      <c r="AO86" s="3470" t="s">
        <v>3568</v>
      </c>
      <c r="AP86" s="3469" t="s">
        <v>2152</v>
      </c>
      <c r="AQ86" s="3456" t="s">
        <v>3571</v>
      </c>
      <c r="AV86" s="3519"/>
      <c r="AW86" s="3470" t="s">
        <v>3572</v>
      </c>
      <c r="AX86" s="3470" t="s">
        <v>2511</v>
      </c>
      <c r="AY86" s="3495">
        <v>232399</v>
      </c>
      <c r="AZ86" s="3470" t="s">
        <v>4029</v>
      </c>
      <c r="BA86" s="3470" t="s">
        <v>4034</v>
      </c>
      <c r="BC86" s="3470" t="s">
        <v>4035</v>
      </c>
      <c r="BD86" s="3470">
        <v>100034</v>
      </c>
      <c r="BE86" s="3470">
        <v>66177078</v>
      </c>
      <c r="BF86" s="3520">
        <v>2.7</v>
      </c>
      <c r="BG86" s="3478">
        <v>37588</v>
      </c>
      <c r="BI86" s="3441" t="s">
        <v>2152</v>
      </c>
      <c r="BJ86" s="3478">
        <v>37706</v>
      </c>
      <c r="BL86" s="3441" t="s">
        <v>3623</v>
      </c>
      <c r="BM86" s="3441"/>
      <c r="BN86" s="3441"/>
      <c r="BO86" s="3441"/>
      <c r="BP86" s="3441"/>
      <c r="BQ86" s="3441"/>
      <c r="BR86" s="3441"/>
    </row>
    <row r="87" spans="1:76" s="3470" customFormat="1" ht="12" hidden="1">
      <c r="A87" s="3485" t="s">
        <v>4384</v>
      </c>
      <c r="B87" s="3453" t="s">
        <v>4385</v>
      </c>
      <c r="C87" s="3481" t="s">
        <v>4386</v>
      </c>
      <c r="D87" s="3453">
        <v>62170437</v>
      </c>
      <c r="E87" s="3470" t="s">
        <v>3558</v>
      </c>
      <c r="F87" s="3453" t="s">
        <v>4025</v>
      </c>
      <c r="H87" s="3470" t="s">
        <v>4026</v>
      </c>
      <c r="I87" s="3470" t="s">
        <v>4387</v>
      </c>
      <c r="J87" s="3470" t="s">
        <v>4388</v>
      </c>
      <c r="K87" s="3470" t="s">
        <v>4029</v>
      </c>
      <c r="L87" s="3470">
        <v>82.81</v>
      </c>
      <c r="M87" s="3470">
        <v>7</v>
      </c>
      <c r="N87" s="3470" t="s">
        <v>4030</v>
      </c>
      <c r="O87" s="3470">
        <v>67.069999999999993</v>
      </c>
      <c r="P87" s="3470" t="s">
        <v>3452</v>
      </c>
      <c r="Q87" s="3557">
        <v>343661.5</v>
      </c>
      <c r="R87" s="3470">
        <v>4150</v>
      </c>
      <c r="S87" s="3532">
        <v>33.950000000000003</v>
      </c>
      <c r="T87" s="3554">
        <v>339500</v>
      </c>
      <c r="U87" s="3470">
        <v>4100</v>
      </c>
      <c r="V87" s="3474">
        <v>0.1</v>
      </c>
      <c r="W87" s="3475">
        <v>30.55</v>
      </c>
      <c r="X87" s="3473">
        <v>305500</v>
      </c>
      <c r="Y87" s="3441">
        <v>2003</v>
      </c>
      <c r="Z87" s="3441">
        <v>3</v>
      </c>
      <c r="AA87" s="3441">
        <v>28</v>
      </c>
      <c r="AB87" s="3485">
        <v>1695</v>
      </c>
      <c r="AC87" s="3470" t="s">
        <v>4389</v>
      </c>
      <c r="AE87" s="3441" t="s">
        <v>3593</v>
      </c>
      <c r="AF87" s="3470" t="s">
        <v>4390</v>
      </c>
      <c r="AG87" s="3470" t="s">
        <v>3466</v>
      </c>
      <c r="AH87" s="3470" t="s">
        <v>3568</v>
      </c>
      <c r="AI87" s="3490" t="s">
        <v>3569</v>
      </c>
      <c r="AJ87" s="3523">
        <v>37621</v>
      </c>
      <c r="AK87" s="3500" t="s">
        <v>4210</v>
      </c>
      <c r="AL87" s="3470">
        <v>64256608</v>
      </c>
      <c r="AN87" s="3441" t="s">
        <v>3680</v>
      </c>
      <c r="AO87" s="3470" t="s">
        <v>3568</v>
      </c>
      <c r="AP87" s="3470" t="s">
        <v>4045</v>
      </c>
      <c r="AQ87" s="3470" t="s">
        <v>3571</v>
      </c>
      <c r="AW87" s="3470" t="s">
        <v>3572</v>
      </c>
      <c r="AX87" s="3470" t="s">
        <v>2511</v>
      </c>
      <c r="AY87" s="3481" t="s">
        <v>4391</v>
      </c>
      <c r="AZ87" s="3470" t="s">
        <v>4029</v>
      </c>
      <c r="BA87" s="3470" t="s">
        <v>4034</v>
      </c>
      <c r="BB87" s="3481" t="s">
        <v>4392</v>
      </c>
      <c r="BC87" s="3470" t="s">
        <v>4035</v>
      </c>
      <c r="BD87" s="3482">
        <v>100034</v>
      </c>
      <c r="BE87" s="3470">
        <v>66177078</v>
      </c>
      <c r="BF87" s="3483">
        <v>2.7</v>
      </c>
      <c r="BG87" s="3478">
        <v>37508</v>
      </c>
      <c r="BI87" s="3441" t="s">
        <v>2152</v>
      </c>
      <c r="BJ87" s="3508">
        <v>37707</v>
      </c>
      <c r="BK87" s="3508"/>
      <c r="BL87" s="3441" t="s">
        <v>3594</v>
      </c>
      <c r="BM87" s="3441"/>
      <c r="BN87" s="3441"/>
      <c r="BO87" s="3441"/>
      <c r="BP87" s="3441"/>
      <c r="BQ87" s="3441"/>
      <c r="BR87" s="3441"/>
    </row>
    <row r="88" spans="1:76" s="3565" customFormat="1" hidden="1">
      <c r="A88" s="3486" t="s">
        <v>4393</v>
      </c>
      <c r="B88" s="3486" t="s">
        <v>4394</v>
      </c>
      <c r="C88" s="3488" t="s">
        <v>4395</v>
      </c>
      <c r="D88" s="3488" t="s">
        <v>4396</v>
      </c>
      <c r="E88" s="3488" t="s">
        <v>3763</v>
      </c>
      <c r="F88" s="3488" t="s">
        <v>4345</v>
      </c>
      <c r="G88" s="3486"/>
      <c r="H88" s="3486" t="s">
        <v>4397</v>
      </c>
      <c r="I88" s="3486" t="s">
        <v>3464</v>
      </c>
      <c r="J88" s="3488" t="s">
        <v>3920</v>
      </c>
      <c r="K88" s="3486" t="s">
        <v>4347</v>
      </c>
      <c r="L88" s="3491">
        <v>141.85</v>
      </c>
      <c r="M88" s="3491">
        <v>6</v>
      </c>
      <c r="N88" s="3486" t="s">
        <v>3632</v>
      </c>
      <c r="O88" s="3491">
        <v>117.27</v>
      </c>
      <c r="P88" s="3486" t="s">
        <v>3452</v>
      </c>
      <c r="Q88" s="3531">
        <v>680880</v>
      </c>
      <c r="R88" s="3491">
        <v>4800</v>
      </c>
      <c r="S88" s="3532">
        <v>67.37</v>
      </c>
      <c r="T88" s="3533">
        <v>673700</v>
      </c>
      <c r="U88" s="3491">
        <v>4750</v>
      </c>
      <c r="V88" s="3529">
        <v>0.1</v>
      </c>
      <c r="W88" s="3475">
        <v>60.63</v>
      </c>
      <c r="X88" s="3554">
        <v>606300</v>
      </c>
      <c r="Y88" s="3501">
        <v>2003</v>
      </c>
      <c r="Z88" s="3501">
        <v>4</v>
      </c>
      <c r="AA88" s="3501">
        <v>7</v>
      </c>
      <c r="AB88" s="3477">
        <v>3365</v>
      </c>
      <c r="AC88" s="3486" t="s">
        <v>4013</v>
      </c>
      <c r="AD88" s="3490"/>
      <c r="AE88" s="3480" t="s">
        <v>3586</v>
      </c>
      <c r="AF88" s="3486" t="s">
        <v>3956</v>
      </c>
      <c r="AG88" s="3488" t="s">
        <v>3605</v>
      </c>
      <c r="AH88" s="3490"/>
      <c r="AI88" s="3456" t="s">
        <v>2152</v>
      </c>
      <c r="AJ88" s="3539">
        <v>37790</v>
      </c>
      <c r="AK88" s="3548" t="s">
        <v>3768</v>
      </c>
      <c r="AL88" s="3515">
        <v>64256608</v>
      </c>
      <c r="AM88" s="3502"/>
      <c r="AN88" s="3497"/>
      <c r="AO88" s="3486"/>
      <c r="AP88" s="3497" t="s">
        <v>3593</v>
      </c>
      <c r="AQ88" s="3480" t="s">
        <v>3457</v>
      </c>
      <c r="AR88" s="3486"/>
      <c r="AS88" s="3486"/>
      <c r="AT88" s="3486"/>
      <c r="AU88" s="3480"/>
      <c r="AV88" s="3567"/>
      <c r="AW88" s="3502" t="s">
        <v>3458</v>
      </c>
      <c r="AX88" s="3502" t="s">
        <v>3549</v>
      </c>
      <c r="AY88" s="3501">
        <v>145443</v>
      </c>
      <c r="AZ88" s="3486" t="s">
        <v>4347</v>
      </c>
      <c r="BA88" s="3552" t="s">
        <v>4349</v>
      </c>
      <c r="BB88" s="3568" t="s">
        <v>4398</v>
      </c>
      <c r="BC88" s="3552" t="s">
        <v>4351</v>
      </c>
      <c r="BD88" s="3569">
        <v>100010</v>
      </c>
      <c r="BE88" s="3501">
        <v>65233356</v>
      </c>
      <c r="BF88" s="3506">
        <v>2.7</v>
      </c>
      <c r="BG88" s="3539">
        <v>37651</v>
      </c>
      <c r="BH88" s="3490"/>
      <c r="BI88" s="3486" t="s">
        <v>3586</v>
      </c>
      <c r="BJ88" s="3518">
        <v>37708</v>
      </c>
      <c r="BK88" s="3484">
        <v>37690</v>
      </c>
      <c r="BL88" s="3470" t="s">
        <v>3670</v>
      </c>
      <c r="BM88" s="3441"/>
      <c r="BN88" s="3441"/>
      <c r="BO88" s="3441"/>
      <c r="BP88" s="3441"/>
      <c r="BQ88" s="3441"/>
      <c r="BR88" s="3441"/>
      <c r="BS88" s="3470"/>
      <c r="BT88" s="3470"/>
      <c r="BU88" s="3470"/>
      <c r="BV88" s="3486"/>
      <c r="BW88" s="3486"/>
      <c r="BX88" s="3486"/>
    </row>
    <row r="89" spans="1:76" s="3565" customFormat="1" hidden="1">
      <c r="A89" s="3453" t="s">
        <v>4399</v>
      </c>
      <c r="B89" s="3470" t="s">
        <v>4400</v>
      </c>
      <c r="C89" s="3481" t="s">
        <v>4401</v>
      </c>
      <c r="D89" s="3481" t="s">
        <v>4402</v>
      </c>
      <c r="E89" s="3470" t="s">
        <v>3558</v>
      </c>
      <c r="F89" s="3470" t="s">
        <v>4403</v>
      </c>
      <c r="G89" s="3470" t="s">
        <v>3568</v>
      </c>
      <c r="H89" s="3470" t="s">
        <v>4273</v>
      </c>
      <c r="I89" s="3470" t="s">
        <v>4404</v>
      </c>
      <c r="J89" s="3481" t="s">
        <v>4405</v>
      </c>
      <c r="K89" s="3470" t="s">
        <v>4406</v>
      </c>
      <c r="L89" s="3470">
        <v>128.91999999999999</v>
      </c>
      <c r="M89" s="3470">
        <v>3</v>
      </c>
      <c r="N89" s="3470" t="s">
        <v>3488</v>
      </c>
      <c r="O89" s="3470">
        <v>115.28</v>
      </c>
      <c r="P89" s="3470" t="s">
        <v>3452</v>
      </c>
      <c r="Q89" s="3457">
        <v>643310.80000000005</v>
      </c>
      <c r="R89" s="3470">
        <v>4990</v>
      </c>
      <c r="S89" s="3532">
        <v>63.68</v>
      </c>
      <c r="T89" s="3554">
        <v>636800</v>
      </c>
      <c r="U89" s="3470">
        <v>4940</v>
      </c>
      <c r="V89" s="3474">
        <v>0.1</v>
      </c>
      <c r="W89" s="3475">
        <v>57.31</v>
      </c>
      <c r="X89" s="3473">
        <v>573100</v>
      </c>
      <c r="Y89" s="3441">
        <v>2003</v>
      </c>
      <c r="Z89" s="3441">
        <v>4</v>
      </c>
      <c r="AA89" s="3441">
        <v>1</v>
      </c>
      <c r="AB89" s="3477">
        <v>3180</v>
      </c>
      <c r="AC89" s="3470" t="s">
        <v>4407</v>
      </c>
      <c r="AD89" s="3485"/>
      <c r="AE89" s="3441" t="s">
        <v>3586</v>
      </c>
      <c r="AF89" s="3470" t="s">
        <v>3728</v>
      </c>
      <c r="AG89" s="3522" t="s">
        <v>3466</v>
      </c>
      <c r="AH89" s="3485"/>
      <c r="AI89" s="3470" t="s">
        <v>3589</v>
      </c>
      <c r="AJ89" s="3523">
        <v>37833</v>
      </c>
      <c r="AK89" s="3548">
        <v>4</v>
      </c>
      <c r="AL89" s="3441">
        <v>64256608</v>
      </c>
      <c r="AM89" s="3441"/>
      <c r="AN89" s="3480" t="s">
        <v>3768</v>
      </c>
      <c r="AO89" s="3470" t="s">
        <v>3588</v>
      </c>
      <c r="AP89" s="3441" t="s">
        <v>2152</v>
      </c>
      <c r="AQ89" s="3441" t="s">
        <v>3571</v>
      </c>
      <c r="AR89" s="3441"/>
      <c r="AS89" s="3441"/>
      <c r="AT89" s="3441"/>
      <c r="AU89" s="3441"/>
      <c r="AV89" s="3441"/>
      <c r="AW89" s="3441" t="s">
        <v>3572</v>
      </c>
      <c r="AX89" s="3441" t="s">
        <v>3568</v>
      </c>
      <c r="AY89" s="3524" t="s">
        <v>4408</v>
      </c>
      <c r="AZ89" s="3441" t="s">
        <v>4406</v>
      </c>
      <c r="BA89" s="3441" t="s">
        <v>4409</v>
      </c>
      <c r="BB89" s="3524" t="s">
        <v>4410</v>
      </c>
      <c r="BC89" s="3441" t="s">
        <v>4411</v>
      </c>
      <c r="BD89" s="3525">
        <v>100026</v>
      </c>
      <c r="BE89" s="3441">
        <v>68152860</v>
      </c>
      <c r="BF89" s="3526">
        <v>2.8</v>
      </c>
      <c r="BG89" s="3518">
        <v>37642</v>
      </c>
      <c r="BH89" s="3441" t="s">
        <v>4412</v>
      </c>
      <c r="BI89" s="3470" t="s">
        <v>4045</v>
      </c>
      <c r="BJ89" s="3484">
        <v>37711</v>
      </c>
      <c r="BK89" s="3484"/>
      <c r="BL89" s="3470" t="s">
        <v>3670</v>
      </c>
      <c r="BM89" s="3441"/>
      <c r="BN89" s="3441"/>
      <c r="BO89" s="3441"/>
      <c r="BP89" s="3441"/>
      <c r="BQ89" s="3441"/>
      <c r="BR89" s="3441"/>
      <c r="BS89" s="3470"/>
      <c r="BT89" s="3470"/>
      <c r="BU89" s="3470"/>
      <c r="BV89" s="3441"/>
      <c r="BW89" s="3441"/>
      <c r="BX89" s="3441"/>
    </row>
    <row r="90" spans="1:76" s="3441" customFormat="1" ht="12" hidden="1">
      <c r="A90" s="3485" t="s">
        <v>4413</v>
      </c>
      <c r="B90" s="3470" t="s">
        <v>4414</v>
      </c>
      <c r="C90" s="3481" t="s">
        <v>4415</v>
      </c>
      <c r="D90" s="3481" t="s">
        <v>4416</v>
      </c>
      <c r="E90" s="3470" t="s">
        <v>2736</v>
      </c>
      <c r="F90" s="3521" t="s">
        <v>4417</v>
      </c>
      <c r="G90" s="3470"/>
      <c r="H90" s="3470" t="s">
        <v>4418</v>
      </c>
      <c r="I90" s="3470" t="s">
        <v>4362</v>
      </c>
      <c r="J90" s="3481" t="s">
        <v>4302</v>
      </c>
      <c r="K90" s="3470" t="s">
        <v>4419</v>
      </c>
      <c r="L90" s="3470">
        <v>70.349999999999994</v>
      </c>
      <c r="M90" s="3470">
        <v>8</v>
      </c>
      <c r="N90" s="3490" t="s">
        <v>3790</v>
      </c>
      <c r="O90" s="3470">
        <v>58</v>
      </c>
      <c r="P90" s="3570" t="s">
        <v>3452</v>
      </c>
      <c r="Q90" s="3457">
        <v>414431.85</v>
      </c>
      <c r="R90" s="3470">
        <v>5891</v>
      </c>
      <c r="S90" s="3472">
        <v>41.08</v>
      </c>
      <c r="T90" s="3527">
        <v>410800</v>
      </c>
      <c r="U90" s="3470">
        <v>5840</v>
      </c>
      <c r="V90" s="3474">
        <v>0.1</v>
      </c>
      <c r="W90" s="3475">
        <v>36.97</v>
      </c>
      <c r="X90" s="3473">
        <v>369700</v>
      </c>
      <c r="Y90" s="3441">
        <v>2003</v>
      </c>
      <c r="Z90" s="3441">
        <v>5</v>
      </c>
      <c r="AA90" s="3441">
        <v>16</v>
      </c>
      <c r="AB90" s="3485">
        <v>2050</v>
      </c>
      <c r="AC90" s="3490" t="s">
        <v>3634</v>
      </c>
      <c r="AD90" s="3485"/>
      <c r="AE90" s="3441" t="s">
        <v>3586</v>
      </c>
      <c r="AF90" s="3470" t="s">
        <v>3618</v>
      </c>
      <c r="AG90" s="3570" t="s">
        <v>3466</v>
      </c>
      <c r="AH90" s="3485"/>
      <c r="AI90" s="3570" t="s">
        <v>3569</v>
      </c>
      <c r="AJ90" s="3523">
        <v>37864</v>
      </c>
      <c r="AK90" s="3479" t="s">
        <v>4420</v>
      </c>
      <c r="AL90" s="3441">
        <v>82253572</v>
      </c>
      <c r="AP90" s="3441" t="s">
        <v>3590</v>
      </c>
      <c r="AQ90" s="3441" t="s">
        <v>3650</v>
      </c>
      <c r="AY90" s="3524"/>
      <c r="BB90" s="3524"/>
      <c r="BD90" s="3525"/>
      <c r="BF90" s="3526"/>
      <c r="BG90" s="3518"/>
      <c r="BJ90" s="3484"/>
      <c r="BK90" s="3484"/>
      <c r="BL90" s="3470"/>
      <c r="BS90" s="3470"/>
      <c r="BT90" s="3470"/>
      <c r="BU90" s="3470"/>
    </row>
    <row r="91" spans="1:76" s="3565" customFormat="1" hidden="1">
      <c r="A91" s="3485" t="s">
        <v>4421</v>
      </c>
      <c r="B91" s="3470" t="s">
        <v>4422</v>
      </c>
      <c r="C91" s="3481" t="s">
        <v>4423</v>
      </c>
      <c r="D91" s="3470">
        <v>62362342</v>
      </c>
      <c r="E91" s="3470" t="s">
        <v>3558</v>
      </c>
      <c r="F91" s="3470" t="s">
        <v>4025</v>
      </c>
      <c r="G91" s="3470"/>
      <c r="H91" s="3453" t="s">
        <v>4026</v>
      </c>
      <c r="I91" s="3453" t="s">
        <v>4424</v>
      </c>
      <c r="J91" s="3453" t="s">
        <v>4425</v>
      </c>
      <c r="K91" s="3470" t="s">
        <v>4029</v>
      </c>
      <c r="L91" s="3495">
        <v>82.81</v>
      </c>
      <c r="M91" s="3495">
        <v>13</v>
      </c>
      <c r="N91" s="3470" t="s">
        <v>4030</v>
      </c>
      <c r="O91" s="3495">
        <v>67.069999999999993</v>
      </c>
      <c r="P91" s="3470" t="s">
        <v>3452</v>
      </c>
      <c r="Q91" s="3457">
        <v>322959</v>
      </c>
      <c r="R91" s="3470">
        <v>3900</v>
      </c>
      <c r="S91" s="3532">
        <v>31.96</v>
      </c>
      <c r="T91" s="3554">
        <v>319600</v>
      </c>
      <c r="U91" s="3470">
        <v>3860</v>
      </c>
      <c r="V91" s="3474">
        <v>0.1</v>
      </c>
      <c r="W91" s="3475">
        <v>28.76</v>
      </c>
      <c r="X91" s="3473">
        <v>287600</v>
      </c>
      <c r="Y91" s="3441">
        <v>2003</v>
      </c>
      <c r="Z91" s="3441">
        <v>4</v>
      </c>
      <c r="AA91" s="3441">
        <v>3</v>
      </c>
      <c r="AB91" s="3477">
        <v>1595</v>
      </c>
      <c r="AC91" s="3470" t="s">
        <v>4426</v>
      </c>
      <c r="AD91" s="3470"/>
      <c r="AE91" s="3441" t="s">
        <v>3586</v>
      </c>
      <c r="AF91" s="3470" t="s">
        <v>4200</v>
      </c>
      <c r="AG91" s="3470" t="s">
        <v>3466</v>
      </c>
      <c r="AH91" s="3470" t="s">
        <v>3568</v>
      </c>
      <c r="AI91" s="3470" t="s">
        <v>2152</v>
      </c>
      <c r="AJ91" s="3478">
        <v>37742</v>
      </c>
      <c r="AK91" s="3479" t="s">
        <v>4427</v>
      </c>
      <c r="AL91" s="3441">
        <v>64256608</v>
      </c>
      <c r="AM91" s="3470"/>
      <c r="AN91" s="3480" t="s">
        <v>3482</v>
      </c>
      <c r="AO91" s="3470" t="s">
        <v>3568</v>
      </c>
      <c r="AP91" s="3441" t="s">
        <v>2152</v>
      </c>
      <c r="AQ91" s="3456" t="s">
        <v>3571</v>
      </c>
      <c r="AR91" s="3470"/>
      <c r="AS91" s="3470"/>
      <c r="AT91" s="3470"/>
      <c r="AU91" s="3470"/>
      <c r="AV91" s="3519"/>
      <c r="AW91" s="3470" t="s">
        <v>3572</v>
      </c>
      <c r="AX91" s="3470" t="s">
        <v>2511</v>
      </c>
      <c r="AY91" s="3495">
        <v>243674</v>
      </c>
      <c r="AZ91" s="3470" t="s">
        <v>4029</v>
      </c>
      <c r="BA91" s="3470" t="s">
        <v>4034</v>
      </c>
      <c r="BB91" s="3470" t="s">
        <v>4127</v>
      </c>
      <c r="BC91" s="3470" t="s">
        <v>4035</v>
      </c>
      <c r="BD91" s="3470">
        <v>100034</v>
      </c>
      <c r="BE91" s="3470">
        <v>66177078</v>
      </c>
      <c r="BF91" s="3520">
        <v>2.7</v>
      </c>
      <c r="BG91" s="3478">
        <v>37699</v>
      </c>
      <c r="BH91" s="3470"/>
      <c r="BI91" s="3470" t="s">
        <v>3569</v>
      </c>
      <c r="BJ91" s="3478">
        <v>37712</v>
      </c>
      <c r="BK91" s="3478"/>
      <c r="BL91" s="3441" t="s">
        <v>3670</v>
      </c>
      <c r="BM91" s="3441"/>
      <c r="BN91" s="3441"/>
      <c r="BO91" s="3441"/>
      <c r="BP91" s="3441"/>
      <c r="BQ91" s="3441"/>
      <c r="BR91" s="3441"/>
      <c r="BS91" s="3470"/>
      <c r="BT91" s="3470"/>
      <c r="BU91" s="3470"/>
    </row>
    <row r="92" spans="1:76" s="3565" customFormat="1" hidden="1">
      <c r="A92" s="3485" t="s">
        <v>4428</v>
      </c>
      <c r="B92" s="3470" t="s">
        <v>4429</v>
      </c>
      <c r="C92" s="3481" t="s">
        <v>4430</v>
      </c>
      <c r="D92" s="3481" t="s">
        <v>4431</v>
      </c>
      <c r="E92" s="3470" t="s">
        <v>2736</v>
      </c>
      <c r="F92" s="3528" t="s">
        <v>3990</v>
      </c>
      <c r="G92" s="3470"/>
      <c r="H92" s="3470" t="s">
        <v>4432</v>
      </c>
      <c r="I92" s="3470" t="s">
        <v>4433</v>
      </c>
      <c r="J92" s="3481" t="s">
        <v>4434</v>
      </c>
      <c r="K92" s="3470" t="s">
        <v>3647</v>
      </c>
      <c r="L92" s="3470">
        <v>115.05</v>
      </c>
      <c r="M92" s="3470">
        <v>6</v>
      </c>
      <c r="N92" s="3470" t="s">
        <v>3661</v>
      </c>
      <c r="O92" s="3470">
        <v>91.76</v>
      </c>
      <c r="P92" s="3470" t="s">
        <v>3452</v>
      </c>
      <c r="Q92" s="3557">
        <v>661537.5</v>
      </c>
      <c r="R92" s="3470">
        <v>5750</v>
      </c>
      <c r="S92" s="3472">
        <v>66.489999999999995</v>
      </c>
      <c r="T92" s="3527">
        <v>664900</v>
      </c>
      <c r="U92" s="3470">
        <v>5780</v>
      </c>
      <c r="V92" s="3474">
        <v>0.1</v>
      </c>
      <c r="W92" s="3475">
        <v>59.84</v>
      </c>
      <c r="X92" s="3494">
        <v>598400</v>
      </c>
      <c r="Y92" s="3441">
        <v>2003</v>
      </c>
      <c r="Z92" s="3495">
        <v>4</v>
      </c>
      <c r="AA92" s="3495">
        <v>5</v>
      </c>
      <c r="AB92" s="3485">
        <v>3320</v>
      </c>
      <c r="AC92" s="3470" t="s">
        <v>3634</v>
      </c>
      <c r="AD92" s="3485"/>
      <c r="AE92" s="3441" t="s">
        <v>3586</v>
      </c>
      <c r="AF92" s="3470" t="s">
        <v>3587</v>
      </c>
      <c r="AG92" s="3522" t="s">
        <v>3605</v>
      </c>
      <c r="AH92" s="3485"/>
      <c r="AI92" s="3456" t="s">
        <v>3589</v>
      </c>
      <c r="AJ92" s="3523">
        <v>37953</v>
      </c>
      <c r="AK92" s="3500" t="s">
        <v>3768</v>
      </c>
      <c r="AL92" s="3515">
        <v>64256608</v>
      </c>
      <c r="AM92" s="3441"/>
      <c r="AN92" s="3470" t="s">
        <v>3635</v>
      </c>
      <c r="AO92" s="3441"/>
      <c r="AP92" s="3456" t="s">
        <v>3586</v>
      </c>
      <c r="AQ92" s="3469" t="s">
        <v>3571</v>
      </c>
      <c r="AR92" s="3441"/>
      <c r="AS92" s="3441"/>
      <c r="AT92" s="3441"/>
      <c r="AU92" s="3441"/>
      <c r="AV92" s="3441"/>
      <c r="AW92" s="3441" t="s">
        <v>4064</v>
      </c>
      <c r="AX92" s="3484" t="s">
        <v>3606</v>
      </c>
      <c r="AY92" s="3524" t="s">
        <v>4435</v>
      </c>
      <c r="AZ92" s="3470" t="s">
        <v>3631</v>
      </c>
      <c r="BA92" s="3441" t="s">
        <v>4048</v>
      </c>
      <c r="BB92" s="3524" t="s">
        <v>3640</v>
      </c>
      <c r="BC92" s="3441" t="s">
        <v>4436</v>
      </c>
      <c r="BD92" s="3525">
        <v>100088</v>
      </c>
      <c r="BE92" s="3441">
        <v>82058259</v>
      </c>
      <c r="BF92" s="3526">
        <v>2.9</v>
      </c>
      <c r="BG92" s="3518">
        <v>37566</v>
      </c>
      <c r="BH92" s="3441"/>
      <c r="BI92" s="3470" t="s">
        <v>3586</v>
      </c>
      <c r="BJ92" s="3518">
        <v>37712</v>
      </c>
      <c r="BK92" s="3484">
        <v>37713</v>
      </c>
      <c r="BL92" s="3470" t="s">
        <v>3670</v>
      </c>
      <c r="BM92" s="3441"/>
      <c r="BN92" s="3441"/>
      <c r="BO92" s="3441"/>
      <c r="BP92" s="3441"/>
      <c r="BQ92" s="3441"/>
      <c r="BR92" s="3441"/>
      <c r="BS92" s="3470"/>
      <c r="BT92" s="3470"/>
      <c r="BU92" s="3470"/>
    </row>
    <row r="93" spans="1:76" s="3565" customFormat="1" hidden="1">
      <c r="A93" s="3470" t="s">
        <v>4437</v>
      </c>
      <c r="B93" s="3470" t="s">
        <v>4438</v>
      </c>
      <c r="C93" s="3481" t="s">
        <v>4439</v>
      </c>
      <c r="D93" s="3481" t="s">
        <v>4440</v>
      </c>
      <c r="E93" s="3470" t="s">
        <v>3538</v>
      </c>
      <c r="F93" s="3528" t="s">
        <v>4280</v>
      </c>
      <c r="G93" s="3470"/>
      <c r="H93" s="3470" t="s">
        <v>3952</v>
      </c>
      <c r="I93" s="3470" t="s">
        <v>4441</v>
      </c>
      <c r="J93" s="3481" t="s">
        <v>4042</v>
      </c>
      <c r="K93" s="3470" t="s">
        <v>4286</v>
      </c>
      <c r="L93" s="3470">
        <v>118.47</v>
      </c>
      <c r="M93" s="3470">
        <v>3</v>
      </c>
      <c r="N93" s="3470" t="s">
        <v>3994</v>
      </c>
      <c r="O93" s="3470">
        <v>107.38</v>
      </c>
      <c r="P93" s="3470" t="s">
        <v>3452</v>
      </c>
      <c r="Q93" s="3557">
        <v>556809</v>
      </c>
      <c r="R93" s="3470">
        <v>4700</v>
      </c>
      <c r="S93" s="3532">
        <v>54.49</v>
      </c>
      <c r="T93" s="3554">
        <v>544900</v>
      </c>
      <c r="U93" s="3495">
        <v>4600</v>
      </c>
      <c r="V93" s="3512">
        <v>0.1</v>
      </c>
      <c r="W93" s="3560">
        <v>49.04</v>
      </c>
      <c r="X93" s="3473">
        <v>490400</v>
      </c>
      <c r="Y93" s="3470">
        <v>2003</v>
      </c>
      <c r="Z93" s="3441">
        <v>4</v>
      </c>
      <c r="AA93" s="3441">
        <v>8</v>
      </c>
      <c r="AB93" s="3485">
        <v>2720</v>
      </c>
      <c r="AC93" s="3470" t="s">
        <v>3585</v>
      </c>
      <c r="AD93" s="3485"/>
      <c r="AE93" s="3441" t="s">
        <v>3586</v>
      </c>
      <c r="AF93" s="3470" t="s">
        <v>4442</v>
      </c>
      <c r="AG93" s="3522" t="s">
        <v>3605</v>
      </c>
      <c r="AH93" s="3485"/>
      <c r="AI93" s="3470" t="s">
        <v>3589</v>
      </c>
      <c r="AJ93" s="3523">
        <v>37895</v>
      </c>
      <c r="AK93" s="3548">
        <v>4</v>
      </c>
      <c r="AL93" s="3441">
        <v>64256608</v>
      </c>
      <c r="AM93" s="3441"/>
      <c r="AN93" s="3456"/>
      <c r="AO93" s="3441"/>
      <c r="AP93" s="3469" t="s">
        <v>2152</v>
      </c>
      <c r="AQ93" s="3441" t="s">
        <v>3571</v>
      </c>
      <c r="AR93" s="3441"/>
      <c r="AS93" s="3441"/>
      <c r="AT93" s="3441"/>
      <c r="AU93" s="3441"/>
      <c r="AV93" s="3441"/>
      <c r="AW93" s="3470" t="s">
        <v>3572</v>
      </c>
      <c r="AX93" s="3484" t="s">
        <v>2511</v>
      </c>
      <c r="AY93" s="3441">
        <v>265183</v>
      </c>
      <c r="AZ93" s="3441" t="s">
        <v>4283</v>
      </c>
      <c r="BA93" s="3441" t="s">
        <v>4287</v>
      </c>
      <c r="BB93" s="3524" t="s">
        <v>4288</v>
      </c>
      <c r="BC93" s="3441" t="s">
        <v>4443</v>
      </c>
      <c r="BD93" s="3441">
        <v>100873</v>
      </c>
      <c r="BE93" s="3441">
        <v>68498961</v>
      </c>
      <c r="BF93" s="3441">
        <v>2.8</v>
      </c>
      <c r="BG93" s="3518">
        <v>37650</v>
      </c>
      <c r="BH93" s="3470"/>
      <c r="BI93" s="3470" t="s">
        <v>3569</v>
      </c>
      <c r="BJ93" s="3468">
        <v>37715</v>
      </c>
      <c r="BK93" s="3518"/>
      <c r="BL93" s="3441" t="s">
        <v>3623</v>
      </c>
      <c r="BM93" s="3441"/>
      <c r="BN93" s="3441"/>
      <c r="BO93" s="3441"/>
      <c r="BP93" s="3441"/>
      <c r="BQ93" s="3441"/>
      <c r="BR93" s="3441"/>
      <c r="BS93" s="3470"/>
      <c r="BT93" s="3470"/>
      <c r="BU93" s="3470"/>
    </row>
    <row r="94" spans="1:76" s="3565" customFormat="1" hidden="1">
      <c r="A94" s="3488" t="s">
        <v>4444</v>
      </c>
      <c r="B94" s="3470" t="s">
        <v>4445</v>
      </c>
      <c r="C94" s="3454" t="s">
        <v>4446</v>
      </c>
      <c r="D94" s="3453">
        <v>84962983</v>
      </c>
      <c r="E94" s="3470" t="s">
        <v>3558</v>
      </c>
      <c r="F94" s="3470" t="s">
        <v>4025</v>
      </c>
      <c r="G94" s="3470"/>
      <c r="H94" s="3453" t="s">
        <v>4026</v>
      </c>
      <c r="I94" s="3453" t="s">
        <v>4447</v>
      </c>
      <c r="J94" s="3453" t="s">
        <v>4448</v>
      </c>
      <c r="K94" s="3470" t="s">
        <v>4029</v>
      </c>
      <c r="L94" s="3495">
        <v>82.81</v>
      </c>
      <c r="M94" s="3495">
        <v>12</v>
      </c>
      <c r="N94" s="3470" t="s">
        <v>4030</v>
      </c>
      <c r="O94" s="3495">
        <v>67.069999999999993</v>
      </c>
      <c r="P94" s="3470" t="s">
        <v>3452</v>
      </c>
      <c r="Q94" s="3510">
        <v>331240</v>
      </c>
      <c r="R94" s="3470">
        <v>4000</v>
      </c>
      <c r="S94" s="3472">
        <v>32.729999999999997</v>
      </c>
      <c r="T94" s="3550">
        <v>327300</v>
      </c>
      <c r="U94" s="3470">
        <v>3953</v>
      </c>
      <c r="V94" s="3474">
        <v>0.1</v>
      </c>
      <c r="W94" s="3475">
        <v>29.45</v>
      </c>
      <c r="X94" s="3494">
        <v>294500</v>
      </c>
      <c r="Y94" s="3441">
        <v>2003</v>
      </c>
      <c r="Z94" s="3441">
        <v>4</v>
      </c>
      <c r="AA94" s="3501">
        <v>15</v>
      </c>
      <c r="AB94" s="3477">
        <v>1635</v>
      </c>
      <c r="AC94" s="3470" t="s">
        <v>4389</v>
      </c>
      <c r="AD94" s="3470"/>
      <c r="AE94" s="3497" t="s">
        <v>3593</v>
      </c>
      <c r="AF94" s="3470" t="s">
        <v>4449</v>
      </c>
      <c r="AG94" s="3470" t="s">
        <v>3466</v>
      </c>
      <c r="AH94" s="3470" t="s">
        <v>3568</v>
      </c>
      <c r="AI94" s="3456" t="s">
        <v>3589</v>
      </c>
      <c r="AJ94" s="3478">
        <v>37621</v>
      </c>
      <c r="AK94" s="3479" t="s">
        <v>3768</v>
      </c>
      <c r="AL94" s="3495">
        <v>64256805</v>
      </c>
      <c r="AM94" s="3470"/>
      <c r="AN94" s="3480" t="s">
        <v>3800</v>
      </c>
      <c r="AO94" s="3470" t="s">
        <v>3568</v>
      </c>
      <c r="AP94" s="3497" t="s">
        <v>4045</v>
      </c>
      <c r="AQ94" s="3456" t="s">
        <v>3571</v>
      </c>
      <c r="AR94" s="3470"/>
      <c r="AS94" s="3470"/>
      <c r="AT94" s="3470"/>
      <c r="AU94" s="3470"/>
      <c r="AV94" s="3519"/>
      <c r="AW94" s="3470" t="s">
        <v>3572</v>
      </c>
      <c r="AX94" s="3470" t="s">
        <v>2511</v>
      </c>
      <c r="AY94" s="3495">
        <v>190012</v>
      </c>
      <c r="AZ94" s="3470" t="s">
        <v>4029</v>
      </c>
      <c r="BA94" s="3470" t="s">
        <v>4034</v>
      </c>
      <c r="BB94" s="3470" t="s">
        <v>4127</v>
      </c>
      <c r="BC94" s="3470" t="s">
        <v>4035</v>
      </c>
      <c r="BD94" s="3470">
        <v>100034</v>
      </c>
      <c r="BE94" s="3470">
        <v>66177078</v>
      </c>
      <c r="BF94" s="3520">
        <v>2.7</v>
      </c>
      <c r="BG94" s="3478">
        <v>37566</v>
      </c>
      <c r="BH94" s="3470"/>
      <c r="BI94" s="3469" t="s">
        <v>3589</v>
      </c>
      <c r="BJ94" s="3478">
        <v>37706</v>
      </c>
      <c r="BK94" s="3478"/>
      <c r="BL94" s="3441" t="s">
        <v>3670</v>
      </c>
      <c r="BM94" s="3441"/>
      <c r="BN94" s="3441"/>
      <c r="BO94" s="3441"/>
      <c r="BP94" s="3441"/>
      <c r="BQ94" s="3441"/>
      <c r="BR94" s="3441"/>
      <c r="BS94" s="3470"/>
      <c r="BT94" s="3470"/>
      <c r="BU94" s="3470"/>
    </row>
    <row r="95" spans="1:76" s="3565" customFormat="1" hidden="1">
      <c r="A95" s="3488" t="s">
        <v>4450</v>
      </c>
      <c r="B95" s="3470" t="s">
        <v>4451</v>
      </c>
      <c r="C95" s="3454" t="s">
        <v>4452</v>
      </c>
      <c r="D95" s="3453">
        <v>13520558529</v>
      </c>
      <c r="E95" s="3470" t="s">
        <v>3558</v>
      </c>
      <c r="F95" s="3470" t="s">
        <v>4195</v>
      </c>
      <c r="G95" s="3470"/>
      <c r="H95" s="3453" t="s">
        <v>4453</v>
      </c>
      <c r="I95" s="3453" t="s">
        <v>4454</v>
      </c>
      <c r="J95" s="3453" t="s">
        <v>4455</v>
      </c>
      <c r="K95" s="3470" t="s">
        <v>4199</v>
      </c>
      <c r="L95" s="3495">
        <v>70.97</v>
      </c>
      <c r="M95" s="3495">
        <v>19</v>
      </c>
      <c r="N95" s="3470" t="s">
        <v>3489</v>
      </c>
      <c r="O95" s="3495">
        <v>57.1</v>
      </c>
      <c r="P95" s="3470" t="s">
        <v>3452</v>
      </c>
      <c r="Q95" s="3510">
        <v>463000.47330000001</v>
      </c>
      <c r="R95" s="3495">
        <v>6523.89</v>
      </c>
      <c r="S95" s="3472">
        <v>45.93</v>
      </c>
      <c r="T95" s="3550">
        <v>459300</v>
      </c>
      <c r="U95" s="3495">
        <v>6473</v>
      </c>
      <c r="V95" s="3512">
        <v>0.1</v>
      </c>
      <c r="W95" s="3475">
        <v>41.33</v>
      </c>
      <c r="X95" s="3494">
        <v>413300</v>
      </c>
      <c r="Y95" s="3515">
        <v>2003</v>
      </c>
      <c r="Z95" s="3441">
        <v>4</v>
      </c>
      <c r="AA95" s="3501">
        <v>15</v>
      </c>
      <c r="AB95" s="3477">
        <v>2295</v>
      </c>
      <c r="AC95" s="3470" t="s">
        <v>4044</v>
      </c>
      <c r="AD95" s="3470"/>
      <c r="AE95" s="3497" t="s">
        <v>3586</v>
      </c>
      <c r="AF95" s="3453" t="s">
        <v>3604</v>
      </c>
      <c r="AG95" s="3470" t="s">
        <v>3466</v>
      </c>
      <c r="AH95" s="3470"/>
      <c r="AI95" s="3456" t="s">
        <v>3589</v>
      </c>
      <c r="AJ95" s="3478">
        <v>37772</v>
      </c>
      <c r="AK95" s="3470" t="s">
        <v>4427</v>
      </c>
      <c r="AL95" s="3495">
        <v>64256805</v>
      </c>
      <c r="AM95" s="3470"/>
      <c r="AN95" s="3497" t="s">
        <v>4427</v>
      </c>
      <c r="AO95" s="3470"/>
      <c r="AP95" s="3497" t="s">
        <v>2152</v>
      </c>
      <c r="AQ95" s="3456" t="s">
        <v>3571</v>
      </c>
      <c r="AR95" s="3470"/>
      <c r="AS95" s="3470"/>
      <c r="AT95" s="3470"/>
      <c r="AU95" s="3470"/>
      <c r="AV95" s="3519"/>
      <c r="AW95" s="3470" t="s">
        <v>3572</v>
      </c>
      <c r="AX95" s="3470" t="s">
        <v>2511</v>
      </c>
      <c r="AY95" s="3495">
        <v>156748</v>
      </c>
      <c r="AZ95" s="3470" t="s">
        <v>4199</v>
      </c>
      <c r="BA95" s="3470" t="s">
        <v>4201</v>
      </c>
      <c r="BB95" s="3470">
        <v>1101081512146</v>
      </c>
      <c r="BC95" s="3470" t="s">
        <v>4202</v>
      </c>
      <c r="BD95" s="3470">
        <v>100088</v>
      </c>
      <c r="BE95" s="3470">
        <v>82025518</v>
      </c>
      <c r="BF95" s="3520">
        <v>2.8</v>
      </c>
      <c r="BG95" s="3478">
        <v>37701</v>
      </c>
      <c r="BH95" s="3470"/>
      <c r="BI95" s="3469" t="s">
        <v>3589</v>
      </c>
      <c r="BJ95" s="3478">
        <v>37725</v>
      </c>
      <c r="BK95" s="3470"/>
      <c r="BL95" s="3470"/>
      <c r="BM95" s="3441"/>
      <c r="BN95" s="3441"/>
      <c r="BO95" s="3441"/>
      <c r="BP95" s="3441"/>
      <c r="BQ95" s="3441"/>
      <c r="BR95" s="3441"/>
      <c r="BS95" s="3470"/>
      <c r="BT95" s="3470"/>
      <c r="BU95" s="3470"/>
    </row>
    <row r="96" spans="1:76" s="3441" customFormat="1" ht="12" hidden="1">
      <c r="A96" s="3485" t="s">
        <v>4456</v>
      </c>
      <c r="B96" s="3470" t="s">
        <v>4457</v>
      </c>
      <c r="C96" s="3481" t="s">
        <v>4458</v>
      </c>
      <c r="D96" s="3481" t="s">
        <v>4459</v>
      </c>
      <c r="E96" s="3470" t="s">
        <v>3538</v>
      </c>
      <c r="F96" s="3528" t="s">
        <v>4333</v>
      </c>
      <c r="G96" s="3470"/>
      <c r="H96" s="3470" t="s">
        <v>3991</v>
      </c>
      <c r="I96" s="3470" t="s">
        <v>3582</v>
      </c>
      <c r="J96" s="3481" t="s">
        <v>3777</v>
      </c>
      <c r="K96" s="3470" t="s">
        <v>3638</v>
      </c>
      <c r="L96" s="3470">
        <v>155.87</v>
      </c>
      <c r="M96" s="3470">
        <v>7</v>
      </c>
      <c r="N96" s="3470" t="s">
        <v>3488</v>
      </c>
      <c r="O96" s="3470">
        <v>126.37</v>
      </c>
      <c r="P96" s="3470" t="s">
        <v>3452</v>
      </c>
      <c r="Q96" s="3457">
        <v>999126.70000000007</v>
      </c>
      <c r="R96" s="3470">
        <v>6410</v>
      </c>
      <c r="S96" s="3472">
        <v>99.07</v>
      </c>
      <c r="T96" s="3527">
        <v>990699.99999999988</v>
      </c>
      <c r="U96" s="3470">
        <v>6356</v>
      </c>
      <c r="V96" s="3474">
        <v>0.1</v>
      </c>
      <c r="W96" s="3475">
        <v>89.16</v>
      </c>
      <c r="X96" s="3494">
        <v>891600</v>
      </c>
      <c r="Y96" s="3441">
        <v>2003</v>
      </c>
      <c r="Z96" s="3441">
        <v>5</v>
      </c>
      <c r="AA96" s="3441">
        <v>16</v>
      </c>
      <c r="AB96" s="3485">
        <v>4950</v>
      </c>
      <c r="AC96" s="3470" t="s">
        <v>4013</v>
      </c>
      <c r="AD96" s="3485"/>
      <c r="AE96" s="3441" t="s">
        <v>3593</v>
      </c>
      <c r="AF96" s="3470" t="s">
        <v>3587</v>
      </c>
      <c r="AG96" s="3522" t="s">
        <v>3546</v>
      </c>
      <c r="AH96" s="3485"/>
      <c r="AI96" s="3570" t="s">
        <v>3569</v>
      </c>
      <c r="AJ96" s="3523">
        <v>37965</v>
      </c>
      <c r="AK96" s="3548">
        <v>5</v>
      </c>
      <c r="AL96" s="3441">
        <v>82253572</v>
      </c>
      <c r="AN96" s="3456" t="s">
        <v>3791</v>
      </c>
      <c r="AP96" s="3441" t="s">
        <v>3590</v>
      </c>
      <c r="AQ96" s="3469" t="s">
        <v>3571</v>
      </c>
      <c r="AW96" s="3441" t="s">
        <v>3548</v>
      </c>
      <c r="AX96" s="3484" t="s">
        <v>3549</v>
      </c>
      <c r="AY96" s="3524" t="s">
        <v>4460</v>
      </c>
      <c r="AZ96" s="3470" t="s">
        <v>3647</v>
      </c>
      <c r="BA96" s="3441" t="s">
        <v>4048</v>
      </c>
      <c r="BB96" s="3524" t="s">
        <v>3640</v>
      </c>
      <c r="BC96" s="3441" t="s">
        <v>4436</v>
      </c>
      <c r="BD96" s="3525">
        <v>100088</v>
      </c>
      <c r="BE96" s="3441">
        <v>82058259</v>
      </c>
      <c r="BF96" s="3526" t="s">
        <v>4461</v>
      </c>
      <c r="BG96" s="3518">
        <v>37673</v>
      </c>
      <c r="BI96" s="3571" t="s">
        <v>3566</v>
      </c>
      <c r="BJ96" s="3484">
        <v>37678</v>
      </c>
      <c r="BK96" s="3484">
        <v>37756</v>
      </c>
      <c r="BL96" s="3441" t="s">
        <v>3670</v>
      </c>
      <c r="BS96" s="3470"/>
      <c r="BT96" s="3470"/>
      <c r="BU96" s="3470"/>
    </row>
    <row r="97" spans="1:73" s="3565" customFormat="1" hidden="1">
      <c r="A97" s="3488" t="s">
        <v>4462</v>
      </c>
      <c r="B97" s="3470" t="s">
        <v>4463</v>
      </c>
      <c r="C97" s="3454" t="s">
        <v>4464</v>
      </c>
      <c r="D97" s="3453">
        <v>13910116579</v>
      </c>
      <c r="E97" s="3470" t="s">
        <v>3763</v>
      </c>
      <c r="F97" s="3470" t="s">
        <v>4099</v>
      </c>
      <c r="G97" s="3470" t="s">
        <v>2420</v>
      </c>
      <c r="H97" s="3470" t="s">
        <v>4465</v>
      </c>
      <c r="I97" s="3453" t="s">
        <v>4173</v>
      </c>
      <c r="J97" s="3453" t="s">
        <v>3871</v>
      </c>
      <c r="K97" s="3470" t="s">
        <v>4080</v>
      </c>
      <c r="L97" s="3495">
        <v>129.41</v>
      </c>
      <c r="M97" s="3495">
        <v>4</v>
      </c>
      <c r="N97" s="3470" t="s">
        <v>4336</v>
      </c>
      <c r="O97" s="3495">
        <v>116.04</v>
      </c>
      <c r="P97" s="3470" t="s">
        <v>3452</v>
      </c>
      <c r="Q97" s="3510">
        <v>683284.8</v>
      </c>
      <c r="R97" s="3470">
        <v>5280</v>
      </c>
      <c r="S97" s="3472">
        <v>67.64</v>
      </c>
      <c r="T97" s="3550">
        <v>676400</v>
      </c>
      <c r="U97" s="3470">
        <v>5227</v>
      </c>
      <c r="V97" s="3474">
        <v>0.1</v>
      </c>
      <c r="W97" s="3475">
        <v>60.87</v>
      </c>
      <c r="X97" s="3494">
        <v>608700</v>
      </c>
      <c r="Y97" s="3441">
        <v>2003</v>
      </c>
      <c r="Z97" s="3441">
        <v>4</v>
      </c>
      <c r="AA97" s="3501">
        <v>16</v>
      </c>
      <c r="AB97" s="3477">
        <v>3380</v>
      </c>
      <c r="AC97" s="3453" t="s">
        <v>3585</v>
      </c>
      <c r="AD97" s="3470"/>
      <c r="AE97" s="3497" t="s">
        <v>3586</v>
      </c>
      <c r="AF97" s="3470" t="s">
        <v>4442</v>
      </c>
      <c r="AG97" s="3470" t="s">
        <v>3466</v>
      </c>
      <c r="AH97" s="3470"/>
      <c r="AI97" s="3456" t="s">
        <v>3589</v>
      </c>
      <c r="AJ97" s="3478">
        <v>37833</v>
      </c>
      <c r="AK97" s="3548">
        <v>4</v>
      </c>
      <c r="AL97" s="3495">
        <v>64256805</v>
      </c>
      <c r="AM97" s="3470"/>
      <c r="AN97" s="3480" t="s">
        <v>3695</v>
      </c>
      <c r="AO97" s="3441" t="s">
        <v>3715</v>
      </c>
      <c r="AP97" s="3497" t="s">
        <v>4045</v>
      </c>
      <c r="AQ97" s="3441" t="s">
        <v>3571</v>
      </c>
      <c r="AR97" s="3470"/>
      <c r="AS97" s="3470"/>
      <c r="AT97" s="3470"/>
      <c r="AU97" s="3470"/>
      <c r="AV97" s="3519"/>
      <c r="AW97" s="3470" t="s">
        <v>3572</v>
      </c>
      <c r="AX97" s="3470" t="s">
        <v>2420</v>
      </c>
      <c r="AY97" s="3495">
        <v>261279</v>
      </c>
      <c r="AZ97" s="3470" t="s">
        <v>4076</v>
      </c>
      <c r="BA97" s="3470" t="s">
        <v>4104</v>
      </c>
      <c r="BB97" s="3470" t="s">
        <v>4190</v>
      </c>
      <c r="BC97" s="3470" t="s">
        <v>4083</v>
      </c>
      <c r="BD97" s="3470" t="s">
        <v>3588</v>
      </c>
      <c r="BE97" s="3470">
        <v>68152860</v>
      </c>
      <c r="BF97" s="3520">
        <v>2.8</v>
      </c>
      <c r="BG97" s="3478">
        <v>37690</v>
      </c>
      <c r="BH97" s="3470" t="s">
        <v>4466</v>
      </c>
      <c r="BI97" s="3469" t="s">
        <v>4045</v>
      </c>
      <c r="BJ97" s="3484">
        <v>37726</v>
      </c>
      <c r="BK97" s="3478"/>
      <c r="BL97" s="3441" t="s">
        <v>3670</v>
      </c>
      <c r="BM97" s="3441"/>
      <c r="BN97" s="3441"/>
      <c r="BO97" s="3441"/>
      <c r="BP97" s="3441"/>
      <c r="BQ97" s="3441"/>
      <c r="BR97" s="3441"/>
      <c r="BS97" s="3470"/>
      <c r="BT97" s="3470"/>
      <c r="BU97" s="3470"/>
    </row>
    <row r="98" spans="1:73" s="3565" customFormat="1" hidden="1">
      <c r="A98" s="3488" t="s">
        <v>4467</v>
      </c>
      <c r="B98" s="3470" t="s">
        <v>4468</v>
      </c>
      <c r="C98" s="3481" t="s">
        <v>4469</v>
      </c>
      <c r="D98" s="3481" t="s">
        <v>4470</v>
      </c>
      <c r="E98" s="3470" t="s">
        <v>3558</v>
      </c>
      <c r="F98" s="3528" t="s">
        <v>11665</v>
      </c>
      <c r="G98" s="3470"/>
      <c r="H98" s="3470" t="s">
        <v>4471</v>
      </c>
      <c r="I98" s="3470" t="s">
        <v>4472</v>
      </c>
      <c r="J98" s="3481" t="s">
        <v>4473</v>
      </c>
      <c r="K98" s="3470" t="s">
        <v>4115</v>
      </c>
      <c r="L98" s="3470">
        <v>121.6</v>
      </c>
      <c r="M98" s="3470">
        <v>11</v>
      </c>
      <c r="N98" s="3470" t="s">
        <v>3661</v>
      </c>
      <c r="O98" s="3470">
        <v>99.72</v>
      </c>
      <c r="P98" s="3470" t="s">
        <v>3452</v>
      </c>
      <c r="Q98" s="3510">
        <v>705280</v>
      </c>
      <c r="R98" s="3470">
        <v>5800</v>
      </c>
      <c r="S98" s="3472">
        <v>71.739999999999995</v>
      </c>
      <c r="T98" s="3550">
        <v>717400</v>
      </c>
      <c r="U98" s="3470">
        <v>5900</v>
      </c>
      <c r="V98" s="3474">
        <v>0.1</v>
      </c>
      <c r="W98" s="3475">
        <v>64.56</v>
      </c>
      <c r="X98" s="3494">
        <v>645600</v>
      </c>
      <c r="Y98" s="3441">
        <v>2003</v>
      </c>
      <c r="Z98" s="3441">
        <v>4</v>
      </c>
      <c r="AA98" s="3501">
        <v>17</v>
      </c>
      <c r="AB98" s="3477">
        <v>3585</v>
      </c>
      <c r="AC98" s="3470" t="s">
        <v>3585</v>
      </c>
      <c r="AD98" s="3485"/>
      <c r="AE98" s="3456" t="s">
        <v>3586</v>
      </c>
      <c r="AF98" s="3470" t="s">
        <v>3493</v>
      </c>
      <c r="AG98" s="3522" t="s">
        <v>3466</v>
      </c>
      <c r="AH98" s="3485"/>
      <c r="AI98" s="3456" t="s">
        <v>4045</v>
      </c>
      <c r="AJ98" s="3523"/>
      <c r="AK98" s="3500">
        <v>4</v>
      </c>
      <c r="AL98" s="3495">
        <v>64256805</v>
      </c>
      <c r="AM98" s="3441"/>
      <c r="AN98" s="3470" t="s">
        <v>3680</v>
      </c>
      <c r="AO98" s="3441"/>
      <c r="AP98" s="3456" t="s">
        <v>2152</v>
      </c>
      <c r="AQ98" s="3441" t="s">
        <v>3571</v>
      </c>
      <c r="AR98" s="3441"/>
      <c r="AS98" s="3441"/>
      <c r="AT98" s="3441"/>
      <c r="AU98" s="3441"/>
      <c r="AV98" s="3441"/>
      <c r="AW98" s="3441" t="s">
        <v>3572</v>
      </c>
      <c r="AX98" s="3441" t="s">
        <v>2511</v>
      </c>
      <c r="AY98" s="3524" t="s">
        <v>4474</v>
      </c>
      <c r="AZ98" s="3441" t="s">
        <v>4115</v>
      </c>
      <c r="BA98" s="3441" t="s">
        <v>4118</v>
      </c>
      <c r="BB98" s="3524" t="s">
        <v>4119</v>
      </c>
      <c r="BC98" s="3441" t="s">
        <v>4120</v>
      </c>
      <c r="BD98" s="3525">
        <v>100086</v>
      </c>
      <c r="BE98" s="3441">
        <v>63260460</v>
      </c>
      <c r="BF98" s="3526">
        <v>2.7</v>
      </c>
      <c r="BG98" s="3518">
        <v>37709</v>
      </c>
      <c r="BH98" s="3441"/>
      <c r="BI98" s="3469" t="s">
        <v>2152</v>
      </c>
      <c r="BJ98" s="3478">
        <v>37729</v>
      </c>
      <c r="BK98" s="3518"/>
      <c r="BL98" s="3441"/>
      <c r="BM98" s="3441"/>
      <c r="BN98" s="3441"/>
      <c r="BO98" s="3441"/>
      <c r="BP98" s="3441"/>
      <c r="BQ98" s="3441"/>
      <c r="BR98" s="3441"/>
      <c r="BS98" s="3470"/>
      <c r="BT98" s="3470"/>
      <c r="BU98" s="3470"/>
    </row>
    <row r="99" spans="1:73" s="3470" customFormat="1" ht="12" hidden="1">
      <c r="A99" s="3485" t="s">
        <v>4475</v>
      </c>
      <c r="B99" s="3470" t="s">
        <v>4476</v>
      </c>
      <c r="C99" s="3509">
        <v>410105721015297</v>
      </c>
      <c r="D99" s="3470">
        <v>13520700423</v>
      </c>
      <c r="E99" s="3470" t="s">
        <v>3558</v>
      </c>
      <c r="F99" s="3470" t="s">
        <v>3951</v>
      </c>
      <c r="H99" s="3453" t="s">
        <v>3952</v>
      </c>
      <c r="I99" s="3453" t="s">
        <v>4477</v>
      </c>
      <c r="J99" s="3453" t="s">
        <v>4478</v>
      </c>
      <c r="K99" s="3470" t="s">
        <v>3955</v>
      </c>
      <c r="L99" s="3495">
        <v>86.81</v>
      </c>
      <c r="M99" s="3495">
        <v>5</v>
      </c>
      <c r="N99" s="3470" t="s">
        <v>4030</v>
      </c>
      <c r="O99" s="3495">
        <v>77.760000000000005</v>
      </c>
      <c r="P99" s="3470" t="s">
        <v>3452</v>
      </c>
      <c r="Q99" s="3457">
        <v>338559</v>
      </c>
      <c r="R99" s="3495">
        <v>3900</v>
      </c>
      <c r="S99" s="3472">
        <v>33.590000000000003</v>
      </c>
      <c r="T99" s="3527">
        <v>335900.00000000006</v>
      </c>
      <c r="U99" s="3495">
        <v>3870</v>
      </c>
      <c r="V99" s="3512">
        <v>0.1</v>
      </c>
      <c r="W99" s="3475">
        <v>30.23</v>
      </c>
      <c r="X99" s="3572">
        <v>302300</v>
      </c>
      <c r="Y99" s="3495">
        <v>2003</v>
      </c>
      <c r="Z99" s="3441">
        <v>5</v>
      </c>
      <c r="AA99" s="3441">
        <v>6</v>
      </c>
      <c r="AB99" s="3477">
        <v>503</v>
      </c>
      <c r="AC99" s="3470" t="s">
        <v>4479</v>
      </c>
      <c r="AE99" s="3441" t="s">
        <v>3586</v>
      </c>
      <c r="AF99" s="3470" t="s">
        <v>3453</v>
      </c>
      <c r="AG99" s="3470" t="s">
        <v>3466</v>
      </c>
      <c r="AI99" s="3470" t="s">
        <v>4045</v>
      </c>
      <c r="AJ99" s="3478"/>
      <c r="AK99" s="3500">
        <v>5</v>
      </c>
      <c r="AL99" s="3501">
        <v>82253557</v>
      </c>
      <c r="AN99" s="3456" t="s">
        <v>3695</v>
      </c>
      <c r="AP99" s="3456" t="s">
        <v>4045</v>
      </c>
      <c r="AQ99" s="3456" t="s">
        <v>3571</v>
      </c>
      <c r="AV99" s="3519" t="s">
        <v>3568</v>
      </c>
      <c r="AW99" s="3470" t="s">
        <v>3572</v>
      </c>
      <c r="AX99" s="3470" t="s">
        <v>2511</v>
      </c>
      <c r="AY99" s="3495">
        <v>201399</v>
      </c>
      <c r="AZ99" s="3470" t="s">
        <v>3955</v>
      </c>
      <c r="BA99" s="3470" t="s">
        <v>3959</v>
      </c>
      <c r="BB99" s="3470" t="s">
        <v>3960</v>
      </c>
      <c r="BC99" s="3470" t="s">
        <v>3961</v>
      </c>
      <c r="BD99" s="3470">
        <v>102100</v>
      </c>
      <c r="BE99" s="3470">
        <v>62998398</v>
      </c>
      <c r="BF99" s="3520">
        <v>2.8</v>
      </c>
      <c r="BG99" s="3478">
        <v>37690</v>
      </c>
      <c r="BI99" s="3470" t="s">
        <v>3569</v>
      </c>
      <c r="BJ99" s="3478">
        <v>37733</v>
      </c>
      <c r="BK99" s="3478"/>
      <c r="BM99" s="3441"/>
      <c r="BN99" s="3441"/>
      <c r="BO99" s="3441"/>
      <c r="BP99" s="3441"/>
      <c r="BQ99" s="3441"/>
      <c r="BR99" s="3441"/>
    </row>
    <row r="100" spans="1:73" s="3497" customFormat="1" ht="12" hidden="1">
      <c r="A100" s="3485" t="s">
        <v>4480</v>
      </c>
      <c r="B100" s="3453" t="s">
        <v>4481</v>
      </c>
      <c r="C100" s="3454" t="s">
        <v>4482</v>
      </c>
      <c r="D100" s="3453">
        <v>13611147954</v>
      </c>
      <c r="E100" s="3498" t="s">
        <v>2736</v>
      </c>
      <c r="F100" s="3573" t="s">
        <v>4483</v>
      </c>
      <c r="G100" s="3561"/>
      <c r="H100" s="3470" t="s">
        <v>4484</v>
      </c>
      <c r="I100" s="3498" t="s">
        <v>4255</v>
      </c>
      <c r="J100" s="3498" t="s">
        <v>4485</v>
      </c>
      <c r="K100" s="3555" t="s">
        <v>4486</v>
      </c>
      <c r="L100" s="3574">
        <v>91.56</v>
      </c>
      <c r="M100" s="3574">
        <v>9</v>
      </c>
      <c r="N100" s="3496" t="s">
        <v>3451</v>
      </c>
      <c r="O100" s="3574">
        <v>75.89</v>
      </c>
      <c r="P100" s="3496" t="s">
        <v>3452</v>
      </c>
      <c r="Q100" s="3510">
        <v>357084</v>
      </c>
      <c r="R100" s="3574">
        <v>3900</v>
      </c>
      <c r="S100" s="3472">
        <v>35.340000000000003</v>
      </c>
      <c r="T100" s="3527">
        <v>353400.00000000006</v>
      </c>
      <c r="U100" s="3470">
        <v>3860</v>
      </c>
      <c r="V100" s="3474">
        <v>0.1</v>
      </c>
      <c r="W100" s="3475">
        <v>31.8</v>
      </c>
      <c r="X100" s="3572">
        <v>318000</v>
      </c>
      <c r="Y100" s="3495">
        <v>2003</v>
      </c>
      <c r="Z100" s="3441">
        <v>5</v>
      </c>
      <c r="AA100" s="3441">
        <v>6</v>
      </c>
      <c r="AB100" s="3477">
        <v>1765</v>
      </c>
      <c r="AC100" s="3490" t="s">
        <v>3585</v>
      </c>
      <c r="AD100" s="3561"/>
      <c r="AE100" s="3497" t="s">
        <v>3590</v>
      </c>
      <c r="AF100" s="3470" t="s">
        <v>4487</v>
      </c>
      <c r="AG100" s="3555" t="s">
        <v>3546</v>
      </c>
      <c r="AH100" s="3555"/>
      <c r="AI100" s="3470" t="s">
        <v>2152</v>
      </c>
      <c r="AJ100" s="3575">
        <v>37772</v>
      </c>
      <c r="AK100" s="3500">
        <v>5</v>
      </c>
      <c r="AL100" s="3501">
        <v>82253557</v>
      </c>
      <c r="AM100" s="3502"/>
      <c r="AN100" s="3470" t="s">
        <v>3768</v>
      </c>
      <c r="AO100" s="3470" t="s">
        <v>2420</v>
      </c>
      <c r="AP100" s="3456" t="s">
        <v>4045</v>
      </c>
      <c r="AQ100" s="3480" t="s">
        <v>3714</v>
      </c>
      <c r="AV100" s="3556"/>
      <c r="AW100" s="3490" t="s">
        <v>3458</v>
      </c>
      <c r="AX100" s="3502" t="s">
        <v>3606</v>
      </c>
      <c r="AY100" s="3503" t="s">
        <v>4488</v>
      </c>
      <c r="AZ100" s="3555" t="s">
        <v>4489</v>
      </c>
      <c r="BA100" s="3552" t="s">
        <v>4490</v>
      </c>
      <c r="BB100" s="3466">
        <v>1102211135488</v>
      </c>
      <c r="BC100" s="3552" t="s">
        <v>4491</v>
      </c>
      <c r="BD100" s="3569">
        <v>102202</v>
      </c>
      <c r="BE100" s="3501">
        <v>69711228</v>
      </c>
      <c r="BF100" s="3506">
        <v>2.7</v>
      </c>
      <c r="BG100" s="3539">
        <v>37632</v>
      </c>
      <c r="BI100" s="3470" t="s">
        <v>2152</v>
      </c>
      <c r="BJ100" s="3566">
        <v>37740</v>
      </c>
      <c r="BK100" s="3441" t="s">
        <v>3588</v>
      </c>
      <c r="BL100" s="3470" t="s">
        <v>3670</v>
      </c>
      <c r="BM100" s="3441"/>
      <c r="BN100" s="3441"/>
      <c r="BO100" s="3441"/>
      <c r="BP100" s="3441"/>
      <c r="BQ100" s="3441"/>
      <c r="BR100" s="3441"/>
      <c r="BS100" s="3470"/>
      <c r="BT100" s="3470"/>
      <c r="BU100" s="3470"/>
    </row>
    <row r="101" spans="1:73" s="3456" customFormat="1" ht="12" hidden="1">
      <c r="A101" s="3485" t="s">
        <v>4492</v>
      </c>
      <c r="B101" s="3453" t="s">
        <v>4493</v>
      </c>
      <c r="C101" s="3454" t="s">
        <v>4494</v>
      </c>
      <c r="D101" s="3481" t="s">
        <v>4495</v>
      </c>
      <c r="E101" s="3453" t="s">
        <v>2736</v>
      </c>
      <c r="F101" s="3453" t="s">
        <v>4496</v>
      </c>
      <c r="G101" s="3470"/>
      <c r="H101" s="3453" t="s">
        <v>4497</v>
      </c>
      <c r="I101" s="3453" t="s">
        <v>3478</v>
      </c>
      <c r="J101" s="3454" t="s">
        <v>4498</v>
      </c>
      <c r="K101" s="3453" t="s">
        <v>4493</v>
      </c>
      <c r="L101" s="3495">
        <v>143.30000000000001</v>
      </c>
      <c r="M101" s="3547" t="s">
        <v>4499</v>
      </c>
      <c r="N101" s="3543" t="s">
        <v>4137</v>
      </c>
      <c r="O101" s="3495">
        <v>125.85</v>
      </c>
      <c r="P101" s="3453" t="s">
        <v>3452</v>
      </c>
      <c r="Q101" s="3510">
        <v>487220.00000000006</v>
      </c>
      <c r="R101" s="3510">
        <v>3400</v>
      </c>
      <c r="S101" s="3472">
        <v>50.15</v>
      </c>
      <c r="T101" s="3550">
        <v>501500</v>
      </c>
      <c r="U101" s="3495">
        <v>3500</v>
      </c>
      <c r="V101" s="3512">
        <v>0.05</v>
      </c>
      <c r="W101" s="3475">
        <v>47.64</v>
      </c>
      <c r="X101" s="3473">
        <v>476400</v>
      </c>
      <c r="Y101" s="3515">
        <v>2003</v>
      </c>
      <c r="Z101" s="3515">
        <v>10</v>
      </c>
      <c r="AA101" s="3515">
        <v>30</v>
      </c>
      <c r="AB101" s="3477">
        <v>2510</v>
      </c>
      <c r="AC101" s="3470" t="s">
        <v>4500</v>
      </c>
      <c r="AD101" s="3453"/>
      <c r="AE101" s="3469" t="s">
        <v>3590</v>
      </c>
      <c r="AF101" s="3453" t="s">
        <v>4501</v>
      </c>
      <c r="AG101" s="3470" t="s">
        <v>3605</v>
      </c>
      <c r="AH101" s="3453" t="s">
        <v>4502</v>
      </c>
      <c r="AI101" s="3456" t="s">
        <v>3589</v>
      </c>
      <c r="AJ101" s="3513"/>
      <c r="AK101" s="3453" t="s">
        <v>4503</v>
      </c>
      <c r="AL101" s="3495">
        <v>82253557</v>
      </c>
      <c r="AM101" s="3441"/>
      <c r="AN101" s="3456" t="s">
        <v>3768</v>
      </c>
      <c r="AO101" s="3453"/>
      <c r="AP101" s="3470" t="s">
        <v>4504</v>
      </c>
      <c r="AQ101" s="3456" t="s">
        <v>3457</v>
      </c>
      <c r="AV101" s="3519"/>
      <c r="AW101" s="3456" t="s">
        <v>4505</v>
      </c>
      <c r="AX101" s="3441" t="s">
        <v>4506</v>
      </c>
      <c r="AY101" s="3515">
        <v>7200300001</v>
      </c>
      <c r="AZ101" s="3441" t="s">
        <v>4507</v>
      </c>
      <c r="BA101" s="3456" t="s">
        <v>4508</v>
      </c>
      <c r="BB101" s="3456">
        <v>110001505756</v>
      </c>
      <c r="BC101" s="3456" t="s">
        <v>4509</v>
      </c>
      <c r="BD101" s="3456">
        <v>100083</v>
      </c>
      <c r="BE101" s="3456">
        <v>823555157</v>
      </c>
      <c r="BF101" s="3576">
        <v>2.7</v>
      </c>
      <c r="BG101" s="3461">
        <v>37748</v>
      </c>
      <c r="BI101" s="3470" t="s">
        <v>3469</v>
      </c>
      <c r="BJ101" s="3518">
        <v>37750</v>
      </c>
      <c r="BK101" s="3441"/>
      <c r="BL101" s="3470"/>
      <c r="BM101" s="3441"/>
      <c r="BN101" s="3441"/>
      <c r="BO101" s="3441"/>
      <c r="BP101" s="3441"/>
      <c r="BQ101" s="3441"/>
      <c r="BR101" s="3441"/>
    </row>
    <row r="102" spans="1:73" s="3441" customFormat="1" ht="12" hidden="1">
      <c r="A102" s="3470" t="s">
        <v>4510</v>
      </c>
      <c r="B102" s="3470" t="s">
        <v>4511</v>
      </c>
      <c r="C102" s="3481" t="s">
        <v>4512</v>
      </c>
      <c r="D102" s="3481" t="s">
        <v>4513</v>
      </c>
      <c r="E102" s="3470" t="s">
        <v>2736</v>
      </c>
      <c r="F102" s="3528" t="s">
        <v>4514</v>
      </c>
      <c r="G102" s="3470"/>
      <c r="H102" s="3470" t="s">
        <v>3952</v>
      </c>
      <c r="I102" s="3470" t="s">
        <v>4441</v>
      </c>
      <c r="J102" s="3481" t="s">
        <v>3474</v>
      </c>
      <c r="K102" s="3470" t="s">
        <v>4286</v>
      </c>
      <c r="L102" s="3470">
        <v>100.02</v>
      </c>
      <c r="M102" s="3470">
        <v>5</v>
      </c>
      <c r="N102" s="3470" t="s">
        <v>3661</v>
      </c>
      <c r="O102" s="3470">
        <v>90.66</v>
      </c>
      <c r="P102" s="3470" t="s">
        <v>4222</v>
      </c>
      <c r="Q102" s="3457">
        <v>518103.6</v>
      </c>
      <c r="R102" s="3470">
        <v>5180</v>
      </c>
      <c r="S102" s="3472">
        <v>51.26</v>
      </c>
      <c r="T102" s="3527">
        <v>512600</v>
      </c>
      <c r="U102" s="3495">
        <v>5125</v>
      </c>
      <c r="V102" s="3512">
        <v>0.1</v>
      </c>
      <c r="W102" s="3475">
        <v>46.13</v>
      </c>
      <c r="X102" s="3476">
        <v>461300</v>
      </c>
      <c r="Y102" s="3470">
        <v>2003</v>
      </c>
      <c r="Z102" s="3470">
        <v>5</v>
      </c>
      <c r="AA102" s="3470">
        <v>19</v>
      </c>
      <c r="AB102" s="3477">
        <v>2560</v>
      </c>
      <c r="AC102" s="3470" t="s">
        <v>3585</v>
      </c>
      <c r="AD102" s="3485"/>
      <c r="AE102" s="3470" t="s">
        <v>3586</v>
      </c>
      <c r="AF102" s="3470" t="s">
        <v>4442</v>
      </c>
      <c r="AG102" s="3522" t="s">
        <v>3454</v>
      </c>
      <c r="AH102" s="3485"/>
      <c r="AI102" s="3456" t="s">
        <v>2152</v>
      </c>
      <c r="AJ102" s="3523">
        <v>38078</v>
      </c>
      <c r="AK102" s="3500">
        <v>5</v>
      </c>
      <c r="AL102" s="3495">
        <v>82253557</v>
      </c>
      <c r="AN102" s="3480" t="s">
        <v>3484</v>
      </c>
      <c r="AP102" s="3470" t="s">
        <v>3589</v>
      </c>
      <c r="AQ102" s="3441" t="s">
        <v>3571</v>
      </c>
      <c r="AW102" s="3470" t="s">
        <v>3572</v>
      </c>
      <c r="AX102" s="3484" t="s">
        <v>2511</v>
      </c>
      <c r="AY102" s="3441">
        <v>282014</v>
      </c>
      <c r="AZ102" s="3441" t="s">
        <v>4286</v>
      </c>
      <c r="BA102" s="3441" t="s">
        <v>4287</v>
      </c>
      <c r="BB102" s="3524" t="s">
        <v>4515</v>
      </c>
      <c r="BC102" s="3441" t="s">
        <v>4289</v>
      </c>
      <c r="BD102" s="3441">
        <v>100873</v>
      </c>
      <c r="BE102" s="3441">
        <v>68498961</v>
      </c>
      <c r="BF102" s="3441">
        <v>2.8</v>
      </c>
      <c r="BG102" s="3518">
        <v>37714</v>
      </c>
      <c r="BH102" s="3470"/>
      <c r="BI102" s="3470" t="s">
        <v>2152</v>
      </c>
      <c r="BJ102" s="3484">
        <v>37755</v>
      </c>
      <c r="BK102" s="3518"/>
      <c r="BL102" s="3441" t="s">
        <v>3833</v>
      </c>
      <c r="BS102" s="3470"/>
      <c r="BT102" s="3470"/>
      <c r="BU102" s="3470"/>
    </row>
    <row r="103" spans="1:73" s="3470" customFormat="1" ht="12" hidden="1">
      <c r="A103" s="3485" t="s">
        <v>4516</v>
      </c>
      <c r="B103" s="3470" t="s">
        <v>4517</v>
      </c>
      <c r="C103" s="3481" t="s">
        <v>4518</v>
      </c>
      <c r="D103" s="3470">
        <v>13701248834</v>
      </c>
      <c r="E103" s="3470" t="s">
        <v>3538</v>
      </c>
      <c r="F103" s="3470" t="s">
        <v>4345</v>
      </c>
      <c r="H103" s="3470" t="s">
        <v>4519</v>
      </c>
      <c r="I103" s="3470" t="s">
        <v>4207</v>
      </c>
      <c r="J103" s="3470" t="s">
        <v>4520</v>
      </c>
      <c r="K103" s="3470" t="s">
        <v>4521</v>
      </c>
      <c r="L103" s="3470">
        <v>84.32</v>
      </c>
      <c r="M103" s="3470">
        <v>16</v>
      </c>
      <c r="N103" s="3470" t="s">
        <v>3489</v>
      </c>
      <c r="O103" s="3470">
        <v>72.12</v>
      </c>
      <c r="P103" s="3470" t="s">
        <v>3452</v>
      </c>
      <c r="Q103" s="3457">
        <v>428345.59999999998</v>
      </c>
      <c r="R103" s="3470">
        <v>5080</v>
      </c>
      <c r="S103" s="3472">
        <v>42.35</v>
      </c>
      <c r="T103" s="3527">
        <v>423500</v>
      </c>
      <c r="U103" s="3470">
        <v>5023</v>
      </c>
      <c r="V103" s="3474">
        <v>0.1</v>
      </c>
      <c r="W103" s="3475">
        <v>38.11</v>
      </c>
      <c r="X103" s="3473">
        <v>381100</v>
      </c>
      <c r="Y103" s="3441">
        <v>2003</v>
      </c>
      <c r="Z103" s="3441">
        <v>5</v>
      </c>
      <c r="AA103" s="3441">
        <v>27</v>
      </c>
      <c r="AB103" s="3485">
        <v>2115</v>
      </c>
      <c r="AC103" s="3470" t="s">
        <v>3634</v>
      </c>
      <c r="AE103" s="3441" t="s">
        <v>3590</v>
      </c>
      <c r="AF103" s="3470" t="s">
        <v>3956</v>
      </c>
      <c r="AG103" s="3470" t="s">
        <v>3605</v>
      </c>
      <c r="AI103" s="3470" t="s">
        <v>2152</v>
      </c>
      <c r="AJ103" s="3478">
        <v>37790</v>
      </c>
      <c r="AK103" s="3500">
        <v>5</v>
      </c>
      <c r="AL103" s="3441">
        <v>82253557</v>
      </c>
      <c r="AN103" s="3480" t="s">
        <v>3739</v>
      </c>
      <c r="AP103" s="3441" t="s">
        <v>2152</v>
      </c>
      <c r="AQ103" s="3470" t="s">
        <v>3650</v>
      </c>
      <c r="AV103" s="3470" t="s">
        <v>2420</v>
      </c>
      <c r="AW103" s="3470" t="s">
        <v>3548</v>
      </c>
      <c r="AX103" s="3470" t="s">
        <v>4046</v>
      </c>
      <c r="AY103" s="3481" t="s">
        <v>4522</v>
      </c>
      <c r="AZ103" s="3470" t="s">
        <v>4521</v>
      </c>
      <c r="BA103" s="3470" t="s">
        <v>4523</v>
      </c>
      <c r="BB103" s="3481" t="s">
        <v>4350</v>
      </c>
      <c r="BC103" s="3470" t="s">
        <v>4524</v>
      </c>
      <c r="BD103" s="3482">
        <v>100010</v>
      </c>
      <c r="BE103" s="3470">
        <v>65233356</v>
      </c>
      <c r="BF103" s="3483">
        <v>2.7</v>
      </c>
      <c r="BG103" s="3478">
        <v>37728</v>
      </c>
      <c r="BI103" s="3470" t="s">
        <v>3569</v>
      </c>
      <c r="BJ103" s="3518">
        <v>37761</v>
      </c>
      <c r="BK103" s="3478"/>
      <c r="BL103" s="3470" t="s">
        <v>3670</v>
      </c>
      <c r="BM103" s="3441"/>
      <c r="BN103" s="3441"/>
      <c r="BO103" s="3441"/>
      <c r="BP103" s="3441"/>
      <c r="BQ103" s="3441"/>
      <c r="BR103" s="3441"/>
    </row>
    <row r="104" spans="1:73" s="3441" customFormat="1" ht="12" hidden="1">
      <c r="A104" s="3485" t="s">
        <v>4525</v>
      </c>
      <c r="B104" s="3470" t="s">
        <v>4526</v>
      </c>
      <c r="C104" s="3481" t="s">
        <v>4527</v>
      </c>
      <c r="D104" s="3481" t="s">
        <v>4528</v>
      </c>
      <c r="E104" s="3470" t="s">
        <v>3558</v>
      </c>
      <c r="F104" s="3470" t="s">
        <v>4403</v>
      </c>
      <c r="G104" s="3470" t="s">
        <v>3568</v>
      </c>
      <c r="H104" s="3470" t="s">
        <v>4273</v>
      </c>
      <c r="I104" s="3470" t="s">
        <v>4188</v>
      </c>
      <c r="J104" s="3481" t="s">
        <v>3474</v>
      </c>
      <c r="K104" s="3470" t="s">
        <v>4406</v>
      </c>
      <c r="L104" s="3470">
        <v>128.91999999999999</v>
      </c>
      <c r="M104" s="3470">
        <v>5</v>
      </c>
      <c r="N104" s="3470" t="s">
        <v>4137</v>
      </c>
      <c r="O104" s="3470">
        <v>115.28</v>
      </c>
      <c r="P104" s="3470" t="s">
        <v>3452</v>
      </c>
      <c r="Q104" s="3457">
        <v>617526.79999999993</v>
      </c>
      <c r="R104" s="3470">
        <v>4790</v>
      </c>
      <c r="S104" s="3472">
        <v>61.1</v>
      </c>
      <c r="T104" s="3527">
        <v>611000</v>
      </c>
      <c r="U104" s="3470">
        <v>4740</v>
      </c>
      <c r="V104" s="3474">
        <v>0.1</v>
      </c>
      <c r="W104" s="3475">
        <v>54.99</v>
      </c>
      <c r="X104" s="3473">
        <v>549900</v>
      </c>
      <c r="Y104" s="3441">
        <v>2003</v>
      </c>
      <c r="Z104" s="3441">
        <v>5</v>
      </c>
      <c r="AA104" s="3441">
        <v>28</v>
      </c>
      <c r="AB104" s="3485">
        <v>3055</v>
      </c>
      <c r="AC104" s="3470" t="s">
        <v>4078</v>
      </c>
      <c r="AD104" s="3485"/>
      <c r="AE104" s="3441" t="s">
        <v>3586</v>
      </c>
      <c r="AF104" s="3470" t="s">
        <v>4126</v>
      </c>
      <c r="AG104" s="3522" t="s">
        <v>3466</v>
      </c>
      <c r="AH104" s="3485"/>
      <c r="AI104" s="3470" t="s">
        <v>3589</v>
      </c>
      <c r="AJ104" s="3523">
        <v>37833</v>
      </c>
      <c r="AK104" s="3548">
        <v>5</v>
      </c>
      <c r="AL104" s="3441">
        <v>82253557</v>
      </c>
      <c r="AN104" s="3480" t="s">
        <v>3468</v>
      </c>
      <c r="AO104" s="3470"/>
      <c r="AP104" s="3441" t="s">
        <v>2152</v>
      </c>
      <c r="AQ104" s="3441" t="s">
        <v>3571</v>
      </c>
      <c r="AW104" s="3441" t="s">
        <v>3572</v>
      </c>
      <c r="AX104" s="3441" t="s">
        <v>3568</v>
      </c>
      <c r="AY104" s="3524" t="s">
        <v>4529</v>
      </c>
      <c r="AZ104" s="3441" t="s">
        <v>4406</v>
      </c>
      <c r="BA104" s="3441" t="s">
        <v>4409</v>
      </c>
      <c r="BB104" s="3524" t="s">
        <v>4410</v>
      </c>
      <c r="BC104" s="3441" t="s">
        <v>4411</v>
      </c>
      <c r="BD104" s="3525" t="s">
        <v>3568</v>
      </c>
      <c r="BE104" s="3441">
        <v>68152860</v>
      </c>
      <c r="BF104" s="3526">
        <v>2.8</v>
      </c>
      <c r="BG104" s="3518">
        <v>37703</v>
      </c>
      <c r="BH104" s="3441" t="s">
        <v>4412</v>
      </c>
      <c r="BI104" s="3470" t="s">
        <v>3569</v>
      </c>
      <c r="BJ104" s="3484">
        <v>37767</v>
      </c>
      <c r="BK104" s="3484"/>
      <c r="BL104" s="3470" t="s">
        <v>3670</v>
      </c>
      <c r="BS104" s="3470"/>
      <c r="BT104" s="3470"/>
      <c r="BU104" s="3470"/>
    </row>
    <row r="105" spans="1:73" s="3497" customFormat="1" ht="12" hidden="1">
      <c r="A105" s="3496" t="s">
        <v>4530</v>
      </c>
      <c r="B105" s="3480" t="s">
        <v>4531</v>
      </c>
      <c r="C105" s="3577" t="s">
        <v>4532</v>
      </c>
      <c r="D105" s="3577" t="s">
        <v>4533</v>
      </c>
      <c r="E105" s="3480" t="s">
        <v>3538</v>
      </c>
      <c r="F105" s="3578" t="s">
        <v>4534</v>
      </c>
      <c r="G105" s="3480"/>
      <c r="H105" s="3480" t="s">
        <v>4196</v>
      </c>
      <c r="I105" s="3480" t="s">
        <v>4535</v>
      </c>
      <c r="J105" s="3577" t="s">
        <v>4536</v>
      </c>
      <c r="K105" s="3480" t="s">
        <v>4537</v>
      </c>
      <c r="L105" s="3480">
        <v>101.69</v>
      </c>
      <c r="M105" s="3480">
        <v>3</v>
      </c>
      <c r="N105" s="3480" t="s">
        <v>4030</v>
      </c>
      <c r="O105" s="3480">
        <v>79.099999999999994</v>
      </c>
      <c r="P105" s="3480" t="s">
        <v>3452</v>
      </c>
      <c r="Q105" s="3557">
        <v>659408.80499999993</v>
      </c>
      <c r="R105" s="3480">
        <v>6484.5</v>
      </c>
      <c r="S105" s="3579">
        <v>65.430000000000007</v>
      </c>
      <c r="T105" s="3580">
        <v>654300.00000000012</v>
      </c>
      <c r="U105" s="3480">
        <v>6435</v>
      </c>
      <c r="V105" s="3581">
        <v>0.1</v>
      </c>
      <c r="W105" s="3582">
        <v>58.88</v>
      </c>
      <c r="X105" s="3580">
        <v>588800</v>
      </c>
      <c r="Y105" s="3497">
        <v>2003</v>
      </c>
      <c r="Z105" s="3497">
        <v>6</v>
      </c>
      <c r="AA105" s="3497">
        <v>16</v>
      </c>
      <c r="AB105" s="3561">
        <v>3270</v>
      </c>
      <c r="AC105" s="3480" t="s">
        <v>3565</v>
      </c>
      <c r="AD105" s="3561"/>
      <c r="AE105" s="3480" t="s">
        <v>3566</v>
      </c>
      <c r="AF105" s="3480" t="s">
        <v>4538</v>
      </c>
      <c r="AG105" s="3480" t="s">
        <v>3466</v>
      </c>
      <c r="AH105" s="3561"/>
      <c r="AI105" s="3480" t="s">
        <v>3569</v>
      </c>
      <c r="AJ105" s="3583">
        <v>38347</v>
      </c>
      <c r="AK105" s="3562" t="s">
        <v>3455</v>
      </c>
      <c r="AL105" s="3497">
        <v>82253572</v>
      </c>
      <c r="AP105" s="3497" t="s">
        <v>3586</v>
      </c>
      <c r="AQ105" s="3480" t="s">
        <v>3571</v>
      </c>
      <c r="AW105" s="3497" t="s">
        <v>3548</v>
      </c>
      <c r="AX105" s="3497" t="s">
        <v>3606</v>
      </c>
      <c r="AY105" s="3584" t="s">
        <v>4539</v>
      </c>
      <c r="AZ105" s="3497" t="s">
        <v>4537</v>
      </c>
      <c r="BA105" s="3497" t="s">
        <v>4540</v>
      </c>
      <c r="BB105" s="3584" t="s">
        <v>4541</v>
      </c>
      <c r="BC105" s="3497" t="s">
        <v>4542</v>
      </c>
      <c r="BD105" s="3585">
        <v>100089</v>
      </c>
      <c r="BE105" s="3497">
        <v>68719656</v>
      </c>
      <c r="BF105" s="3586">
        <v>2.8</v>
      </c>
      <c r="BG105" s="3587">
        <v>37756</v>
      </c>
      <c r="BI105" s="3497" t="s">
        <v>3566</v>
      </c>
      <c r="BJ105" s="3588">
        <v>37775</v>
      </c>
      <c r="BK105" s="3588"/>
      <c r="BL105" s="3497" t="s">
        <v>3670</v>
      </c>
      <c r="BP105" s="3441"/>
      <c r="BQ105" s="3441"/>
      <c r="BR105" s="3441"/>
      <c r="BS105" s="3470"/>
      <c r="BT105" s="3470"/>
      <c r="BU105" s="3470"/>
    </row>
    <row r="106" spans="1:73" s="3469" customFormat="1" ht="12" hidden="1">
      <c r="A106" s="3470" t="s">
        <v>4543</v>
      </c>
      <c r="B106" s="3456" t="s">
        <v>4544</v>
      </c>
      <c r="C106" s="3455" t="s">
        <v>4545</v>
      </c>
      <c r="D106" s="3455" t="s">
        <v>4546</v>
      </c>
      <c r="E106" s="3456" t="s">
        <v>3558</v>
      </c>
      <c r="F106" s="3456" t="s">
        <v>4403</v>
      </c>
      <c r="G106" s="3456" t="s">
        <v>3568</v>
      </c>
      <c r="H106" s="3456" t="s">
        <v>4547</v>
      </c>
      <c r="I106" s="3456" t="s">
        <v>4548</v>
      </c>
      <c r="J106" s="3455" t="s">
        <v>4549</v>
      </c>
      <c r="K106" s="3456" t="s">
        <v>4406</v>
      </c>
      <c r="L106" s="3456">
        <v>107.41</v>
      </c>
      <c r="M106" s="3456">
        <v>3</v>
      </c>
      <c r="N106" s="3456" t="s">
        <v>3872</v>
      </c>
      <c r="O106" s="3456">
        <v>95.57</v>
      </c>
      <c r="P106" s="3456" t="s">
        <v>3452</v>
      </c>
      <c r="Q106" s="3557">
        <v>515568</v>
      </c>
      <c r="R106" s="3456">
        <v>4800</v>
      </c>
      <c r="S106" s="3458">
        <v>51.06</v>
      </c>
      <c r="T106" s="3589">
        <v>510600</v>
      </c>
      <c r="U106" s="3456">
        <v>4754</v>
      </c>
      <c r="V106" s="3460">
        <v>0.1</v>
      </c>
      <c r="W106" s="3590">
        <v>45.95</v>
      </c>
      <c r="X106" s="3459">
        <v>459500</v>
      </c>
      <c r="Y106" s="3469">
        <v>2003</v>
      </c>
      <c r="Z106" s="3469">
        <v>6</v>
      </c>
      <c r="AA106" s="3469">
        <v>18</v>
      </c>
      <c r="AB106" s="3522">
        <v>2550</v>
      </c>
      <c r="AC106" s="3456" t="s">
        <v>4550</v>
      </c>
      <c r="AD106" s="3522"/>
      <c r="AE106" s="3456" t="s">
        <v>3593</v>
      </c>
      <c r="AF106" s="3456" t="s">
        <v>4551</v>
      </c>
      <c r="AG106" s="3522" t="s">
        <v>3466</v>
      </c>
      <c r="AH106" s="3522"/>
      <c r="AI106" s="3456" t="s">
        <v>3589</v>
      </c>
      <c r="AJ106" s="3545">
        <v>37833</v>
      </c>
      <c r="AK106" s="3462">
        <v>6</v>
      </c>
      <c r="AL106" s="3456">
        <v>82253557</v>
      </c>
      <c r="AN106" s="3456" t="s">
        <v>3482</v>
      </c>
      <c r="AO106" s="3456" t="s">
        <v>2420</v>
      </c>
      <c r="AP106" s="3456" t="s">
        <v>4045</v>
      </c>
      <c r="AQ106" s="3469" t="s">
        <v>3571</v>
      </c>
      <c r="AW106" s="3469" t="s">
        <v>3572</v>
      </c>
      <c r="AX106" s="3469" t="s">
        <v>2511</v>
      </c>
      <c r="AY106" s="3591" t="s">
        <v>4552</v>
      </c>
      <c r="AZ106" s="3469" t="s">
        <v>4406</v>
      </c>
      <c r="BA106" s="3469" t="s">
        <v>4409</v>
      </c>
      <c r="BB106" s="3591" t="s">
        <v>4410</v>
      </c>
      <c r="BC106" s="3469" t="s">
        <v>4411</v>
      </c>
      <c r="BD106" s="3592" t="s">
        <v>3568</v>
      </c>
      <c r="BE106" s="3469">
        <v>68152860</v>
      </c>
      <c r="BF106" s="3593">
        <v>2.8</v>
      </c>
      <c r="BG106" s="3566">
        <v>37774</v>
      </c>
      <c r="BH106" s="3469" t="s">
        <v>4412</v>
      </c>
      <c r="BI106" s="3456" t="s">
        <v>2152</v>
      </c>
      <c r="BJ106" s="3594">
        <v>37788</v>
      </c>
      <c r="BK106" s="3594"/>
      <c r="BL106" s="3456" t="s">
        <v>3670</v>
      </c>
      <c r="BP106" s="3441"/>
      <c r="BQ106" s="3441"/>
      <c r="BR106" s="3441"/>
      <c r="BS106" s="3470"/>
      <c r="BT106" s="3470"/>
      <c r="BU106" s="3470"/>
    </row>
    <row r="107" spans="1:73" s="3441" customFormat="1" ht="12" hidden="1">
      <c r="A107" s="3470" t="s">
        <v>4553</v>
      </c>
      <c r="B107" s="3470" t="s">
        <v>4554</v>
      </c>
      <c r="C107" s="3481" t="s">
        <v>4555</v>
      </c>
      <c r="D107" s="3453">
        <v>88262367</v>
      </c>
      <c r="E107" s="3470" t="s">
        <v>3558</v>
      </c>
      <c r="F107" s="3470" t="s">
        <v>4403</v>
      </c>
      <c r="G107" s="3470" t="s">
        <v>3568</v>
      </c>
      <c r="H107" s="3470" t="s">
        <v>4556</v>
      </c>
      <c r="I107" s="3470" t="s">
        <v>4100</v>
      </c>
      <c r="J107" s="3481" t="s">
        <v>3474</v>
      </c>
      <c r="K107" s="3470" t="s">
        <v>4406</v>
      </c>
      <c r="L107" s="3470">
        <v>123.84</v>
      </c>
      <c r="M107" s="3470">
        <v>5</v>
      </c>
      <c r="N107" s="3470" t="s">
        <v>4336</v>
      </c>
      <c r="O107" s="3470">
        <v>110.68</v>
      </c>
      <c r="P107" s="3470" t="s">
        <v>3452</v>
      </c>
      <c r="Q107" s="3457">
        <v>616723.20000000007</v>
      </c>
      <c r="R107" s="3470">
        <v>4980</v>
      </c>
      <c r="S107" s="3472">
        <v>61.3</v>
      </c>
      <c r="T107" s="3527">
        <v>613000</v>
      </c>
      <c r="U107" s="3470">
        <v>4950</v>
      </c>
      <c r="V107" s="3474">
        <v>0.1</v>
      </c>
      <c r="W107" s="3475">
        <v>55.17</v>
      </c>
      <c r="X107" s="3476">
        <v>551700</v>
      </c>
      <c r="Y107" s="3441">
        <v>2003</v>
      </c>
      <c r="Z107" s="3470">
        <v>6</v>
      </c>
      <c r="AA107" s="3470">
        <v>20</v>
      </c>
      <c r="AB107" s="3477">
        <v>3065</v>
      </c>
      <c r="AC107" s="3470" t="s">
        <v>4102</v>
      </c>
      <c r="AD107" s="3485"/>
      <c r="AE107" s="3470" t="s">
        <v>3586</v>
      </c>
      <c r="AF107" s="3470" t="s">
        <v>4126</v>
      </c>
      <c r="AG107" s="3522" t="s">
        <v>3466</v>
      </c>
      <c r="AH107" s="3485"/>
      <c r="AI107" s="3470" t="s">
        <v>2152</v>
      </c>
      <c r="AJ107" s="3523">
        <v>37833</v>
      </c>
      <c r="AK107" s="3548">
        <v>6</v>
      </c>
      <c r="AL107" s="3470">
        <v>82253557</v>
      </c>
      <c r="AN107" s="3480" t="s">
        <v>3791</v>
      </c>
      <c r="AO107" s="3470"/>
      <c r="AP107" s="3470" t="s">
        <v>2152</v>
      </c>
      <c r="AQ107" s="3441" t="s">
        <v>3571</v>
      </c>
      <c r="AW107" s="3441" t="s">
        <v>3572</v>
      </c>
      <c r="AX107" s="3441" t="s">
        <v>3568</v>
      </c>
      <c r="AY107" s="3524" t="s">
        <v>4557</v>
      </c>
      <c r="AZ107" s="3441" t="s">
        <v>4406</v>
      </c>
      <c r="BA107" s="3441" t="s">
        <v>4409</v>
      </c>
      <c r="BB107" s="3524" t="s">
        <v>4410</v>
      </c>
      <c r="BC107" s="3441" t="s">
        <v>4411</v>
      </c>
      <c r="BD107" s="3525" t="s">
        <v>3568</v>
      </c>
      <c r="BE107" s="3441">
        <v>68152860</v>
      </c>
      <c r="BF107" s="3526">
        <v>2.8</v>
      </c>
      <c r="BG107" s="3518">
        <v>37686</v>
      </c>
      <c r="BH107" s="3441" t="s">
        <v>4412</v>
      </c>
      <c r="BI107" s="3470" t="s">
        <v>2152</v>
      </c>
      <c r="BJ107" s="3484">
        <v>37781</v>
      </c>
      <c r="BK107" s="3484"/>
      <c r="BL107" s="3470" t="s">
        <v>3670</v>
      </c>
      <c r="BS107" s="3470"/>
      <c r="BT107" s="3470"/>
      <c r="BU107" s="3470"/>
    </row>
    <row r="108" spans="1:73" s="3497" customFormat="1" ht="13.2" hidden="1">
      <c r="A108" s="3595" t="s">
        <v>4558</v>
      </c>
      <c r="B108" s="3555" t="s">
        <v>4559</v>
      </c>
      <c r="C108" s="3498" t="s">
        <v>4560</v>
      </c>
      <c r="D108" s="3453" t="s">
        <v>4561</v>
      </c>
      <c r="E108" s="3498" t="s">
        <v>2736</v>
      </c>
      <c r="F108" s="3573" t="s">
        <v>11666</v>
      </c>
      <c r="G108" s="3561"/>
      <c r="H108" s="3498" t="s">
        <v>3477</v>
      </c>
      <c r="I108" s="3498" t="s">
        <v>4563</v>
      </c>
      <c r="J108" s="3498" t="s">
        <v>4564</v>
      </c>
      <c r="K108" s="3555" t="s">
        <v>4565</v>
      </c>
      <c r="L108" s="3574">
        <v>51.45</v>
      </c>
      <c r="M108" s="3574">
        <v>4</v>
      </c>
      <c r="N108" s="3441" t="s">
        <v>3790</v>
      </c>
      <c r="O108" s="3574">
        <v>40.56</v>
      </c>
      <c r="P108" s="3496" t="s">
        <v>3452</v>
      </c>
      <c r="Q108" s="3457">
        <v>375121.95</v>
      </c>
      <c r="R108" s="3574">
        <v>7291</v>
      </c>
      <c r="S108" s="3532">
        <v>37.19</v>
      </c>
      <c r="T108" s="3550">
        <v>371900</v>
      </c>
      <c r="U108" s="3574">
        <v>7230</v>
      </c>
      <c r="V108" s="3529">
        <v>0.1</v>
      </c>
      <c r="W108" s="3475">
        <v>33.47</v>
      </c>
      <c r="X108" s="3459">
        <v>334700</v>
      </c>
      <c r="Y108" s="3491">
        <v>2003</v>
      </c>
      <c r="Z108" s="3491">
        <v>6</v>
      </c>
      <c r="AA108" s="3491">
        <v>26</v>
      </c>
      <c r="AB108" s="3477">
        <v>1855</v>
      </c>
      <c r="AC108" s="3490" t="s">
        <v>4383</v>
      </c>
      <c r="AD108" s="3561"/>
      <c r="AE108" s="3490" t="s">
        <v>3566</v>
      </c>
      <c r="AF108" s="3555" t="s">
        <v>4566</v>
      </c>
      <c r="AG108" s="3555" t="s">
        <v>3605</v>
      </c>
      <c r="AH108" s="3555"/>
      <c r="AI108" s="3490" t="s">
        <v>3569</v>
      </c>
      <c r="AJ108" s="3575">
        <v>38199</v>
      </c>
      <c r="AK108" s="3548">
        <v>6</v>
      </c>
      <c r="AL108" s="3441">
        <v>82253572</v>
      </c>
      <c r="AM108" s="3502"/>
      <c r="AN108" s="3456"/>
      <c r="AP108" s="3502" t="s">
        <v>3593</v>
      </c>
      <c r="AQ108" s="3456" t="s">
        <v>3650</v>
      </c>
      <c r="AV108" s="3556"/>
      <c r="AW108" s="3490" t="s">
        <v>4064</v>
      </c>
      <c r="AX108" s="3502" t="s">
        <v>3549</v>
      </c>
      <c r="AY108" s="3503" t="s">
        <v>4567</v>
      </c>
      <c r="AZ108" s="3555" t="s">
        <v>4568</v>
      </c>
      <c r="BA108" s="3552" t="s">
        <v>4569</v>
      </c>
      <c r="BB108" s="3466">
        <v>1101081437256</v>
      </c>
      <c r="BC108" s="3552" t="s">
        <v>4570</v>
      </c>
      <c r="BD108" s="3569">
        <v>100037</v>
      </c>
      <c r="BE108" s="3501">
        <v>68348381</v>
      </c>
      <c r="BF108" s="3506">
        <v>2.8</v>
      </c>
      <c r="BG108" s="3539">
        <v>37771</v>
      </c>
      <c r="BI108" s="3552" t="s">
        <v>3586</v>
      </c>
      <c r="BJ108" s="3566">
        <v>37797</v>
      </c>
      <c r="BK108" s="3441"/>
      <c r="BL108" s="3470" t="s">
        <v>3833</v>
      </c>
      <c r="BM108" s="3441"/>
      <c r="BN108" s="3441"/>
      <c r="BO108" s="3441"/>
      <c r="BP108" s="3441"/>
      <c r="BQ108" s="3441"/>
      <c r="BR108" s="3441"/>
      <c r="BS108" s="3470"/>
      <c r="BT108" s="3470"/>
      <c r="BU108" s="3470"/>
    </row>
    <row r="109" spans="1:73" s="3441" customFormat="1" ht="13.2" hidden="1">
      <c r="A109" s="3470" t="s">
        <v>4571</v>
      </c>
      <c r="B109" s="3470" t="s">
        <v>4572</v>
      </c>
      <c r="C109" s="3596" t="s">
        <v>4573</v>
      </c>
      <c r="D109" s="3596" t="s">
        <v>4574</v>
      </c>
      <c r="E109" s="3470" t="s">
        <v>3558</v>
      </c>
      <c r="F109" s="3470" t="s">
        <v>4403</v>
      </c>
      <c r="G109" s="3470" t="s">
        <v>3568</v>
      </c>
      <c r="H109" s="3470" t="s">
        <v>4575</v>
      </c>
      <c r="I109" s="3470" t="s">
        <v>4217</v>
      </c>
      <c r="J109" s="3596" t="s">
        <v>4576</v>
      </c>
      <c r="K109" s="3470" t="s">
        <v>4406</v>
      </c>
      <c r="L109" s="3470">
        <v>129.66999999999999</v>
      </c>
      <c r="M109" s="3470">
        <v>2</v>
      </c>
      <c r="N109" s="3470" t="s">
        <v>3632</v>
      </c>
      <c r="O109" s="3470">
        <v>116.27</v>
      </c>
      <c r="P109" s="3470" t="s">
        <v>3452</v>
      </c>
      <c r="Q109" s="3457">
        <v>689844.39999999991</v>
      </c>
      <c r="R109" s="3470">
        <v>5320</v>
      </c>
      <c r="S109" s="3472">
        <v>68.2</v>
      </c>
      <c r="T109" s="3527">
        <v>682000</v>
      </c>
      <c r="U109" s="3470">
        <v>5260</v>
      </c>
      <c r="V109" s="3474">
        <v>0.1</v>
      </c>
      <c r="W109" s="3475">
        <v>61.38</v>
      </c>
      <c r="X109" s="3476">
        <v>613800</v>
      </c>
      <c r="Y109" s="3441">
        <v>2003</v>
      </c>
      <c r="Z109" s="3470">
        <v>6</v>
      </c>
      <c r="AA109" s="3470">
        <v>30</v>
      </c>
      <c r="AB109" s="3477">
        <v>3410</v>
      </c>
      <c r="AC109" s="3470" t="s">
        <v>4241</v>
      </c>
      <c r="AD109" s="3485"/>
      <c r="AE109" s="3470" t="s">
        <v>3586</v>
      </c>
      <c r="AF109" s="3470" t="s">
        <v>4390</v>
      </c>
      <c r="AG109" s="3522" t="s">
        <v>3466</v>
      </c>
      <c r="AH109" s="3485"/>
      <c r="AI109" s="3470" t="s">
        <v>3589</v>
      </c>
      <c r="AJ109" s="3523">
        <v>37833</v>
      </c>
      <c r="AK109" s="3548">
        <v>6</v>
      </c>
      <c r="AL109" s="3441">
        <v>82253557</v>
      </c>
      <c r="AN109" s="3480" t="s">
        <v>3456</v>
      </c>
      <c r="AO109" s="3470"/>
      <c r="AP109" s="3441" t="s">
        <v>4045</v>
      </c>
      <c r="AQ109" s="3441" t="s">
        <v>3571</v>
      </c>
      <c r="AW109" s="3441" t="s">
        <v>3572</v>
      </c>
      <c r="AX109" s="3441" t="s">
        <v>3568</v>
      </c>
      <c r="AY109" s="3597" t="s">
        <v>4577</v>
      </c>
      <c r="AZ109" s="3441" t="s">
        <v>4406</v>
      </c>
      <c r="BA109" s="3441" t="s">
        <v>4409</v>
      </c>
      <c r="BB109" s="3524" t="s">
        <v>4410</v>
      </c>
      <c r="BC109" s="3441" t="s">
        <v>4411</v>
      </c>
      <c r="BD109" s="3525" t="s">
        <v>3568</v>
      </c>
      <c r="BE109" s="3441">
        <v>68152860</v>
      </c>
      <c r="BF109" s="3526">
        <v>2.8</v>
      </c>
      <c r="BG109" s="3518">
        <v>37833</v>
      </c>
      <c r="BH109" s="3441" t="s">
        <v>4412</v>
      </c>
      <c r="BI109" s="3486" t="s">
        <v>2152</v>
      </c>
      <c r="BJ109" s="3484">
        <v>37796</v>
      </c>
      <c r="BK109" s="3484"/>
      <c r="BL109" s="3470" t="s">
        <v>3670</v>
      </c>
      <c r="BS109" s="3470"/>
      <c r="BT109" s="3470"/>
      <c r="BU109" s="3470"/>
    </row>
    <row r="110" spans="1:73" s="3469" customFormat="1" ht="13.2" hidden="1">
      <c r="A110" s="3530" t="s">
        <v>4578</v>
      </c>
      <c r="B110" s="3542" t="s">
        <v>4579</v>
      </c>
      <c r="C110" s="3530" t="s">
        <v>4580</v>
      </c>
      <c r="D110" s="3453">
        <v>89521278</v>
      </c>
      <c r="E110" s="3530" t="s">
        <v>2736</v>
      </c>
      <c r="F110" s="3598" t="s">
        <v>4562</v>
      </c>
      <c r="G110" s="3522"/>
      <c r="H110" s="3530" t="s">
        <v>3477</v>
      </c>
      <c r="I110" s="3530" t="s">
        <v>4581</v>
      </c>
      <c r="J110" s="3530" t="s">
        <v>4582</v>
      </c>
      <c r="K110" s="3542" t="s">
        <v>4565</v>
      </c>
      <c r="L110" s="3477">
        <v>76.47</v>
      </c>
      <c r="M110" s="3477">
        <v>5</v>
      </c>
      <c r="N110" s="3441" t="s">
        <v>3451</v>
      </c>
      <c r="O110" s="3477">
        <v>60.28</v>
      </c>
      <c r="P110" s="3485" t="s">
        <v>3452</v>
      </c>
      <c r="Q110" s="3457">
        <v>526725.36</v>
      </c>
      <c r="R110" s="3477">
        <v>6888</v>
      </c>
      <c r="S110" s="3472">
        <v>52.25</v>
      </c>
      <c r="T110" s="3527">
        <v>522500</v>
      </c>
      <c r="U110" s="3477">
        <v>6833</v>
      </c>
      <c r="V110" s="3512">
        <v>0.1</v>
      </c>
      <c r="W110" s="3475">
        <v>47.02</v>
      </c>
      <c r="X110" s="3494">
        <v>470200.00000000006</v>
      </c>
      <c r="Y110" s="3495">
        <v>2003</v>
      </c>
      <c r="Z110" s="3441">
        <v>7</v>
      </c>
      <c r="AA110" s="3441">
        <v>1</v>
      </c>
      <c r="AB110" s="3477">
        <v>2610</v>
      </c>
      <c r="AC110" s="3470" t="s">
        <v>4583</v>
      </c>
      <c r="AD110" s="3522"/>
      <c r="AE110" s="3470" t="s">
        <v>3566</v>
      </c>
      <c r="AF110" s="3542" t="s">
        <v>4584</v>
      </c>
      <c r="AG110" s="3542" t="s">
        <v>3454</v>
      </c>
      <c r="AH110" s="3542"/>
      <c r="AI110" s="3470" t="s">
        <v>3569</v>
      </c>
      <c r="AJ110" s="3513">
        <v>38199</v>
      </c>
      <c r="AK110" s="3500">
        <v>7</v>
      </c>
      <c r="AL110" s="3495">
        <v>82253557</v>
      </c>
      <c r="AM110" s="3441"/>
      <c r="AN110" s="3456"/>
      <c r="AP110" s="3441" t="s">
        <v>4045</v>
      </c>
      <c r="AQ110" s="3456" t="s">
        <v>3457</v>
      </c>
      <c r="AV110" s="3599"/>
      <c r="AW110" s="3470" t="s">
        <v>3548</v>
      </c>
      <c r="AX110" s="3441" t="s">
        <v>3549</v>
      </c>
      <c r="AY110" s="3536" t="s">
        <v>4585</v>
      </c>
      <c r="AZ110" s="3542" t="s">
        <v>4568</v>
      </c>
      <c r="BA110" s="3463" t="s">
        <v>4586</v>
      </c>
      <c r="BB110" s="3466">
        <v>1101081437256</v>
      </c>
      <c r="BC110" s="3463" t="s">
        <v>4587</v>
      </c>
      <c r="BD110" s="3537">
        <v>100037</v>
      </c>
      <c r="BE110" s="3515">
        <v>68348381</v>
      </c>
      <c r="BF110" s="3538">
        <v>2.8</v>
      </c>
      <c r="BG110" s="3535">
        <v>37770</v>
      </c>
      <c r="BI110" s="3441" t="s">
        <v>2152</v>
      </c>
      <c r="BJ110" s="3566">
        <v>37798</v>
      </c>
      <c r="BK110" s="3441"/>
      <c r="BL110" s="3470" t="s">
        <v>3623</v>
      </c>
      <c r="BM110" s="3441"/>
      <c r="BN110" s="3441"/>
      <c r="BO110" s="3441"/>
      <c r="BP110" s="3441"/>
      <c r="BQ110" s="3441"/>
      <c r="BR110" s="3441"/>
      <c r="BS110" s="3470"/>
      <c r="BT110" s="3470"/>
      <c r="BU110" s="3470"/>
    </row>
    <row r="111" spans="1:73" s="3456" customFormat="1" ht="12" hidden="1">
      <c r="A111" s="3485" t="s">
        <v>4588</v>
      </c>
      <c r="B111" s="3453" t="s">
        <v>4589</v>
      </c>
      <c r="C111" s="3454" t="s">
        <v>4590</v>
      </c>
      <c r="D111" s="3481" t="s">
        <v>4591</v>
      </c>
      <c r="E111" s="3453" t="s">
        <v>3763</v>
      </c>
      <c r="F111" s="3453" t="s">
        <v>4592</v>
      </c>
      <c r="G111" s="3470"/>
      <c r="H111" s="3453" t="s">
        <v>4593</v>
      </c>
      <c r="I111" s="3453" t="s">
        <v>3464</v>
      </c>
      <c r="J111" s="3454" t="s">
        <v>4549</v>
      </c>
      <c r="K111" s="3453" t="s">
        <v>4507</v>
      </c>
      <c r="L111" s="3495">
        <v>91.13</v>
      </c>
      <c r="M111" s="3547" t="s">
        <v>4594</v>
      </c>
      <c r="N111" s="3543" t="s">
        <v>3543</v>
      </c>
      <c r="O111" s="3495">
        <v>76.45</v>
      </c>
      <c r="P111" s="3453" t="s">
        <v>3452</v>
      </c>
      <c r="Q111" s="3510">
        <v>386391.19999999995</v>
      </c>
      <c r="R111" s="3510">
        <v>4240</v>
      </c>
      <c r="S111" s="3472">
        <v>38.18</v>
      </c>
      <c r="T111" s="3550">
        <v>381800</v>
      </c>
      <c r="U111" s="3495">
        <v>4190</v>
      </c>
      <c r="V111" s="3512">
        <v>0.1</v>
      </c>
      <c r="W111" s="3475">
        <v>34.36</v>
      </c>
      <c r="X111" s="3473">
        <v>343600</v>
      </c>
      <c r="Y111" s="3515">
        <v>2003</v>
      </c>
      <c r="Z111" s="3515">
        <v>7</v>
      </c>
      <c r="AA111" s="3515">
        <v>8</v>
      </c>
      <c r="AB111" s="3477">
        <v>1910</v>
      </c>
      <c r="AC111" s="3470" t="s">
        <v>3662</v>
      </c>
      <c r="AD111" s="3453"/>
      <c r="AE111" s="3469" t="s">
        <v>3590</v>
      </c>
      <c r="AF111" s="3453" t="s">
        <v>4595</v>
      </c>
      <c r="AG111" s="3470" t="s">
        <v>3454</v>
      </c>
      <c r="AH111" s="3453"/>
      <c r="AI111" s="3456" t="s">
        <v>2152</v>
      </c>
      <c r="AJ111" s="3513">
        <v>37857</v>
      </c>
      <c r="AK111" s="3453" t="s">
        <v>4596</v>
      </c>
      <c r="AL111" s="3495">
        <v>82253557</v>
      </c>
      <c r="AM111" s="3441"/>
      <c r="AO111" s="3453"/>
      <c r="AP111" s="3441" t="s">
        <v>3586</v>
      </c>
      <c r="AQ111" s="3456" t="s">
        <v>3457</v>
      </c>
      <c r="AV111" s="3519"/>
      <c r="AW111" s="3456" t="s">
        <v>3458</v>
      </c>
      <c r="AX111" s="3441"/>
      <c r="AY111" s="3515">
        <v>525487</v>
      </c>
      <c r="AZ111" s="3441" t="s">
        <v>4507</v>
      </c>
      <c r="BA111" s="3456" t="s">
        <v>4597</v>
      </c>
      <c r="BB111" s="3456">
        <v>110001505756</v>
      </c>
      <c r="BC111" s="3456" t="s">
        <v>4509</v>
      </c>
      <c r="BD111" s="3456">
        <v>100083</v>
      </c>
      <c r="BE111" s="3456">
        <v>823555157</v>
      </c>
      <c r="BF111" s="3576">
        <v>2.7</v>
      </c>
      <c r="BG111" s="3461">
        <v>37796</v>
      </c>
      <c r="BI111" s="3456" t="s">
        <v>3586</v>
      </c>
      <c r="BJ111" s="3518">
        <v>37797</v>
      </c>
      <c r="BK111" s="3441"/>
      <c r="BL111" s="3470" t="s">
        <v>3623</v>
      </c>
      <c r="BM111" s="3441"/>
      <c r="BN111" s="3441"/>
      <c r="BO111" s="3441"/>
      <c r="BP111" s="3441"/>
      <c r="BQ111" s="3441"/>
      <c r="BR111" s="3441"/>
      <c r="BS111" s="3470"/>
      <c r="BT111" s="3470"/>
      <c r="BU111" s="3470"/>
    </row>
    <row r="112" spans="1:73" s="3470" customFormat="1" ht="12" hidden="1">
      <c r="A112" s="3530" t="s">
        <v>4598</v>
      </c>
      <c r="B112" s="3470" t="s">
        <v>4599</v>
      </c>
      <c r="C112" s="3471">
        <v>110102570918116</v>
      </c>
      <c r="D112" s="3470">
        <v>66153962</v>
      </c>
      <c r="E112" s="3470" t="s">
        <v>3558</v>
      </c>
      <c r="F112" s="3470" t="s">
        <v>4600</v>
      </c>
      <c r="H112" s="3470" t="s">
        <v>4601</v>
      </c>
      <c r="I112" s="3470" t="s">
        <v>3676</v>
      </c>
      <c r="J112" s="3470" t="s">
        <v>4602</v>
      </c>
      <c r="K112" s="3470" t="s">
        <v>4603</v>
      </c>
      <c r="L112" s="3470">
        <v>127.33</v>
      </c>
      <c r="M112" s="3481" t="s">
        <v>4604</v>
      </c>
      <c r="N112" s="3470" t="s">
        <v>4605</v>
      </c>
      <c r="O112" s="3470">
        <v>117.08</v>
      </c>
      <c r="P112" s="3470" t="s">
        <v>4222</v>
      </c>
      <c r="Q112" s="3457">
        <v>369257</v>
      </c>
      <c r="R112" s="3470">
        <v>2900</v>
      </c>
      <c r="S112" s="3472">
        <v>36.36</v>
      </c>
      <c r="T112" s="3527">
        <v>363600</v>
      </c>
      <c r="U112" s="3470">
        <v>2856</v>
      </c>
      <c r="V112" s="3474">
        <v>0.05</v>
      </c>
      <c r="W112" s="3475">
        <v>34.54</v>
      </c>
      <c r="X112" s="3494">
        <v>345400</v>
      </c>
      <c r="Y112" s="3441">
        <v>2003</v>
      </c>
      <c r="Z112" s="3441">
        <v>7</v>
      </c>
      <c r="AA112" s="3441">
        <v>3</v>
      </c>
      <c r="AB112" s="3477">
        <v>1815</v>
      </c>
      <c r="AC112" s="3470" t="s">
        <v>4224</v>
      </c>
      <c r="AE112" s="3470" t="s">
        <v>3566</v>
      </c>
      <c r="AF112" s="3470" t="s">
        <v>3493</v>
      </c>
      <c r="AG112" s="3470" t="s">
        <v>3466</v>
      </c>
      <c r="AI112" s="3470" t="s">
        <v>3569</v>
      </c>
      <c r="AJ112" s="3478"/>
      <c r="AK112" s="3500">
        <v>7</v>
      </c>
      <c r="AL112" s="3495">
        <v>82253557</v>
      </c>
      <c r="AN112" s="3456" t="s">
        <v>3695</v>
      </c>
      <c r="AP112" s="3441" t="s">
        <v>2152</v>
      </c>
      <c r="AQ112" s="3470" t="s">
        <v>3571</v>
      </c>
      <c r="AW112" s="3470" t="s">
        <v>4606</v>
      </c>
      <c r="AY112" s="3481" t="s">
        <v>4607</v>
      </c>
      <c r="AZ112" s="3470" t="s">
        <v>4608</v>
      </c>
      <c r="BA112" s="3470" t="s">
        <v>4609</v>
      </c>
      <c r="BB112" s="3481">
        <v>1100001088540</v>
      </c>
      <c r="BD112" s="3482"/>
      <c r="BE112" s="3470">
        <v>64263637</v>
      </c>
      <c r="BF112" s="3483"/>
      <c r="BG112" s="3478">
        <v>37776</v>
      </c>
      <c r="BH112" s="3470" t="s">
        <v>3493</v>
      </c>
      <c r="BI112" s="3441" t="s">
        <v>4045</v>
      </c>
      <c r="BJ112" s="3484">
        <v>37802</v>
      </c>
      <c r="BK112" s="3478"/>
      <c r="BL112" s="3470" t="s">
        <v>3623</v>
      </c>
      <c r="BM112" s="3441"/>
      <c r="BN112" s="3441"/>
      <c r="BO112" s="3441"/>
      <c r="BP112" s="3441"/>
      <c r="BQ112" s="3441"/>
      <c r="BR112" s="3441"/>
    </row>
    <row r="113" spans="1:73" s="3469" customFormat="1" ht="13.2" hidden="1">
      <c r="A113" s="3485" t="s">
        <v>4610</v>
      </c>
      <c r="B113" s="3542" t="s">
        <v>4611</v>
      </c>
      <c r="C113" s="3530" t="s">
        <v>4612</v>
      </c>
      <c r="D113" s="3453">
        <v>68754038</v>
      </c>
      <c r="E113" s="3530" t="s">
        <v>2736</v>
      </c>
      <c r="F113" s="3598" t="s">
        <v>4613</v>
      </c>
      <c r="G113" s="3522"/>
      <c r="H113" s="3530" t="s">
        <v>3477</v>
      </c>
      <c r="I113" s="3530" t="s">
        <v>4614</v>
      </c>
      <c r="J113" s="3530" t="s">
        <v>4615</v>
      </c>
      <c r="K113" s="3542" t="s">
        <v>4565</v>
      </c>
      <c r="L113" s="3477">
        <v>52.86</v>
      </c>
      <c r="M113" s="3477">
        <v>5</v>
      </c>
      <c r="N113" s="3441" t="s">
        <v>4616</v>
      </c>
      <c r="O113" s="3477">
        <v>41.67</v>
      </c>
      <c r="P113" s="3485" t="s">
        <v>3452</v>
      </c>
      <c r="Q113" s="3600">
        <v>389155.32</v>
      </c>
      <c r="R113" s="3477">
        <v>7362</v>
      </c>
      <c r="S113" s="3472">
        <v>38.58</v>
      </c>
      <c r="T113" s="3527">
        <v>385800</v>
      </c>
      <c r="U113" s="3477">
        <v>7300</v>
      </c>
      <c r="V113" s="3512">
        <v>0.1</v>
      </c>
      <c r="W113" s="3475">
        <v>34.72</v>
      </c>
      <c r="X113" s="3494">
        <v>347200</v>
      </c>
      <c r="Y113" s="3495">
        <v>2003</v>
      </c>
      <c r="Z113" s="3441">
        <v>7</v>
      </c>
      <c r="AA113" s="3470">
        <v>7</v>
      </c>
      <c r="AB113" s="3477">
        <v>1925</v>
      </c>
      <c r="AC113" s="3470" t="s">
        <v>4102</v>
      </c>
      <c r="AD113" s="3522"/>
      <c r="AE113" s="3469" t="s">
        <v>3566</v>
      </c>
      <c r="AF113" s="3542" t="s">
        <v>4617</v>
      </c>
      <c r="AG113" s="3542" t="s">
        <v>3605</v>
      </c>
      <c r="AH113" s="3542"/>
      <c r="AI113" s="3470" t="s">
        <v>4045</v>
      </c>
      <c r="AJ113" s="3513">
        <v>38199</v>
      </c>
      <c r="AK113" s="3500">
        <v>7</v>
      </c>
      <c r="AL113" s="3470">
        <v>82253557</v>
      </c>
      <c r="AM113" s="3441"/>
      <c r="AN113" s="3441" t="s">
        <v>3635</v>
      </c>
      <c r="AP113" s="3470" t="s">
        <v>4045</v>
      </c>
      <c r="AQ113" s="3456" t="s">
        <v>3457</v>
      </c>
      <c r="AV113" s="3599"/>
      <c r="AW113" s="3470" t="s">
        <v>4064</v>
      </c>
      <c r="AX113" s="3441" t="s">
        <v>4046</v>
      </c>
      <c r="AY113" s="3536" t="s">
        <v>4618</v>
      </c>
      <c r="AZ113" s="3542" t="s">
        <v>4619</v>
      </c>
      <c r="BA113" s="3463" t="s">
        <v>4569</v>
      </c>
      <c r="BB113" s="3466">
        <v>1101081437256</v>
      </c>
      <c r="BC113" s="3463" t="s">
        <v>4587</v>
      </c>
      <c r="BD113" s="3537">
        <v>100037</v>
      </c>
      <c r="BE113" s="3515">
        <v>68348381</v>
      </c>
      <c r="BF113" s="3538">
        <v>2.8</v>
      </c>
      <c r="BG113" s="3535">
        <v>37788</v>
      </c>
      <c r="BI113" s="3441" t="s">
        <v>2152</v>
      </c>
      <c r="BJ113" s="3566">
        <v>37809</v>
      </c>
      <c r="BK113" s="3441"/>
      <c r="BL113" s="3470" t="s">
        <v>3833</v>
      </c>
      <c r="BM113" s="3441"/>
      <c r="BN113" s="3441"/>
      <c r="BO113" s="3441"/>
      <c r="BP113" s="3441"/>
      <c r="BQ113" s="3441"/>
      <c r="BR113" s="3441"/>
      <c r="BS113" s="3470"/>
      <c r="BT113" s="3470"/>
      <c r="BU113" s="3470"/>
    </row>
    <row r="114" spans="1:73" s="3469" customFormat="1" ht="13.2" hidden="1">
      <c r="A114" s="3485" t="s">
        <v>4620</v>
      </c>
      <c r="B114" s="3542" t="s">
        <v>4621</v>
      </c>
      <c r="C114" s="3530" t="s">
        <v>4622</v>
      </c>
      <c r="D114" s="3453">
        <v>62274989</v>
      </c>
      <c r="E114" s="3530" t="s">
        <v>2736</v>
      </c>
      <c r="F114" s="3598" t="s">
        <v>4623</v>
      </c>
      <c r="G114" s="3522"/>
      <c r="H114" s="3530" t="s">
        <v>3477</v>
      </c>
      <c r="I114" s="3530" t="s">
        <v>4624</v>
      </c>
      <c r="J114" s="3530" t="s">
        <v>4625</v>
      </c>
      <c r="K114" s="3542" t="s">
        <v>4565</v>
      </c>
      <c r="L114" s="3477">
        <v>59.94</v>
      </c>
      <c r="M114" s="3477">
        <v>6</v>
      </c>
      <c r="N114" s="3485" t="s">
        <v>3489</v>
      </c>
      <c r="O114" s="3477">
        <v>47.25</v>
      </c>
      <c r="P114" s="3485" t="s">
        <v>3452</v>
      </c>
      <c r="Q114" s="3600">
        <v>447871.68</v>
      </c>
      <c r="R114" s="3477">
        <v>7472</v>
      </c>
      <c r="S114" s="3472">
        <v>44.41</v>
      </c>
      <c r="T114" s="3527">
        <v>444099.99999999994</v>
      </c>
      <c r="U114" s="3477">
        <v>7410</v>
      </c>
      <c r="V114" s="3512">
        <v>0.1</v>
      </c>
      <c r="W114" s="3475">
        <v>39.96</v>
      </c>
      <c r="X114" s="3494">
        <v>399600</v>
      </c>
      <c r="Y114" s="3495">
        <v>2003</v>
      </c>
      <c r="Z114" s="3441">
        <v>7</v>
      </c>
      <c r="AA114" s="3470">
        <v>9</v>
      </c>
      <c r="AB114" s="3477">
        <v>2220</v>
      </c>
      <c r="AC114" s="3470" t="s">
        <v>4626</v>
      </c>
      <c r="AD114" s="3522"/>
      <c r="AE114" s="3469" t="s">
        <v>3566</v>
      </c>
      <c r="AF114" s="3542" t="s">
        <v>4627</v>
      </c>
      <c r="AG114" s="3542" t="s">
        <v>3546</v>
      </c>
      <c r="AH114" s="3542"/>
      <c r="AI114" s="3470" t="s">
        <v>2152</v>
      </c>
      <c r="AJ114" s="3513">
        <v>38199</v>
      </c>
      <c r="AK114" s="3500">
        <v>7</v>
      </c>
      <c r="AL114" s="3470">
        <v>82253557</v>
      </c>
      <c r="AM114" s="3441"/>
      <c r="AN114" s="3441" t="s">
        <v>3635</v>
      </c>
      <c r="AP114" s="3470" t="s">
        <v>2152</v>
      </c>
      <c r="AQ114" s="3456" t="s">
        <v>3650</v>
      </c>
      <c r="AV114" s="3599"/>
      <c r="AW114" s="3470" t="s">
        <v>3458</v>
      </c>
      <c r="AX114" s="3441" t="s">
        <v>3606</v>
      </c>
      <c r="AY114" s="3536" t="s">
        <v>4628</v>
      </c>
      <c r="AZ114" s="3542" t="s">
        <v>4619</v>
      </c>
      <c r="BA114" s="3463" t="s">
        <v>4586</v>
      </c>
      <c r="BB114" s="3466">
        <v>1101081437256</v>
      </c>
      <c r="BC114" s="3463" t="s">
        <v>4629</v>
      </c>
      <c r="BD114" s="3537">
        <v>100037</v>
      </c>
      <c r="BE114" s="3515">
        <v>68348381</v>
      </c>
      <c r="BF114" s="3538">
        <v>2.8</v>
      </c>
      <c r="BG114" s="3535">
        <v>37775</v>
      </c>
      <c r="BI114" s="3441" t="s">
        <v>2152</v>
      </c>
      <c r="BJ114" s="3566">
        <v>37810</v>
      </c>
      <c r="BK114" s="3441"/>
      <c r="BL114" s="3470" t="s">
        <v>3833</v>
      </c>
      <c r="BM114" s="3441"/>
      <c r="BN114" s="3441"/>
      <c r="BO114" s="3441"/>
      <c r="BP114" s="3441"/>
      <c r="BQ114" s="3441"/>
      <c r="BR114" s="3441"/>
      <c r="BS114" s="3470"/>
      <c r="BT114" s="3470"/>
      <c r="BU114" s="3470"/>
    </row>
    <row r="115" spans="1:73" s="3470" customFormat="1" ht="12" hidden="1">
      <c r="A115" s="3485" t="s">
        <v>4630</v>
      </c>
      <c r="B115" s="3470" t="s">
        <v>4631</v>
      </c>
      <c r="C115" s="3481" t="s">
        <v>4632</v>
      </c>
      <c r="D115" s="3481" t="s">
        <v>4633</v>
      </c>
      <c r="E115" s="3481" t="s">
        <v>2736</v>
      </c>
      <c r="F115" s="3481" t="s">
        <v>4634</v>
      </c>
      <c r="H115" s="3470" t="s">
        <v>4635</v>
      </c>
      <c r="I115" s="3470" t="s">
        <v>4636</v>
      </c>
      <c r="J115" s="3470" t="s">
        <v>4637</v>
      </c>
      <c r="K115" s="3481" t="s">
        <v>4537</v>
      </c>
      <c r="L115" s="3470">
        <v>101.48</v>
      </c>
      <c r="M115" s="3470">
        <v>11</v>
      </c>
      <c r="N115" s="3470" t="s">
        <v>4030</v>
      </c>
      <c r="O115" s="3470">
        <v>78.930000000000007</v>
      </c>
      <c r="P115" s="3481" t="s">
        <v>3452</v>
      </c>
      <c r="Q115" s="3600">
        <v>691199.5612</v>
      </c>
      <c r="R115" s="3470">
        <v>6811.19</v>
      </c>
      <c r="S115" s="3472">
        <v>68.540000000000006</v>
      </c>
      <c r="T115" s="3527">
        <v>685400.00000000012</v>
      </c>
      <c r="U115" s="3470">
        <v>6755</v>
      </c>
      <c r="V115" s="3493">
        <v>0.1</v>
      </c>
      <c r="W115" s="3475">
        <v>61.68</v>
      </c>
      <c r="X115" s="3494">
        <v>616800</v>
      </c>
      <c r="Y115" s="3470">
        <v>2003</v>
      </c>
      <c r="Z115" s="3441">
        <v>7</v>
      </c>
      <c r="AA115" s="3470">
        <v>10</v>
      </c>
      <c r="AB115" s="3477">
        <v>3425</v>
      </c>
      <c r="AC115" s="3481" t="s">
        <v>4638</v>
      </c>
      <c r="AE115" s="3469" t="s">
        <v>3566</v>
      </c>
      <c r="AF115" s="3454" t="s">
        <v>3752</v>
      </c>
      <c r="AG115" s="3481" t="s">
        <v>3466</v>
      </c>
      <c r="AI115" s="3470" t="s">
        <v>2152</v>
      </c>
      <c r="AJ115" s="3478">
        <v>38347</v>
      </c>
      <c r="AK115" s="3500">
        <v>7</v>
      </c>
      <c r="AL115" s="3470">
        <v>82253557</v>
      </c>
      <c r="AN115" s="3469" t="s">
        <v>3680</v>
      </c>
      <c r="AP115" s="3470" t="s">
        <v>3589</v>
      </c>
      <c r="AQ115" s="3469" t="s">
        <v>3571</v>
      </c>
      <c r="AW115" s="3441" t="s">
        <v>3458</v>
      </c>
      <c r="AX115" s="3508"/>
      <c r="AY115" s="3481" t="s">
        <v>4639</v>
      </c>
      <c r="AZ115" s="3481" t="s">
        <v>4537</v>
      </c>
      <c r="BA115" s="3481" t="s">
        <v>4640</v>
      </c>
      <c r="BB115" s="3524" t="s">
        <v>4641</v>
      </c>
      <c r="BC115" s="3481" t="s">
        <v>4542</v>
      </c>
      <c r="BD115" s="3481">
        <v>100089</v>
      </c>
      <c r="BE115" s="3481">
        <v>68719656</v>
      </c>
      <c r="BF115" s="3526">
        <v>2.8</v>
      </c>
      <c r="BG115" s="3478">
        <v>37791</v>
      </c>
      <c r="BH115" s="3481" t="s">
        <v>3783</v>
      </c>
      <c r="BI115" s="3441" t="s">
        <v>3589</v>
      </c>
      <c r="BJ115" s="3508">
        <v>37804</v>
      </c>
      <c r="BK115" s="3601"/>
      <c r="BL115" s="3470" t="s">
        <v>3670</v>
      </c>
      <c r="BP115" s="3441"/>
      <c r="BQ115" s="3441"/>
      <c r="BR115" s="3441"/>
    </row>
    <row r="116" spans="1:73" s="3470" customFormat="1" ht="12" hidden="1">
      <c r="A116" s="3470" t="s">
        <v>4642</v>
      </c>
      <c r="B116" s="3470" t="s">
        <v>4643</v>
      </c>
      <c r="C116" s="3470" t="s">
        <v>4644</v>
      </c>
      <c r="D116" s="3470">
        <v>13661171758</v>
      </c>
      <c r="E116" s="3470" t="s">
        <v>3558</v>
      </c>
      <c r="F116" s="3470" t="s">
        <v>4645</v>
      </c>
      <c r="H116" s="3470" t="s">
        <v>4646</v>
      </c>
      <c r="I116" s="3470" t="s">
        <v>4647</v>
      </c>
      <c r="J116" s="3470" t="s">
        <v>4648</v>
      </c>
      <c r="K116" s="3470" t="s">
        <v>4649</v>
      </c>
      <c r="L116" s="3470">
        <v>129.99</v>
      </c>
      <c r="M116" s="3470">
        <v>20</v>
      </c>
      <c r="N116" s="3470" t="s">
        <v>4003</v>
      </c>
      <c r="O116" s="3470">
        <v>102.47</v>
      </c>
      <c r="P116" s="3470" t="s">
        <v>3452</v>
      </c>
      <c r="Q116" s="3470">
        <v>994813.47</v>
      </c>
      <c r="R116" s="3470">
        <v>7653</v>
      </c>
      <c r="S116" s="3470">
        <v>98.66</v>
      </c>
      <c r="T116" s="3470">
        <v>986600</v>
      </c>
      <c r="U116" s="3470">
        <v>7590</v>
      </c>
      <c r="V116" s="3470">
        <v>0.1</v>
      </c>
      <c r="W116" s="3470">
        <v>88.79</v>
      </c>
      <c r="X116" s="3470">
        <v>887900</v>
      </c>
      <c r="Y116" s="3470">
        <v>2003</v>
      </c>
      <c r="Z116" s="3470">
        <v>7</v>
      </c>
      <c r="AA116" s="3470">
        <v>23</v>
      </c>
      <c r="AB116" s="3470">
        <v>4930</v>
      </c>
      <c r="AC116" s="3470" t="s">
        <v>4650</v>
      </c>
      <c r="AE116" s="3470" t="s">
        <v>3566</v>
      </c>
      <c r="AF116" s="3470" t="s">
        <v>4651</v>
      </c>
      <c r="AG116" s="3470" t="s">
        <v>3466</v>
      </c>
      <c r="AI116" s="3470" t="s">
        <v>3569</v>
      </c>
      <c r="AJ116" s="3470">
        <v>38199</v>
      </c>
      <c r="AK116" s="3470">
        <v>7</v>
      </c>
      <c r="AL116" s="3470">
        <v>82253557</v>
      </c>
      <c r="AN116" s="3470" t="s">
        <v>3680</v>
      </c>
      <c r="AP116" s="3470" t="s">
        <v>4652</v>
      </c>
      <c r="AQ116" s="3470" t="s">
        <v>3571</v>
      </c>
      <c r="AW116" s="3470" t="s">
        <v>3572</v>
      </c>
      <c r="AX116" s="3470" t="s">
        <v>2511</v>
      </c>
      <c r="AY116" s="3481" t="s">
        <v>4653</v>
      </c>
      <c r="AZ116" s="3470" t="s">
        <v>4654</v>
      </c>
      <c r="BA116" s="3470" t="s">
        <v>4655</v>
      </c>
      <c r="BB116" s="3481">
        <v>1101081437256</v>
      </c>
      <c r="BC116" s="3470" t="s">
        <v>4656</v>
      </c>
      <c r="BD116" s="3482">
        <v>100037</v>
      </c>
      <c r="BE116" s="3470">
        <v>68348381</v>
      </c>
      <c r="BF116" s="3483">
        <v>2.8</v>
      </c>
      <c r="BG116" s="3478">
        <v>37810</v>
      </c>
      <c r="BI116" s="3470" t="s">
        <v>3566</v>
      </c>
      <c r="BJ116" s="3508">
        <v>37824</v>
      </c>
      <c r="BK116" s="3508"/>
      <c r="BL116" s="3470" t="s">
        <v>3670</v>
      </c>
      <c r="BP116" s="3441"/>
      <c r="BQ116" s="3441"/>
      <c r="BR116" s="3441"/>
    </row>
    <row r="117" spans="1:73" s="3470" customFormat="1" ht="12" hidden="1">
      <c r="A117" s="3470" t="s">
        <v>4657</v>
      </c>
      <c r="B117" s="3470" t="s">
        <v>4658</v>
      </c>
      <c r="C117" s="3470" t="s">
        <v>4659</v>
      </c>
      <c r="D117" s="3470" t="s">
        <v>4660</v>
      </c>
      <c r="E117" s="3470" t="s">
        <v>3558</v>
      </c>
      <c r="F117" s="3470" t="s">
        <v>3733</v>
      </c>
      <c r="H117" s="3470" t="s">
        <v>4661</v>
      </c>
      <c r="I117" s="3470" t="s">
        <v>3561</v>
      </c>
      <c r="J117" s="3470" t="s">
        <v>4662</v>
      </c>
      <c r="K117" s="3470" t="s">
        <v>3737</v>
      </c>
      <c r="L117" s="3470">
        <v>156.02000000000001</v>
      </c>
      <c r="M117" s="3470">
        <v>10</v>
      </c>
      <c r="N117" s="3470" t="s">
        <v>4003</v>
      </c>
      <c r="O117" s="3470">
        <v>126.37</v>
      </c>
      <c r="P117" s="3470" t="s">
        <v>3452</v>
      </c>
      <c r="Q117" s="3470">
        <v>943921</v>
      </c>
      <c r="R117" s="3470">
        <v>6050</v>
      </c>
      <c r="S117" s="3470">
        <v>93.61</v>
      </c>
      <c r="T117" s="3470">
        <v>936100</v>
      </c>
      <c r="U117" s="3470">
        <v>6000</v>
      </c>
      <c r="V117" s="3470">
        <v>0.1</v>
      </c>
      <c r="W117" s="3470">
        <v>84.24</v>
      </c>
      <c r="X117" s="3470">
        <v>842400</v>
      </c>
      <c r="Y117" s="3470">
        <v>2003</v>
      </c>
      <c r="Z117" s="3470">
        <v>8</v>
      </c>
      <c r="AA117" s="3470">
        <v>5</v>
      </c>
      <c r="AB117" s="3470">
        <v>4680</v>
      </c>
      <c r="AC117" s="3470" t="s">
        <v>4020</v>
      </c>
      <c r="AE117" s="3470" t="s">
        <v>3566</v>
      </c>
      <c r="AF117" s="3470" t="s">
        <v>4032</v>
      </c>
      <c r="AG117" s="3470" t="s">
        <v>3466</v>
      </c>
      <c r="AI117" s="3470" t="s">
        <v>3569</v>
      </c>
      <c r="AJ117" s="3470">
        <v>37992</v>
      </c>
      <c r="AK117" s="3470" t="s">
        <v>4663</v>
      </c>
      <c r="AL117" s="3470">
        <v>82253557</v>
      </c>
      <c r="AN117" s="3470" t="s">
        <v>3695</v>
      </c>
      <c r="AP117" s="3470" t="s">
        <v>3569</v>
      </c>
      <c r="AW117" s="3470" t="s">
        <v>3572</v>
      </c>
      <c r="AX117" s="3470" t="s">
        <v>2511</v>
      </c>
      <c r="AY117" s="3481" t="s">
        <v>4664</v>
      </c>
      <c r="AZ117" s="3470" t="s">
        <v>3737</v>
      </c>
      <c r="BA117" s="3470" t="s">
        <v>3742</v>
      </c>
      <c r="BB117" s="3481" t="s">
        <v>3743</v>
      </c>
      <c r="BC117" s="3470" t="s">
        <v>3744</v>
      </c>
      <c r="BD117" s="3482">
        <v>100088</v>
      </c>
      <c r="BE117" s="3470">
        <v>82058259</v>
      </c>
      <c r="BF117" s="3483">
        <v>2.9</v>
      </c>
      <c r="BG117" s="3478">
        <v>37782</v>
      </c>
      <c r="BI117" s="3470" t="s">
        <v>3569</v>
      </c>
      <c r="BJ117" s="3508">
        <v>37827</v>
      </c>
      <c r="BK117" s="3508">
        <v>37831</v>
      </c>
      <c r="BL117" s="3470" t="s">
        <v>3670</v>
      </c>
      <c r="BP117" s="3441"/>
      <c r="BQ117" s="3441"/>
      <c r="BR117" s="3441"/>
    </row>
    <row r="118" spans="1:73" s="3470" customFormat="1" ht="12" hidden="1">
      <c r="A118" s="3470" t="s">
        <v>4665</v>
      </c>
      <c r="B118" s="3470" t="s">
        <v>4666</v>
      </c>
      <c r="C118" s="3470" t="s">
        <v>4667</v>
      </c>
      <c r="D118" s="3470" t="s">
        <v>4668</v>
      </c>
      <c r="E118" s="3470" t="s">
        <v>3558</v>
      </c>
      <c r="F118" s="3470" t="s">
        <v>4669</v>
      </c>
      <c r="H118" s="3470" t="s">
        <v>4670</v>
      </c>
      <c r="I118" s="3470" t="s">
        <v>4671</v>
      </c>
      <c r="J118" s="3470" t="s">
        <v>4672</v>
      </c>
      <c r="K118" s="3470" t="s">
        <v>4673</v>
      </c>
      <c r="L118" s="3470">
        <v>53.71</v>
      </c>
      <c r="M118" s="3470">
        <v>10</v>
      </c>
      <c r="N118" s="3470" t="s">
        <v>3564</v>
      </c>
      <c r="O118" s="3470">
        <v>41.78</v>
      </c>
      <c r="P118" s="3470" t="s">
        <v>3452</v>
      </c>
      <c r="Q118" s="3470">
        <v>343206.9</v>
      </c>
      <c r="R118" s="3470">
        <v>6390</v>
      </c>
      <c r="S118" s="3470">
        <v>33.99</v>
      </c>
      <c r="T118" s="3470">
        <v>339900</v>
      </c>
      <c r="U118" s="3470">
        <v>6330</v>
      </c>
      <c r="V118" s="3470">
        <v>0.1</v>
      </c>
      <c r="W118" s="3470">
        <v>30.59</v>
      </c>
      <c r="X118" s="3470">
        <v>305900</v>
      </c>
      <c r="Y118" s="3470">
        <v>2003</v>
      </c>
      <c r="Z118" s="3470">
        <v>8</v>
      </c>
      <c r="AA118" s="3470">
        <v>5</v>
      </c>
      <c r="AB118" s="3470">
        <v>1695</v>
      </c>
      <c r="AC118" s="3470" t="s">
        <v>4674</v>
      </c>
      <c r="AE118" s="3470" t="s">
        <v>3566</v>
      </c>
      <c r="AF118" s="3470" t="s">
        <v>4675</v>
      </c>
      <c r="AG118" s="3470" t="s">
        <v>3466</v>
      </c>
      <c r="AI118" s="3470" t="s">
        <v>3569</v>
      </c>
      <c r="AJ118" s="3470">
        <v>38347</v>
      </c>
      <c r="AK118" s="3470">
        <v>8</v>
      </c>
      <c r="AL118" s="3470">
        <v>82253557</v>
      </c>
      <c r="AN118" s="3470" t="s">
        <v>3695</v>
      </c>
      <c r="AP118" s="3470" t="s">
        <v>4652</v>
      </c>
      <c r="AQ118" s="3470" t="s">
        <v>3571</v>
      </c>
      <c r="AW118" s="3470" t="s">
        <v>3572</v>
      </c>
      <c r="AY118" s="3481" t="s">
        <v>4676</v>
      </c>
      <c r="AZ118" s="3470" t="s">
        <v>4677</v>
      </c>
      <c r="BA118" s="3470" t="s">
        <v>4678</v>
      </c>
      <c r="BB118" s="3481" t="s">
        <v>4679</v>
      </c>
      <c r="BC118" s="3470" t="s">
        <v>4680</v>
      </c>
      <c r="BD118" s="3482">
        <v>100089</v>
      </c>
      <c r="BE118" s="3470">
        <v>68719656</v>
      </c>
      <c r="BF118" s="3483">
        <v>2.8</v>
      </c>
      <c r="BG118" s="3478">
        <v>37803</v>
      </c>
      <c r="BH118" s="3470" t="s">
        <v>4681</v>
      </c>
      <c r="BI118" s="3470" t="s">
        <v>3566</v>
      </c>
      <c r="BJ118" s="3508">
        <v>37830</v>
      </c>
      <c r="BK118" s="3508"/>
      <c r="BL118" s="3470" t="s">
        <v>3670</v>
      </c>
      <c r="BP118" s="3441"/>
      <c r="BQ118" s="3441"/>
      <c r="BR118" s="3441"/>
    </row>
    <row r="119" spans="1:73" s="3470" customFormat="1" ht="12" hidden="1">
      <c r="A119" s="3470" t="s">
        <v>4682</v>
      </c>
      <c r="B119" s="3470" t="s">
        <v>4683</v>
      </c>
      <c r="C119" s="3470">
        <v>110108681101639</v>
      </c>
      <c r="D119" s="3470">
        <v>13801299231</v>
      </c>
      <c r="E119" s="3470" t="s">
        <v>3558</v>
      </c>
      <c r="F119" s="3470" t="s">
        <v>4645</v>
      </c>
      <c r="H119" s="3470" t="s">
        <v>4684</v>
      </c>
      <c r="I119" s="3470" t="s">
        <v>3689</v>
      </c>
      <c r="J119" s="3470" t="s">
        <v>4685</v>
      </c>
      <c r="K119" s="3470" t="s">
        <v>4649</v>
      </c>
      <c r="L119" s="3470">
        <v>92.49</v>
      </c>
      <c r="M119" s="3470">
        <v>11</v>
      </c>
      <c r="N119" s="3470" t="s">
        <v>4030</v>
      </c>
      <c r="O119" s="3470">
        <v>72.91</v>
      </c>
      <c r="P119" s="3470" t="s">
        <v>3452</v>
      </c>
      <c r="Q119" s="3470">
        <v>701166.69</v>
      </c>
      <c r="R119" s="3470">
        <v>7581</v>
      </c>
      <c r="S119" s="3470">
        <v>69.55</v>
      </c>
      <c r="T119" s="3470">
        <v>695500</v>
      </c>
      <c r="U119" s="3470">
        <v>7520</v>
      </c>
      <c r="V119" s="3470">
        <v>0.1</v>
      </c>
      <c r="W119" s="3470">
        <v>62.59</v>
      </c>
      <c r="X119" s="3470">
        <v>625900</v>
      </c>
      <c r="Y119" s="3470">
        <v>2003</v>
      </c>
      <c r="Z119" s="3470">
        <v>8</v>
      </c>
      <c r="AA119" s="3470">
        <v>18</v>
      </c>
      <c r="AB119" s="3470">
        <v>3475</v>
      </c>
      <c r="AC119" s="3470" t="s">
        <v>4686</v>
      </c>
      <c r="AE119" s="3470" t="s">
        <v>3566</v>
      </c>
      <c r="AF119" s="3470" t="s">
        <v>3728</v>
      </c>
      <c r="AG119" s="3470" t="s">
        <v>3466</v>
      </c>
      <c r="AI119" s="3470" t="s">
        <v>3569</v>
      </c>
      <c r="AJ119" s="3470">
        <v>38199</v>
      </c>
      <c r="AK119" s="3470" t="s">
        <v>4687</v>
      </c>
      <c r="AL119" s="3470">
        <v>82253557</v>
      </c>
      <c r="AN119" s="3470" t="s">
        <v>3680</v>
      </c>
      <c r="AP119" s="3470" t="s">
        <v>4652</v>
      </c>
      <c r="AQ119" s="3470" t="s">
        <v>3571</v>
      </c>
      <c r="AW119" s="3470" t="s">
        <v>3572</v>
      </c>
      <c r="AX119" s="3470" t="s">
        <v>3568</v>
      </c>
      <c r="AY119" s="3481">
        <v>515980</v>
      </c>
      <c r="AZ119" s="3470" t="s">
        <v>4654</v>
      </c>
      <c r="BA119" s="3470" t="s">
        <v>4688</v>
      </c>
      <c r="BB119" s="3481" t="s">
        <v>4689</v>
      </c>
      <c r="BC119" s="3470" t="s">
        <v>4656</v>
      </c>
      <c r="BD119" s="3482">
        <v>100037</v>
      </c>
      <c r="BE119" s="3470">
        <v>68347718</v>
      </c>
      <c r="BF119" s="3483">
        <v>2.8</v>
      </c>
      <c r="BG119" s="3478">
        <v>37837</v>
      </c>
      <c r="BH119" s="3470" t="s">
        <v>4681</v>
      </c>
      <c r="BI119" s="3470" t="s">
        <v>3566</v>
      </c>
      <c r="BJ119" s="3508">
        <v>37847</v>
      </c>
      <c r="BK119" s="3508"/>
      <c r="BL119" s="3470" t="s">
        <v>3670</v>
      </c>
      <c r="BP119" s="3441"/>
      <c r="BQ119" s="3441"/>
      <c r="BR119" s="3441"/>
    </row>
    <row r="120" spans="1:73" s="3470" customFormat="1" ht="12" hidden="1">
      <c r="A120" s="3470" t="s">
        <v>4690</v>
      </c>
      <c r="B120" s="3470" t="s">
        <v>4691</v>
      </c>
      <c r="C120" s="3470" t="s">
        <v>4692</v>
      </c>
      <c r="D120" s="3470">
        <v>13501308875</v>
      </c>
      <c r="E120" s="3470" t="s">
        <v>3558</v>
      </c>
      <c r="F120" s="3470" t="s">
        <v>11667</v>
      </c>
      <c r="H120" s="3470" t="s">
        <v>4694</v>
      </c>
      <c r="I120" s="3470" t="s">
        <v>4695</v>
      </c>
      <c r="J120" s="3470" t="s">
        <v>4696</v>
      </c>
      <c r="K120" s="3470" t="s">
        <v>4697</v>
      </c>
      <c r="L120" s="3470">
        <v>37.76</v>
      </c>
      <c r="M120" s="3470">
        <v>4</v>
      </c>
      <c r="N120" s="3470" t="s">
        <v>3692</v>
      </c>
      <c r="O120" s="3470">
        <v>28.05</v>
      </c>
      <c r="P120" s="3470" t="s">
        <v>3452</v>
      </c>
      <c r="Q120" s="3470">
        <v>318014.71999999997</v>
      </c>
      <c r="R120" s="3470">
        <v>8422</v>
      </c>
      <c r="S120" s="3470">
        <v>31.56</v>
      </c>
      <c r="T120" s="3470">
        <v>315600</v>
      </c>
      <c r="U120" s="3470">
        <v>8360</v>
      </c>
      <c r="V120" s="3470">
        <v>0.1</v>
      </c>
      <c r="W120" s="3470">
        <v>28.4</v>
      </c>
      <c r="X120" s="3470">
        <v>284000</v>
      </c>
      <c r="Y120" s="3470">
        <v>2003</v>
      </c>
      <c r="Z120" s="3470">
        <v>8</v>
      </c>
      <c r="AA120" s="3470">
        <v>26</v>
      </c>
      <c r="AB120" s="3470">
        <v>1575</v>
      </c>
      <c r="AC120" s="3470" t="s">
        <v>4698</v>
      </c>
      <c r="AE120" s="3470" t="s">
        <v>3566</v>
      </c>
      <c r="AF120" s="3470" t="s">
        <v>3694</v>
      </c>
      <c r="AG120" s="3470" t="s">
        <v>3466</v>
      </c>
      <c r="AH120" s="3470" t="s">
        <v>3463</v>
      </c>
      <c r="AI120" s="3470" t="s">
        <v>3569</v>
      </c>
      <c r="AJ120" s="3470">
        <v>38138</v>
      </c>
      <c r="AK120" s="3470" t="s">
        <v>4687</v>
      </c>
      <c r="AL120" s="3470">
        <v>82253557</v>
      </c>
      <c r="AN120" s="3470" t="s">
        <v>4699</v>
      </c>
      <c r="AP120" s="3470" t="s">
        <v>4652</v>
      </c>
      <c r="AQ120" s="3470" t="s">
        <v>3571</v>
      </c>
      <c r="AV120" s="3470" t="s">
        <v>3568</v>
      </c>
      <c r="AW120" s="3470" t="s">
        <v>3572</v>
      </c>
      <c r="AX120" s="3470" t="s">
        <v>3568</v>
      </c>
      <c r="AY120" s="3481">
        <v>526045</v>
      </c>
      <c r="AZ120" s="3470" t="s">
        <v>4697</v>
      </c>
      <c r="BA120" s="3470" t="s">
        <v>4700</v>
      </c>
      <c r="BB120" s="3481" t="s">
        <v>4701</v>
      </c>
      <c r="BC120" s="3470" t="s">
        <v>4702</v>
      </c>
      <c r="BD120" s="3482">
        <v>100011</v>
      </c>
      <c r="BE120" s="3470">
        <v>62351476</v>
      </c>
      <c r="BF120" s="3483">
        <v>2.8</v>
      </c>
      <c r="BG120" s="3478">
        <v>37805</v>
      </c>
      <c r="BI120" s="3470" t="s">
        <v>4652</v>
      </c>
      <c r="BJ120" s="3508">
        <v>37858</v>
      </c>
      <c r="BK120" s="3508"/>
      <c r="BL120" s="3470" t="s">
        <v>3670</v>
      </c>
      <c r="BP120" s="3441"/>
      <c r="BQ120" s="3441"/>
      <c r="BR120" s="3441"/>
    </row>
    <row r="121" spans="1:73" s="3441" customFormat="1" ht="12" hidden="1">
      <c r="A121" s="3485" t="s">
        <v>4703</v>
      </c>
      <c r="B121" s="3470" t="s">
        <v>4704</v>
      </c>
      <c r="C121" s="3481" t="s">
        <v>4705</v>
      </c>
      <c r="D121" s="3453">
        <v>13691052140</v>
      </c>
      <c r="E121" s="3470" t="s">
        <v>2736</v>
      </c>
      <c r="F121" s="3528" t="s">
        <v>3628</v>
      </c>
      <c r="G121" s="3470"/>
      <c r="H121" s="3470" t="s">
        <v>4706</v>
      </c>
      <c r="I121" s="3470" t="s">
        <v>4707</v>
      </c>
      <c r="J121" s="3481" t="s">
        <v>4708</v>
      </c>
      <c r="K121" s="3470" t="s">
        <v>3647</v>
      </c>
      <c r="L121" s="3470">
        <v>75.599999999999994</v>
      </c>
      <c r="M121" s="3470">
        <v>14</v>
      </c>
      <c r="N121" s="3470" t="s">
        <v>3709</v>
      </c>
      <c r="O121" s="3470">
        <v>60.4</v>
      </c>
      <c r="P121" s="3470" t="s">
        <v>3452</v>
      </c>
      <c r="Q121" s="3457">
        <v>441503.99999999994</v>
      </c>
      <c r="R121" s="3470">
        <v>5840</v>
      </c>
      <c r="S121" s="3472">
        <v>43.77</v>
      </c>
      <c r="T121" s="3527">
        <v>437700.00000000006</v>
      </c>
      <c r="U121" s="3470">
        <v>5790</v>
      </c>
      <c r="V121" s="3474">
        <v>0.1</v>
      </c>
      <c r="W121" s="3475">
        <v>39.39</v>
      </c>
      <c r="X121" s="3473">
        <v>393900</v>
      </c>
      <c r="Y121" s="3441">
        <v>2003</v>
      </c>
      <c r="Z121" s="3515">
        <v>9</v>
      </c>
      <c r="AA121" s="3515">
        <v>8</v>
      </c>
      <c r="AB121" s="3485">
        <v>2185</v>
      </c>
      <c r="AC121" s="3470" t="s">
        <v>4709</v>
      </c>
      <c r="AD121" s="3485"/>
      <c r="AE121" s="3441" t="s">
        <v>3586</v>
      </c>
      <c r="AF121" s="3470" t="s">
        <v>4295</v>
      </c>
      <c r="AG121" s="3522" t="s">
        <v>3454</v>
      </c>
      <c r="AH121" s="3485"/>
      <c r="AI121" s="3470" t="s">
        <v>2152</v>
      </c>
      <c r="AJ121" s="3523">
        <v>38045</v>
      </c>
      <c r="AK121" s="3548">
        <v>9</v>
      </c>
      <c r="AL121" s="3441">
        <v>82253557</v>
      </c>
      <c r="AN121" s="3469" t="s">
        <v>3800</v>
      </c>
      <c r="AO121" s="3470"/>
      <c r="AP121" s="3441" t="s">
        <v>3469</v>
      </c>
      <c r="AQ121" s="3469" t="s">
        <v>3571</v>
      </c>
      <c r="AW121" s="3441" t="s">
        <v>4064</v>
      </c>
      <c r="AX121" s="3484"/>
      <c r="AY121" s="3524" t="s">
        <v>4710</v>
      </c>
      <c r="AZ121" s="3470" t="s">
        <v>3647</v>
      </c>
      <c r="BA121" s="3441" t="s">
        <v>4327</v>
      </c>
      <c r="BB121" s="3524" t="s">
        <v>3640</v>
      </c>
      <c r="BC121" s="3441" t="s">
        <v>4339</v>
      </c>
      <c r="BD121" s="3525">
        <v>100088</v>
      </c>
      <c r="BE121" s="3441">
        <v>82058259</v>
      </c>
      <c r="BF121" s="3526">
        <v>2.7</v>
      </c>
      <c r="BG121" s="3518">
        <v>37858</v>
      </c>
      <c r="BH121" s="3470" t="s">
        <v>4711</v>
      </c>
      <c r="BI121" s="3470" t="s">
        <v>3469</v>
      </c>
      <c r="BJ121" s="3518">
        <v>37867</v>
      </c>
      <c r="BK121" s="3518"/>
      <c r="BL121" s="3470" t="s">
        <v>3670</v>
      </c>
      <c r="BS121" s="3470"/>
      <c r="BT121" s="3470"/>
      <c r="BU121" s="3470"/>
    </row>
    <row r="122" spans="1:73" s="3441" customFormat="1" ht="12" hidden="1">
      <c r="A122" s="3485" t="s">
        <v>4712</v>
      </c>
      <c r="B122" s="3470" t="s">
        <v>4713</v>
      </c>
      <c r="C122" s="3481" t="s">
        <v>4714</v>
      </c>
      <c r="D122" s="3481" t="s">
        <v>4715</v>
      </c>
      <c r="E122" s="3470" t="s">
        <v>3558</v>
      </c>
      <c r="F122" s="3521" t="s">
        <v>4716</v>
      </c>
      <c r="G122" s="3470"/>
      <c r="H122" s="3470" t="s">
        <v>4717</v>
      </c>
      <c r="I122" s="3470" t="s">
        <v>4718</v>
      </c>
      <c r="J122" s="3481" t="s">
        <v>4719</v>
      </c>
      <c r="K122" s="3470" t="s">
        <v>4720</v>
      </c>
      <c r="L122" s="3470">
        <v>153.79</v>
      </c>
      <c r="M122" s="3470">
        <v>17</v>
      </c>
      <c r="N122" s="3470" t="s">
        <v>4003</v>
      </c>
      <c r="O122" s="3470">
        <v>120.96</v>
      </c>
      <c r="P122" s="3470" t="s">
        <v>3633</v>
      </c>
      <c r="Q122" s="3457">
        <v>631684.73549999995</v>
      </c>
      <c r="R122" s="3470">
        <v>4107.45</v>
      </c>
      <c r="S122" s="3472">
        <v>62.43</v>
      </c>
      <c r="T122" s="3550">
        <v>624300</v>
      </c>
      <c r="U122" s="3470">
        <v>4060</v>
      </c>
      <c r="V122" s="3474">
        <v>0.1</v>
      </c>
      <c r="W122" s="3475">
        <v>56.18</v>
      </c>
      <c r="X122" s="3476">
        <v>561800</v>
      </c>
      <c r="Y122" s="3441">
        <v>2003</v>
      </c>
      <c r="Z122" s="3441">
        <v>9</v>
      </c>
      <c r="AA122" s="3441">
        <v>11</v>
      </c>
      <c r="AB122" s="3477">
        <v>3120</v>
      </c>
      <c r="AC122" s="3470" t="s">
        <v>4686</v>
      </c>
      <c r="AD122" s="3485"/>
      <c r="AE122" s="3469" t="s">
        <v>3590</v>
      </c>
      <c r="AF122" s="3470" t="s">
        <v>4721</v>
      </c>
      <c r="AG122" s="3522" t="s">
        <v>3466</v>
      </c>
      <c r="AH122" s="3485"/>
      <c r="AI122" s="3456" t="s">
        <v>2152</v>
      </c>
      <c r="AJ122" s="3523">
        <v>38230</v>
      </c>
      <c r="AK122" s="3479" t="s">
        <v>4722</v>
      </c>
      <c r="AL122" s="3441">
        <v>82253557</v>
      </c>
      <c r="AN122" s="3441" t="s">
        <v>3791</v>
      </c>
      <c r="AO122" s="3441" t="s">
        <v>3568</v>
      </c>
      <c r="AP122" s="3441" t="s">
        <v>4723</v>
      </c>
      <c r="AQ122" s="3441" t="s">
        <v>3571</v>
      </c>
      <c r="AW122" s="3441" t="s">
        <v>3572</v>
      </c>
      <c r="AY122" s="3524" t="s">
        <v>4724</v>
      </c>
      <c r="AZ122" s="3441" t="s">
        <v>4720</v>
      </c>
      <c r="BA122" s="3441" t="s">
        <v>4725</v>
      </c>
      <c r="BB122" s="3524" t="s">
        <v>4726</v>
      </c>
      <c r="BC122" s="3441" t="s">
        <v>4727</v>
      </c>
      <c r="BD122" s="3525">
        <v>100005</v>
      </c>
      <c r="BE122" s="3441">
        <v>65128628</v>
      </c>
      <c r="BF122" s="3526">
        <v>2.8</v>
      </c>
      <c r="BG122" s="3518">
        <v>37818</v>
      </c>
      <c r="BI122" s="3470" t="s">
        <v>4504</v>
      </c>
      <c r="BJ122" s="3484">
        <v>37874</v>
      </c>
      <c r="BK122" s="3518" t="s">
        <v>3568</v>
      </c>
      <c r="BL122" s="3470" t="s">
        <v>3670</v>
      </c>
      <c r="BS122" s="3470"/>
      <c r="BT122" s="3470"/>
      <c r="BU122" s="3470"/>
    </row>
    <row r="123" spans="1:73" s="3470" customFormat="1" ht="12" hidden="1">
      <c r="A123" s="3470" t="s">
        <v>4728</v>
      </c>
      <c r="B123" s="3470" t="s">
        <v>4729</v>
      </c>
      <c r="C123" s="3481" t="s">
        <v>4730</v>
      </c>
      <c r="D123" s="3487" t="s">
        <v>4731</v>
      </c>
      <c r="E123" s="3470" t="s">
        <v>3558</v>
      </c>
      <c r="F123" s="3470" t="s">
        <v>4645</v>
      </c>
      <c r="H123" s="3453" t="s">
        <v>4732</v>
      </c>
      <c r="I123" s="3453" t="s">
        <v>4733</v>
      </c>
      <c r="J123" s="3453" t="s">
        <v>4734</v>
      </c>
      <c r="K123" s="3470" t="s">
        <v>4649</v>
      </c>
      <c r="L123" s="3495">
        <v>59.99</v>
      </c>
      <c r="M123" s="3495">
        <v>17</v>
      </c>
      <c r="N123" s="3470" t="s">
        <v>3564</v>
      </c>
      <c r="O123" s="3495">
        <v>47.29</v>
      </c>
      <c r="P123" s="3470" t="s">
        <v>3452</v>
      </c>
      <c r="Q123" s="3457">
        <v>471341.43</v>
      </c>
      <c r="R123" s="3470">
        <v>7857</v>
      </c>
      <c r="S123" s="3472">
        <v>46.79</v>
      </c>
      <c r="T123" s="3602">
        <v>467900</v>
      </c>
      <c r="U123" s="3470">
        <v>7800</v>
      </c>
      <c r="V123" s="3474">
        <v>0.1</v>
      </c>
      <c r="W123" s="3475">
        <v>42.11</v>
      </c>
      <c r="X123" s="3602">
        <v>421100</v>
      </c>
      <c r="Y123" s="3470">
        <v>2003</v>
      </c>
      <c r="Z123" s="3470">
        <v>9</v>
      </c>
      <c r="AA123" s="3441">
        <v>23</v>
      </c>
      <c r="AB123" s="3477">
        <v>2335</v>
      </c>
      <c r="AC123" s="3490" t="s">
        <v>4735</v>
      </c>
      <c r="AE123" s="3456" t="s">
        <v>3566</v>
      </c>
      <c r="AF123" s="3470" t="s">
        <v>4736</v>
      </c>
      <c r="AG123" s="3470" t="s">
        <v>3466</v>
      </c>
      <c r="AI123" s="3470" t="s">
        <v>3569</v>
      </c>
      <c r="AJ123" s="3478">
        <v>38199</v>
      </c>
      <c r="AK123" s="3603">
        <v>9</v>
      </c>
      <c r="AL123" s="3495">
        <v>82253557</v>
      </c>
      <c r="AN123" s="3480" t="s">
        <v>3680</v>
      </c>
      <c r="AO123" s="3441"/>
      <c r="AP123" s="3456" t="s">
        <v>4652</v>
      </c>
      <c r="AQ123" s="3456" t="s">
        <v>3571</v>
      </c>
      <c r="AV123" s="3519"/>
      <c r="AW123" s="3470" t="s">
        <v>3572</v>
      </c>
      <c r="AX123" s="3470" t="s">
        <v>3568</v>
      </c>
      <c r="AY123" s="3453" t="s">
        <v>4737</v>
      </c>
      <c r="AZ123" s="3470" t="s">
        <v>4654</v>
      </c>
      <c r="BA123" s="3470" t="s">
        <v>4688</v>
      </c>
      <c r="BB123" s="3470" t="s">
        <v>4689</v>
      </c>
      <c r="BC123" s="3470" t="s">
        <v>4656</v>
      </c>
      <c r="BD123" s="3470">
        <v>100037</v>
      </c>
      <c r="BE123" s="3470">
        <v>68347718</v>
      </c>
      <c r="BF123" s="3520">
        <v>2.8</v>
      </c>
      <c r="BG123" s="3478">
        <v>37878</v>
      </c>
      <c r="BH123" s="3470" t="s">
        <v>4681</v>
      </c>
      <c r="BI123" s="3441" t="s">
        <v>4652</v>
      </c>
      <c r="BJ123" s="3478">
        <v>37882</v>
      </c>
      <c r="BK123" s="3478"/>
      <c r="BL123" s="3441" t="s">
        <v>3670</v>
      </c>
      <c r="BM123" s="3441"/>
      <c r="BN123" s="3441"/>
      <c r="BO123" s="3441"/>
      <c r="BP123" s="3441"/>
      <c r="BQ123" s="3441"/>
      <c r="BR123" s="3441"/>
    </row>
    <row r="124" spans="1:73" s="3470" customFormat="1" ht="12" hidden="1">
      <c r="A124" s="3470" t="s">
        <v>4738</v>
      </c>
      <c r="B124" s="3470" t="s">
        <v>4739</v>
      </c>
      <c r="C124" s="3470" t="s">
        <v>4740</v>
      </c>
      <c r="D124" s="3470">
        <v>13661028731</v>
      </c>
      <c r="E124" s="3470" t="s">
        <v>3558</v>
      </c>
      <c r="F124" s="3470" t="s">
        <v>4645</v>
      </c>
      <c r="H124" s="3470" t="s">
        <v>4684</v>
      </c>
      <c r="I124" s="3470" t="s">
        <v>4741</v>
      </c>
      <c r="J124" s="3470" t="s">
        <v>4742</v>
      </c>
      <c r="K124" s="3470" t="s">
        <v>4649</v>
      </c>
      <c r="L124" s="3470">
        <v>92.49</v>
      </c>
      <c r="M124" s="3470">
        <v>15</v>
      </c>
      <c r="N124" s="3470" t="s">
        <v>4030</v>
      </c>
      <c r="O124" s="3470">
        <v>72.91</v>
      </c>
      <c r="P124" s="3470" t="s">
        <v>3452</v>
      </c>
      <c r="Q124" s="3470">
        <v>708658.38</v>
      </c>
      <c r="R124" s="3470">
        <v>7662</v>
      </c>
      <c r="S124" s="3470">
        <v>70.33</v>
      </c>
      <c r="T124" s="3470">
        <v>703300</v>
      </c>
      <c r="U124" s="3470">
        <v>7605</v>
      </c>
      <c r="V124" s="3470">
        <v>0.1</v>
      </c>
      <c r="W124" s="3470">
        <v>63.29</v>
      </c>
      <c r="X124" s="3470">
        <v>632900</v>
      </c>
      <c r="Y124" s="3470">
        <v>2003</v>
      </c>
      <c r="Z124" s="3470">
        <v>10</v>
      </c>
      <c r="AA124" s="3470">
        <v>9</v>
      </c>
      <c r="AB124" s="3470">
        <v>3515</v>
      </c>
      <c r="AC124" s="3470" t="s">
        <v>4743</v>
      </c>
      <c r="AE124" s="3470" t="s">
        <v>3566</v>
      </c>
      <c r="AF124" s="3470" t="s">
        <v>3728</v>
      </c>
      <c r="AG124" s="3470" t="s">
        <v>3466</v>
      </c>
      <c r="AI124" s="3470" t="s">
        <v>3569</v>
      </c>
      <c r="AJ124" s="3470">
        <v>38199</v>
      </c>
      <c r="AK124" s="3470" t="s">
        <v>4744</v>
      </c>
      <c r="AL124" s="3470">
        <v>82253557</v>
      </c>
      <c r="AN124" s="3470" t="s">
        <v>3695</v>
      </c>
      <c r="AP124" s="3470" t="s">
        <v>4652</v>
      </c>
      <c r="AQ124" s="3470" t="s">
        <v>3571</v>
      </c>
      <c r="AW124" s="3470" t="s">
        <v>3572</v>
      </c>
      <c r="AX124" s="3470" t="s">
        <v>3568</v>
      </c>
      <c r="AY124" s="3481">
        <v>550838</v>
      </c>
      <c r="AZ124" s="3470" t="s">
        <v>4654</v>
      </c>
      <c r="BA124" s="3470" t="s">
        <v>4688</v>
      </c>
      <c r="BB124" s="3481" t="s">
        <v>4689</v>
      </c>
      <c r="BC124" s="3470" t="s">
        <v>4656</v>
      </c>
      <c r="BD124" s="3482">
        <v>100037</v>
      </c>
      <c r="BE124" s="3470">
        <v>68347718</v>
      </c>
      <c r="BF124" s="3483">
        <v>2.8</v>
      </c>
      <c r="BG124" s="3478">
        <v>37877</v>
      </c>
      <c r="BH124" s="3470" t="s">
        <v>4681</v>
      </c>
      <c r="BI124" s="3470" t="s">
        <v>4652</v>
      </c>
      <c r="BJ124" s="3508">
        <v>37893</v>
      </c>
      <c r="BK124" s="3508"/>
      <c r="BL124" s="3470" t="s">
        <v>3670</v>
      </c>
      <c r="BP124" s="3441"/>
      <c r="BQ124" s="3441"/>
      <c r="BR124" s="3441"/>
    </row>
    <row r="125" spans="1:73" s="3470" customFormat="1" ht="12" hidden="1">
      <c r="A125" s="3453" t="s">
        <v>4745</v>
      </c>
      <c r="B125" s="3470" t="s">
        <v>4746</v>
      </c>
      <c r="C125" s="3481" t="s">
        <v>4747</v>
      </c>
      <c r="D125" s="3470">
        <v>13910668680</v>
      </c>
      <c r="E125" s="3470" t="s">
        <v>3558</v>
      </c>
      <c r="F125" s="3470" t="s">
        <v>3733</v>
      </c>
      <c r="H125" s="3453" t="s">
        <v>4748</v>
      </c>
      <c r="I125" s="3453" t="s">
        <v>4749</v>
      </c>
      <c r="J125" s="3453" t="s">
        <v>4473</v>
      </c>
      <c r="K125" s="3470" t="s">
        <v>3737</v>
      </c>
      <c r="L125" s="3495">
        <v>75.45</v>
      </c>
      <c r="M125" s="3495">
        <v>9</v>
      </c>
      <c r="N125" s="3470" t="s">
        <v>3451</v>
      </c>
      <c r="O125" s="3495">
        <v>60.28</v>
      </c>
      <c r="P125" s="3470" t="s">
        <v>3452</v>
      </c>
      <c r="Q125" s="3457">
        <v>457227</v>
      </c>
      <c r="R125" s="3495">
        <v>6060</v>
      </c>
      <c r="S125" s="3472">
        <v>45.34</v>
      </c>
      <c r="T125" s="3527">
        <v>453400.00000000006</v>
      </c>
      <c r="U125" s="3495">
        <v>6010</v>
      </c>
      <c r="V125" s="3512">
        <v>0.1</v>
      </c>
      <c r="W125" s="3475">
        <v>40.799999999999997</v>
      </c>
      <c r="X125" s="3476">
        <v>408000</v>
      </c>
      <c r="Y125" s="3495">
        <v>2003</v>
      </c>
      <c r="Z125" s="3495">
        <v>10</v>
      </c>
      <c r="AA125" s="3495">
        <v>17</v>
      </c>
      <c r="AB125" s="3477">
        <v>2265</v>
      </c>
      <c r="AC125" s="3470" t="s">
        <v>4750</v>
      </c>
      <c r="AE125" s="3441" t="s">
        <v>3586</v>
      </c>
      <c r="AF125" s="3453" t="s">
        <v>4751</v>
      </c>
      <c r="AG125" s="3470" t="s">
        <v>3466</v>
      </c>
      <c r="AI125" s="3470" t="s">
        <v>4045</v>
      </c>
      <c r="AJ125" s="3478">
        <v>38045</v>
      </c>
      <c r="AK125" s="3500" t="s">
        <v>4752</v>
      </c>
      <c r="AL125" s="3441">
        <v>82253557</v>
      </c>
      <c r="AN125" s="3456" t="s">
        <v>3482</v>
      </c>
      <c r="AP125" s="3604" t="s">
        <v>3469</v>
      </c>
      <c r="AQ125" s="3456" t="s">
        <v>3571</v>
      </c>
      <c r="AV125" s="3519"/>
      <c r="AW125" s="3470" t="s">
        <v>3572</v>
      </c>
      <c r="AX125" s="3605"/>
      <c r="AY125" s="3495">
        <v>548240</v>
      </c>
      <c r="AZ125" s="3470" t="s">
        <v>3737</v>
      </c>
      <c r="BA125" s="3470" t="s">
        <v>3742</v>
      </c>
      <c r="BB125" s="3470" t="s">
        <v>3743</v>
      </c>
      <c r="BC125" s="3470" t="s">
        <v>3744</v>
      </c>
      <c r="BD125" s="3470">
        <v>100088</v>
      </c>
      <c r="BE125" s="3470">
        <v>82058259</v>
      </c>
      <c r="BF125" s="3520">
        <v>2.7</v>
      </c>
      <c r="BG125" s="3478">
        <v>37859</v>
      </c>
      <c r="BH125" s="3470" t="s">
        <v>4753</v>
      </c>
      <c r="BI125" s="3470" t="s">
        <v>3469</v>
      </c>
      <c r="BJ125" s="3478">
        <v>37873</v>
      </c>
      <c r="BK125" s="3470" t="s">
        <v>3568</v>
      </c>
      <c r="BL125" s="3470" t="s">
        <v>3670</v>
      </c>
      <c r="BP125" s="3441"/>
      <c r="BQ125" s="3441"/>
      <c r="BR125" s="3441"/>
    </row>
    <row r="126" spans="1:73" s="3441" customFormat="1" ht="12" hidden="1">
      <c r="A126" s="3485" t="s">
        <v>4754</v>
      </c>
      <c r="B126" s="3470" t="s">
        <v>4755</v>
      </c>
      <c r="C126" s="3481" t="s">
        <v>4756</v>
      </c>
      <c r="D126" s="3481" t="s">
        <v>4757</v>
      </c>
      <c r="E126" s="3470" t="s">
        <v>3558</v>
      </c>
      <c r="F126" s="3521" t="s">
        <v>11668</v>
      </c>
      <c r="G126" s="3470"/>
      <c r="H126" s="3470" t="s">
        <v>4759</v>
      </c>
      <c r="I126" s="3470" t="s">
        <v>4001</v>
      </c>
      <c r="J126" s="3481" t="s">
        <v>3871</v>
      </c>
      <c r="K126" s="3470" t="s">
        <v>4760</v>
      </c>
      <c r="L126" s="3470">
        <v>147.18</v>
      </c>
      <c r="M126" s="3470">
        <v>4</v>
      </c>
      <c r="N126" s="3470" t="s">
        <v>3488</v>
      </c>
      <c r="O126" s="3470">
        <v>127.33</v>
      </c>
      <c r="P126" s="3470" t="s">
        <v>3452</v>
      </c>
      <c r="Q126" s="3457">
        <v>718238.4</v>
      </c>
      <c r="R126" s="3470">
        <v>4880</v>
      </c>
      <c r="S126" s="3472">
        <v>71.08</v>
      </c>
      <c r="T126" s="3527">
        <v>710800</v>
      </c>
      <c r="U126" s="3470">
        <v>4830</v>
      </c>
      <c r="V126" s="3474">
        <v>0.1</v>
      </c>
      <c r="W126" s="3475">
        <v>63.97</v>
      </c>
      <c r="X126" s="3476">
        <v>639700</v>
      </c>
      <c r="Y126" s="3441">
        <v>2003</v>
      </c>
      <c r="Z126" s="3441">
        <v>10</v>
      </c>
      <c r="AA126" s="3441">
        <v>17</v>
      </c>
      <c r="AB126" s="3477">
        <v>3550</v>
      </c>
      <c r="AC126" s="3470" t="s">
        <v>4761</v>
      </c>
      <c r="AD126" s="3485"/>
      <c r="AE126" s="3441" t="s">
        <v>3586</v>
      </c>
      <c r="AF126" s="3470" t="s">
        <v>4032</v>
      </c>
      <c r="AG126" s="3522" t="s">
        <v>3466</v>
      </c>
      <c r="AH126" s="3485" t="s">
        <v>3568</v>
      </c>
      <c r="AI126" s="3470" t="s">
        <v>2152</v>
      </c>
      <c r="AJ126" s="3523">
        <v>38107</v>
      </c>
      <c r="AK126" s="3500" t="s">
        <v>4503</v>
      </c>
      <c r="AL126" s="3441">
        <v>82253557</v>
      </c>
      <c r="AN126" s="3441" t="s">
        <v>4210</v>
      </c>
      <c r="AO126" s="3441" t="s">
        <v>3568</v>
      </c>
      <c r="AP126" s="3441" t="s">
        <v>4504</v>
      </c>
      <c r="AQ126" s="3441" t="s">
        <v>3571</v>
      </c>
      <c r="AV126" s="3441" t="s">
        <v>3568</v>
      </c>
      <c r="AW126" s="3441" t="s">
        <v>3572</v>
      </c>
      <c r="AX126" s="3441" t="s">
        <v>2511</v>
      </c>
      <c r="AY126" s="3524" t="s">
        <v>4762</v>
      </c>
      <c r="AZ126" s="3441" t="s">
        <v>4760</v>
      </c>
      <c r="BA126" s="3441" t="s">
        <v>4763</v>
      </c>
      <c r="BB126" s="3524" t="s">
        <v>4764</v>
      </c>
      <c r="BC126" s="3441" t="s">
        <v>4765</v>
      </c>
      <c r="BD126" s="3525">
        <v>102607</v>
      </c>
      <c r="BE126" s="3441">
        <v>68156287</v>
      </c>
      <c r="BF126" s="3526">
        <v>2.8</v>
      </c>
      <c r="BG126" s="3518">
        <v>37895</v>
      </c>
      <c r="BI126" s="3470" t="s">
        <v>3469</v>
      </c>
      <c r="BJ126" s="3484">
        <v>37907</v>
      </c>
      <c r="BK126" s="3484"/>
      <c r="BL126" s="3470" t="s">
        <v>3670</v>
      </c>
    </row>
    <row r="127" spans="1:73" s="3441" customFormat="1" ht="12" hidden="1">
      <c r="A127" s="3542" t="s">
        <v>4766</v>
      </c>
      <c r="B127" s="3470" t="s">
        <v>4767</v>
      </c>
      <c r="C127" s="3481" t="s">
        <v>4768</v>
      </c>
      <c r="D127" s="3481" t="s">
        <v>4769</v>
      </c>
      <c r="E127" s="3470" t="s">
        <v>3558</v>
      </c>
      <c r="F127" s="3470" t="s">
        <v>4770</v>
      </c>
      <c r="G127" s="3470"/>
      <c r="H127" s="3470" t="s">
        <v>4771</v>
      </c>
      <c r="I127" s="3470" t="s">
        <v>3582</v>
      </c>
      <c r="J127" s="3481" t="s">
        <v>4498</v>
      </c>
      <c r="K127" s="3470" t="s">
        <v>4772</v>
      </c>
      <c r="L127" s="3470">
        <v>68.650000000000006</v>
      </c>
      <c r="M127" s="3470">
        <v>5</v>
      </c>
      <c r="N127" s="3470" t="s">
        <v>3790</v>
      </c>
      <c r="O127" s="3470">
        <v>59.81</v>
      </c>
      <c r="P127" s="3470" t="s">
        <v>3452</v>
      </c>
      <c r="Q127" s="3457">
        <v>299382.65000000002</v>
      </c>
      <c r="R127" s="3470">
        <v>4361</v>
      </c>
      <c r="S127" s="3472">
        <v>29.65</v>
      </c>
      <c r="T127" s="3527">
        <v>296500</v>
      </c>
      <c r="U127" s="3470">
        <v>4320</v>
      </c>
      <c r="V127" s="3512">
        <v>0.1</v>
      </c>
      <c r="W127" s="3475">
        <v>26.68</v>
      </c>
      <c r="X127" s="3476">
        <v>266800</v>
      </c>
      <c r="Y127" s="3441">
        <v>2003</v>
      </c>
      <c r="Z127" s="3441">
        <v>11</v>
      </c>
      <c r="AA127" s="3470">
        <v>6</v>
      </c>
      <c r="AB127" s="3477">
        <v>1480</v>
      </c>
      <c r="AC127" s="3470" t="s">
        <v>4761</v>
      </c>
      <c r="AD127" s="3485"/>
      <c r="AE127" s="3456" t="s">
        <v>3586</v>
      </c>
      <c r="AF127" s="3470" t="s">
        <v>3604</v>
      </c>
      <c r="AG127" s="3522" t="s">
        <v>3466</v>
      </c>
      <c r="AH127" s="3485"/>
      <c r="AI127" s="3470" t="s">
        <v>4045</v>
      </c>
      <c r="AJ127" s="3523">
        <v>37994</v>
      </c>
      <c r="AK127" s="3500" t="s">
        <v>4773</v>
      </c>
      <c r="AL127" s="3470">
        <v>82253557</v>
      </c>
      <c r="AM127" s="3470" t="s">
        <v>3568</v>
      </c>
      <c r="AN127" s="3456" t="s">
        <v>3456</v>
      </c>
      <c r="AO127" s="3441" t="s">
        <v>3715</v>
      </c>
      <c r="AP127" s="3470" t="s">
        <v>3469</v>
      </c>
      <c r="AQ127" s="3441" t="s">
        <v>3571</v>
      </c>
      <c r="AW127" s="3441" t="s">
        <v>3572</v>
      </c>
      <c r="AY127" s="3524" t="s">
        <v>4774</v>
      </c>
      <c r="AZ127" s="3441" t="s">
        <v>4772</v>
      </c>
      <c r="BA127" s="3441" t="s">
        <v>4775</v>
      </c>
      <c r="BB127" s="3524" t="s">
        <v>4776</v>
      </c>
      <c r="BC127" s="3441" t="s">
        <v>4777</v>
      </c>
      <c r="BD127" s="3525">
        <v>100083</v>
      </c>
      <c r="BE127" s="3441">
        <v>82355171</v>
      </c>
      <c r="BF127" s="3526">
        <v>2.7</v>
      </c>
      <c r="BG127" s="3518">
        <v>37898</v>
      </c>
      <c r="BH127" s="3441" t="s">
        <v>4681</v>
      </c>
      <c r="BI127" s="3470" t="s">
        <v>3469</v>
      </c>
      <c r="BJ127" s="3484">
        <v>37922</v>
      </c>
      <c r="BK127" s="3484"/>
      <c r="BL127" s="3470" t="s">
        <v>3670</v>
      </c>
    </row>
    <row r="128" spans="1:73" s="3470" customFormat="1" ht="12" hidden="1">
      <c r="A128" s="3453" t="s">
        <v>4778</v>
      </c>
      <c r="B128" s="3470" t="s">
        <v>4779</v>
      </c>
      <c r="C128" s="3481" t="s">
        <v>4780</v>
      </c>
      <c r="D128" s="3470" t="s">
        <v>4781</v>
      </c>
      <c r="E128" s="3470" t="s">
        <v>3538</v>
      </c>
      <c r="F128" s="3470" t="s">
        <v>4782</v>
      </c>
      <c r="H128" s="3470" t="s">
        <v>4783</v>
      </c>
      <c r="I128" s="3470" t="s">
        <v>4784</v>
      </c>
      <c r="J128" s="3470" t="s">
        <v>4785</v>
      </c>
      <c r="K128" s="3470" t="s">
        <v>4786</v>
      </c>
      <c r="L128" s="3470">
        <v>89.5</v>
      </c>
      <c r="M128" s="3470">
        <v>16</v>
      </c>
      <c r="N128" s="3470" t="s">
        <v>3451</v>
      </c>
      <c r="O128" s="3470">
        <v>69.09</v>
      </c>
      <c r="P128" s="3470" t="s">
        <v>3452</v>
      </c>
      <c r="Q128" s="3457">
        <v>551320</v>
      </c>
      <c r="R128" s="3470">
        <v>6160</v>
      </c>
      <c r="S128" s="3472">
        <v>54.63</v>
      </c>
      <c r="T128" s="3550">
        <v>546300</v>
      </c>
      <c r="U128" s="3470">
        <v>6105</v>
      </c>
      <c r="V128" s="3474">
        <v>0.1</v>
      </c>
      <c r="W128" s="3475">
        <v>49.16</v>
      </c>
      <c r="X128" s="3602">
        <v>491599.99999999994</v>
      </c>
      <c r="Y128" s="3470">
        <v>2003</v>
      </c>
      <c r="Z128" s="3470">
        <v>11</v>
      </c>
      <c r="AA128" s="3470">
        <v>19</v>
      </c>
      <c r="AB128" s="3477">
        <v>2730</v>
      </c>
      <c r="AC128" s="3470" t="s">
        <v>4761</v>
      </c>
      <c r="AE128" s="3470" t="s">
        <v>3586</v>
      </c>
      <c r="AF128" s="3453" t="s">
        <v>4787</v>
      </c>
      <c r="AG128" s="3456" t="s">
        <v>3466</v>
      </c>
      <c r="AI128" s="3470" t="s">
        <v>2152</v>
      </c>
      <c r="AJ128" s="3478">
        <v>38261</v>
      </c>
      <c r="AK128" s="3606" t="s">
        <v>4788</v>
      </c>
      <c r="AL128" s="3470">
        <v>82253557</v>
      </c>
      <c r="AN128" s="3456" t="s">
        <v>3482</v>
      </c>
      <c r="AP128" s="3470" t="s">
        <v>4723</v>
      </c>
      <c r="AQ128" s="3470" t="s">
        <v>3650</v>
      </c>
      <c r="AW128" s="3470" t="s">
        <v>3458</v>
      </c>
      <c r="AX128" s="3508"/>
      <c r="AY128" s="3470">
        <v>552447</v>
      </c>
      <c r="AZ128" s="3470" t="s">
        <v>4789</v>
      </c>
      <c r="BA128" s="3470" t="s">
        <v>4790</v>
      </c>
      <c r="BB128" s="3470" t="s">
        <v>4791</v>
      </c>
      <c r="BC128" s="3470" t="s">
        <v>4792</v>
      </c>
      <c r="BD128" s="3470">
        <v>102308</v>
      </c>
      <c r="BE128" s="3470">
        <v>68041987</v>
      </c>
      <c r="BF128" s="3470">
        <v>2.8</v>
      </c>
      <c r="BG128" s="3478">
        <v>37929</v>
      </c>
      <c r="BI128" s="3470" t="s">
        <v>4504</v>
      </c>
      <c r="BJ128" s="3478">
        <v>37939</v>
      </c>
      <c r="BK128" s="3478"/>
      <c r="BL128" s="3470" t="s">
        <v>3594</v>
      </c>
      <c r="BP128" s="3441"/>
      <c r="BQ128" s="3441"/>
      <c r="BR128" s="3441"/>
    </row>
    <row r="129" spans="1:253" s="3441" customFormat="1" ht="12" hidden="1">
      <c r="A129" s="3453" t="s">
        <v>4793</v>
      </c>
      <c r="B129" s="3470" t="s">
        <v>4794</v>
      </c>
      <c r="C129" s="3481" t="s">
        <v>4795</v>
      </c>
      <c r="D129" s="3481" t="s">
        <v>4796</v>
      </c>
      <c r="E129" s="3470" t="s">
        <v>3558</v>
      </c>
      <c r="F129" s="3528" t="s">
        <v>4645</v>
      </c>
      <c r="G129" s="3470"/>
      <c r="H129" s="3470" t="s">
        <v>4797</v>
      </c>
      <c r="I129" s="3470" t="s">
        <v>4798</v>
      </c>
      <c r="J129" s="3481" t="s">
        <v>4799</v>
      </c>
      <c r="K129" s="3470" t="s">
        <v>4649</v>
      </c>
      <c r="L129" s="3470">
        <v>89.07</v>
      </c>
      <c r="M129" s="3470">
        <v>8</v>
      </c>
      <c r="N129" s="3453" t="s">
        <v>3543</v>
      </c>
      <c r="O129" s="3470">
        <v>70.209999999999994</v>
      </c>
      <c r="P129" s="3470" t="s">
        <v>3452</v>
      </c>
      <c r="Q129" s="3607">
        <v>628121.6399999999</v>
      </c>
      <c r="R129" s="3470">
        <v>7052</v>
      </c>
      <c r="S129" s="3549">
        <v>62.35</v>
      </c>
      <c r="T129" s="3608">
        <v>623500</v>
      </c>
      <c r="U129" s="3495">
        <v>7001</v>
      </c>
      <c r="V129" s="3512">
        <v>0.1</v>
      </c>
      <c r="W129" s="3609">
        <v>56.11</v>
      </c>
      <c r="X129" s="3610">
        <v>561100</v>
      </c>
      <c r="Y129" s="3515">
        <v>2003</v>
      </c>
      <c r="Z129" s="3441">
        <v>12</v>
      </c>
      <c r="AA129" s="3470">
        <v>8</v>
      </c>
      <c r="AB129" s="3551">
        <v>3115</v>
      </c>
      <c r="AC129" s="3470" t="s">
        <v>4800</v>
      </c>
      <c r="AD129" s="3485"/>
      <c r="AE129" s="3441" t="s">
        <v>3586</v>
      </c>
      <c r="AF129" s="3470" t="s">
        <v>4801</v>
      </c>
      <c r="AG129" s="3522" t="s">
        <v>3466</v>
      </c>
      <c r="AH129" s="3485"/>
      <c r="AI129" s="3470" t="s">
        <v>3589</v>
      </c>
      <c r="AJ129" s="3523">
        <v>38199</v>
      </c>
      <c r="AK129" s="3603" t="s">
        <v>3467</v>
      </c>
      <c r="AL129" s="3441">
        <v>82253557</v>
      </c>
      <c r="AN129" s="3456" t="s">
        <v>3791</v>
      </c>
      <c r="AP129" s="3441" t="s">
        <v>4723</v>
      </c>
      <c r="AQ129" s="3441" t="s">
        <v>3571</v>
      </c>
      <c r="AW129" s="3441" t="s">
        <v>3572</v>
      </c>
      <c r="AX129" s="3441" t="s">
        <v>3568</v>
      </c>
      <c r="AY129" s="3524" t="s">
        <v>4802</v>
      </c>
      <c r="AZ129" s="3441" t="s">
        <v>4654</v>
      </c>
      <c r="BA129" s="3441" t="s">
        <v>4688</v>
      </c>
      <c r="BB129" s="3524" t="s">
        <v>4689</v>
      </c>
      <c r="BC129" s="3441" t="s">
        <v>4656</v>
      </c>
      <c r="BD129" s="3525">
        <v>100037</v>
      </c>
      <c r="BE129" s="3441">
        <v>68347718</v>
      </c>
      <c r="BF129" s="3526">
        <v>2.8</v>
      </c>
      <c r="BG129" s="3518">
        <v>37945</v>
      </c>
      <c r="BI129" s="3470" t="s">
        <v>3469</v>
      </c>
      <c r="BJ129" s="3478">
        <v>37956</v>
      </c>
      <c r="BK129" s="3518"/>
      <c r="BL129" s="3470" t="s">
        <v>3670</v>
      </c>
    </row>
    <row r="130" spans="1:253" s="3441" customFormat="1" ht="12" hidden="1">
      <c r="A130" s="3453" t="s">
        <v>4803</v>
      </c>
      <c r="B130" s="3470" t="s">
        <v>4804</v>
      </c>
      <c r="C130" s="3481" t="s">
        <v>4805</v>
      </c>
      <c r="D130" s="3454" t="s">
        <v>4806</v>
      </c>
      <c r="E130" s="3470" t="s">
        <v>2736</v>
      </c>
      <c r="F130" s="3528" t="s">
        <v>4807</v>
      </c>
      <c r="G130" s="3470"/>
      <c r="H130" s="3470" t="s">
        <v>4808</v>
      </c>
      <c r="I130" s="3470" t="s">
        <v>3582</v>
      </c>
      <c r="J130" s="3481" t="s">
        <v>4042</v>
      </c>
      <c r="K130" s="3470" t="s">
        <v>4809</v>
      </c>
      <c r="L130" s="3470">
        <v>156.49</v>
      </c>
      <c r="M130" s="3470">
        <v>3</v>
      </c>
      <c r="N130" s="3486" t="s">
        <v>3632</v>
      </c>
      <c r="O130" s="3470">
        <v>141.22999999999999</v>
      </c>
      <c r="P130" s="3470" t="s">
        <v>3452</v>
      </c>
      <c r="Q130" s="3457">
        <v>876344</v>
      </c>
      <c r="R130" s="3470">
        <v>5600</v>
      </c>
      <c r="S130" s="3472">
        <v>86.77</v>
      </c>
      <c r="T130" s="3550">
        <v>867700</v>
      </c>
      <c r="U130" s="3470">
        <v>5545</v>
      </c>
      <c r="V130" s="3474">
        <v>0.1</v>
      </c>
      <c r="W130" s="3475">
        <v>78.09</v>
      </c>
      <c r="X130" s="3611">
        <v>780900</v>
      </c>
      <c r="Y130" s="3441">
        <v>2003</v>
      </c>
      <c r="Z130" s="3441">
        <v>12</v>
      </c>
      <c r="AA130" s="3441">
        <v>23</v>
      </c>
      <c r="AB130" s="3477">
        <v>4335</v>
      </c>
      <c r="AC130" s="3470" t="s">
        <v>4709</v>
      </c>
      <c r="AD130" s="3485"/>
      <c r="AE130" s="3470" t="s">
        <v>3566</v>
      </c>
      <c r="AF130" s="3490" t="s">
        <v>4442</v>
      </c>
      <c r="AG130" s="3522" t="s">
        <v>3466</v>
      </c>
      <c r="AH130" s="3485"/>
      <c r="AI130" s="3456" t="s">
        <v>3586</v>
      </c>
      <c r="AJ130" s="3523">
        <v>38166</v>
      </c>
      <c r="AK130" s="3612" t="s">
        <v>3467</v>
      </c>
      <c r="AL130" s="3441">
        <v>82253557</v>
      </c>
      <c r="AN130" s="3456" t="s">
        <v>3484</v>
      </c>
      <c r="AO130" s="3470"/>
      <c r="AP130" s="3441" t="s">
        <v>4504</v>
      </c>
      <c r="AQ130" s="3441" t="s">
        <v>3571</v>
      </c>
      <c r="AW130" s="3441" t="s">
        <v>3572</v>
      </c>
      <c r="AY130" s="3465" t="s">
        <v>4810</v>
      </c>
      <c r="AZ130" s="3441" t="s">
        <v>4811</v>
      </c>
      <c r="BA130" s="3441" t="s">
        <v>4812</v>
      </c>
      <c r="BB130" s="3524" t="s">
        <v>4813</v>
      </c>
      <c r="BC130" s="3441" t="s">
        <v>4814</v>
      </c>
      <c r="BD130" s="3525">
        <v>101500</v>
      </c>
      <c r="BE130" s="3441">
        <v>62964593</v>
      </c>
      <c r="BF130" s="3526">
        <v>2.8</v>
      </c>
      <c r="BG130" s="3478">
        <v>37955</v>
      </c>
      <c r="BI130" s="3470" t="s">
        <v>3469</v>
      </c>
      <c r="BJ130" s="3518">
        <v>37973</v>
      </c>
      <c r="BK130" s="3484"/>
      <c r="BL130" s="3441" t="s">
        <v>3833</v>
      </c>
    </row>
    <row r="131" spans="1:253" s="3441" customFormat="1" ht="12" hidden="1">
      <c r="A131" s="3485" t="s">
        <v>4815</v>
      </c>
      <c r="B131" s="3470" t="s">
        <v>4816</v>
      </c>
      <c r="C131" s="3481" t="s">
        <v>4817</v>
      </c>
      <c r="D131" s="3481" t="s">
        <v>4818</v>
      </c>
      <c r="E131" s="3470" t="s">
        <v>3538</v>
      </c>
      <c r="F131" s="3528" t="s">
        <v>4819</v>
      </c>
      <c r="G131" s="3470"/>
      <c r="H131" s="3470" t="s">
        <v>4820</v>
      </c>
      <c r="I131" s="3470" t="s">
        <v>4282</v>
      </c>
      <c r="J131" s="3481" t="s">
        <v>4821</v>
      </c>
      <c r="K131" s="3470" t="s">
        <v>4822</v>
      </c>
      <c r="L131" s="3470">
        <v>44.75</v>
      </c>
      <c r="M131" s="3470">
        <v>7</v>
      </c>
      <c r="N131" s="3470" t="s">
        <v>3489</v>
      </c>
      <c r="O131" s="3470">
        <v>34.46</v>
      </c>
      <c r="P131" s="3470" t="s">
        <v>3452</v>
      </c>
      <c r="Q131" s="3607">
        <v>365070.5</v>
      </c>
      <c r="R131" s="3470">
        <v>8158</v>
      </c>
      <c r="S131" s="3549">
        <v>36.24</v>
      </c>
      <c r="T131" s="3608">
        <v>362400</v>
      </c>
      <c r="U131" s="3470">
        <v>8100</v>
      </c>
      <c r="V131" s="3474">
        <v>0.1</v>
      </c>
      <c r="W131" s="3609">
        <v>32.61</v>
      </c>
      <c r="X131" s="3610">
        <v>326100</v>
      </c>
      <c r="Y131" s="3441">
        <v>2003</v>
      </c>
      <c r="Z131" s="3441">
        <v>12</v>
      </c>
      <c r="AA131" s="3470">
        <v>29</v>
      </c>
      <c r="AB131" s="3551">
        <v>1810</v>
      </c>
      <c r="AC131" s="3470" t="s">
        <v>4709</v>
      </c>
      <c r="AD131" s="3485"/>
      <c r="AE131" s="3570" t="s">
        <v>3566</v>
      </c>
      <c r="AF131" s="3470" t="s">
        <v>4721</v>
      </c>
      <c r="AG131" s="3522" t="s">
        <v>3466</v>
      </c>
      <c r="AH131" s="3485" t="s">
        <v>3568</v>
      </c>
      <c r="AI131" s="3470" t="s">
        <v>3590</v>
      </c>
      <c r="AJ131" s="3523">
        <v>38291</v>
      </c>
      <c r="AK131" s="3606" t="s">
        <v>4823</v>
      </c>
      <c r="AL131" s="3441">
        <v>82253557</v>
      </c>
      <c r="AN131" s="3456" t="s">
        <v>4824</v>
      </c>
      <c r="AO131" s="3441" t="s">
        <v>3568</v>
      </c>
      <c r="AP131" s="3570" t="s">
        <v>4723</v>
      </c>
      <c r="AQ131" s="3441" t="s">
        <v>3571</v>
      </c>
      <c r="AU131" s="3441" t="s">
        <v>3568</v>
      </c>
      <c r="AW131" s="3441" t="s">
        <v>3572</v>
      </c>
      <c r="AX131" s="3441" t="s">
        <v>3568</v>
      </c>
      <c r="AY131" s="3524" t="s">
        <v>4825</v>
      </c>
      <c r="AZ131" s="3441" t="s">
        <v>4826</v>
      </c>
      <c r="BA131" s="3441" t="s">
        <v>4827</v>
      </c>
      <c r="BB131" s="3524" t="s">
        <v>4828</v>
      </c>
      <c r="BC131" s="3441" t="s">
        <v>4829</v>
      </c>
      <c r="BD131" s="3525">
        <v>100087</v>
      </c>
      <c r="BE131" s="3441">
        <v>62523332</v>
      </c>
      <c r="BF131" s="3526">
        <v>2.8</v>
      </c>
      <c r="BG131" s="3518">
        <v>37899</v>
      </c>
      <c r="BI131" s="3441" t="s">
        <v>3469</v>
      </c>
      <c r="BJ131" s="3518">
        <v>37973</v>
      </c>
      <c r="BK131" s="3518">
        <v>37980</v>
      </c>
      <c r="BL131" s="3470" t="s">
        <v>3670</v>
      </c>
    </row>
    <row r="132" spans="1:253" s="3470" customFormat="1" ht="12" hidden="1">
      <c r="A132" s="3470" t="s">
        <v>4830</v>
      </c>
      <c r="B132" s="3470" t="s">
        <v>4831</v>
      </c>
      <c r="C132" s="3481" t="s">
        <v>4832</v>
      </c>
      <c r="D132" s="3470">
        <v>13801281916</v>
      </c>
      <c r="E132" s="3470" t="s">
        <v>3763</v>
      </c>
      <c r="F132" s="3470" t="s">
        <v>3628</v>
      </c>
      <c r="H132" s="3470" t="s">
        <v>4010</v>
      </c>
      <c r="I132" s="3470" t="s">
        <v>4255</v>
      </c>
      <c r="J132" s="3470" t="s">
        <v>4833</v>
      </c>
      <c r="K132" s="3470" t="s">
        <v>3647</v>
      </c>
      <c r="L132" s="3470">
        <v>113.18</v>
      </c>
      <c r="M132" s="3470">
        <v>11</v>
      </c>
      <c r="N132" s="3470" t="s">
        <v>3661</v>
      </c>
      <c r="O132" s="3470">
        <v>91.76</v>
      </c>
      <c r="P132" s="3470" t="s">
        <v>3452</v>
      </c>
      <c r="Q132" s="3457">
        <v>707375</v>
      </c>
      <c r="R132" s="3470">
        <v>6250</v>
      </c>
      <c r="S132" s="3472">
        <v>70.099999999999994</v>
      </c>
      <c r="T132" s="3527">
        <v>701000</v>
      </c>
      <c r="U132" s="3470">
        <v>6194</v>
      </c>
      <c r="V132" s="3474">
        <v>0.1</v>
      </c>
      <c r="W132" s="3475">
        <v>63.09</v>
      </c>
      <c r="X132" s="3476">
        <v>630900</v>
      </c>
      <c r="Y132" s="3470">
        <v>2003</v>
      </c>
      <c r="Z132" s="3470">
        <v>3</v>
      </c>
      <c r="AA132" s="3470">
        <v>3</v>
      </c>
      <c r="AB132" s="3477">
        <v>3505</v>
      </c>
      <c r="AC132" s="3453" t="s">
        <v>3544</v>
      </c>
      <c r="AE132" s="3470" t="s">
        <v>2156</v>
      </c>
      <c r="AF132" s="3470" t="s">
        <v>4152</v>
      </c>
      <c r="AG132" s="3470" t="s">
        <v>3454</v>
      </c>
      <c r="AI132" s="3470" t="s">
        <v>4834</v>
      </c>
      <c r="AJ132" s="3478">
        <v>37965</v>
      </c>
      <c r="AK132" s="3479" t="s">
        <v>4210</v>
      </c>
      <c r="AL132" s="3470">
        <v>67641700</v>
      </c>
      <c r="AN132" s="3441" t="s">
        <v>3619</v>
      </c>
      <c r="AO132" s="3470" t="s">
        <v>4835</v>
      </c>
      <c r="AP132" s="3470" t="s">
        <v>3476</v>
      </c>
      <c r="AQ132" s="3470" t="s">
        <v>3571</v>
      </c>
      <c r="AW132" s="3470" t="s">
        <v>3458</v>
      </c>
      <c r="AY132" s="3481" t="s">
        <v>4836</v>
      </c>
      <c r="AZ132" s="3470" t="s">
        <v>3647</v>
      </c>
      <c r="BA132" s="3470" t="s">
        <v>4327</v>
      </c>
      <c r="BB132" s="3481" t="s">
        <v>3640</v>
      </c>
      <c r="BC132" s="3470" t="s">
        <v>4049</v>
      </c>
      <c r="BD132" s="3482">
        <v>100088</v>
      </c>
      <c r="BE132" s="3470">
        <v>82058259</v>
      </c>
      <c r="BF132" s="3483">
        <v>2.9</v>
      </c>
      <c r="BG132" s="3478">
        <v>37602</v>
      </c>
      <c r="BI132" s="3486" t="s">
        <v>3721</v>
      </c>
      <c r="BJ132" s="3478">
        <v>37661</v>
      </c>
      <c r="BK132" s="3484">
        <v>37679</v>
      </c>
      <c r="BL132" s="3441" t="s">
        <v>3670</v>
      </c>
      <c r="BM132" s="3441"/>
      <c r="BN132" s="3441"/>
      <c r="BO132" s="3441"/>
      <c r="BP132" s="3441"/>
      <c r="BQ132" s="3441"/>
      <c r="BR132" s="3441"/>
    </row>
    <row r="133" spans="1:253" s="3441" customFormat="1" ht="12" hidden="1">
      <c r="A133" s="3470" t="s">
        <v>4837</v>
      </c>
      <c r="B133" s="3470" t="s">
        <v>4838</v>
      </c>
      <c r="C133" s="3481" t="s">
        <v>4839</v>
      </c>
      <c r="D133" s="3481" t="s">
        <v>4840</v>
      </c>
      <c r="E133" s="3470" t="s">
        <v>3538</v>
      </c>
      <c r="F133" s="3528" t="s">
        <v>3748</v>
      </c>
      <c r="G133" s="3470"/>
      <c r="H133" s="3470" t="s">
        <v>3824</v>
      </c>
      <c r="I133" s="3470"/>
      <c r="J133" s="3481" t="s">
        <v>4841</v>
      </c>
      <c r="K133" s="3470" t="s">
        <v>3793</v>
      </c>
      <c r="L133" s="3470">
        <v>64.98</v>
      </c>
      <c r="M133" s="3470">
        <v>15</v>
      </c>
      <c r="N133" s="3470" t="s">
        <v>3489</v>
      </c>
      <c r="O133" s="3470">
        <v>52.68</v>
      </c>
      <c r="P133" s="3470" t="s">
        <v>3452</v>
      </c>
      <c r="Q133" s="3457">
        <v>229379.40000000002</v>
      </c>
      <c r="R133" s="3470">
        <v>3530</v>
      </c>
      <c r="S133" s="3472">
        <v>22.63</v>
      </c>
      <c r="T133" s="3527">
        <v>226300</v>
      </c>
      <c r="U133" s="3470">
        <v>3484</v>
      </c>
      <c r="V133" s="3474">
        <v>0.1</v>
      </c>
      <c r="W133" s="3475">
        <v>20.36</v>
      </c>
      <c r="X133" s="3476">
        <v>203600</v>
      </c>
      <c r="Y133" s="3441">
        <v>2003</v>
      </c>
      <c r="Z133" s="3441">
        <v>2</v>
      </c>
      <c r="AA133" s="3441">
        <v>8</v>
      </c>
      <c r="AB133" s="3477">
        <v>905</v>
      </c>
      <c r="AC133" s="3470" t="s">
        <v>3634</v>
      </c>
      <c r="AD133" s="3485"/>
      <c r="AE133" s="3441" t="s">
        <v>3663</v>
      </c>
      <c r="AF133" s="3470" t="s">
        <v>3752</v>
      </c>
      <c r="AG133" s="3522" t="s">
        <v>3466</v>
      </c>
      <c r="AH133" s="3485" t="s">
        <v>3568</v>
      </c>
      <c r="AI133" s="3470" t="s">
        <v>3679</v>
      </c>
      <c r="AJ133" s="3523">
        <v>38138</v>
      </c>
      <c r="AK133" s="3500">
        <v>2</v>
      </c>
      <c r="AL133" s="3441">
        <v>67641700</v>
      </c>
      <c r="AN133" s="3480" t="s">
        <v>3468</v>
      </c>
      <c r="AO133" s="3441" t="s">
        <v>4842</v>
      </c>
      <c r="AP133" s="3441" t="s">
        <v>3476</v>
      </c>
      <c r="AQ133" s="3441" t="s">
        <v>3571</v>
      </c>
      <c r="AV133" s="3441" t="s">
        <v>3568</v>
      </c>
      <c r="AW133" s="3470" t="s">
        <v>3572</v>
      </c>
      <c r="AY133" s="3441">
        <v>263256</v>
      </c>
      <c r="AZ133" s="3470" t="s">
        <v>3766</v>
      </c>
      <c r="BA133" s="3441" t="s">
        <v>3770</v>
      </c>
      <c r="BB133" s="3441" t="s">
        <v>3771</v>
      </c>
      <c r="BC133" s="3524" t="s">
        <v>3772</v>
      </c>
      <c r="BD133" s="3441">
        <v>102488</v>
      </c>
      <c r="BE133" s="3525">
        <v>63023627</v>
      </c>
      <c r="BF133" s="3520">
        <v>2.8</v>
      </c>
      <c r="BG133" s="3518">
        <v>37641</v>
      </c>
      <c r="BH133" s="3518"/>
      <c r="BI133" s="3470" t="s">
        <v>3713</v>
      </c>
      <c r="BJ133" s="3484">
        <v>37650</v>
      </c>
      <c r="BK133" s="3518"/>
      <c r="BL133" s="3441" t="s">
        <v>3594</v>
      </c>
      <c r="BS133" s="3470"/>
      <c r="BT133" s="3470"/>
      <c r="BU133" s="3470"/>
    </row>
    <row r="134" spans="1:253" s="3441" customFormat="1" ht="12" hidden="1">
      <c r="A134" s="3485" t="s">
        <v>4843</v>
      </c>
      <c r="B134" s="3470" t="s">
        <v>4844</v>
      </c>
      <c r="C134" s="3481" t="s">
        <v>4845</v>
      </c>
      <c r="D134" s="3481" t="s">
        <v>4846</v>
      </c>
      <c r="E134" s="3470" t="s">
        <v>3558</v>
      </c>
      <c r="F134" s="3521" t="s">
        <v>3733</v>
      </c>
      <c r="G134" s="3470"/>
      <c r="H134" s="3470" t="s">
        <v>3991</v>
      </c>
      <c r="I134" s="3470" t="s">
        <v>3615</v>
      </c>
      <c r="J134" s="3481" t="s">
        <v>4302</v>
      </c>
      <c r="K134" s="3470" t="s">
        <v>3737</v>
      </c>
      <c r="L134" s="3470">
        <v>113.18</v>
      </c>
      <c r="M134" s="3470">
        <v>8</v>
      </c>
      <c r="N134" s="3470" t="s">
        <v>3738</v>
      </c>
      <c r="O134" s="3470">
        <v>91.76</v>
      </c>
      <c r="P134" s="3470" t="s">
        <v>3452</v>
      </c>
      <c r="Q134" s="3457">
        <v>700584.20000000007</v>
      </c>
      <c r="R134" s="3470">
        <v>6190</v>
      </c>
      <c r="S134" s="3472">
        <v>69.37</v>
      </c>
      <c r="T134" s="3527">
        <v>693700</v>
      </c>
      <c r="U134" s="3470">
        <v>6130</v>
      </c>
      <c r="V134" s="3474">
        <v>0.1</v>
      </c>
      <c r="W134" s="3475">
        <v>62.43</v>
      </c>
      <c r="X134" s="3476">
        <v>624300</v>
      </c>
      <c r="Y134" s="3441">
        <v>2003</v>
      </c>
      <c r="Z134" s="3495">
        <v>3</v>
      </c>
      <c r="AA134" s="3495">
        <v>3</v>
      </c>
      <c r="AB134" s="3477">
        <v>3465</v>
      </c>
      <c r="AC134" s="3470" t="s">
        <v>3544</v>
      </c>
      <c r="AD134" s="3485"/>
      <c r="AE134" s="3441" t="s">
        <v>3663</v>
      </c>
      <c r="AF134" s="3470" t="s">
        <v>3587</v>
      </c>
      <c r="AG134" s="3522" t="s">
        <v>3466</v>
      </c>
      <c r="AH134" s="3485"/>
      <c r="AI134" s="3470" t="s">
        <v>3679</v>
      </c>
      <c r="AJ134" s="3523">
        <v>37965</v>
      </c>
      <c r="AK134" s="3500" t="s">
        <v>3649</v>
      </c>
      <c r="AL134" s="3441">
        <v>67641700</v>
      </c>
      <c r="AN134" s="3470" t="s">
        <v>3456</v>
      </c>
      <c r="AO134" s="3441" t="s">
        <v>4847</v>
      </c>
      <c r="AP134" s="3441" t="s">
        <v>3476</v>
      </c>
      <c r="AQ134" s="3441" t="s">
        <v>3571</v>
      </c>
      <c r="AW134" s="3441" t="s">
        <v>3572</v>
      </c>
      <c r="AX134" s="3441" t="s">
        <v>2511</v>
      </c>
      <c r="AY134" s="3524" t="s">
        <v>4848</v>
      </c>
      <c r="AZ134" s="3441" t="s">
        <v>3737</v>
      </c>
      <c r="BA134" s="3441" t="s">
        <v>3742</v>
      </c>
      <c r="BB134" s="3524" t="s">
        <v>3743</v>
      </c>
      <c r="BC134" s="3441" t="s">
        <v>3744</v>
      </c>
      <c r="BD134" s="3525">
        <v>100088</v>
      </c>
      <c r="BE134" s="3441">
        <v>82058259</v>
      </c>
      <c r="BF134" s="3526">
        <v>2.9</v>
      </c>
      <c r="BG134" s="3518">
        <v>37606</v>
      </c>
      <c r="BI134" s="3470" t="s">
        <v>4849</v>
      </c>
      <c r="BJ134" s="3484">
        <v>37629</v>
      </c>
      <c r="BK134" s="3484">
        <v>37679</v>
      </c>
      <c r="BL134" s="3470" t="s">
        <v>3670</v>
      </c>
      <c r="BS134" s="3470"/>
      <c r="BT134" s="3470"/>
      <c r="BU134" s="3470"/>
    </row>
    <row r="135" spans="1:253" s="3441" customFormat="1" ht="12" hidden="1">
      <c r="A135" s="3485" t="s">
        <v>4850</v>
      </c>
      <c r="B135" s="3470" t="s">
        <v>4851</v>
      </c>
      <c r="C135" s="3481" t="s">
        <v>4852</v>
      </c>
      <c r="D135" s="3481" t="s">
        <v>4853</v>
      </c>
      <c r="E135" s="3470" t="s">
        <v>3538</v>
      </c>
      <c r="F135" s="3528" t="s">
        <v>3990</v>
      </c>
      <c r="G135" s="3470"/>
      <c r="H135" s="3470" t="s">
        <v>3629</v>
      </c>
      <c r="I135" s="3470" t="s">
        <v>4854</v>
      </c>
      <c r="J135" s="3481" t="s">
        <v>4855</v>
      </c>
      <c r="K135" s="3470" t="s">
        <v>3647</v>
      </c>
      <c r="L135" s="3470">
        <v>113.18</v>
      </c>
      <c r="M135" s="3470">
        <v>2</v>
      </c>
      <c r="N135" s="3470" t="s">
        <v>3994</v>
      </c>
      <c r="O135" s="3470">
        <v>91.76</v>
      </c>
      <c r="P135" s="3470" t="s">
        <v>3452</v>
      </c>
      <c r="Q135" s="3457">
        <v>663234.80000000005</v>
      </c>
      <c r="R135" s="3470">
        <v>5860</v>
      </c>
      <c r="S135" s="3472">
        <v>65.67</v>
      </c>
      <c r="T135" s="3527">
        <v>656700</v>
      </c>
      <c r="U135" s="3470">
        <v>5803</v>
      </c>
      <c r="V135" s="3474">
        <v>0.1</v>
      </c>
      <c r="W135" s="3475">
        <v>59.1</v>
      </c>
      <c r="X135" s="3494">
        <v>591000</v>
      </c>
      <c r="Y135" s="3441">
        <v>2003</v>
      </c>
      <c r="Z135" s="3441">
        <v>3</v>
      </c>
      <c r="AA135" s="3441">
        <v>3</v>
      </c>
      <c r="AB135" s="3485">
        <v>3280</v>
      </c>
      <c r="AC135" s="3470" t="s">
        <v>3710</v>
      </c>
      <c r="AD135" s="3485"/>
      <c r="AE135" s="3441" t="s">
        <v>2156</v>
      </c>
      <c r="AF135" s="3470" t="s">
        <v>3587</v>
      </c>
      <c r="AG135" s="3522" t="s">
        <v>3605</v>
      </c>
      <c r="AH135" s="3485"/>
      <c r="AI135" s="3456" t="s">
        <v>4834</v>
      </c>
      <c r="AJ135" s="3523">
        <v>37965</v>
      </c>
      <c r="AK135" s="3462" t="s">
        <v>3482</v>
      </c>
      <c r="AL135" s="3515">
        <v>67641700</v>
      </c>
      <c r="AN135" s="3441" t="s">
        <v>3635</v>
      </c>
      <c r="AO135" s="3524" t="s">
        <v>4856</v>
      </c>
      <c r="AP135" s="3456" t="s">
        <v>3476</v>
      </c>
      <c r="AQ135" s="3469" t="s">
        <v>3571</v>
      </c>
      <c r="AW135" s="3441" t="s">
        <v>3458</v>
      </c>
      <c r="AX135" s="3484" t="s">
        <v>3606</v>
      </c>
      <c r="AY135" s="3524" t="s">
        <v>4857</v>
      </c>
      <c r="AZ135" s="3470" t="s">
        <v>3647</v>
      </c>
      <c r="BA135" s="3441" t="s">
        <v>4327</v>
      </c>
      <c r="BB135" s="3524" t="s">
        <v>4364</v>
      </c>
      <c r="BC135" s="3441" t="s">
        <v>4339</v>
      </c>
      <c r="BD135" s="3525">
        <v>100088</v>
      </c>
      <c r="BE135" s="3441">
        <v>82058259</v>
      </c>
      <c r="BF135" s="3526">
        <v>2.9</v>
      </c>
      <c r="BG135" s="3518">
        <v>37620</v>
      </c>
      <c r="BI135" s="3486" t="s">
        <v>3713</v>
      </c>
      <c r="BJ135" s="3484">
        <v>37661</v>
      </c>
      <c r="BK135" s="3484">
        <v>37679</v>
      </c>
      <c r="BL135" s="3441" t="s">
        <v>3670</v>
      </c>
      <c r="BS135" s="3470"/>
      <c r="BT135" s="3470"/>
      <c r="BU135" s="3470"/>
    </row>
    <row r="136" spans="1:253" s="3565" customFormat="1" hidden="1">
      <c r="A136" s="3485" t="s">
        <v>4858</v>
      </c>
      <c r="B136" s="3470" t="s">
        <v>4859</v>
      </c>
      <c r="C136" s="3481" t="s">
        <v>4860</v>
      </c>
      <c r="D136" s="3481" t="s">
        <v>4861</v>
      </c>
      <c r="E136" s="3470" t="s">
        <v>3538</v>
      </c>
      <c r="F136" s="3528" t="s">
        <v>4333</v>
      </c>
      <c r="G136" s="3470"/>
      <c r="H136" s="3470" t="s">
        <v>3991</v>
      </c>
      <c r="I136" s="3470" t="s">
        <v>3676</v>
      </c>
      <c r="J136" s="3481" t="s">
        <v>4862</v>
      </c>
      <c r="K136" s="3470" t="s">
        <v>3631</v>
      </c>
      <c r="L136" s="3470">
        <v>113.18</v>
      </c>
      <c r="M136" s="3470">
        <v>8</v>
      </c>
      <c r="N136" s="3470" t="s">
        <v>3661</v>
      </c>
      <c r="O136" s="3470">
        <v>91.76</v>
      </c>
      <c r="P136" s="3470" t="s">
        <v>3452</v>
      </c>
      <c r="Q136" s="3457">
        <v>679080</v>
      </c>
      <c r="R136" s="3470">
        <v>6000</v>
      </c>
      <c r="S136" s="3472">
        <v>67.28</v>
      </c>
      <c r="T136" s="3527">
        <v>672800</v>
      </c>
      <c r="U136" s="3470">
        <v>5945</v>
      </c>
      <c r="V136" s="3474">
        <v>0.1</v>
      </c>
      <c r="W136" s="3475">
        <v>60.55</v>
      </c>
      <c r="X136" s="3476">
        <v>605500</v>
      </c>
      <c r="Y136" s="3441">
        <v>2003</v>
      </c>
      <c r="Z136" s="3441">
        <v>4</v>
      </c>
      <c r="AA136" s="3441">
        <v>4</v>
      </c>
      <c r="AB136" s="3485">
        <v>3360</v>
      </c>
      <c r="AC136" s="3470" t="s">
        <v>4863</v>
      </c>
      <c r="AD136" s="3485"/>
      <c r="AE136" s="3441" t="s">
        <v>2156</v>
      </c>
      <c r="AF136" s="3470" t="s">
        <v>3587</v>
      </c>
      <c r="AG136" s="3522" t="s">
        <v>3605</v>
      </c>
      <c r="AH136" s="3485"/>
      <c r="AI136" s="3456" t="s">
        <v>4834</v>
      </c>
      <c r="AJ136" s="3523">
        <v>37965</v>
      </c>
      <c r="AK136" s="3548">
        <v>4</v>
      </c>
      <c r="AL136" s="3515">
        <v>67641700</v>
      </c>
      <c r="AM136" s="3441"/>
      <c r="AN136" s="3480" t="s">
        <v>3570</v>
      </c>
      <c r="AO136" s="3470" t="s">
        <v>4864</v>
      </c>
      <c r="AP136" s="3441" t="s">
        <v>3721</v>
      </c>
      <c r="AQ136" s="3469" t="s">
        <v>3571</v>
      </c>
      <c r="AR136" s="3441"/>
      <c r="AS136" s="3441"/>
      <c r="AT136" s="3441"/>
      <c r="AU136" s="3441"/>
      <c r="AV136" s="3441"/>
      <c r="AW136" s="3441" t="s">
        <v>3458</v>
      </c>
      <c r="AX136" s="3484" t="s">
        <v>3606</v>
      </c>
      <c r="AY136" s="3524" t="s">
        <v>4865</v>
      </c>
      <c r="AZ136" s="3470" t="s">
        <v>3647</v>
      </c>
      <c r="BA136" s="3441" t="s">
        <v>4327</v>
      </c>
      <c r="BB136" s="3524" t="s">
        <v>3640</v>
      </c>
      <c r="BC136" s="3441" t="s">
        <v>4049</v>
      </c>
      <c r="BD136" s="3525">
        <v>100088</v>
      </c>
      <c r="BE136" s="3441">
        <v>82058259</v>
      </c>
      <c r="BF136" s="3526">
        <v>2.9</v>
      </c>
      <c r="BG136" s="3518">
        <v>37608</v>
      </c>
      <c r="BH136" s="3441"/>
      <c r="BI136" s="3486" t="s">
        <v>3721</v>
      </c>
      <c r="BJ136" s="3484">
        <v>37644</v>
      </c>
      <c r="BK136" s="3518">
        <v>37700</v>
      </c>
      <c r="BL136" s="3441" t="s">
        <v>3670</v>
      </c>
      <c r="BM136" s="3441"/>
      <c r="BN136" s="3441"/>
      <c r="BO136" s="3441"/>
      <c r="BP136" s="3441"/>
      <c r="BQ136" s="3441"/>
      <c r="BR136" s="3441"/>
      <c r="BS136" s="3470"/>
      <c r="BT136" s="3470"/>
      <c r="BU136" s="3470"/>
      <c r="BV136" s="3441"/>
      <c r="BW136" s="3441"/>
      <c r="BX136" s="3441"/>
      <c r="BY136" s="3441"/>
      <c r="BZ136" s="3441"/>
      <c r="CA136" s="3441"/>
      <c r="CB136" s="3441"/>
      <c r="CC136" s="3441"/>
      <c r="CD136" s="3441"/>
      <c r="CE136" s="3441"/>
      <c r="CF136" s="3441"/>
      <c r="CG136" s="3441"/>
      <c r="CH136" s="3441"/>
      <c r="CI136" s="3441"/>
      <c r="CJ136" s="3441"/>
      <c r="CK136" s="3441"/>
      <c r="CL136" s="3441"/>
      <c r="CM136" s="3441"/>
      <c r="CN136" s="3441"/>
      <c r="CO136" s="3441"/>
      <c r="CP136" s="3441"/>
      <c r="CQ136" s="3441"/>
      <c r="CR136" s="3441"/>
      <c r="CS136" s="3441"/>
      <c r="CT136" s="3441"/>
      <c r="CU136" s="3441"/>
      <c r="CV136" s="3441"/>
      <c r="CW136" s="3441"/>
      <c r="CX136" s="3441"/>
      <c r="CY136" s="3441"/>
      <c r="CZ136" s="3441"/>
      <c r="DA136" s="3441"/>
      <c r="DB136" s="3441"/>
      <c r="DC136" s="3441"/>
      <c r="DD136" s="3441"/>
      <c r="DE136" s="3441"/>
      <c r="DF136" s="3441"/>
      <c r="DG136" s="3441"/>
      <c r="DH136" s="3441"/>
      <c r="DI136" s="3441"/>
      <c r="DJ136" s="3441"/>
      <c r="DK136" s="3441"/>
      <c r="DL136" s="3441"/>
      <c r="DM136" s="3441"/>
      <c r="DN136" s="3441"/>
      <c r="DO136" s="3441"/>
      <c r="DP136" s="3441"/>
      <c r="DQ136" s="3441"/>
      <c r="DR136" s="3441"/>
      <c r="DS136" s="3441"/>
      <c r="DT136" s="3441"/>
      <c r="DU136" s="3441"/>
      <c r="DV136" s="3441"/>
      <c r="DW136" s="3441"/>
      <c r="DX136" s="3441"/>
      <c r="DY136" s="3441"/>
      <c r="DZ136" s="3441"/>
      <c r="EA136" s="3441"/>
      <c r="EB136" s="3441"/>
      <c r="EC136" s="3441"/>
      <c r="ED136" s="3441"/>
      <c r="EE136" s="3441"/>
      <c r="EF136" s="3441"/>
      <c r="EG136" s="3441"/>
      <c r="EH136" s="3441"/>
      <c r="EI136" s="3441"/>
      <c r="EJ136" s="3441"/>
      <c r="EK136" s="3441"/>
      <c r="EL136" s="3441"/>
      <c r="EM136" s="3441"/>
      <c r="EN136" s="3441"/>
      <c r="EO136" s="3441"/>
      <c r="EP136" s="3441"/>
      <c r="EQ136" s="3441"/>
      <c r="ER136" s="3441"/>
      <c r="ES136" s="3441"/>
      <c r="ET136" s="3441"/>
      <c r="EU136" s="3441"/>
      <c r="EV136" s="3441"/>
      <c r="EW136" s="3441"/>
      <c r="EX136" s="3441"/>
      <c r="EY136" s="3441"/>
      <c r="EZ136" s="3441"/>
      <c r="FA136" s="3441"/>
      <c r="FB136" s="3441"/>
      <c r="FC136" s="3441"/>
      <c r="FD136" s="3441"/>
      <c r="FE136" s="3441"/>
      <c r="FF136" s="3441"/>
      <c r="FG136" s="3441"/>
      <c r="FH136" s="3441"/>
      <c r="FI136" s="3441"/>
      <c r="FJ136" s="3441"/>
      <c r="FK136" s="3441"/>
      <c r="FL136" s="3441"/>
      <c r="FM136" s="3441"/>
      <c r="FN136" s="3441"/>
      <c r="FO136" s="3441"/>
      <c r="FP136" s="3441"/>
      <c r="FQ136" s="3441"/>
      <c r="FR136" s="3441"/>
      <c r="FS136" s="3441"/>
      <c r="FT136" s="3441"/>
      <c r="FU136" s="3441"/>
      <c r="FV136" s="3441"/>
      <c r="FW136" s="3441"/>
      <c r="FX136" s="3441"/>
      <c r="FY136" s="3441"/>
      <c r="FZ136" s="3441"/>
      <c r="GA136" s="3441"/>
      <c r="GB136" s="3441"/>
      <c r="GC136" s="3441"/>
      <c r="GD136" s="3441"/>
      <c r="GE136" s="3441"/>
      <c r="GF136" s="3441"/>
      <c r="GG136" s="3441"/>
      <c r="GH136" s="3441"/>
      <c r="GI136" s="3441"/>
      <c r="GJ136" s="3441"/>
      <c r="GK136" s="3441"/>
      <c r="GL136" s="3441"/>
      <c r="GM136" s="3441"/>
      <c r="GN136" s="3441"/>
      <c r="GO136" s="3441"/>
      <c r="GP136" s="3441"/>
      <c r="GQ136" s="3441"/>
      <c r="GR136" s="3441"/>
      <c r="GS136" s="3441"/>
      <c r="GT136" s="3441"/>
      <c r="GU136" s="3441"/>
      <c r="GV136" s="3441"/>
      <c r="GW136" s="3441"/>
      <c r="GX136" s="3441"/>
      <c r="GY136" s="3441"/>
      <c r="GZ136" s="3441"/>
      <c r="HA136" s="3441"/>
      <c r="HB136" s="3441"/>
      <c r="HC136" s="3441"/>
      <c r="HD136" s="3441"/>
      <c r="HE136" s="3441"/>
      <c r="HF136" s="3441"/>
      <c r="HG136" s="3441"/>
      <c r="HH136" s="3441"/>
      <c r="HI136" s="3441"/>
      <c r="HJ136" s="3441"/>
      <c r="HK136" s="3441"/>
      <c r="HL136" s="3441"/>
      <c r="HM136" s="3441"/>
      <c r="HN136" s="3441"/>
      <c r="HO136" s="3441"/>
      <c r="HP136" s="3441"/>
      <c r="HQ136" s="3441"/>
      <c r="HR136" s="3441"/>
      <c r="HS136" s="3441"/>
      <c r="HT136" s="3441"/>
      <c r="HU136" s="3441"/>
      <c r="HV136" s="3441"/>
      <c r="HW136" s="3441"/>
      <c r="HX136" s="3441"/>
      <c r="HY136" s="3441"/>
      <c r="HZ136" s="3441"/>
      <c r="IA136" s="3441"/>
      <c r="IB136" s="3441"/>
      <c r="IC136" s="3441"/>
      <c r="ID136" s="3441"/>
      <c r="IE136" s="3441"/>
      <c r="IF136" s="3441"/>
      <c r="IG136" s="3441"/>
      <c r="IH136" s="3441"/>
      <c r="II136" s="3441"/>
      <c r="IJ136" s="3441"/>
      <c r="IK136" s="3441"/>
      <c r="IL136" s="3441"/>
      <c r="IM136" s="3441"/>
      <c r="IN136" s="3441"/>
      <c r="IO136" s="3441"/>
      <c r="IP136" s="3441"/>
      <c r="IQ136" s="3441"/>
      <c r="IR136" s="3441"/>
      <c r="IS136" s="3441"/>
    </row>
    <row r="137" spans="1:253" s="3470" customFormat="1" ht="12" hidden="1">
      <c r="A137" s="3470" t="s">
        <v>4866</v>
      </c>
      <c r="B137" s="3470" t="s">
        <v>4867</v>
      </c>
      <c r="C137" s="3481" t="s">
        <v>4868</v>
      </c>
      <c r="D137" s="3470">
        <v>13683008786</v>
      </c>
      <c r="E137" s="3470" t="s">
        <v>3558</v>
      </c>
      <c r="F137" s="3470" t="s">
        <v>3559</v>
      </c>
      <c r="H137" s="3453" t="s">
        <v>4869</v>
      </c>
      <c r="I137" s="3453" t="s">
        <v>3448</v>
      </c>
      <c r="J137" s="3453" t="s">
        <v>4870</v>
      </c>
      <c r="K137" s="3470" t="s">
        <v>3563</v>
      </c>
      <c r="L137" s="3495">
        <v>114.44</v>
      </c>
      <c r="M137" s="3495">
        <v>13</v>
      </c>
      <c r="N137" s="3453" t="s">
        <v>4871</v>
      </c>
      <c r="O137" s="3495">
        <v>92.72</v>
      </c>
      <c r="P137" s="3470" t="s">
        <v>3452</v>
      </c>
      <c r="Q137" s="3457">
        <v>574488.80000000005</v>
      </c>
      <c r="R137" s="3495">
        <v>5020</v>
      </c>
      <c r="S137" s="3472">
        <v>56.87</v>
      </c>
      <c r="T137" s="3473">
        <v>568700</v>
      </c>
      <c r="U137" s="3495">
        <v>4970</v>
      </c>
      <c r="V137" s="3512">
        <v>0.1</v>
      </c>
      <c r="W137" s="3475">
        <v>51.18</v>
      </c>
      <c r="X137" s="3476">
        <v>511800</v>
      </c>
      <c r="Y137" s="3495">
        <v>2003</v>
      </c>
      <c r="Z137" s="3441">
        <v>1</v>
      </c>
      <c r="AA137" s="3441">
        <v>17</v>
      </c>
      <c r="AB137" s="3477">
        <v>2840</v>
      </c>
      <c r="AC137" s="3470" t="s">
        <v>3544</v>
      </c>
      <c r="AE137" s="3456" t="s">
        <v>3663</v>
      </c>
      <c r="AF137" s="3453" t="s">
        <v>3728</v>
      </c>
      <c r="AG137" s="3470" t="s">
        <v>3466</v>
      </c>
      <c r="AH137" s="3470" t="s">
        <v>3568</v>
      </c>
      <c r="AI137" s="3470" t="s">
        <v>3679</v>
      </c>
      <c r="AJ137" s="3478">
        <v>37894</v>
      </c>
      <c r="AK137" s="3500">
        <v>1</v>
      </c>
      <c r="AL137" s="3495">
        <v>67641700</v>
      </c>
      <c r="AM137" s="3470" t="s">
        <v>3568</v>
      </c>
      <c r="AN137" s="3480" t="s">
        <v>4210</v>
      </c>
      <c r="AO137" s="3470" t="s">
        <v>3568</v>
      </c>
      <c r="AP137" s="3456" t="s">
        <v>3476</v>
      </c>
      <c r="AQ137" s="3456" t="s">
        <v>3571</v>
      </c>
      <c r="AV137" s="3519"/>
      <c r="AW137" s="3470" t="s">
        <v>3572</v>
      </c>
      <c r="AX137" s="3470" t="s">
        <v>2511</v>
      </c>
      <c r="AY137" s="3495">
        <v>226896</v>
      </c>
      <c r="AZ137" s="3470" t="s">
        <v>3563</v>
      </c>
      <c r="BA137" s="3470" t="s">
        <v>3574</v>
      </c>
      <c r="BC137" s="3470" t="s">
        <v>3576</v>
      </c>
      <c r="BD137" s="3470">
        <v>100037</v>
      </c>
      <c r="BE137" s="3470">
        <v>84050046</v>
      </c>
      <c r="BF137" s="3520">
        <v>2.8</v>
      </c>
      <c r="BG137" s="3478">
        <v>37584</v>
      </c>
      <c r="BI137" s="3441" t="s">
        <v>3476</v>
      </c>
      <c r="BJ137" s="3478">
        <v>37624</v>
      </c>
      <c r="BK137" s="3478">
        <v>37627</v>
      </c>
      <c r="BL137" s="3441" t="s">
        <v>3670</v>
      </c>
      <c r="BM137" s="3441"/>
      <c r="BN137" s="3441"/>
      <c r="BO137" s="3441"/>
      <c r="BP137" s="3441"/>
      <c r="BQ137" s="3441"/>
      <c r="BR137" s="3441"/>
    </row>
    <row r="138" spans="1:253" s="3470" customFormat="1" ht="12" hidden="1">
      <c r="A138" s="3470" t="s">
        <v>4872</v>
      </c>
      <c r="B138" s="3470" t="s">
        <v>4873</v>
      </c>
      <c r="C138" s="3471" t="s">
        <v>4874</v>
      </c>
      <c r="D138" s="3470" t="s">
        <v>4875</v>
      </c>
      <c r="E138" s="3470" t="s">
        <v>3558</v>
      </c>
      <c r="F138" s="3470" t="s">
        <v>4600</v>
      </c>
      <c r="H138" s="3470" t="s">
        <v>4876</v>
      </c>
      <c r="I138" s="3470" t="s">
        <v>4877</v>
      </c>
      <c r="J138" s="3470" t="s">
        <v>4878</v>
      </c>
      <c r="K138" s="3470" t="s">
        <v>4608</v>
      </c>
      <c r="L138" s="3470">
        <v>123.19</v>
      </c>
      <c r="M138" s="3470">
        <v>6</v>
      </c>
      <c r="N138" s="3470" t="s">
        <v>4003</v>
      </c>
      <c r="P138" s="3470" t="s">
        <v>4879</v>
      </c>
      <c r="Q138" s="3457">
        <v>328531.71529999998</v>
      </c>
      <c r="R138" s="3470">
        <v>2666.87</v>
      </c>
      <c r="S138" s="3472">
        <v>35.47</v>
      </c>
      <c r="T138" s="3473">
        <v>354700</v>
      </c>
      <c r="U138" s="3470">
        <v>2880</v>
      </c>
      <c r="V138" s="3474">
        <v>0.1</v>
      </c>
      <c r="W138" s="3475">
        <v>31.92</v>
      </c>
      <c r="X138" s="3476">
        <v>319200</v>
      </c>
      <c r="Y138" s="3441">
        <v>2003</v>
      </c>
      <c r="Z138" s="3441">
        <v>1</v>
      </c>
      <c r="AA138" s="3470">
        <v>7</v>
      </c>
      <c r="AB138" s="3477">
        <v>1770</v>
      </c>
      <c r="AC138" s="3470" t="s">
        <v>4031</v>
      </c>
      <c r="AE138" s="3470" t="s">
        <v>3663</v>
      </c>
      <c r="AF138" s="3470" t="s">
        <v>3493</v>
      </c>
      <c r="AG138" s="3470" t="s">
        <v>3466</v>
      </c>
      <c r="AI138" s="3470" t="s">
        <v>3679</v>
      </c>
      <c r="AJ138" s="3478"/>
      <c r="AK138" s="3479" t="s">
        <v>3570</v>
      </c>
      <c r="AL138" s="3470">
        <v>67641700</v>
      </c>
      <c r="AN138" s="3480" t="s">
        <v>3695</v>
      </c>
      <c r="AP138" s="3470" t="s">
        <v>4880</v>
      </c>
      <c r="AQ138" s="3470" t="s">
        <v>3571</v>
      </c>
      <c r="AW138" s="3470" t="s">
        <v>4606</v>
      </c>
      <c r="AY138" s="3481"/>
      <c r="AZ138" s="3470" t="s">
        <v>4608</v>
      </c>
      <c r="BA138" s="3470" t="s">
        <v>4609</v>
      </c>
      <c r="BB138" s="3481">
        <v>1100001088540</v>
      </c>
      <c r="BD138" s="3482"/>
      <c r="BE138" s="3470">
        <v>64263637</v>
      </c>
      <c r="BF138" s="3483"/>
      <c r="BG138" s="3478">
        <v>37537</v>
      </c>
      <c r="BH138" s="3470" t="s">
        <v>3493</v>
      </c>
      <c r="BI138" s="3441" t="s">
        <v>4880</v>
      </c>
      <c r="BJ138" s="3484">
        <v>37623</v>
      </c>
      <c r="BK138" s="3478"/>
      <c r="BL138" s="3441"/>
      <c r="BM138" s="3441"/>
      <c r="BN138" s="3441"/>
      <c r="BO138" s="3441"/>
      <c r="BP138" s="3441"/>
      <c r="BQ138" s="3441"/>
      <c r="BR138" s="3441"/>
    </row>
    <row r="139" spans="1:253" s="3470" customFormat="1" ht="12" hidden="1">
      <c r="A139" s="3470" t="s">
        <v>4881</v>
      </c>
      <c r="B139" s="3470" t="s">
        <v>4882</v>
      </c>
      <c r="C139" s="3471" t="s">
        <v>4883</v>
      </c>
      <c r="D139" s="3470" t="s">
        <v>4884</v>
      </c>
      <c r="E139" s="3470" t="s">
        <v>3558</v>
      </c>
      <c r="F139" s="3470" t="s">
        <v>4600</v>
      </c>
      <c r="H139" s="3470" t="s">
        <v>4876</v>
      </c>
      <c r="I139" s="3470" t="s">
        <v>3735</v>
      </c>
      <c r="J139" s="3470" t="s">
        <v>4885</v>
      </c>
      <c r="K139" s="3470" t="s">
        <v>4608</v>
      </c>
      <c r="L139" s="3470">
        <v>77.09</v>
      </c>
      <c r="M139" s="3470">
        <v>5</v>
      </c>
      <c r="N139" s="3470" t="s">
        <v>4030</v>
      </c>
      <c r="P139" s="3470" t="s">
        <v>3452</v>
      </c>
      <c r="Q139" s="3457">
        <v>196100.77110000001</v>
      </c>
      <c r="R139" s="3470">
        <v>2543.79</v>
      </c>
      <c r="S139" s="3472">
        <v>26.05</v>
      </c>
      <c r="T139" s="3473">
        <v>260500</v>
      </c>
      <c r="U139" s="3470">
        <v>3380</v>
      </c>
      <c r="V139" s="3474">
        <v>0.1</v>
      </c>
      <c r="W139" s="3475">
        <v>23.44</v>
      </c>
      <c r="X139" s="3476">
        <v>234400</v>
      </c>
      <c r="Y139" s="3441">
        <v>2003</v>
      </c>
      <c r="Z139" s="3441">
        <v>1</v>
      </c>
      <c r="AA139" s="3470">
        <v>7</v>
      </c>
      <c r="AB139" s="3477">
        <v>1300</v>
      </c>
      <c r="AC139" s="3470" t="s">
        <v>3693</v>
      </c>
      <c r="AE139" s="3470" t="s">
        <v>3663</v>
      </c>
      <c r="AF139" s="3470" t="s">
        <v>3493</v>
      </c>
      <c r="AG139" s="3470" t="s">
        <v>3466</v>
      </c>
      <c r="AI139" s="3470" t="s">
        <v>3679</v>
      </c>
      <c r="AJ139" s="3478"/>
      <c r="AK139" s="3479" t="s">
        <v>3570</v>
      </c>
      <c r="AL139" s="3470">
        <v>67641700</v>
      </c>
      <c r="AN139" s="3480" t="s">
        <v>3695</v>
      </c>
      <c r="AP139" s="3470" t="s">
        <v>4880</v>
      </c>
      <c r="AQ139" s="3470" t="s">
        <v>3571</v>
      </c>
      <c r="AW139" s="3470" t="s">
        <v>4606</v>
      </c>
      <c r="AY139" s="3481"/>
      <c r="AZ139" s="3470" t="s">
        <v>4608</v>
      </c>
      <c r="BA139" s="3470" t="s">
        <v>4609</v>
      </c>
      <c r="BB139" s="3481">
        <v>1100001088540</v>
      </c>
      <c r="BD139" s="3482"/>
      <c r="BE139" s="3470">
        <v>64263637</v>
      </c>
      <c r="BF139" s="3483"/>
      <c r="BG139" s="3478">
        <v>37513</v>
      </c>
      <c r="BH139" s="3470" t="s">
        <v>3493</v>
      </c>
      <c r="BI139" s="3441" t="s">
        <v>4880</v>
      </c>
      <c r="BJ139" s="3484">
        <v>37624</v>
      </c>
      <c r="BK139" s="3478"/>
      <c r="BL139" s="3441"/>
      <c r="BM139" s="3441"/>
      <c r="BN139" s="3441"/>
      <c r="BO139" s="3441"/>
      <c r="BP139" s="3441"/>
      <c r="BQ139" s="3441"/>
      <c r="BR139" s="3441"/>
    </row>
    <row r="140" spans="1:253" s="3470" customFormat="1" ht="12" hidden="1">
      <c r="A140" s="3470" t="s">
        <v>4886</v>
      </c>
      <c r="B140" s="3470" t="s">
        <v>4887</v>
      </c>
      <c r="C140" s="3471" t="s">
        <v>4888</v>
      </c>
      <c r="D140" s="3470" t="s">
        <v>4889</v>
      </c>
      <c r="E140" s="3470" t="s">
        <v>3558</v>
      </c>
      <c r="F140" s="3470" t="s">
        <v>4600</v>
      </c>
      <c r="H140" s="3470" t="s">
        <v>4876</v>
      </c>
      <c r="I140" s="3470" t="s">
        <v>3735</v>
      </c>
      <c r="J140" s="3470" t="s">
        <v>4890</v>
      </c>
      <c r="K140" s="3470" t="s">
        <v>4608</v>
      </c>
      <c r="L140" s="3470">
        <v>77.09</v>
      </c>
      <c r="M140" s="3470">
        <v>4</v>
      </c>
      <c r="N140" s="3470" t="s">
        <v>4030</v>
      </c>
      <c r="P140" s="3470" t="s">
        <v>3452</v>
      </c>
      <c r="Q140" s="3457">
        <v>196100.77110000001</v>
      </c>
      <c r="R140" s="3470">
        <v>2543.79</v>
      </c>
      <c r="S140" s="3472">
        <v>26.36</v>
      </c>
      <c r="T140" s="3473">
        <v>263600</v>
      </c>
      <c r="U140" s="3470">
        <v>3420</v>
      </c>
      <c r="V140" s="3474">
        <v>0.1</v>
      </c>
      <c r="W140" s="3475">
        <v>23.72</v>
      </c>
      <c r="X140" s="3476">
        <v>237200</v>
      </c>
      <c r="Y140" s="3441">
        <v>2003</v>
      </c>
      <c r="Z140" s="3441">
        <v>1</v>
      </c>
      <c r="AA140" s="3470">
        <v>7</v>
      </c>
      <c r="AB140" s="3477">
        <v>1315</v>
      </c>
      <c r="AC140" s="3470" t="s">
        <v>3693</v>
      </c>
      <c r="AE140" s="3470" t="s">
        <v>3663</v>
      </c>
      <c r="AF140" s="3470" t="s">
        <v>3493</v>
      </c>
      <c r="AG140" s="3470" t="s">
        <v>3466</v>
      </c>
      <c r="AI140" s="3470" t="s">
        <v>3679</v>
      </c>
      <c r="AJ140" s="3478"/>
      <c r="AK140" s="3479" t="s">
        <v>3570</v>
      </c>
      <c r="AL140" s="3470">
        <v>67641700</v>
      </c>
      <c r="AN140" s="3480" t="s">
        <v>3695</v>
      </c>
      <c r="AP140" s="3470" t="s">
        <v>4880</v>
      </c>
      <c r="AQ140" s="3470" t="s">
        <v>3571</v>
      </c>
      <c r="AW140" s="3470" t="s">
        <v>4606</v>
      </c>
      <c r="AY140" s="3481"/>
      <c r="AZ140" s="3470" t="s">
        <v>4608</v>
      </c>
      <c r="BA140" s="3470" t="s">
        <v>4609</v>
      </c>
      <c r="BB140" s="3481">
        <v>1100001088540</v>
      </c>
      <c r="BD140" s="3482"/>
      <c r="BE140" s="3470">
        <v>64263637</v>
      </c>
      <c r="BF140" s="3483"/>
      <c r="BG140" s="3478">
        <v>37513</v>
      </c>
      <c r="BH140" s="3470" t="s">
        <v>3493</v>
      </c>
      <c r="BI140" s="3441" t="s">
        <v>4880</v>
      </c>
      <c r="BJ140" s="3484">
        <v>37624</v>
      </c>
      <c r="BK140" s="3478"/>
      <c r="BL140" s="3441"/>
      <c r="BM140" s="3441"/>
      <c r="BN140" s="3441"/>
      <c r="BO140" s="3441"/>
      <c r="BP140" s="3441"/>
      <c r="BQ140" s="3441"/>
      <c r="BR140" s="3441"/>
    </row>
    <row r="141" spans="1:253" s="3470" customFormat="1" ht="12" hidden="1">
      <c r="A141" s="3470" t="s">
        <v>4891</v>
      </c>
      <c r="B141" s="3470" t="s">
        <v>4892</v>
      </c>
      <c r="C141" s="3481" t="s">
        <v>4893</v>
      </c>
      <c r="D141" s="3470">
        <v>13520953231</v>
      </c>
      <c r="E141" s="3470" t="s">
        <v>2736</v>
      </c>
      <c r="F141" s="3470" t="s">
        <v>3748</v>
      </c>
      <c r="H141" s="3470" t="s">
        <v>3879</v>
      </c>
      <c r="J141" s="3470" t="s">
        <v>4894</v>
      </c>
      <c r="K141" s="3470" t="s">
        <v>3751</v>
      </c>
      <c r="L141" s="3470">
        <v>138.19999999999999</v>
      </c>
      <c r="M141" s="3470">
        <v>21</v>
      </c>
      <c r="N141" s="3470" t="s">
        <v>3488</v>
      </c>
      <c r="O141" s="3470">
        <v>113.99</v>
      </c>
      <c r="P141" s="3470" t="s">
        <v>3452</v>
      </c>
      <c r="Q141" s="3457">
        <v>561092</v>
      </c>
      <c r="R141" s="3470">
        <v>4060</v>
      </c>
      <c r="S141" s="3472">
        <v>55.54</v>
      </c>
      <c r="T141" s="3527">
        <v>555400</v>
      </c>
      <c r="U141" s="3470">
        <v>4019</v>
      </c>
      <c r="V141" s="3474">
        <v>0.1</v>
      </c>
      <c r="W141" s="3475">
        <v>49.98</v>
      </c>
      <c r="X141" s="3494">
        <v>499799.99999999994</v>
      </c>
      <c r="Y141" s="3441">
        <v>2003</v>
      </c>
      <c r="Z141" s="3441">
        <v>2</v>
      </c>
      <c r="AA141" s="3470">
        <v>14</v>
      </c>
      <c r="AB141" s="3477">
        <v>2220</v>
      </c>
      <c r="AC141" s="3470" t="s">
        <v>3634</v>
      </c>
      <c r="AE141" s="3470" t="s">
        <v>3663</v>
      </c>
      <c r="AF141" s="3470" t="s">
        <v>3752</v>
      </c>
      <c r="AG141" s="3470" t="s">
        <v>3466</v>
      </c>
      <c r="AI141" s="3470" t="s">
        <v>3679</v>
      </c>
      <c r="AJ141" s="3478">
        <v>38138</v>
      </c>
      <c r="AK141" s="3500">
        <v>2</v>
      </c>
      <c r="AL141" s="3470">
        <v>67641700</v>
      </c>
      <c r="AN141" s="3441" t="s">
        <v>3468</v>
      </c>
      <c r="AO141" s="3470" t="s">
        <v>4895</v>
      </c>
      <c r="AP141" s="3470" t="s">
        <v>3476</v>
      </c>
      <c r="AQ141" s="3470" t="s">
        <v>3571</v>
      </c>
      <c r="AV141" s="3470" t="s">
        <v>3568</v>
      </c>
      <c r="AW141" s="3470" t="s">
        <v>3572</v>
      </c>
      <c r="AY141" s="3481" t="s">
        <v>4896</v>
      </c>
      <c r="AZ141" s="3470" t="s">
        <v>3751</v>
      </c>
      <c r="BA141" s="3470" t="s">
        <v>3770</v>
      </c>
      <c r="BB141" s="3481" t="s">
        <v>3771</v>
      </c>
      <c r="BC141" s="3470" t="s">
        <v>3782</v>
      </c>
      <c r="BD141" s="3482">
        <v>102488</v>
      </c>
      <c r="BE141" s="3470">
        <v>63023627</v>
      </c>
      <c r="BF141" s="3483">
        <v>2.8</v>
      </c>
      <c r="BG141" s="3478">
        <v>37638</v>
      </c>
      <c r="BH141" s="3470" t="s">
        <v>3437</v>
      </c>
      <c r="BI141" s="3441" t="s">
        <v>3476</v>
      </c>
      <c r="BJ141" s="3518">
        <v>37660</v>
      </c>
      <c r="BK141" s="3478"/>
      <c r="BL141" s="3441" t="s">
        <v>3670</v>
      </c>
      <c r="BM141" s="3441"/>
      <c r="BN141" s="3441"/>
      <c r="BO141" s="3441"/>
      <c r="BP141" s="3441"/>
      <c r="BQ141" s="3441"/>
      <c r="BR141" s="3441"/>
    </row>
    <row r="142" spans="1:253" s="3441" customFormat="1" ht="12" hidden="1">
      <c r="A142" s="3470" t="s">
        <v>4897</v>
      </c>
      <c r="B142" s="3470" t="s">
        <v>4898</v>
      </c>
      <c r="C142" s="3481" t="s">
        <v>4899</v>
      </c>
      <c r="D142" s="3481" t="s">
        <v>4900</v>
      </c>
      <c r="E142" s="3470" t="s">
        <v>3558</v>
      </c>
      <c r="F142" s="3521" t="s">
        <v>3951</v>
      </c>
      <c r="G142" s="3470"/>
      <c r="H142" s="3470" t="s">
        <v>4901</v>
      </c>
      <c r="I142" s="3470" t="s">
        <v>4902</v>
      </c>
      <c r="J142" s="3481" t="s">
        <v>4478</v>
      </c>
      <c r="K142" s="3470" t="s">
        <v>3955</v>
      </c>
      <c r="L142" s="3470">
        <v>87.06</v>
      </c>
      <c r="M142" s="3470">
        <v>5</v>
      </c>
      <c r="N142" s="3470" t="s">
        <v>3543</v>
      </c>
      <c r="O142" s="3470">
        <v>77.760000000000005</v>
      </c>
      <c r="P142" s="3470" t="s">
        <v>3452</v>
      </c>
      <c r="Q142" s="3457">
        <v>400998.36</v>
      </c>
      <c r="R142" s="3470">
        <v>4606</v>
      </c>
      <c r="S142" s="3472">
        <v>39.69</v>
      </c>
      <c r="T142" s="3473">
        <v>396900</v>
      </c>
      <c r="U142" s="3470">
        <v>4560</v>
      </c>
      <c r="V142" s="3474">
        <v>0.1</v>
      </c>
      <c r="W142" s="3475">
        <v>35.72</v>
      </c>
      <c r="X142" s="3476">
        <v>357200</v>
      </c>
      <c r="Y142" s="3441">
        <v>2003</v>
      </c>
      <c r="Z142" s="3441">
        <v>1</v>
      </c>
      <c r="AA142" s="3441">
        <v>17</v>
      </c>
      <c r="AB142" s="3477">
        <v>1980</v>
      </c>
      <c r="AC142" s="3470" t="s">
        <v>3585</v>
      </c>
      <c r="AD142" s="3485"/>
      <c r="AE142" s="3441" t="s">
        <v>3663</v>
      </c>
      <c r="AF142" s="3470" t="s">
        <v>4152</v>
      </c>
      <c r="AG142" s="3522" t="s">
        <v>3466</v>
      </c>
      <c r="AH142" s="3485"/>
      <c r="AI142" s="3470" t="s">
        <v>3679</v>
      </c>
      <c r="AJ142" s="3523">
        <v>37772</v>
      </c>
      <c r="AK142" s="3479" t="s">
        <v>3619</v>
      </c>
      <c r="AL142" s="3441" t="s">
        <v>3957</v>
      </c>
      <c r="AN142" s="3441" t="s">
        <v>3482</v>
      </c>
      <c r="AO142" s="3470" t="s">
        <v>4903</v>
      </c>
      <c r="AP142" s="3441" t="s">
        <v>3476</v>
      </c>
      <c r="AQ142" s="3441" t="s">
        <v>3571</v>
      </c>
      <c r="AV142" s="3441" t="s">
        <v>3568</v>
      </c>
      <c r="AW142" s="3441" t="s">
        <v>3572</v>
      </c>
      <c r="AX142" s="3441" t="s">
        <v>4046</v>
      </c>
      <c r="AY142" s="3524" t="s">
        <v>4904</v>
      </c>
      <c r="AZ142" s="3441" t="s">
        <v>3955</v>
      </c>
      <c r="BA142" s="3441" t="s">
        <v>3959</v>
      </c>
      <c r="BB142" s="3524" t="s">
        <v>3960</v>
      </c>
      <c r="BC142" s="3441" t="s">
        <v>3961</v>
      </c>
      <c r="BD142" s="3525">
        <v>102100</v>
      </c>
      <c r="BE142" s="3441">
        <v>62998398</v>
      </c>
      <c r="BF142" s="3526">
        <v>2.8</v>
      </c>
      <c r="BG142" s="3518">
        <v>37611</v>
      </c>
      <c r="BI142" s="3441" t="s">
        <v>3721</v>
      </c>
      <c r="BJ142" s="3484">
        <v>37635</v>
      </c>
      <c r="BK142" s="3484"/>
      <c r="BL142" s="3470" t="s">
        <v>3670</v>
      </c>
      <c r="BS142" s="3470"/>
      <c r="BT142" s="3470"/>
      <c r="BU142" s="3470"/>
    </row>
    <row r="143" spans="1:253" s="3470" customFormat="1" ht="12" hidden="1">
      <c r="A143" s="3470" t="s">
        <v>4905</v>
      </c>
      <c r="B143" s="3470" t="s">
        <v>4906</v>
      </c>
      <c r="C143" s="3471" t="s">
        <v>4907</v>
      </c>
      <c r="D143" s="3470" t="s">
        <v>4908</v>
      </c>
      <c r="E143" s="3470" t="s">
        <v>3558</v>
      </c>
      <c r="F143" s="3470" t="s">
        <v>4600</v>
      </c>
      <c r="H143" s="3470" t="s">
        <v>4876</v>
      </c>
      <c r="I143" s="3470" t="s">
        <v>4877</v>
      </c>
      <c r="J143" s="3470" t="s">
        <v>4909</v>
      </c>
      <c r="K143" s="3470" t="s">
        <v>4608</v>
      </c>
      <c r="L143" s="3470">
        <v>76.819999999999993</v>
      </c>
      <c r="M143" s="3470">
        <v>5</v>
      </c>
      <c r="N143" s="3470" t="s">
        <v>4030</v>
      </c>
      <c r="P143" s="3470" t="s">
        <v>3452</v>
      </c>
      <c r="Q143" s="3457">
        <v>195413.94779999997</v>
      </c>
      <c r="R143" s="3470">
        <v>2543.79</v>
      </c>
      <c r="S143" s="3472">
        <v>25.96</v>
      </c>
      <c r="T143" s="3473">
        <v>259600</v>
      </c>
      <c r="U143" s="3470">
        <v>3380</v>
      </c>
      <c r="V143" s="3474">
        <v>0.1</v>
      </c>
      <c r="W143" s="3475">
        <v>23.36</v>
      </c>
      <c r="X143" s="3476">
        <v>233600</v>
      </c>
      <c r="Y143" s="3441">
        <v>2003</v>
      </c>
      <c r="Z143" s="3441">
        <v>1</v>
      </c>
      <c r="AA143" s="3470">
        <v>9</v>
      </c>
      <c r="AB143" s="3477">
        <v>1295</v>
      </c>
      <c r="AC143" s="3470" t="s">
        <v>3693</v>
      </c>
      <c r="AE143" s="3470" t="s">
        <v>3663</v>
      </c>
      <c r="AF143" s="3470" t="s">
        <v>3493</v>
      </c>
      <c r="AG143" s="3470" t="s">
        <v>3466</v>
      </c>
      <c r="AI143" s="3470" t="s">
        <v>3679</v>
      </c>
      <c r="AJ143" s="3478"/>
      <c r="AK143" s="3479" t="s">
        <v>3570</v>
      </c>
      <c r="AL143" s="3470">
        <v>67641700</v>
      </c>
      <c r="AN143" s="3480" t="s">
        <v>3695</v>
      </c>
      <c r="AP143" s="3470" t="s">
        <v>4880</v>
      </c>
      <c r="AQ143" s="3470" t="s">
        <v>3571</v>
      </c>
      <c r="AW143" s="3470" t="s">
        <v>4606</v>
      </c>
      <c r="AY143" s="3481"/>
      <c r="AZ143" s="3470" t="s">
        <v>4608</v>
      </c>
      <c r="BA143" s="3470" t="s">
        <v>4609</v>
      </c>
      <c r="BB143" s="3481">
        <v>1100001088540</v>
      </c>
      <c r="BD143" s="3482"/>
      <c r="BE143" s="3470">
        <v>64263637</v>
      </c>
      <c r="BF143" s="3483"/>
      <c r="BG143" s="3478">
        <v>37497</v>
      </c>
      <c r="BH143" s="3470" t="s">
        <v>3493</v>
      </c>
      <c r="BI143" s="3441" t="s">
        <v>4880</v>
      </c>
      <c r="BJ143" s="3484">
        <v>37627</v>
      </c>
      <c r="BK143" s="3478"/>
      <c r="BL143" s="3441"/>
      <c r="BM143" s="3441"/>
      <c r="BN143" s="3441"/>
      <c r="BO143" s="3441"/>
      <c r="BP143" s="3441"/>
      <c r="BQ143" s="3441"/>
      <c r="BR143" s="3441"/>
    </row>
    <row r="144" spans="1:253" s="3441" customFormat="1" ht="12" hidden="1">
      <c r="A144" s="3485" t="s">
        <v>4910</v>
      </c>
      <c r="B144" s="3470" t="s">
        <v>4911</v>
      </c>
      <c r="C144" s="3481" t="s">
        <v>4912</v>
      </c>
      <c r="D144" s="3481" t="s">
        <v>4913</v>
      </c>
      <c r="E144" s="3470" t="s">
        <v>2736</v>
      </c>
      <c r="F144" s="3528" t="s">
        <v>4333</v>
      </c>
      <c r="G144" s="3470"/>
      <c r="H144" s="3470" t="s">
        <v>3991</v>
      </c>
      <c r="I144" s="3470" t="s">
        <v>3676</v>
      </c>
      <c r="J144" s="3481" t="s">
        <v>3777</v>
      </c>
      <c r="K144" s="3470" t="s">
        <v>3638</v>
      </c>
      <c r="L144" s="3470">
        <v>155.87</v>
      </c>
      <c r="M144" s="3470">
        <v>7</v>
      </c>
      <c r="N144" s="3470" t="s">
        <v>3632</v>
      </c>
      <c r="O144" s="3470">
        <v>126.37</v>
      </c>
      <c r="P144" s="3470" t="s">
        <v>3452</v>
      </c>
      <c r="Q144" s="3457">
        <v>1024065.9</v>
      </c>
      <c r="R144" s="3470">
        <v>6570</v>
      </c>
      <c r="S144" s="3472">
        <v>101.47</v>
      </c>
      <c r="T144" s="3527">
        <v>1014700</v>
      </c>
      <c r="U144" s="3470">
        <v>6510</v>
      </c>
      <c r="V144" s="3474">
        <v>0.1</v>
      </c>
      <c r="W144" s="3475">
        <v>91.32</v>
      </c>
      <c r="X144" s="3494">
        <v>913199.99999999988</v>
      </c>
      <c r="Y144" s="3441">
        <v>2003</v>
      </c>
      <c r="Z144" s="3441">
        <v>3</v>
      </c>
      <c r="AA144" s="3441">
        <v>3</v>
      </c>
      <c r="AB144" s="3485">
        <v>5035</v>
      </c>
      <c r="AC144" s="3470" t="s">
        <v>3544</v>
      </c>
      <c r="AD144" s="3485"/>
      <c r="AE144" s="3441" t="s">
        <v>4914</v>
      </c>
      <c r="AF144" s="3470" t="s">
        <v>3587</v>
      </c>
      <c r="AG144" s="3522" t="s">
        <v>3454</v>
      </c>
      <c r="AH144" s="3485"/>
      <c r="AI144" s="3456" t="s">
        <v>3553</v>
      </c>
      <c r="AJ144" s="3523">
        <v>37965</v>
      </c>
      <c r="AK144" s="3462" t="s">
        <v>4210</v>
      </c>
      <c r="AL144" s="3515">
        <v>67641700</v>
      </c>
      <c r="AN144" s="3441" t="s">
        <v>3456</v>
      </c>
      <c r="AP144" s="3456" t="s">
        <v>3476</v>
      </c>
      <c r="AQ144" s="3469" t="s">
        <v>3571</v>
      </c>
      <c r="AW144" s="3441" t="s">
        <v>3458</v>
      </c>
      <c r="AX144" s="3484" t="s">
        <v>3606</v>
      </c>
      <c r="AY144" s="3524" t="s">
        <v>4915</v>
      </c>
      <c r="AZ144" s="3470" t="s">
        <v>3638</v>
      </c>
      <c r="BA144" s="3441" t="s">
        <v>4338</v>
      </c>
      <c r="BB144" s="3524" t="s">
        <v>3640</v>
      </c>
      <c r="BC144" s="3441" t="s">
        <v>4049</v>
      </c>
      <c r="BD144" s="3525">
        <v>100088</v>
      </c>
      <c r="BE144" s="3441">
        <v>82058259</v>
      </c>
      <c r="BF144" s="3526" t="s">
        <v>4916</v>
      </c>
      <c r="BG144" s="3518">
        <v>37606</v>
      </c>
      <c r="BI144" s="3486" t="s">
        <v>3896</v>
      </c>
      <c r="BJ144" s="3484">
        <v>37627</v>
      </c>
      <c r="BK144" s="3484">
        <v>37679</v>
      </c>
      <c r="BL144" s="3441" t="s">
        <v>3670</v>
      </c>
      <c r="BS144" s="3470"/>
      <c r="BT144" s="3470"/>
      <c r="BU144" s="3470"/>
    </row>
    <row r="145" spans="1:253" s="3470" customFormat="1" ht="12" hidden="1">
      <c r="A145" s="3470" t="s">
        <v>4917</v>
      </c>
      <c r="B145" s="3470" t="s">
        <v>4918</v>
      </c>
      <c r="C145" s="3454" t="s">
        <v>4919</v>
      </c>
      <c r="D145" s="3470">
        <v>13301153799</v>
      </c>
      <c r="E145" s="3470" t="s">
        <v>3538</v>
      </c>
      <c r="F145" s="3470" t="s">
        <v>4072</v>
      </c>
      <c r="G145" s="3470" t="s">
        <v>3588</v>
      </c>
      <c r="H145" s="3470" t="s">
        <v>4920</v>
      </c>
      <c r="I145" s="3453" t="s">
        <v>4404</v>
      </c>
      <c r="J145" s="3453" t="s">
        <v>4921</v>
      </c>
      <c r="K145" s="3470" t="s">
        <v>4076</v>
      </c>
      <c r="L145" s="3495">
        <v>129.63</v>
      </c>
      <c r="M145" s="3495">
        <v>5</v>
      </c>
      <c r="N145" s="3470" t="s">
        <v>3488</v>
      </c>
      <c r="O145" s="3495">
        <v>115.51</v>
      </c>
      <c r="P145" s="3470" t="s">
        <v>3452</v>
      </c>
      <c r="Q145" s="3457">
        <v>658520.4</v>
      </c>
      <c r="R145" s="3470">
        <v>5080</v>
      </c>
      <c r="S145" s="3472">
        <v>65.2</v>
      </c>
      <c r="T145" s="3527">
        <v>652000</v>
      </c>
      <c r="U145" s="3470">
        <v>5030</v>
      </c>
      <c r="V145" s="3474">
        <v>0.1</v>
      </c>
      <c r="W145" s="3475">
        <v>58.68</v>
      </c>
      <c r="X145" s="3473">
        <v>586800</v>
      </c>
      <c r="Y145" s="3441">
        <v>2003</v>
      </c>
      <c r="Z145" s="3441">
        <v>2</v>
      </c>
      <c r="AA145" s="3441">
        <v>10</v>
      </c>
      <c r="AB145" s="3485">
        <v>3260</v>
      </c>
      <c r="AC145" s="3453" t="s">
        <v>4922</v>
      </c>
      <c r="AE145" s="3456" t="s">
        <v>3663</v>
      </c>
      <c r="AF145" s="3470" t="s">
        <v>3587</v>
      </c>
      <c r="AG145" s="3470" t="s">
        <v>3466</v>
      </c>
      <c r="AI145" s="3470" t="s">
        <v>3679</v>
      </c>
      <c r="AJ145" s="3478">
        <v>37833</v>
      </c>
      <c r="AK145" s="3548">
        <v>2</v>
      </c>
      <c r="AL145" s="3495">
        <v>67641700</v>
      </c>
      <c r="AN145" s="3480" t="s">
        <v>3695</v>
      </c>
      <c r="AO145" s="3441" t="s">
        <v>4923</v>
      </c>
      <c r="AP145" s="3456" t="s">
        <v>3476</v>
      </c>
      <c r="AQ145" s="3456" t="s">
        <v>3571</v>
      </c>
      <c r="AV145" s="3519"/>
      <c r="AW145" s="3470" t="s">
        <v>3572</v>
      </c>
      <c r="AX145" s="3470" t="s">
        <v>2420</v>
      </c>
      <c r="AY145" s="3495">
        <v>261063</v>
      </c>
      <c r="AZ145" s="3470" t="s">
        <v>4175</v>
      </c>
      <c r="BA145" s="3470" t="s">
        <v>4081</v>
      </c>
      <c r="BB145" s="3470" t="s">
        <v>4190</v>
      </c>
      <c r="BC145" s="3470" t="s">
        <v>4083</v>
      </c>
      <c r="BD145" s="3470" t="s">
        <v>2420</v>
      </c>
      <c r="BE145" s="3470">
        <v>68152860</v>
      </c>
      <c r="BF145" s="3520">
        <v>2.8</v>
      </c>
      <c r="BG145" s="3478">
        <v>37624</v>
      </c>
      <c r="BH145" s="3470" t="s">
        <v>4163</v>
      </c>
      <c r="BI145" s="3441" t="s">
        <v>3476</v>
      </c>
      <c r="BJ145" s="3508">
        <v>37661</v>
      </c>
      <c r="BK145" s="3478"/>
      <c r="BL145" s="3441" t="s">
        <v>3670</v>
      </c>
      <c r="BM145" s="3441"/>
      <c r="BN145" s="3441"/>
      <c r="BO145" s="3441"/>
      <c r="BP145" s="3441"/>
      <c r="BQ145" s="3441"/>
      <c r="BR145" s="3441"/>
    </row>
    <row r="146" spans="1:253" s="3470" customFormat="1" ht="12" hidden="1">
      <c r="A146" s="3470" t="s">
        <v>4924</v>
      </c>
      <c r="B146" s="3470" t="s">
        <v>4925</v>
      </c>
      <c r="C146" s="3454" t="s">
        <v>4926</v>
      </c>
      <c r="D146" s="3470">
        <v>13601372341</v>
      </c>
      <c r="E146" s="3470" t="s">
        <v>3763</v>
      </c>
      <c r="F146" s="3470" t="s">
        <v>4099</v>
      </c>
      <c r="G146" s="3470" t="s">
        <v>3588</v>
      </c>
      <c r="H146" s="3470" t="s">
        <v>4073</v>
      </c>
      <c r="I146" s="3453" t="s">
        <v>4927</v>
      </c>
      <c r="J146" s="3453" t="s">
        <v>4325</v>
      </c>
      <c r="K146" s="3470" t="s">
        <v>4076</v>
      </c>
      <c r="L146" s="3495">
        <v>129.24</v>
      </c>
      <c r="M146" s="3495">
        <v>5</v>
      </c>
      <c r="N146" s="3470" t="s">
        <v>3632</v>
      </c>
      <c r="O146" s="3495">
        <v>115.94</v>
      </c>
      <c r="P146" s="3470" t="s">
        <v>3452</v>
      </c>
      <c r="Q146" s="3457">
        <v>615182.4</v>
      </c>
      <c r="R146" s="3470">
        <v>4760</v>
      </c>
      <c r="S146" s="3472">
        <v>60.89</v>
      </c>
      <c r="T146" s="3527">
        <v>608900</v>
      </c>
      <c r="U146" s="3470">
        <v>4712</v>
      </c>
      <c r="V146" s="3474">
        <v>0.1</v>
      </c>
      <c r="W146" s="3475">
        <v>54.8</v>
      </c>
      <c r="X146" s="3473">
        <v>548000</v>
      </c>
      <c r="Y146" s="3441">
        <v>2003</v>
      </c>
      <c r="Z146" s="3441">
        <v>2</v>
      </c>
      <c r="AA146" s="3441">
        <v>21</v>
      </c>
      <c r="AB146" s="3485">
        <v>3040</v>
      </c>
      <c r="AC146" s="3453" t="s">
        <v>4928</v>
      </c>
      <c r="AE146" s="3456" t="s">
        <v>3663</v>
      </c>
      <c r="AF146" s="3470" t="s">
        <v>3587</v>
      </c>
      <c r="AG146" s="3470" t="s">
        <v>3466</v>
      </c>
      <c r="AI146" s="3470" t="s">
        <v>3679</v>
      </c>
      <c r="AJ146" s="3478">
        <v>37833</v>
      </c>
      <c r="AK146" s="3548">
        <v>2</v>
      </c>
      <c r="AL146" s="3495">
        <v>67641700</v>
      </c>
      <c r="AN146" s="3480" t="s">
        <v>3482</v>
      </c>
      <c r="AO146" s="3441" t="s">
        <v>4929</v>
      </c>
      <c r="AP146" s="3456" t="s">
        <v>3476</v>
      </c>
      <c r="AQ146" s="3456" t="s">
        <v>3571</v>
      </c>
      <c r="AV146" s="3519"/>
      <c r="AW146" s="3470" t="s">
        <v>3572</v>
      </c>
      <c r="AX146" s="3470" t="s">
        <v>3588</v>
      </c>
      <c r="AY146" s="3495">
        <v>261087</v>
      </c>
      <c r="AZ146" s="3470" t="s">
        <v>4076</v>
      </c>
      <c r="BA146" s="3470" t="s">
        <v>4081</v>
      </c>
      <c r="BB146" s="3470" t="s">
        <v>4190</v>
      </c>
      <c r="BC146" s="3470" t="s">
        <v>4179</v>
      </c>
      <c r="BD146" s="3470" t="s">
        <v>2420</v>
      </c>
      <c r="BE146" s="3470">
        <v>68152860</v>
      </c>
      <c r="BF146" s="3520">
        <v>2.8</v>
      </c>
      <c r="BG146" s="3478">
        <v>37627</v>
      </c>
      <c r="BH146" s="3470" t="s">
        <v>4466</v>
      </c>
      <c r="BI146" s="3441" t="s">
        <v>3476</v>
      </c>
      <c r="BJ146" s="3484">
        <v>37671</v>
      </c>
      <c r="BK146" s="3478"/>
      <c r="BL146" s="3441" t="s">
        <v>3670</v>
      </c>
      <c r="BM146" s="3441"/>
      <c r="BN146" s="3441"/>
      <c r="BO146" s="3441"/>
      <c r="BP146" s="3441"/>
      <c r="BQ146" s="3441"/>
      <c r="BR146" s="3441"/>
    </row>
    <row r="147" spans="1:253" s="3470" customFormat="1" ht="12" hidden="1">
      <c r="A147" s="3470" t="s">
        <v>4930</v>
      </c>
      <c r="B147" s="3470" t="s">
        <v>4931</v>
      </c>
      <c r="C147" s="3454" t="s">
        <v>4932</v>
      </c>
      <c r="D147" s="3470">
        <v>13511076849</v>
      </c>
      <c r="E147" s="3470" t="s">
        <v>3538</v>
      </c>
      <c r="F147" s="3470" t="s">
        <v>4099</v>
      </c>
      <c r="G147" s="3470" t="s">
        <v>2420</v>
      </c>
      <c r="H147" s="3470" t="s">
        <v>4187</v>
      </c>
      <c r="I147" s="3453" t="s">
        <v>4548</v>
      </c>
      <c r="J147" s="3453" t="s">
        <v>3449</v>
      </c>
      <c r="K147" s="3470" t="s">
        <v>4076</v>
      </c>
      <c r="L147" s="3495">
        <v>123.66</v>
      </c>
      <c r="M147" s="3495">
        <v>4</v>
      </c>
      <c r="N147" s="3470" t="s">
        <v>3969</v>
      </c>
      <c r="O147" s="3495">
        <v>110.19</v>
      </c>
      <c r="P147" s="3470" t="s">
        <v>3452</v>
      </c>
      <c r="Q147" s="3457">
        <v>613353.6</v>
      </c>
      <c r="R147" s="3470">
        <v>4960</v>
      </c>
      <c r="S147" s="3472">
        <v>60.71</v>
      </c>
      <c r="T147" s="3527">
        <v>607100</v>
      </c>
      <c r="U147" s="3470">
        <v>4910</v>
      </c>
      <c r="V147" s="3474">
        <v>0.1</v>
      </c>
      <c r="W147" s="3475">
        <v>54.63</v>
      </c>
      <c r="X147" s="3473">
        <v>546300</v>
      </c>
      <c r="Y147" s="3441">
        <v>2003</v>
      </c>
      <c r="Z147" s="3441">
        <v>2</v>
      </c>
      <c r="AA147" s="3441">
        <v>21</v>
      </c>
      <c r="AB147" s="3485">
        <v>3035</v>
      </c>
      <c r="AC147" s="3453" t="s">
        <v>4241</v>
      </c>
      <c r="AE147" s="3456" t="s">
        <v>3663</v>
      </c>
      <c r="AF147" s="3470" t="s">
        <v>4152</v>
      </c>
      <c r="AG147" s="3470" t="s">
        <v>3466</v>
      </c>
      <c r="AI147" s="3470" t="s">
        <v>3679</v>
      </c>
      <c r="AJ147" s="3478">
        <v>37833</v>
      </c>
      <c r="AK147" s="3548">
        <v>2</v>
      </c>
      <c r="AL147" s="3495">
        <v>67641700</v>
      </c>
      <c r="AN147" s="3480" t="s">
        <v>3649</v>
      </c>
      <c r="AO147" s="3441" t="s">
        <v>4933</v>
      </c>
      <c r="AP147" s="3456" t="s">
        <v>3476</v>
      </c>
      <c r="AQ147" s="3456" t="s">
        <v>3571</v>
      </c>
      <c r="AV147" s="3519"/>
      <c r="AW147" s="3470" t="s">
        <v>3572</v>
      </c>
      <c r="AX147" s="3470" t="s">
        <v>2420</v>
      </c>
      <c r="AY147" s="3495">
        <v>261025</v>
      </c>
      <c r="AZ147" s="3470" t="s">
        <v>4175</v>
      </c>
      <c r="BA147" s="3470" t="s">
        <v>4161</v>
      </c>
      <c r="BB147" s="3470" t="s">
        <v>4162</v>
      </c>
      <c r="BC147" s="3470" t="s">
        <v>4083</v>
      </c>
      <c r="BD147" s="3470" t="s">
        <v>3588</v>
      </c>
      <c r="BE147" s="3470">
        <v>68152860</v>
      </c>
      <c r="BF147" s="3520">
        <v>2.8</v>
      </c>
      <c r="BG147" s="3478">
        <v>37627</v>
      </c>
      <c r="BH147" s="3470" t="s">
        <v>4163</v>
      </c>
      <c r="BI147" s="3441" t="s">
        <v>3476</v>
      </c>
      <c r="BJ147" s="3484">
        <v>37671</v>
      </c>
      <c r="BK147" s="3478"/>
      <c r="BL147" s="3441" t="s">
        <v>3670</v>
      </c>
      <c r="BM147" s="3441"/>
      <c r="BN147" s="3441"/>
      <c r="BO147" s="3441"/>
      <c r="BP147" s="3441"/>
      <c r="BQ147" s="3441"/>
      <c r="BR147" s="3441"/>
    </row>
    <row r="148" spans="1:253" s="3470" customFormat="1" ht="12" hidden="1">
      <c r="A148" s="3470" t="s">
        <v>4934</v>
      </c>
      <c r="B148" s="3470" t="s">
        <v>4935</v>
      </c>
      <c r="C148" s="3454" t="s">
        <v>4936</v>
      </c>
      <c r="D148" s="3470">
        <v>13161838769</v>
      </c>
      <c r="E148" s="3470" t="s">
        <v>2736</v>
      </c>
      <c r="F148" s="3470" t="s">
        <v>4937</v>
      </c>
      <c r="G148" s="3470" t="s">
        <v>2420</v>
      </c>
      <c r="H148" s="3470" t="s">
        <v>4187</v>
      </c>
      <c r="I148" s="3453" t="s">
        <v>4938</v>
      </c>
      <c r="J148" s="3453" t="s">
        <v>4325</v>
      </c>
      <c r="K148" s="3470" t="s">
        <v>4080</v>
      </c>
      <c r="L148" s="3495">
        <v>91.32</v>
      </c>
      <c r="M148" s="3495">
        <v>5</v>
      </c>
      <c r="N148" s="3470" t="s">
        <v>3543</v>
      </c>
      <c r="O148" s="3495">
        <v>81.37</v>
      </c>
      <c r="P148" s="3470" t="s">
        <v>3452</v>
      </c>
      <c r="Q148" s="3457">
        <v>421898.39999999997</v>
      </c>
      <c r="R148" s="3470">
        <v>4620</v>
      </c>
      <c r="S148" s="3472">
        <v>41.76</v>
      </c>
      <c r="T148" s="3527">
        <v>417600</v>
      </c>
      <c r="U148" s="3470">
        <v>4573</v>
      </c>
      <c r="V148" s="3474">
        <v>0.1</v>
      </c>
      <c r="W148" s="3475">
        <v>37.58</v>
      </c>
      <c r="X148" s="3473">
        <v>375800</v>
      </c>
      <c r="Y148" s="3441">
        <v>2003</v>
      </c>
      <c r="Z148" s="3441">
        <v>2</v>
      </c>
      <c r="AA148" s="3441">
        <v>21</v>
      </c>
      <c r="AB148" s="3485">
        <v>2085</v>
      </c>
      <c r="AC148" s="3453" t="s">
        <v>4102</v>
      </c>
      <c r="AE148" s="3456" t="s">
        <v>3663</v>
      </c>
      <c r="AF148" s="3470" t="s">
        <v>3618</v>
      </c>
      <c r="AG148" s="3470" t="s">
        <v>3466</v>
      </c>
      <c r="AI148" s="3470" t="s">
        <v>3679</v>
      </c>
      <c r="AJ148" s="3478">
        <v>37833</v>
      </c>
      <c r="AK148" s="3548">
        <v>2</v>
      </c>
      <c r="AL148" s="3495">
        <v>67641700</v>
      </c>
      <c r="AN148" s="3480" t="s">
        <v>4210</v>
      </c>
      <c r="AO148" s="3441" t="s">
        <v>4939</v>
      </c>
      <c r="AP148" s="3456" t="s">
        <v>3476</v>
      </c>
      <c r="AQ148" s="3456" t="s">
        <v>3571</v>
      </c>
      <c r="AV148" s="3519"/>
      <c r="AW148" s="3470" t="s">
        <v>3572</v>
      </c>
      <c r="AX148" s="3470" t="s">
        <v>2420</v>
      </c>
      <c r="AY148" s="3495">
        <v>261093</v>
      </c>
      <c r="AZ148" s="3470" t="s">
        <v>4076</v>
      </c>
      <c r="BA148" s="3470" t="s">
        <v>4104</v>
      </c>
      <c r="BB148" s="3470" t="s">
        <v>4190</v>
      </c>
      <c r="BC148" s="3470" t="s">
        <v>4083</v>
      </c>
      <c r="BD148" s="3470" t="s">
        <v>2420</v>
      </c>
      <c r="BE148" s="3470">
        <v>68152860</v>
      </c>
      <c r="BF148" s="3520">
        <v>2.8</v>
      </c>
      <c r="BG148" s="3478">
        <v>37624</v>
      </c>
      <c r="BH148" s="3470" t="s">
        <v>4163</v>
      </c>
      <c r="BI148" s="3441" t="s">
        <v>3476</v>
      </c>
      <c r="BJ148" s="3484">
        <v>37671</v>
      </c>
      <c r="BK148" s="3478"/>
      <c r="BL148" s="3441" t="s">
        <v>3670</v>
      </c>
      <c r="BM148" s="3441"/>
      <c r="BN148" s="3441"/>
      <c r="BO148" s="3441"/>
      <c r="BP148" s="3441"/>
      <c r="BQ148" s="3441"/>
      <c r="BR148" s="3441"/>
    </row>
    <row r="149" spans="1:253" s="3470" customFormat="1" ht="12" hidden="1">
      <c r="A149" s="3470" t="s">
        <v>4940</v>
      </c>
      <c r="B149" s="3470" t="s">
        <v>4941</v>
      </c>
      <c r="C149" s="3454" t="s">
        <v>4942</v>
      </c>
      <c r="D149" s="3470">
        <v>13651216164</v>
      </c>
      <c r="E149" s="3470" t="s">
        <v>3763</v>
      </c>
      <c r="F149" s="3470" t="s">
        <v>4099</v>
      </c>
      <c r="G149" s="3470" t="s">
        <v>2420</v>
      </c>
      <c r="H149" s="3470" t="s">
        <v>4073</v>
      </c>
      <c r="I149" s="3453" t="s">
        <v>4943</v>
      </c>
      <c r="J149" s="3453" t="s">
        <v>4434</v>
      </c>
      <c r="K149" s="3470" t="s">
        <v>4076</v>
      </c>
      <c r="L149" s="3495">
        <v>90.82</v>
      </c>
      <c r="M149" s="3495">
        <v>6</v>
      </c>
      <c r="N149" s="3470" t="s">
        <v>3451</v>
      </c>
      <c r="O149" s="3495">
        <v>81.47</v>
      </c>
      <c r="P149" s="3470" t="s">
        <v>3452</v>
      </c>
      <c r="Q149" s="3457">
        <v>390525.99999999994</v>
      </c>
      <c r="R149" s="3470">
        <v>4300</v>
      </c>
      <c r="S149" s="3472">
        <v>38.65</v>
      </c>
      <c r="T149" s="3527">
        <v>386500</v>
      </c>
      <c r="U149" s="3470">
        <v>4256</v>
      </c>
      <c r="V149" s="3474">
        <v>0.1</v>
      </c>
      <c r="W149" s="3475">
        <v>34.78</v>
      </c>
      <c r="X149" s="3473">
        <v>347800</v>
      </c>
      <c r="Y149" s="3441">
        <v>2003</v>
      </c>
      <c r="Z149" s="3441">
        <v>2</v>
      </c>
      <c r="AA149" s="3441">
        <v>21</v>
      </c>
      <c r="AB149" s="3485">
        <v>1930</v>
      </c>
      <c r="AC149" s="3453" t="s">
        <v>4102</v>
      </c>
      <c r="AE149" s="3456" t="s">
        <v>3663</v>
      </c>
      <c r="AF149" s="3470" t="s">
        <v>3587</v>
      </c>
      <c r="AG149" s="3470" t="s">
        <v>3466</v>
      </c>
      <c r="AI149" s="3470" t="s">
        <v>3679</v>
      </c>
      <c r="AJ149" s="3478">
        <v>37833</v>
      </c>
      <c r="AK149" s="3548">
        <v>2</v>
      </c>
      <c r="AL149" s="3495">
        <v>67641700</v>
      </c>
      <c r="AN149" s="3480" t="s">
        <v>3482</v>
      </c>
      <c r="AO149" s="3441" t="s">
        <v>4944</v>
      </c>
      <c r="AP149" s="3456" t="s">
        <v>3476</v>
      </c>
      <c r="AQ149" s="3456" t="s">
        <v>3571</v>
      </c>
      <c r="AV149" s="3519"/>
      <c r="AW149" s="3470" t="s">
        <v>3572</v>
      </c>
      <c r="AX149" s="3470" t="s">
        <v>2420</v>
      </c>
      <c r="AY149" s="3495">
        <v>261092</v>
      </c>
      <c r="AZ149" s="3470" t="s">
        <v>4175</v>
      </c>
      <c r="BA149" s="3470" t="s">
        <v>4081</v>
      </c>
      <c r="BB149" s="3470" t="s">
        <v>4945</v>
      </c>
      <c r="BC149" s="3470" t="s">
        <v>4179</v>
      </c>
      <c r="BD149" s="3470" t="s">
        <v>3588</v>
      </c>
      <c r="BE149" s="3470">
        <v>68152860</v>
      </c>
      <c r="BF149" s="3520">
        <v>2.8</v>
      </c>
      <c r="BG149" s="3478">
        <v>37627</v>
      </c>
      <c r="BH149" s="3470" t="s">
        <v>4191</v>
      </c>
      <c r="BI149" s="3441" t="s">
        <v>3476</v>
      </c>
      <c r="BJ149" s="3484">
        <v>37671</v>
      </c>
      <c r="BK149" s="3478"/>
      <c r="BL149" s="3441" t="s">
        <v>3670</v>
      </c>
      <c r="BM149" s="3441"/>
      <c r="BN149" s="3441"/>
      <c r="BO149" s="3441"/>
      <c r="BP149" s="3441"/>
      <c r="BQ149" s="3441"/>
      <c r="BR149" s="3441"/>
    </row>
    <row r="150" spans="1:253" s="3441" customFormat="1" ht="12" hidden="1">
      <c r="A150" s="3485" t="s">
        <v>4946</v>
      </c>
      <c r="B150" s="3470" t="s">
        <v>4947</v>
      </c>
      <c r="C150" s="3481" t="s">
        <v>4948</v>
      </c>
      <c r="D150" s="3481">
        <v>13701386896</v>
      </c>
      <c r="E150" s="3470" t="s">
        <v>3558</v>
      </c>
      <c r="F150" s="3521" t="s">
        <v>4403</v>
      </c>
      <c r="G150" s="3470" t="s">
        <v>3568</v>
      </c>
      <c r="H150" s="3470" t="s">
        <v>4949</v>
      </c>
      <c r="I150" s="3470" t="s">
        <v>4950</v>
      </c>
      <c r="J150" s="3481" t="s">
        <v>4951</v>
      </c>
      <c r="K150" s="3470" t="s">
        <v>4406</v>
      </c>
      <c r="L150" s="3470">
        <v>122.96</v>
      </c>
      <c r="M150" s="3470">
        <v>2</v>
      </c>
      <c r="N150" s="3470" t="s">
        <v>4003</v>
      </c>
      <c r="O150" s="3470">
        <v>110.3</v>
      </c>
      <c r="P150" s="3470" t="s">
        <v>3452</v>
      </c>
      <c r="Q150" s="3457">
        <v>597585.6</v>
      </c>
      <c r="R150" s="3470">
        <v>4860</v>
      </c>
      <c r="S150" s="3472">
        <v>59.15</v>
      </c>
      <c r="T150" s="3527">
        <v>591500</v>
      </c>
      <c r="U150" s="3470">
        <v>4811</v>
      </c>
      <c r="V150" s="3474">
        <v>0.1</v>
      </c>
      <c r="W150" s="3475">
        <v>53.23</v>
      </c>
      <c r="X150" s="3473">
        <v>532300</v>
      </c>
      <c r="Y150" s="3441">
        <v>2003</v>
      </c>
      <c r="Z150" s="3441">
        <v>2</v>
      </c>
      <c r="AA150" s="3441">
        <v>28</v>
      </c>
      <c r="AB150" s="3485">
        <v>2955</v>
      </c>
      <c r="AC150" s="3470" t="s">
        <v>4952</v>
      </c>
      <c r="AD150" s="3485"/>
      <c r="AE150" s="3441" t="s">
        <v>3663</v>
      </c>
      <c r="AF150" s="3470" t="s">
        <v>3728</v>
      </c>
      <c r="AG150" s="3522" t="s">
        <v>3466</v>
      </c>
      <c r="AH150" s="3485"/>
      <c r="AI150" s="3470" t="s">
        <v>3679</v>
      </c>
      <c r="AJ150" s="3523">
        <v>37833</v>
      </c>
      <c r="AK150" s="3479">
        <v>2</v>
      </c>
      <c r="AL150" s="3441">
        <v>67641700</v>
      </c>
      <c r="AN150" s="3441" t="s">
        <v>3680</v>
      </c>
      <c r="AO150" s="3441" t="s">
        <v>4953</v>
      </c>
      <c r="AP150" s="3441" t="s">
        <v>3476</v>
      </c>
      <c r="AQ150" s="3441" t="s">
        <v>3571</v>
      </c>
      <c r="AW150" s="3441" t="s">
        <v>3572</v>
      </c>
      <c r="AX150" s="3441" t="s">
        <v>3568</v>
      </c>
      <c r="AY150" s="3524">
        <v>261028</v>
      </c>
      <c r="AZ150" s="3441" t="s">
        <v>4406</v>
      </c>
      <c r="BA150" s="3441" t="s">
        <v>4409</v>
      </c>
      <c r="BB150" s="3524" t="s">
        <v>4410</v>
      </c>
      <c r="BC150" s="3441" t="s">
        <v>4411</v>
      </c>
      <c r="BD150" s="3525" t="s">
        <v>3568</v>
      </c>
      <c r="BE150" s="3441">
        <v>68152860</v>
      </c>
      <c r="BF150" s="3526">
        <v>2.8</v>
      </c>
      <c r="BG150" s="3518">
        <v>37627</v>
      </c>
      <c r="BH150" s="3441" t="s">
        <v>4412</v>
      </c>
      <c r="BI150" s="3441" t="s">
        <v>3476</v>
      </c>
      <c r="BJ150" s="3484">
        <v>37679</v>
      </c>
      <c r="BK150" s="3484"/>
      <c r="BL150" s="3470" t="s">
        <v>3670</v>
      </c>
      <c r="BS150" s="3470"/>
      <c r="BT150" s="3470"/>
      <c r="BU150" s="3470"/>
    </row>
    <row r="151" spans="1:253" s="3441" customFormat="1" ht="12" hidden="1">
      <c r="A151" s="3485" t="s">
        <v>4954</v>
      </c>
      <c r="B151" s="3470" t="s">
        <v>4947</v>
      </c>
      <c r="C151" s="3481" t="s">
        <v>4948</v>
      </c>
      <c r="D151" s="3481">
        <v>13701386896</v>
      </c>
      <c r="E151" s="3470" t="s">
        <v>3558</v>
      </c>
      <c r="F151" s="3528" t="s">
        <v>4403</v>
      </c>
      <c r="G151" s="3470" t="s">
        <v>3568</v>
      </c>
      <c r="H151" s="3470" t="s">
        <v>4949</v>
      </c>
      <c r="I151" s="3470" t="s">
        <v>4950</v>
      </c>
      <c r="J151" s="3481" t="s">
        <v>4951</v>
      </c>
      <c r="K151" s="3470" t="s">
        <v>4406</v>
      </c>
      <c r="L151" s="3470">
        <v>122.96</v>
      </c>
      <c r="M151" s="3470">
        <v>2</v>
      </c>
      <c r="N151" s="3470" t="s">
        <v>4003</v>
      </c>
      <c r="O151" s="3470">
        <v>110.3</v>
      </c>
      <c r="P151" s="3470" t="s">
        <v>3452</v>
      </c>
      <c r="Q151" s="3492">
        <v>597585.6</v>
      </c>
      <c r="R151" s="3470">
        <v>4860</v>
      </c>
      <c r="S151" s="3472">
        <v>59.15</v>
      </c>
      <c r="T151" s="3527">
        <v>591500</v>
      </c>
      <c r="U151" s="3470">
        <v>4811</v>
      </c>
      <c r="V151" s="3474">
        <v>0.1</v>
      </c>
      <c r="W151" s="3475">
        <v>53.23</v>
      </c>
      <c r="X151" s="3494">
        <v>532300</v>
      </c>
      <c r="Y151" s="3441">
        <v>2003</v>
      </c>
      <c r="Z151" s="3441">
        <v>6</v>
      </c>
      <c r="AA151" s="3470">
        <v>3</v>
      </c>
      <c r="AB151" s="3477">
        <v>2955</v>
      </c>
      <c r="AC151" s="3453" t="s">
        <v>4078</v>
      </c>
      <c r="AD151" s="3485"/>
      <c r="AE151" s="3441" t="s">
        <v>3663</v>
      </c>
      <c r="AF151" s="3470" t="s">
        <v>3728</v>
      </c>
      <c r="AG151" s="3522" t="s">
        <v>3466</v>
      </c>
      <c r="AH151" s="3485"/>
      <c r="AI151" s="3470" t="s">
        <v>4955</v>
      </c>
      <c r="AJ151" s="3523">
        <v>37833</v>
      </c>
      <c r="AK151" s="3500">
        <v>6</v>
      </c>
      <c r="AL151" s="3441">
        <v>67641700</v>
      </c>
      <c r="AN151" s="3480" t="s">
        <v>3635</v>
      </c>
      <c r="AO151" s="3441" t="s">
        <v>4953</v>
      </c>
      <c r="AP151" s="3441" t="s">
        <v>3476</v>
      </c>
      <c r="AQ151" s="3456" t="s">
        <v>4956</v>
      </c>
      <c r="AW151" s="3441" t="s">
        <v>3572</v>
      </c>
      <c r="AX151" s="3441" t="s">
        <v>3568</v>
      </c>
      <c r="AY151" s="3524">
        <v>261028</v>
      </c>
      <c r="AZ151" s="3441" t="s">
        <v>4406</v>
      </c>
      <c r="BA151" s="3441" t="s">
        <v>4409</v>
      </c>
      <c r="BB151" s="3524" t="s">
        <v>4410</v>
      </c>
      <c r="BC151" s="3441" t="s">
        <v>4411</v>
      </c>
      <c r="BD151" s="3525" t="s">
        <v>3568</v>
      </c>
      <c r="BE151" s="3441">
        <v>68152860</v>
      </c>
      <c r="BF151" s="3526">
        <v>2.8</v>
      </c>
      <c r="BG151" s="3518">
        <v>37627</v>
      </c>
      <c r="BH151" s="3441" t="s">
        <v>4412</v>
      </c>
      <c r="BI151" s="3441" t="s">
        <v>3476</v>
      </c>
      <c r="BJ151" s="3478">
        <v>37775</v>
      </c>
      <c r="BK151" s="3484"/>
      <c r="BL151" s="3470" t="s">
        <v>3670</v>
      </c>
      <c r="BS151" s="3470"/>
      <c r="BT151" s="3470"/>
      <c r="BU151" s="3470"/>
      <c r="BV151" s="3472"/>
      <c r="BW151" s="3472"/>
      <c r="BX151" s="3472"/>
      <c r="BY151" s="3472"/>
      <c r="BZ151" s="3472"/>
      <c r="CA151" s="3472"/>
      <c r="CB151" s="3472"/>
      <c r="CC151" s="3472"/>
      <c r="CD151" s="3472"/>
      <c r="CE151" s="3472"/>
      <c r="CF151" s="3472"/>
      <c r="CG151" s="3472"/>
      <c r="CH151" s="3472"/>
      <c r="CI151" s="3472"/>
      <c r="CJ151" s="3472"/>
      <c r="CK151" s="3472"/>
      <c r="CL151" s="3472"/>
      <c r="CM151" s="3472"/>
      <c r="CN151" s="3472"/>
      <c r="CO151" s="3472"/>
      <c r="CP151" s="3472"/>
      <c r="CQ151" s="3472"/>
      <c r="CR151" s="3472"/>
      <c r="CS151" s="3472"/>
      <c r="CT151" s="3472"/>
      <c r="CU151" s="3472"/>
      <c r="CV151" s="3472"/>
      <c r="CW151" s="3472"/>
      <c r="CX151" s="3472"/>
      <c r="CY151" s="3472"/>
      <c r="CZ151" s="3472"/>
      <c r="DA151" s="3472"/>
      <c r="DB151" s="3472"/>
      <c r="DC151" s="3472"/>
      <c r="DD151" s="3472"/>
      <c r="DE151" s="3472"/>
      <c r="DF151" s="3472"/>
      <c r="DG151" s="3472"/>
      <c r="DH151" s="3472"/>
      <c r="DI151" s="3472"/>
      <c r="DJ151" s="3472"/>
      <c r="DK151" s="3472"/>
      <c r="DL151" s="3472"/>
      <c r="DM151" s="3472"/>
      <c r="DN151" s="3472"/>
      <c r="DO151" s="3472"/>
      <c r="DP151" s="3472"/>
      <c r="DQ151" s="3472"/>
      <c r="DR151" s="3472"/>
      <c r="DS151" s="3472"/>
      <c r="DT151" s="3472"/>
      <c r="DU151" s="3472"/>
      <c r="DV151" s="3472"/>
      <c r="DW151" s="3472"/>
      <c r="DX151" s="3472"/>
      <c r="DY151" s="3472"/>
      <c r="DZ151" s="3472"/>
      <c r="EA151" s="3472"/>
      <c r="EB151" s="3472"/>
      <c r="EC151" s="3472"/>
      <c r="ED151" s="3472"/>
      <c r="EE151" s="3472"/>
      <c r="EF151" s="3472"/>
      <c r="EG151" s="3472"/>
      <c r="EH151" s="3472"/>
      <c r="EI151" s="3472"/>
      <c r="EJ151" s="3472"/>
      <c r="EK151" s="3472"/>
      <c r="EL151" s="3472"/>
      <c r="EM151" s="3472"/>
      <c r="EN151" s="3472"/>
      <c r="EO151" s="3472"/>
      <c r="EP151" s="3472"/>
      <c r="EQ151" s="3472"/>
      <c r="ER151" s="3472"/>
      <c r="ES151" s="3472"/>
      <c r="ET151" s="3472"/>
      <c r="EU151" s="3472"/>
      <c r="EV151" s="3472"/>
      <c r="EW151" s="3472"/>
      <c r="EX151" s="3472"/>
      <c r="EY151" s="3472"/>
      <c r="EZ151" s="3472"/>
      <c r="FA151" s="3472"/>
      <c r="FB151" s="3472"/>
      <c r="FC151" s="3472"/>
      <c r="FD151" s="3472"/>
      <c r="FE151" s="3472"/>
      <c r="FF151" s="3472"/>
      <c r="FG151" s="3472"/>
      <c r="FH151" s="3472"/>
      <c r="FI151" s="3472"/>
      <c r="FJ151" s="3472"/>
      <c r="FK151" s="3472"/>
      <c r="FL151" s="3472"/>
      <c r="FM151" s="3472"/>
      <c r="FN151" s="3472"/>
      <c r="FO151" s="3472"/>
      <c r="FP151" s="3472"/>
      <c r="FQ151" s="3472"/>
      <c r="FR151" s="3472"/>
      <c r="FS151" s="3472"/>
      <c r="FT151" s="3472"/>
      <c r="FU151" s="3472"/>
      <c r="FV151" s="3472"/>
      <c r="FW151" s="3472"/>
      <c r="FX151" s="3472"/>
      <c r="FY151" s="3472"/>
      <c r="FZ151" s="3472"/>
      <c r="GA151" s="3472"/>
      <c r="GB151" s="3472"/>
      <c r="GC151" s="3472"/>
      <c r="GD151" s="3472"/>
      <c r="GE151" s="3472"/>
      <c r="GF151" s="3472"/>
      <c r="GG151" s="3472"/>
      <c r="GH151" s="3472"/>
      <c r="GI151" s="3472"/>
      <c r="GJ151" s="3472"/>
      <c r="GK151" s="3472"/>
      <c r="GL151" s="3472"/>
      <c r="GM151" s="3472"/>
      <c r="GN151" s="3472"/>
      <c r="GO151" s="3472"/>
      <c r="GP151" s="3472"/>
      <c r="GQ151" s="3472"/>
      <c r="GR151" s="3472"/>
      <c r="GS151" s="3472"/>
      <c r="GT151" s="3472"/>
      <c r="GU151" s="3472"/>
      <c r="GV151" s="3472"/>
      <c r="GW151" s="3472"/>
      <c r="GX151" s="3472"/>
      <c r="GY151" s="3472"/>
      <c r="GZ151" s="3472"/>
      <c r="HA151" s="3472"/>
      <c r="HB151" s="3472"/>
      <c r="HC151" s="3472"/>
      <c r="HD151" s="3472"/>
      <c r="HE151" s="3472"/>
      <c r="HF151" s="3472"/>
      <c r="HG151" s="3472"/>
      <c r="HH151" s="3472"/>
      <c r="HI151" s="3472"/>
      <c r="HJ151" s="3472"/>
      <c r="HK151" s="3472"/>
      <c r="HL151" s="3472"/>
      <c r="HM151" s="3472"/>
      <c r="HN151" s="3472"/>
      <c r="HO151" s="3472"/>
      <c r="HP151" s="3472"/>
      <c r="HQ151" s="3472"/>
      <c r="HR151" s="3472"/>
      <c r="HS151" s="3472"/>
      <c r="HT151" s="3472"/>
      <c r="HU151" s="3472"/>
      <c r="HV151" s="3472"/>
      <c r="HW151" s="3472"/>
      <c r="HX151" s="3472"/>
      <c r="HY151" s="3472"/>
      <c r="HZ151" s="3472"/>
      <c r="IA151" s="3472"/>
      <c r="IB151" s="3472"/>
      <c r="IC151" s="3472"/>
      <c r="ID151" s="3472"/>
      <c r="IE151" s="3472"/>
      <c r="IF151" s="3472"/>
      <c r="IG151" s="3472"/>
      <c r="IH151" s="3472"/>
      <c r="II151" s="3472"/>
      <c r="IJ151" s="3472"/>
      <c r="IK151" s="3472"/>
      <c r="IL151" s="3472"/>
      <c r="IM151" s="3472"/>
      <c r="IN151" s="3472"/>
      <c r="IO151" s="3472"/>
      <c r="IP151" s="3472"/>
      <c r="IQ151" s="3472"/>
      <c r="IR151" s="3472"/>
      <c r="IS151" s="3472"/>
    </row>
    <row r="152" spans="1:253" s="3470" customFormat="1" ht="12" hidden="1">
      <c r="A152" s="3470" t="s">
        <v>4957</v>
      </c>
      <c r="B152" s="3470" t="s">
        <v>4958</v>
      </c>
      <c r="C152" s="3454" t="s">
        <v>4959</v>
      </c>
      <c r="D152" s="3470">
        <v>13611207523</v>
      </c>
      <c r="E152" s="3470" t="s">
        <v>3763</v>
      </c>
      <c r="F152" s="3470" t="s">
        <v>4099</v>
      </c>
      <c r="G152" s="3470" t="s">
        <v>2420</v>
      </c>
      <c r="H152" s="3470" t="s">
        <v>4073</v>
      </c>
      <c r="I152" s="3453" t="s">
        <v>4236</v>
      </c>
      <c r="J152" s="3453" t="s">
        <v>3474</v>
      </c>
      <c r="K152" s="3470" t="s">
        <v>4076</v>
      </c>
      <c r="L152" s="3495">
        <v>129.74</v>
      </c>
      <c r="M152" s="3495">
        <v>5</v>
      </c>
      <c r="N152" s="3470" t="s">
        <v>3632</v>
      </c>
      <c r="O152" s="3495">
        <v>116.38</v>
      </c>
      <c r="P152" s="3470" t="s">
        <v>3452</v>
      </c>
      <c r="Q152" s="3457">
        <v>617562.4</v>
      </c>
      <c r="R152" s="3470">
        <v>4760</v>
      </c>
      <c r="S152" s="3472">
        <v>61.1</v>
      </c>
      <c r="T152" s="3527">
        <v>611000</v>
      </c>
      <c r="U152" s="3470">
        <v>4710</v>
      </c>
      <c r="V152" s="3474">
        <v>0.1</v>
      </c>
      <c r="W152" s="3475">
        <v>54.99</v>
      </c>
      <c r="X152" s="3473">
        <v>549900</v>
      </c>
      <c r="Y152" s="3441">
        <v>2003</v>
      </c>
      <c r="Z152" s="3441">
        <v>2</v>
      </c>
      <c r="AA152" s="3441">
        <v>10</v>
      </c>
      <c r="AB152" s="3485">
        <v>3055</v>
      </c>
      <c r="AC152" s="3453" t="s">
        <v>4102</v>
      </c>
      <c r="AE152" s="3456" t="s">
        <v>3663</v>
      </c>
      <c r="AF152" s="3470" t="s">
        <v>4152</v>
      </c>
      <c r="AG152" s="3470" t="s">
        <v>3466</v>
      </c>
      <c r="AI152" s="3470" t="s">
        <v>3679</v>
      </c>
      <c r="AJ152" s="3478">
        <v>37833</v>
      </c>
      <c r="AK152" s="3548">
        <v>2</v>
      </c>
      <c r="AL152" s="3495">
        <v>67641700</v>
      </c>
      <c r="AN152" s="3480" t="s">
        <v>3695</v>
      </c>
      <c r="AO152" s="3441" t="s">
        <v>4960</v>
      </c>
      <c r="AP152" s="3456" t="s">
        <v>3476</v>
      </c>
      <c r="AQ152" s="3456" t="s">
        <v>3571</v>
      </c>
      <c r="AV152" s="3519"/>
      <c r="AW152" s="3470" t="s">
        <v>3572</v>
      </c>
      <c r="AX152" s="3470" t="s">
        <v>2420</v>
      </c>
      <c r="AY152" s="3495">
        <v>261038</v>
      </c>
      <c r="AZ152" s="3470" t="s">
        <v>4080</v>
      </c>
      <c r="BA152" s="3470" t="s">
        <v>4081</v>
      </c>
      <c r="BB152" s="3470" t="s">
        <v>4190</v>
      </c>
      <c r="BC152" s="3470" t="s">
        <v>4083</v>
      </c>
      <c r="BD152" s="3470" t="s">
        <v>3588</v>
      </c>
      <c r="BE152" s="3470">
        <v>68152860</v>
      </c>
      <c r="BF152" s="3520">
        <v>2.8</v>
      </c>
      <c r="BG152" s="3478">
        <v>37627</v>
      </c>
      <c r="BH152" s="3470" t="s">
        <v>4466</v>
      </c>
      <c r="BI152" s="3441" t="s">
        <v>3476</v>
      </c>
      <c r="BJ152" s="3508">
        <v>37661</v>
      </c>
      <c r="BK152" s="3478"/>
      <c r="BL152" s="3441" t="s">
        <v>3670</v>
      </c>
      <c r="BM152" s="3441"/>
      <c r="BN152" s="3441"/>
      <c r="BO152" s="3441"/>
      <c r="BP152" s="3441"/>
      <c r="BQ152" s="3441"/>
      <c r="BR152" s="3441"/>
    </row>
    <row r="153" spans="1:253" s="3441" customFormat="1" ht="12" hidden="1">
      <c r="A153" s="3485" t="s">
        <v>4961</v>
      </c>
      <c r="B153" s="3470" t="s">
        <v>4962</v>
      </c>
      <c r="C153" s="3481" t="s">
        <v>4963</v>
      </c>
      <c r="D153" s="3481">
        <v>13910416523</v>
      </c>
      <c r="E153" s="3470" t="s">
        <v>3558</v>
      </c>
      <c r="F153" s="3521" t="s">
        <v>4403</v>
      </c>
      <c r="G153" s="3470" t="s">
        <v>3568</v>
      </c>
      <c r="H153" s="3470" t="s">
        <v>4964</v>
      </c>
      <c r="I153" s="3470" t="s">
        <v>4965</v>
      </c>
      <c r="J153" s="3481" t="s">
        <v>4878</v>
      </c>
      <c r="K153" s="3470" t="s">
        <v>4406</v>
      </c>
      <c r="L153" s="3470">
        <v>99.86</v>
      </c>
      <c r="M153" s="3470">
        <v>6</v>
      </c>
      <c r="N153" s="3470" t="s">
        <v>3738</v>
      </c>
      <c r="O153" s="3470">
        <v>88.98</v>
      </c>
      <c r="P153" s="3470" t="s">
        <v>3452</v>
      </c>
      <c r="Q153" s="3457">
        <v>477330.8</v>
      </c>
      <c r="R153" s="3470">
        <v>4780</v>
      </c>
      <c r="S153" s="3472">
        <v>47.25</v>
      </c>
      <c r="T153" s="3527">
        <v>472500</v>
      </c>
      <c r="U153" s="3470">
        <v>4732</v>
      </c>
      <c r="V153" s="3474">
        <v>0.1</v>
      </c>
      <c r="W153" s="3475">
        <v>42.52</v>
      </c>
      <c r="X153" s="3473">
        <v>425200</v>
      </c>
      <c r="Y153" s="3441">
        <v>2003</v>
      </c>
      <c r="Z153" s="3441">
        <v>2</v>
      </c>
      <c r="AA153" s="3441">
        <v>28</v>
      </c>
      <c r="AB153" s="3485">
        <v>2360</v>
      </c>
      <c r="AC153" s="3470" t="s">
        <v>4407</v>
      </c>
      <c r="AD153" s="3485"/>
      <c r="AE153" s="3441" t="s">
        <v>3663</v>
      </c>
      <c r="AF153" s="3470" t="s">
        <v>3728</v>
      </c>
      <c r="AG153" s="3522" t="s">
        <v>3466</v>
      </c>
      <c r="AH153" s="3485"/>
      <c r="AI153" s="3470" t="s">
        <v>3679</v>
      </c>
      <c r="AJ153" s="3523">
        <v>37833</v>
      </c>
      <c r="AK153" s="3479">
        <v>2</v>
      </c>
      <c r="AL153" s="3441">
        <v>67641700</v>
      </c>
      <c r="AN153" s="3441" t="s">
        <v>3680</v>
      </c>
      <c r="AO153" s="3441" t="s">
        <v>4966</v>
      </c>
      <c r="AP153" s="3441" t="s">
        <v>3476</v>
      </c>
      <c r="AQ153" s="3441" t="s">
        <v>3571</v>
      </c>
      <c r="AW153" s="3441" t="s">
        <v>3572</v>
      </c>
      <c r="AX153" s="3441" t="s">
        <v>3568</v>
      </c>
      <c r="AY153" s="3524">
        <v>261086</v>
      </c>
      <c r="AZ153" s="3441" t="s">
        <v>4406</v>
      </c>
      <c r="BA153" s="3441" t="s">
        <v>4409</v>
      </c>
      <c r="BB153" s="3524" t="s">
        <v>4410</v>
      </c>
      <c r="BC153" s="3441" t="s">
        <v>4411</v>
      </c>
      <c r="BD153" s="3525" t="s">
        <v>3568</v>
      </c>
      <c r="BE153" s="3441">
        <v>68152860</v>
      </c>
      <c r="BF153" s="3526">
        <v>2.8</v>
      </c>
      <c r="BG153" s="3518">
        <v>37627</v>
      </c>
      <c r="BH153" s="3441" t="s">
        <v>4412</v>
      </c>
      <c r="BI153" s="3441" t="s">
        <v>3476</v>
      </c>
      <c r="BJ153" s="3484">
        <v>37678</v>
      </c>
      <c r="BK153" s="3484"/>
      <c r="BL153" s="3470" t="s">
        <v>3670</v>
      </c>
      <c r="BS153" s="3470"/>
      <c r="BT153" s="3470"/>
      <c r="BU153" s="3470"/>
    </row>
    <row r="154" spans="1:253" s="3470" customFormat="1" ht="12" hidden="1">
      <c r="A154" s="3470" t="s">
        <v>4967</v>
      </c>
      <c r="B154" s="3470" t="s">
        <v>4968</v>
      </c>
      <c r="C154" s="3454" t="s">
        <v>4969</v>
      </c>
      <c r="D154" s="3470">
        <v>13601359139</v>
      </c>
      <c r="E154" s="3470" t="s">
        <v>3538</v>
      </c>
      <c r="F154" s="3470" t="s">
        <v>4099</v>
      </c>
      <c r="G154" s="3470" t="s">
        <v>2420</v>
      </c>
      <c r="H154" s="3470" t="s">
        <v>4187</v>
      </c>
      <c r="I154" s="3453" t="s">
        <v>4217</v>
      </c>
      <c r="J154" s="3453" t="s">
        <v>4061</v>
      </c>
      <c r="K154" s="3470" t="s">
        <v>4080</v>
      </c>
      <c r="L154" s="3495">
        <v>123.66</v>
      </c>
      <c r="M154" s="3495">
        <v>5</v>
      </c>
      <c r="N154" s="3470" t="s">
        <v>3632</v>
      </c>
      <c r="O154" s="3495">
        <v>110.19</v>
      </c>
      <c r="P154" s="3470" t="s">
        <v>3452</v>
      </c>
      <c r="Q154" s="3457">
        <v>600987.6</v>
      </c>
      <c r="R154" s="3470">
        <v>4860</v>
      </c>
      <c r="S154" s="3472">
        <v>59.48</v>
      </c>
      <c r="T154" s="3527">
        <v>594800</v>
      </c>
      <c r="U154" s="3470">
        <v>4810</v>
      </c>
      <c r="V154" s="3474">
        <v>0.1</v>
      </c>
      <c r="W154" s="3475">
        <v>53.53</v>
      </c>
      <c r="X154" s="3473">
        <v>535300</v>
      </c>
      <c r="Y154" s="3441">
        <v>2003</v>
      </c>
      <c r="Z154" s="3441">
        <v>2</v>
      </c>
      <c r="AA154" s="3441">
        <v>10</v>
      </c>
      <c r="AB154" s="3485">
        <v>2970</v>
      </c>
      <c r="AC154" s="3453" t="s">
        <v>4102</v>
      </c>
      <c r="AE154" s="3456" t="s">
        <v>3663</v>
      </c>
      <c r="AF154" s="3470" t="s">
        <v>4152</v>
      </c>
      <c r="AG154" s="3470" t="s">
        <v>3466</v>
      </c>
      <c r="AI154" s="3470" t="s">
        <v>3679</v>
      </c>
      <c r="AJ154" s="3478">
        <v>37833</v>
      </c>
      <c r="AK154" s="3548">
        <v>2</v>
      </c>
      <c r="AL154" s="3495">
        <v>67641700</v>
      </c>
      <c r="AN154" s="3480" t="s">
        <v>3695</v>
      </c>
      <c r="AO154" s="3441" t="s">
        <v>4970</v>
      </c>
      <c r="AP154" s="3456" t="s">
        <v>3476</v>
      </c>
      <c r="AQ154" s="3456" t="s">
        <v>3571</v>
      </c>
      <c r="AV154" s="3519"/>
      <c r="AW154" s="3470" t="s">
        <v>3572</v>
      </c>
      <c r="AX154" s="3470" t="s">
        <v>2420</v>
      </c>
      <c r="AY154" s="3495">
        <v>261039</v>
      </c>
      <c r="AZ154" s="3470" t="s">
        <v>4175</v>
      </c>
      <c r="BA154" s="3470" t="s">
        <v>4081</v>
      </c>
      <c r="BB154" s="3470" t="s">
        <v>4945</v>
      </c>
      <c r="BC154" s="3470" t="s">
        <v>4083</v>
      </c>
      <c r="BD154" s="3470" t="s">
        <v>3588</v>
      </c>
      <c r="BE154" s="3470">
        <v>68152860</v>
      </c>
      <c r="BF154" s="3520">
        <v>2.8</v>
      </c>
      <c r="BG154" s="3478">
        <v>37627</v>
      </c>
      <c r="BH154" s="3470" t="s">
        <v>4163</v>
      </c>
      <c r="BI154" s="3441" t="s">
        <v>3476</v>
      </c>
      <c r="BJ154" s="3508">
        <v>37661</v>
      </c>
      <c r="BK154" s="3478"/>
      <c r="BL154" s="3441" t="s">
        <v>3670</v>
      </c>
      <c r="BM154" s="3441"/>
      <c r="BN154" s="3441"/>
      <c r="BO154" s="3441"/>
      <c r="BP154" s="3441"/>
      <c r="BQ154" s="3441"/>
      <c r="BR154" s="3441"/>
    </row>
    <row r="155" spans="1:253" s="3441" customFormat="1" ht="12" hidden="1">
      <c r="A155" s="3485" t="s">
        <v>4971</v>
      </c>
      <c r="B155" s="3470" t="s">
        <v>4972</v>
      </c>
      <c r="C155" s="3481" t="s">
        <v>4973</v>
      </c>
      <c r="D155" s="3481">
        <v>13011297400</v>
      </c>
      <c r="E155" s="3470" t="s">
        <v>3558</v>
      </c>
      <c r="F155" s="3521" t="s">
        <v>4403</v>
      </c>
      <c r="G155" s="3470" t="s">
        <v>3568</v>
      </c>
      <c r="H155" s="3470" t="s">
        <v>4949</v>
      </c>
      <c r="I155" s="3470" t="s">
        <v>4950</v>
      </c>
      <c r="J155" s="3481" t="s">
        <v>4909</v>
      </c>
      <c r="K155" s="3470" t="s">
        <v>4406</v>
      </c>
      <c r="L155" s="3470">
        <v>122.96</v>
      </c>
      <c r="M155" s="3470">
        <v>5</v>
      </c>
      <c r="N155" s="3470" t="s">
        <v>4003</v>
      </c>
      <c r="O155" s="3470">
        <v>110.3</v>
      </c>
      <c r="P155" s="3470" t="s">
        <v>3452</v>
      </c>
      <c r="Q155" s="3457">
        <v>585289.6</v>
      </c>
      <c r="R155" s="3470">
        <v>4760</v>
      </c>
      <c r="S155" s="3472">
        <v>57.93</v>
      </c>
      <c r="T155" s="3527">
        <v>579300</v>
      </c>
      <c r="U155" s="3470">
        <v>4712</v>
      </c>
      <c r="V155" s="3474">
        <v>0.1</v>
      </c>
      <c r="W155" s="3475">
        <v>52.13</v>
      </c>
      <c r="X155" s="3473">
        <v>521300</v>
      </c>
      <c r="Y155" s="3441">
        <v>2003</v>
      </c>
      <c r="Z155" s="3441">
        <v>2</v>
      </c>
      <c r="AA155" s="3441">
        <v>28</v>
      </c>
      <c r="AB155" s="3485">
        <v>2895</v>
      </c>
      <c r="AC155" s="3470" t="s">
        <v>4407</v>
      </c>
      <c r="AD155" s="3485"/>
      <c r="AE155" s="3441" t="s">
        <v>3663</v>
      </c>
      <c r="AF155" s="3470" t="s">
        <v>3728</v>
      </c>
      <c r="AG155" s="3522" t="s">
        <v>3466</v>
      </c>
      <c r="AH155" s="3485"/>
      <c r="AI155" s="3470" t="s">
        <v>3679</v>
      </c>
      <c r="AJ155" s="3523">
        <v>37833</v>
      </c>
      <c r="AK155" s="3479">
        <v>2</v>
      </c>
      <c r="AL155" s="3441">
        <v>67641700</v>
      </c>
      <c r="AN155" s="3441" t="s">
        <v>3680</v>
      </c>
      <c r="AO155" s="3441" t="s">
        <v>4974</v>
      </c>
      <c r="AP155" s="3441" t="s">
        <v>3476</v>
      </c>
      <c r="AQ155" s="3441" t="s">
        <v>3571</v>
      </c>
      <c r="AW155" s="3441" t="s">
        <v>3572</v>
      </c>
      <c r="AX155" s="3441" t="s">
        <v>3568</v>
      </c>
      <c r="AY155" s="3524">
        <v>261011</v>
      </c>
      <c r="AZ155" s="3441" t="s">
        <v>4406</v>
      </c>
      <c r="BA155" s="3441" t="s">
        <v>4409</v>
      </c>
      <c r="BB155" s="3524" t="s">
        <v>4410</v>
      </c>
      <c r="BC155" s="3441" t="s">
        <v>4411</v>
      </c>
      <c r="BD155" s="3525" t="s">
        <v>3568</v>
      </c>
      <c r="BE155" s="3441">
        <v>68152860</v>
      </c>
      <c r="BF155" s="3526">
        <v>2.8</v>
      </c>
      <c r="BG155" s="3518">
        <v>37627</v>
      </c>
      <c r="BH155" s="3441" t="s">
        <v>4412</v>
      </c>
      <c r="BI155" s="3441" t="s">
        <v>3476</v>
      </c>
      <c r="BJ155" s="3484">
        <v>37678</v>
      </c>
      <c r="BK155" s="3484"/>
      <c r="BL155" s="3470" t="s">
        <v>3670</v>
      </c>
      <c r="BS155" s="3470"/>
      <c r="BT155" s="3470"/>
      <c r="BU155" s="3470"/>
    </row>
    <row r="156" spans="1:253" s="3470" customFormat="1" ht="12" hidden="1">
      <c r="A156" s="3470" t="s">
        <v>4975</v>
      </c>
      <c r="B156" s="3470" t="s">
        <v>4976</v>
      </c>
      <c r="C156" s="3454" t="s">
        <v>4977</v>
      </c>
      <c r="D156" s="3470">
        <v>13910279939</v>
      </c>
      <c r="E156" s="3470" t="s">
        <v>2736</v>
      </c>
      <c r="F156" s="3470" t="s">
        <v>4099</v>
      </c>
      <c r="G156" s="3470" t="s">
        <v>2420</v>
      </c>
      <c r="H156" s="3470" t="s">
        <v>4073</v>
      </c>
      <c r="I156" s="3453" t="s">
        <v>4943</v>
      </c>
      <c r="J156" s="3453" t="s">
        <v>4978</v>
      </c>
      <c r="K156" s="3470" t="s">
        <v>4076</v>
      </c>
      <c r="L156" s="3495">
        <v>90.82</v>
      </c>
      <c r="M156" s="3495">
        <v>5</v>
      </c>
      <c r="N156" s="3454" t="s">
        <v>3709</v>
      </c>
      <c r="O156" s="3495">
        <v>81.47</v>
      </c>
      <c r="P156" s="3470" t="s">
        <v>3452</v>
      </c>
      <c r="Q156" s="3457">
        <v>406873.59999999998</v>
      </c>
      <c r="R156" s="3470">
        <v>4480</v>
      </c>
      <c r="S156" s="3472">
        <v>40.229999999999997</v>
      </c>
      <c r="T156" s="3527">
        <v>402299.99999999994</v>
      </c>
      <c r="U156" s="3470">
        <v>4430</v>
      </c>
      <c r="V156" s="3474">
        <v>0.1</v>
      </c>
      <c r="W156" s="3475">
        <v>36.200000000000003</v>
      </c>
      <c r="X156" s="3473">
        <v>362000</v>
      </c>
      <c r="Y156" s="3441">
        <v>2003</v>
      </c>
      <c r="Z156" s="3441">
        <v>2</v>
      </c>
      <c r="AA156" s="3441">
        <v>10</v>
      </c>
      <c r="AB156" s="3485">
        <v>2010</v>
      </c>
      <c r="AC156" s="3453" t="s">
        <v>4102</v>
      </c>
      <c r="AE156" s="3456" t="s">
        <v>3663</v>
      </c>
      <c r="AF156" s="3470" t="s">
        <v>3618</v>
      </c>
      <c r="AG156" s="3470" t="s">
        <v>3466</v>
      </c>
      <c r="AI156" s="3470" t="s">
        <v>3679</v>
      </c>
      <c r="AJ156" s="3478">
        <v>37833</v>
      </c>
      <c r="AK156" s="3548">
        <v>2</v>
      </c>
      <c r="AL156" s="3495">
        <v>67641700</v>
      </c>
      <c r="AN156" s="3480" t="s">
        <v>3695</v>
      </c>
      <c r="AO156" s="3441" t="s">
        <v>4979</v>
      </c>
      <c r="AP156" s="3456" t="s">
        <v>3476</v>
      </c>
      <c r="AQ156" s="3456" t="s">
        <v>3571</v>
      </c>
      <c r="AV156" s="3519"/>
      <c r="AW156" s="3470" t="s">
        <v>3572</v>
      </c>
      <c r="AX156" s="3470" t="s">
        <v>2420</v>
      </c>
      <c r="AY156" s="3495">
        <v>261054</v>
      </c>
      <c r="AZ156" s="3470" t="s">
        <v>4076</v>
      </c>
      <c r="BA156" s="3470" t="s">
        <v>4104</v>
      </c>
      <c r="BB156" s="3470" t="s">
        <v>4190</v>
      </c>
      <c r="BC156" s="3470" t="s">
        <v>4106</v>
      </c>
      <c r="BD156" s="3470" t="s">
        <v>2420</v>
      </c>
      <c r="BE156" s="3470">
        <v>68152860</v>
      </c>
      <c r="BF156" s="3520">
        <v>2.8</v>
      </c>
      <c r="BG156" s="3478">
        <v>37622</v>
      </c>
      <c r="BH156" s="3470" t="s">
        <v>4163</v>
      </c>
      <c r="BI156" s="3441" t="s">
        <v>3476</v>
      </c>
      <c r="BJ156" s="3508">
        <v>37661</v>
      </c>
      <c r="BK156" s="3478"/>
      <c r="BL156" s="3441" t="s">
        <v>3670</v>
      </c>
      <c r="BM156" s="3441"/>
      <c r="BN156" s="3441"/>
      <c r="BO156" s="3441"/>
      <c r="BP156" s="3441"/>
      <c r="BQ156" s="3441"/>
      <c r="BR156" s="3441"/>
    </row>
    <row r="157" spans="1:253" s="3441" customFormat="1" ht="12" hidden="1">
      <c r="A157" s="3485" t="s">
        <v>4980</v>
      </c>
      <c r="B157" s="3470" t="s">
        <v>4981</v>
      </c>
      <c r="C157" s="3481" t="s">
        <v>4982</v>
      </c>
      <c r="D157" s="3481">
        <v>13621177709</v>
      </c>
      <c r="E157" s="3470" t="s">
        <v>3558</v>
      </c>
      <c r="F157" s="3521" t="s">
        <v>4403</v>
      </c>
      <c r="G157" s="3470" t="s">
        <v>3568</v>
      </c>
      <c r="H157" s="3470" t="s">
        <v>4949</v>
      </c>
      <c r="I157" s="3470" t="s">
        <v>4983</v>
      </c>
      <c r="J157" s="3481" t="s">
        <v>4984</v>
      </c>
      <c r="K157" s="3470" t="s">
        <v>4406</v>
      </c>
      <c r="L157" s="3470">
        <v>129.74</v>
      </c>
      <c r="M157" s="3470">
        <v>4</v>
      </c>
      <c r="N157" s="3470" t="s">
        <v>4003</v>
      </c>
      <c r="O157" s="3470">
        <v>116.38</v>
      </c>
      <c r="P157" s="3470" t="s">
        <v>3452</v>
      </c>
      <c r="Q157" s="3457">
        <v>630536.4</v>
      </c>
      <c r="R157" s="3470">
        <v>4860</v>
      </c>
      <c r="S157" s="3472">
        <v>62.41</v>
      </c>
      <c r="T157" s="3527">
        <v>624100</v>
      </c>
      <c r="U157" s="3470">
        <v>4811</v>
      </c>
      <c r="V157" s="3474">
        <v>0.1</v>
      </c>
      <c r="W157" s="3475">
        <v>56.16</v>
      </c>
      <c r="X157" s="3473">
        <v>561600</v>
      </c>
      <c r="Y157" s="3441">
        <v>2003</v>
      </c>
      <c r="Z157" s="3441">
        <v>2</v>
      </c>
      <c r="AA157" s="3441">
        <v>28</v>
      </c>
      <c r="AB157" s="3485">
        <v>3120</v>
      </c>
      <c r="AC157" s="3470" t="s">
        <v>4407</v>
      </c>
      <c r="AD157" s="3485"/>
      <c r="AE157" s="3441" t="s">
        <v>3663</v>
      </c>
      <c r="AF157" s="3470" t="s">
        <v>3728</v>
      </c>
      <c r="AG157" s="3522" t="s">
        <v>3466</v>
      </c>
      <c r="AH157" s="3485"/>
      <c r="AI157" s="3470" t="s">
        <v>3679</v>
      </c>
      <c r="AJ157" s="3523">
        <v>37833</v>
      </c>
      <c r="AK157" s="3479">
        <v>2</v>
      </c>
      <c r="AL157" s="3441">
        <v>67641700</v>
      </c>
      <c r="AN157" s="3441" t="s">
        <v>3680</v>
      </c>
      <c r="AO157" s="3441" t="s">
        <v>4985</v>
      </c>
      <c r="AP157" s="3441" t="s">
        <v>3476</v>
      </c>
      <c r="AQ157" s="3441" t="s">
        <v>3571</v>
      </c>
      <c r="AW157" s="3441" t="s">
        <v>3572</v>
      </c>
      <c r="AX157" s="3441" t="s">
        <v>3568</v>
      </c>
      <c r="AY157" s="3524">
        <v>261095</v>
      </c>
      <c r="AZ157" s="3441" t="s">
        <v>4406</v>
      </c>
      <c r="BA157" s="3441" t="s">
        <v>4409</v>
      </c>
      <c r="BB157" s="3524" t="s">
        <v>4410</v>
      </c>
      <c r="BC157" s="3441" t="s">
        <v>4411</v>
      </c>
      <c r="BD157" s="3525" t="s">
        <v>3568</v>
      </c>
      <c r="BE157" s="3441">
        <v>68152860</v>
      </c>
      <c r="BF157" s="3526">
        <v>2.8</v>
      </c>
      <c r="BG157" s="3518">
        <v>37627</v>
      </c>
      <c r="BH157" s="3441" t="s">
        <v>4412</v>
      </c>
      <c r="BI157" s="3441" t="s">
        <v>3476</v>
      </c>
      <c r="BJ157" s="3484">
        <v>37678</v>
      </c>
      <c r="BK157" s="3484"/>
      <c r="BL157" s="3470" t="s">
        <v>3670</v>
      </c>
      <c r="BS157" s="3470"/>
      <c r="BT157" s="3470"/>
      <c r="BU157" s="3470"/>
    </row>
    <row r="158" spans="1:253" s="3470" customFormat="1" ht="12" hidden="1">
      <c r="A158" s="3470" t="s">
        <v>4986</v>
      </c>
      <c r="B158" s="3470" t="s">
        <v>4987</v>
      </c>
      <c r="C158" s="3454" t="s">
        <v>4988</v>
      </c>
      <c r="D158" s="3470">
        <v>13671319523</v>
      </c>
      <c r="E158" s="3470" t="s">
        <v>2736</v>
      </c>
      <c r="F158" s="3470" t="s">
        <v>4099</v>
      </c>
      <c r="G158" s="3470" t="s">
        <v>2420</v>
      </c>
      <c r="H158" s="3470" t="s">
        <v>4073</v>
      </c>
      <c r="I158" s="3453" t="s">
        <v>4074</v>
      </c>
      <c r="J158" s="3453" t="s">
        <v>3449</v>
      </c>
      <c r="K158" s="3470" t="s">
        <v>4175</v>
      </c>
      <c r="L158" s="3495">
        <v>129.74</v>
      </c>
      <c r="M158" s="3495">
        <v>4</v>
      </c>
      <c r="N158" s="3470" t="s">
        <v>3969</v>
      </c>
      <c r="O158" s="3495">
        <v>116.38</v>
      </c>
      <c r="P158" s="3470" t="s">
        <v>3452</v>
      </c>
      <c r="Q158" s="3457">
        <v>630536.4</v>
      </c>
      <c r="R158" s="3470">
        <v>4860</v>
      </c>
      <c r="S158" s="3472">
        <v>62.4</v>
      </c>
      <c r="T158" s="3527">
        <v>624000</v>
      </c>
      <c r="U158" s="3470">
        <v>4810</v>
      </c>
      <c r="V158" s="3474">
        <v>0.1</v>
      </c>
      <c r="W158" s="3475">
        <v>56.16</v>
      </c>
      <c r="X158" s="3473">
        <v>561600</v>
      </c>
      <c r="Y158" s="3441">
        <v>2003</v>
      </c>
      <c r="Z158" s="3441">
        <v>2</v>
      </c>
      <c r="AA158" s="3441">
        <v>10</v>
      </c>
      <c r="AB158" s="3485">
        <v>3120</v>
      </c>
      <c r="AC158" s="3453" t="s">
        <v>4078</v>
      </c>
      <c r="AE158" s="3456" t="s">
        <v>3663</v>
      </c>
      <c r="AF158" s="3470" t="s">
        <v>3587</v>
      </c>
      <c r="AG158" s="3470" t="s">
        <v>3466</v>
      </c>
      <c r="AI158" s="3470" t="s">
        <v>3679</v>
      </c>
      <c r="AJ158" s="3478">
        <v>37833</v>
      </c>
      <c r="AK158" s="3548">
        <v>2</v>
      </c>
      <c r="AL158" s="3495">
        <v>67641700</v>
      </c>
      <c r="AN158" s="3480" t="s">
        <v>3695</v>
      </c>
      <c r="AO158" s="3441" t="s">
        <v>4989</v>
      </c>
      <c r="AP158" s="3456" t="s">
        <v>3476</v>
      </c>
      <c r="AQ158" s="3456" t="s">
        <v>3571</v>
      </c>
      <c r="AV158" s="3519"/>
      <c r="AW158" s="3470" t="s">
        <v>3572</v>
      </c>
      <c r="AX158" s="3470" t="s">
        <v>2420</v>
      </c>
      <c r="AY158" s="3495">
        <v>261069</v>
      </c>
      <c r="AZ158" s="3470" t="s">
        <v>4080</v>
      </c>
      <c r="BA158" s="3470" t="s">
        <v>4104</v>
      </c>
      <c r="BB158" s="3470" t="s">
        <v>4162</v>
      </c>
      <c r="BC158" s="3470" t="s">
        <v>4106</v>
      </c>
      <c r="BD158" s="3470" t="s">
        <v>2420</v>
      </c>
      <c r="BE158" s="3470">
        <v>68152860</v>
      </c>
      <c r="BF158" s="3520">
        <v>2.8</v>
      </c>
      <c r="BG158" s="3478">
        <v>37627</v>
      </c>
      <c r="BH158" s="3470" t="s">
        <v>4163</v>
      </c>
      <c r="BI158" s="3441" t="s">
        <v>3476</v>
      </c>
      <c r="BJ158" s="3508">
        <v>37661</v>
      </c>
      <c r="BK158" s="3478"/>
      <c r="BL158" s="3441" t="s">
        <v>3670</v>
      </c>
      <c r="BM158" s="3441"/>
      <c r="BN158" s="3441"/>
      <c r="BO158" s="3441"/>
      <c r="BP158" s="3441"/>
      <c r="BQ158" s="3441"/>
      <c r="BR158" s="3441"/>
    </row>
    <row r="159" spans="1:253" s="3441" customFormat="1" ht="12" hidden="1">
      <c r="A159" s="3470" t="s">
        <v>4990</v>
      </c>
      <c r="B159" s="3470" t="s">
        <v>4991</v>
      </c>
      <c r="C159" s="3481" t="s">
        <v>4992</v>
      </c>
      <c r="D159" s="3481" t="s">
        <v>4993</v>
      </c>
      <c r="E159" s="3470" t="s">
        <v>3763</v>
      </c>
      <c r="F159" s="3528" t="s">
        <v>4937</v>
      </c>
      <c r="G159" s="3470"/>
      <c r="H159" s="3470" t="s">
        <v>4994</v>
      </c>
      <c r="I159" s="3470" t="s">
        <v>4995</v>
      </c>
      <c r="J159" s="3481" t="s">
        <v>3920</v>
      </c>
      <c r="K159" s="3470" t="s">
        <v>4175</v>
      </c>
      <c r="L159" s="3470">
        <v>116.56</v>
      </c>
      <c r="M159" s="3470">
        <v>6</v>
      </c>
      <c r="N159" s="3485" t="s">
        <v>4077</v>
      </c>
      <c r="O159" s="3470">
        <v>104.56</v>
      </c>
      <c r="P159" s="3470" t="s">
        <v>3452</v>
      </c>
      <c r="Q159" s="3457">
        <v>545500</v>
      </c>
      <c r="R159" s="3470">
        <v>4680</v>
      </c>
      <c r="S159" s="3472">
        <v>53.96</v>
      </c>
      <c r="T159" s="3527">
        <v>539600</v>
      </c>
      <c r="U159" s="3470">
        <v>4630</v>
      </c>
      <c r="V159" s="3474">
        <v>0.1</v>
      </c>
      <c r="W159" s="3475">
        <v>48.56</v>
      </c>
      <c r="X159" s="3476">
        <v>485600</v>
      </c>
      <c r="Y159" s="3441">
        <v>2003</v>
      </c>
      <c r="Z159" s="3441">
        <v>2</v>
      </c>
      <c r="AA159" s="3441">
        <v>8</v>
      </c>
      <c r="AB159" s="3477">
        <v>2695</v>
      </c>
      <c r="AC159" s="3470" t="s">
        <v>3662</v>
      </c>
      <c r="AD159" s="3485"/>
      <c r="AE159" s="3441" t="s">
        <v>3663</v>
      </c>
      <c r="AF159" s="3470" t="s">
        <v>4152</v>
      </c>
      <c r="AG159" s="3522" t="s">
        <v>3466</v>
      </c>
      <c r="AH159" s="3485" t="s">
        <v>3568</v>
      </c>
      <c r="AI159" s="3470" t="s">
        <v>3679</v>
      </c>
      <c r="AJ159" s="3523">
        <v>37833</v>
      </c>
      <c r="AK159" s="3500">
        <v>2</v>
      </c>
      <c r="AL159" s="3441">
        <v>67641700</v>
      </c>
      <c r="AN159" s="3480" t="s">
        <v>3800</v>
      </c>
      <c r="AO159" s="3441" t="s">
        <v>4996</v>
      </c>
      <c r="AP159" s="3441" t="s">
        <v>3476</v>
      </c>
      <c r="AQ159" s="3441" t="s">
        <v>3571</v>
      </c>
      <c r="AV159" s="3441" t="s">
        <v>3568</v>
      </c>
      <c r="AW159" s="3470" t="s">
        <v>3572</v>
      </c>
      <c r="AY159" s="3441">
        <v>261065</v>
      </c>
      <c r="AZ159" s="3470" t="s">
        <v>4076</v>
      </c>
      <c r="BA159" s="3441" t="s">
        <v>4161</v>
      </c>
      <c r="BB159" s="3441" t="s">
        <v>4082</v>
      </c>
      <c r="BC159" s="3524" t="s">
        <v>4106</v>
      </c>
      <c r="BE159" s="3525">
        <v>68152860</v>
      </c>
      <c r="BF159" s="3520">
        <v>2.8</v>
      </c>
      <c r="BG159" s="3518">
        <v>37627</v>
      </c>
      <c r="BH159" s="3470" t="s">
        <v>4997</v>
      </c>
      <c r="BI159" s="3470" t="s">
        <v>3896</v>
      </c>
      <c r="BJ159" s="3484">
        <v>37627</v>
      </c>
      <c r="BK159" s="3518"/>
      <c r="BL159" s="3441" t="s">
        <v>3594</v>
      </c>
      <c r="BS159" s="3470"/>
      <c r="BT159" s="3470"/>
      <c r="BU159" s="3470"/>
    </row>
    <row r="160" spans="1:253" s="3470" customFormat="1" ht="12" hidden="1">
      <c r="A160" s="3470" t="s">
        <v>4998</v>
      </c>
      <c r="B160" s="3470" t="s">
        <v>4999</v>
      </c>
      <c r="C160" s="3471" t="s">
        <v>5000</v>
      </c>
      <c r="D160" s="3470">
        <v>68885473</v>
      </c>
      <c r="E160" s="3470" t="s">
        <v>3558</v>
      </c>
      <c r="F160" s="3470" t="s">
        <v>5001</v>
      </c>
      <c r="H160" s="3470" t="s">
        <v>5002</v>
      </c>
      <c r="I160" s="3470" t="s">
        <v>3735</v>
      </c>
      <c r="J160" s="3470" t="s">
        <v>5003</v>
      </c>
      <c r="K160" s="3470" t="s">
        <v>5004</v>
      </c>
      <c r="L160" s="3470">
        <v>142.47</v>
      </c>
      <c r="M160" s="3470" t="s">
        <v>5005</v>
      </c>
      <c r="N160" s="3470" t="s">
        <v>3982</v>
      </c>
      <c r="O160" s="3470">
        <v>125.44</v>
      </c>
      <c r="P160" s="3470" t="s">
        <v>4222</v>
      </c>
      <c r="Q160" s="3457">
        <v>413163</v>
      </c>
      <c r="R160" s="3470">
        <v>2900</v>
      </c>
      <c r="S160" s="3472">
        <v>40.68</v>
      </c>
      <c r="T160" s="3473">
        <v>406800</v>
      </c>
      <c r="U160" s="3470">
        <v>2856</v>
      </c>
      <c r="V160" s="3474">
        <v>0.1</v>
      </c>
      <c r="W160" s="3475">
        <v>36.61</v>
      </c>
      <c r="X160" s="3476">
        <v>366100</v>
      </c>
      <c r="Y160" s="3441">
        <v>2003</v>
      </c>
      <c r="Z160" s="3441">
        <v>1</v>
      </c>
      <c r="AA160" s="3470">
        <v>7</v>
      </c>
      <c r="AB160" s="3477">
        <v>2030</v>
      </c>
      <c r="AC160" s="3470" t="s">
        <v>5006</v>
      </c>
      <c r="AE160" s="3470" t="s">
        <v>3663</v>
      </c>
      <c r="AF160" s="3470" t="s">
        <v>3493</v>
      </c>
      <c r="AG160" s="3470" t="s">
        <v>3466</v>
      </c>
      <c r="AH160" s="3470" t="s">
        <v>3568</v>
      </c>
      <c r="AI160" s="3470" t="s">
        <v>3679</v>
      </c>
      <c r="AJ160" s="3478">
        <v>37661</v>
      </c>
      <c r="AK160" s="3479" t="s">
        <v>3570</v>
      </c>
      <c r="AL160" s="3470">
        <v>67641700</v>
      </c>
      <c r="AN160" s="3480" t="s">
        <v>3695</v>
      </c>
      <c r="AO160" s="3470" t="s">
        <v>3568</v>
      </c>
      <c r="AP160" s="3470" t="s">
        <v>3476</v>
      </c>
      <c r="AQ160" s="3470" t="s">
        <v>3571</v>
      </c>
      <c r="AW160" s="3470" t="s">
        <v>3572</v>
      </c>
      <c r="AX160" s="3470" t="s">
        <v>2511</v>
      </c>
      <c r="AY160" s="3481">
        <v>232763</v>
      </c>
      <c r="AZ160" s="3470" t="s">
        <v>5004</v>
      </c>
      <c r="BA160" s="3470" t="s">
        <v>5007</v>
      </c>
      <c r="BB160" s="3481">
        <v>11506608</v>
      </c>
      <c r="BC160" s="3470" t="s">
        <v>5008</v>
      </c>
      <c r="BD160" s="3482">
        <v>100078</v>
      </c>
      <c r="BE160" s="3470">
        <v>68872458</v>
      </c>
      <c r="BF160" s="3483">
        <v>2.7</v>
      </c>
      <c r="BG160" s="3478">
        <v>37599</v>
      </c>
      <c r="BI160" s="3441" t="s">
        <v>3476</v>
      </c>
      <c r="BJ160" s="3484">
        <v>37627</v>
      </c>
      <c r="BK160" s="3478"/>
      <c r="BL160" s="3441" t="s">
        <v>3670</v>
      </c>
      <c r="BM160" s="3441"/>
      <c r="BN160" s="3441"/>
      <c r="BO160" s="3441"/>
      <c r="BP160" s="3441"/>
      <c r="BQ160" s="3441"/>
      <c r="BR160" s="3441"/>
    </row>
    <row r="161" spans="1:253" s="3441" customFormat="1" ht="12" hidden="1">
      <c r="A161" s="3485" t="s">
        <v>5009</v>
      </c>
      <c r="B161" s="3470" t="s">
        <v>5010</v>
      </c>
      <c r="C161" s="3481" t="s">
        <v>5011</v>
      </c>
      <c r="D161" s="3481">
        <v>13641270822</v>
      </c>
      <c r="E161" s="3470" t="s">
        <v>3558</v>
      </c>
      <c r="F161" s="3521" t="s">
        <v>4403</v>
      </c>
      <c r="G161" s="3470" t="s">
        <v>3568</v>
      </c>
      <c r="H161" s="3470" t="s">
        <v>4964</v>
      </c>
      <c r="I161" s="3470" t="s">
        <v>5012</v>
      </c>
      <c r="J161" s="3481" t="s">
        <v>3736</v>
      </c>
      <c r="K161" s="3470" t="s">
        <v>4406</v>
      </c>
      <c r="L161" s="3470">
        <v>123.66</v>
      </c>
      <c r="M161" s="3470">
        <v>3</v>
      </c>
      <c r="N161" s="3470" t="s">
        <v>4003</v>
      </c>
      <c r="O161" s="3470">
        <v>110.19</v>
      </c>
      <c r="P161" s="3470" t="s">
        <v>3452</v>
      </c>
      <c r="Q161" s="3457">
        <v>613353.6</v>
      </c>
      <c r="R161" s="3470">
        <v>4960</v>
      </c>
      <c r="S161" s="3472">
        <v>60.71</v>
      </c>
      <c r="T161" s="3527">
        <v>607100</v>
      </c>
      <c r="U161" s="3470">
        <v>4910</v>
      </c>
      <c r="V161" s="3474">
        <v>0.1</v>
      </c>
      <c r="W161" s="3475">
        <v>54.63</v>
      </c>
      <c r="X161" s="3473">
        <v>546300</v>
      </c>
      <c r="Y161" s="3441">
        <v>2003</v>
      </c>
      <c r="Z161" s="3441">
        <v>2</v>
      </c>
      <c r="AA161" s="3441">
        <v>28</v>
      </c>
      <c r="AB161" s="3485">
        <v>3035</v>
      </c>
      <c r="AC161" s="3470" t="s">
        <v>4952</v>
      </c>
      <c r="AD161" s="3485"/>
      <c r="AE161" s="3441" t="s">
        <v>3663</v>
      </c>
      <c r="AF161" s="3470" t="s">
        <v>3728</v>
      </c>
      <c r="AG161" s="3522" t="s">
        <v>3466</v>
      </c>
      <c r="AH161" s="3485"/>
      <c r="AI161" s="3470" t="s">
        <v>3679</v>
      </c>
      <c r="AJ161" s="3523">
        <v>37833</v>
      </c>
      <c r="AK161" s="3479">
        <v>2</v>
      </c>
      <c r="AL161" s="3441">
        <v>67641700</v>
      </c>
      <c r="AN161" s="3441" t="s">
        <v>3680</v>
      </c>
      <c r="AO161" s="3441" t="s">
        <v>5013</v>
      </c>
      <c r="AP161" s="3441" t="s">
        <v>3476</v>
      </c>
      <c r="AQ161" s="3441" t="s">
        <v>3571</v>
      </c>
      <c r="AW161" s="3441" t="s">
        <v>3572</v>
      </c>
      <c r="AX161" s="3441" t="s">
        <v>3568</v>
      </c>
      <c r="AY161" s="3524">
        <v>261099</v>
      </c>
      <c r="AZ161" s="3441" t="s">
        <v>4406</v>
      </c>
      <c r="BA161" s="3441" t="s">
        <v>4409</v>
      </c>
      <c r="BB161" s="3524" t="s">
        <v>4410</v>
      </c>
      <c r="BC161" s="3441" t="s">
        <v>4411</v>
      </c>
      <c r="BD161" s="3525" t="s">
        <v>3568</v>
      </c>
      <c r="BE161" s="3441">
        <v>68152860</v>
      </c>
      <c r="BF161" s="3526">
        <v>2.8</v>
      </c>
      <c r="BG161" s="3518">
        <v>37627</v>
      </c>
      <c r="BH161" s="3441" t="s">
        <v>4412</v>
      </c>
      <c r="BI161" s="3441" t="s">
        <v>3476</v>
      </c>
      <c r="BJ161" s="3484">
        <v>37679</v>
      </c>
      <c r="BK161" s="3484"/>
      <c r="BL161" s="3470" t="s">
        <v>3670</v>
      </c>
      <c r="BS161" s="3470"/>
      <c r="BT161" s="3470"/>
      <c r="BU161" s="3470"/>
    </row>
    <row r="162" spans="1:253" s="3441" customFormat="1" ht="12" hidden="1">
      <c r="A162" s="3485" t="s">
        <v>5014</v>
      </c>
      <c r="B162" s="3470" t="s">
        <v>5010</v>
      </c>
      <c r="C162" s="3481" t="s">
        <v>5011</v>
      </c>
      <c r="D162" s="3481">
        <v>13641270822</v>
      </c>
      <c r="E162" s="3470" t="s">
        <v>3558</v>
      </c>
      <c r="F162" s="3528" t="s">
        <v>4403</v>
      </c>
      <c r="G162" s="3470" t="s">
        <v>3568</v>
      </c>
      <c r="H162" s="3470" t="s">
        <v>4964</v>
      </c>
      <c r="I162" s="3470" t="s">
        <v>5012</v>
      </c>
      <c r="J162" s="3481" t="s">
        <v>3736</v>
      </c>
      <c r="K162" s="3470" t="s">
        <v>4406</v>
      </c>
      <c r="L162" s="3470">
        <v>123.66</v>
      </c>
      <c r="M162" s="3470">
        <v>3</v>
      </c>
      <c r="N162" s="3470" t="s">
        <v>4003</v>
      </c>
      <c r="O162" s="3470">
        <v>110.19</v>
      </c>
      <c r="P162" s="3470" t="s">
        <v>3452</v>
      </c>
      <c r="Q162" s="3457">
        <v>613353.6</v>
      </c>
      <c r="R162" s="3470">
        <v>4960</v>
      </c>
      <c r="S162" s="3547">
        <v>60.71</v>
      </c>
      <c r="T162" s="3554">
        <v>607100</v>
      </c>
      <c r="U162" s="3470">
        <v>4910</v>
      </c>
      <c r="V162" s="3474">
        <v>0.1</v>
      </c>
      <c r="W162" s="3475">
        <v>54.63</v>
      </c>
      <c r="X162" s="3473">
        <v>546300</v>
      </c>
      <c r="Y162" s="3441">
        <v>2003</v>
      </c>
      <c r="Z162" s="3441">
        <v>6</v>
      </c>
      <c r="AA162" s="3470">
        <v>3</v>
      </c>
      <c r="AB162" s="3477">
        <v>3035</v>
      </c>
      <c r="AC162" s="3453" t="s">
        <v>4102</v>
      </c>
      <c r="AD162" s="3485"/>
      <c r="AE162" s="3441" t="s">
        <v>3663</v>
      </c>
      <c r="AF162" s="3470" t="s">
        <v>3728</v>
      </c>
      <c r="AG162" s="3522" t="s">
        <v>3466</v>
      </c>
      <c r="AH162" s="3485"/>
      <c r="AI162" s="3470" t="s">
        <v>3664</v>
      </c>
      <c r="AJ162" s="3523">
        <v>37833</v>
      </c>
      <c r="AK162" s="3500">
        <v>6</v>
      </c>
      <c r="AL162" s="3441">
        <v>67641700</v>
      </c>
      <c r="AN162" s="3480" t="s">
        <v>3456</v>
      </c>
      <c r="AO162" s="3441" t="s">
        <v>5013</v>
      </c>
      <c r="AP162" s="3441" t="s">
        <v>3476</v>
      </c>
      <c r="AQ162" s="3456" t="s">
        <v>5015</v>
      </c>
      <c r="AW162" s="3441" t="s">
        <v>3572</v>
      </c>
      <c r="AX162" s="3441" t="s">
        <v>3568</v>
      </c>
      <c r="AY162" s="3524">
        <v>261099</v>
      </c>
      <c r="AZ162" s="3441" t="s">
        <v>4406</v>
      </c>
      <c r="BA162" s="3441" t="s">
        <v>4409</v>
      </c>
      <c r="BB162" s="3524" t="s">
        <v>4410</v>
      </c>
      <c r="BC162" s="3441" t="s">
        <v>4411</v>
      </c>
      <c r="BD162" s="3525" t="s">
        <v>3568</v>
      </c>
      <c r="BE162" s="3441">
        <v>68152860</v>
      </c>
      <c r="BF162" s="3526">
        <v>2.8</v>
      </c>
      <c r="BG162" s="3518">
        <v>37627</v>
      </c>
      <c r="BH162" s="3441" t="s">
        <v>4412</v>
      </c>
      <c r="BI162" s="3441" t="s">
        <v>3476</v>
      </c>
      <c r="BJ162" s="3478">
        <v>37775</v>
      </c>
      <c r="BK162" s="3484"/>
      <c r="BL162" s="3470" t="s">
        <v>3670</v>
      </c>
      <c r="BS162" s="3470"/>
      <c r="BT162" s="3470"/>
      <c r="BU162" s="3470"/>
      <c r="BV162" s="3472"/>
      <c r="BW162" s="3472"/>
      <c r="BX162" s="3472"/>
      <c r="BY162" s="3472"/>
      <c r="BZ162" s="3472"/>
      <c r="CA162" s="3472"/>
      <c r="CB162" s="3472"/>
      <c r="CC162" s="3472"/>
      <c r="CD162" s="3472"/>
      <c r="CE162" s="3472"/>
      <c r="CF162" s="3472"/>
      <c r="CG162" s="3472"/>
      <c r="CH162" s="3472"/>
      <c r="CI162" s="3472"/>
      <c r="CJ162" s="3472"/>
      <c r="CK162" s="3472"/>
      <c r="CL162" s="3472"/>
      <c r="CM162" s="3472"/>
      <c r="CN162" s="3472"/>
      <c r="CO162" s="3472"/>
      <c r="CP162" s="3472"/>
      <c r="CQ162" s="3472"/>
      <c r="CR162" s="3472"/>
      <c r="CS162" s="3472"/>
      <c r="CT162" s="3472"/>
      <c r="CU162" s="3472"/>
      <c r="CV162" s="3472"/>
      <c r="CW162" s="3472"/>
      <c r="CX162" s="3472"/>
      <c r="CY162" s="3472"/>
      <c r="CZ162" s="3472"/>
      <c r="DA162" s="3472"/>
      <c r="DB162" s="3472"/>
      <c r="DC162" s="3472"/>
      <c r="DD162" s="3472"/>
      <c r="DE162" s="3472"/>
      <c r="DF162" s="3472"/>
      <c r="DG162" s="3472"/>
      <c r="DH162" s="3472"/>
      <c r="DI162" s="3472"/>
      <c r="DJ162" s="3472"/>
      <c r="DK162" s="3472"/>
      <c r="DL162" s="3472"/>
      <c r="DM162" s="3472"/>
      <c r="DN162" s="3472"/>
      <c r="DO162" s="3472"/>
      <c r="DP162" s="3472"/>
      <c r="DQ162" s="3472"/>
      <c r="DR162" s="3472"/>
      <c r="DS162" s="3472"/>
      <c r="DT162" s="3472"/>
      <c r="DU162" s="3472"/>
      <c r="DV162" s="3472"/>
      <c r="DW162" s="3472"/>
      <c r="DX162" s="3472"/>
      <c r="DY162" s="3472"/>
      <c r="DZ162" s="3472"/>
      <c r="EA162" s="3472"/>
      <c r="EB162" s="3472"/>
      <c r="EC162" s="3472"/>
      <c r="ED162" s="3472"/>
      <c r="EE162" s="3472"/>
      <c r="EF162" s="3472"/>
      <c r="EG162" s="3472"/>
      <c r="EH162" s="3472"/>
      <c r="EI162" s="3472"/>
      <c r="EJ162" s="3472"/>
      <c r="EK162" s="3472"/>
      <c r="EL162" s="3472"/>
      <c r="EM162" s="3472"/>
      <c r="EN162" s="3472"/>
      <c r="EO162" s="3472"/>
      <c r="EP162" s="3472"/>
      <c r="EQ162" s="3472"/>
      <c r="ER162" s="3472"/>
      <c r="ES162" s="3472"/>
      <c r="ET162" s="3472"/>
      <c r="EU162" s="3472"/>
      <c r="EV162" s="3472"/>
      <c r="EW162" s="3472"/>
      <c r="EX162" s="3472"/>
      <c r="EY162" s="3472"/>
      <c r="EZ162" s="3472"/>
      <c r="FA162" s="3472"/>
      <c r="FB162" s="3472"/>
      <c r="FC162" s="3472"/>
      <c r="FD162" s="3472"/>
      <c r="FE162" s="3472"/>
      <c r="FF162" s="3472"/>
      <c r="FG162" s="3472"/>
      <c r="FH162" s="3472"/>
      <c r="FI162" s="3472"/>
      <c r="FJ162" s="3472"/>
      <c r="FK162" s="3472"/>
      <c r="FL162" s="3472"/>
      <c r="FM162" s="3472"/>
      <c r="FN162" s="3472"/>
      <c r="FO162" s="3472"/>
      <c r="FP162" s="3472"/>
      <c r="FQ162" s="3472"/>
      <c r="FR162" s="3472"/>
      <c r="FS162" s="3472"/>
      <c r="FT162" s="3472"/>
      <c r="FU162" s="3472"/>
      <c r="FV162" s="3472"/>
      <c r="FW162" s="3472"/>
      <c r="FX162" s="3472"/>
      <c r="FY162" s="3472"/>
      <c r="FZ162" s="3472"/>
      <c r="GA162" s="3472"/>
      <c r="GB162" s="3472"/>
      <c r="GC162" s="3472"/>
      <c r="GD162" s="3472"/>
      <c r="GE162" s="3472"/>
      <c r="GF162" s="3472"/>
      <c r="GG162" s="3472"/>
      <c r="GH162" s="3472"/>
      <c r="GI162" s="3472"/>
      <c r="GJ162" s="3472"/>
      <c r="GK162" s="3472"/>
      <c r="GL162" s="3472"/>
      <c r="GM162" s="3472"/>
      <c r="GN162" s="3472"/>
      <c r="GO162" s="3472"/>
      <c r="GP162" s="3472"/>
      <c r="GQ162" s="3472"/>
      <c r="GR162" s="3472"/>
      <c r="GS162" s="3472"/>
      <c r="GT162" s="3472"/>
      <c r="GU162" s="3472"/>
      <c r="GV162" s="3472"/>
      <c r="GW162" s="3472"/>
      <c r="GX162" s="3472"/>
      <c r="GY162" s="3472"/>
      <c r="GZ162" s="3472"/>
      <c r="HA162" s="3472"/>
      <c r="HB162" s="3472"/>
      <c r="HC162" s="3472"/>
      <c r="HD162" s="3472"/>
      <c r="HE162" s="3472"/>
      <c r="HF162" s="3472"/>
      <c r="HG162" s="3472"/>
      <c r="HH162" s="3472"/>
      <c r="HI162" s="3472"/>
      <c r="HJ162" s="3472"/>
      <c r="HK162" s="3472"/>
      <c r="HL162" s="3472"/>
      <c r="HM162" s="3472"/>
      <c r="HN162" s="3472"/>
      <c r="HO162" s="3472"/>
      <c r="HP162" s="3472"/>
      <c r="HQ162" s="3472"/>
      <c r="HR162" s="3472"/>
      <c r="HS162" s="3472"/>
      <c r="HT162" s="3472"/>
      <c r="HU162" s="3472"/>
      <c r="HV162" s="3472"/>
      <c r="HW162" s="3472"/>
      <c r="HX162" s="3472"/>
      <c r="HY162" s="3472"/>
      <c r="HZ162" s="3472"/>
      <c r="IA162" s="3472"/>
      <c r="IB162" s="3472"/>
      <c r="IC162" s="3472"/>
      <c r="ID162" s="3472"/>
      <c r="IE162" s="3472"/>
      <c r="IF162" s="3472"/>
      <c r="IG162" s="3472"/>
      <c r="IH162" s="3472"/>
      <c r="II162" s="3472"/>
      <c r="IJ162" s="3472"/>
      <c r="IK162" s="3472"/>
      <c r="IL162" s="3472"/>
      <c r="IM162" s="3472"/>
      <c r="IN162" s="3472"/>
      <c r="IO162" s="3472"/>
      <c r="IP162" s="3472"/>
      <c r="IQ162" s="3472"/>
      <c r="IR162" s="3472"/>
      <c r="IS162" s="3472"/>
    </row>
    <row r="163" spans="1:253" s="3441" customFormat="1" ht="12" hidden="1">
      <c r="A163" s="3485" t="s">
        <v>5016</v>
      </c>
      <c r="B163" s="3470" t="s">
        <v>5017</v>
      </c>
      <c r="C163" s="3481" t="s">
        <v>5018</v>
      </c>
      <c r="D163" s="3481">
        <v>13001154581</v>
      </c>
      <c r="E163" s="3470" t="s">
        <v>3558</v>
      </c>
      <c r="F163" s="3521" t="s">
        <v>4403</v>
      </c>
      <c r="G163" s="3470" t="s">
        <v>3568</v>
      </c>
      <c r="H163" s="3470" t="s">
        <v>4949</v>
      </c>
      <c r="I163" s="3470" t="s">
        <v>4965</v>
      </c>
      <c r="J163" s="3481" t="s">
        <v>5019</v>
      </c>
      <c r="K163" s="3470" t="s">
        <v>4406</v>
      </c>
      <c r="L163" s="3470">
        <v>90.82</v>
      </c>
      <c r="M163" s="3470">
        <v>1</v>
      </c>
      <c r="N163" s="3470" t="s">
        <v>4030</v>
      </c>
      <c r="O163" s="3470">
        <v>81.47</v>
      </c>
      <c r="P163" s="3470" t="s">
        <v>3452</v>
      </c>
      <c r="Q163" s="3457">
        <v>399608</v>
      </c>
      <c r="R163" s="3470">
        <v>4400</v>
      </c>
      <c r="S163" s="3472">
        <v>39.549999999999997</v>
      </c>
      <c r="T163" s="3527">
        <v>395500</v>
      </c>
      <c r="U163" s="3470">
        <v>4355</v>
      </c>
      <c r="V163" s="3474">
        <v>0.1</v>
      </c>
      <c r="W163" s="3475">
        <v>35.590000000000003</v>
      </c>
      <c r="X163" s="3473">
        <v>355900</v>
      </c>
      <c r="Y163" s="3441">
        <v>2003</v>
      </c>
      <c r="Z163" s="3441">
        <v>2</v>
      </c>
      <c r="AA163" s="3441">
        <v>26</v>
      </c>
      <c r="AB163" s="3485">
        <v>1975</v>
      </c>
      <c r="AC163" s="3470" t="s">
        <v>3693</v>
      </c>
      <c r="AD163" s="3485"/>
      <c r="AE163" s="3441" t="s">
        <v>3663</v>
      </c>
      <c r="AF163" s="3470" t="s">
        <v>3728</v>
      </c>
      <c r="AG163" s="3522" t="s">
        <v>3466</v>
      </c>
      <c r="AH163" s="3485"/>
      <c r="AI163" s="3470" t="s">
        <v>3679</v>
      </c>
      <c r="AJ163" s="3523">
        <v>37833</v>
      </c>
      <c r="AK163" s="3479">
        <v>2</v>
      </c>
      <c r="AL163" s="3441">
        <v>67641700</v>
      </c>
      <c r="AN163" s="3441" t="s">
        <v>3680</v>
      </c>
      <c r="AO163" s="3441" t="s">
        <v>5020</v>
      </c>
      <c r="AP163" s="3441" t="s">
        <v>3476</v>
      </c>
      <c r="AQ163" s="3441" t="s">
        <v>3571</v>
      </c>
      <c r="AW163" s="3441" t="s">
        <v>3572</v>
      </c>
      <c r="AX163" s="3441" t="s">
        <v>3568</v>
      </c>
      <c r="AY163" s="3524">
        <v>261073</v>
      </c>
      <c r="AZ163" s="3441" t="s">
        <v>4406</v>
      </c>
      <c r="BA163" s="3441" t="s">
        <v>4409</v>
      </c>
      <c r="BB163" s="3524" t="s">
        <v>4410</v>
      </c>
      <c r="BC163" s="3441" t="s">
        <v>4411</v>
      </c>
      <c r="BD163" s="3525" t="s">
        <v>3568</v>
      </c>
      <c r="BE163" s="3441">
        <v>68152860</v>
      </c>
      <c r="BF163" s="3526">
        <v>2.8</v>
      </c>
      <c r="BG163" s="3518">
        <v>37628</v>
      </c>
      <c r="BH163" s="3441" t="s">
        <v>4412</v>
      </c>
      <c r="BI163" s="3441" t="s">
        <v>5021</v>
      </c>
      <c r="BJ163" s="3484">
        <v>37676</v>
      </c>
      <c r="BK163" s="3484"/>
      <c r="BL163" s="3470" t="s">
        <v>3670</v>
      </c>
      <c r="BS163" s="3470"/>
      <c r="BT163" s="3470"/>
      <c r="BU163" s="3470"/>
    </row>
    <row r="164" spans="1:253" s="3470" customFormat="1" ht="12" hidden="1">
      <c r="A164" s="3470" t="s">
        <v>5022</v>
      </c>
      <c r="B164" s="3470" t="s">
        <v>5023</v>
      </c>
      <c r="C164" s="3471" t="s">
        <v>5024</v>
      </c>
      <c r="D164" s="3470" t="s">
        <v>5025</v>
      </c>
      <c r="E164" s="3470" t="s">
        <v>3558</v>
      </c>
      <c r="F164" s="3470" t="s">
        <v>3559</v>
      </c>
      <c r="H164" s="3470" t="s">
        <v>3560</v>
      </c>
      <c r="I164" s="3470" t="s">
        <v>3561</v>
      </c>
      <c r="J164" s="3470" t="s">
        <v>4885</v>
      </c>
      <c r="K164" s="3470" t="s">
        <v>3563</v>
      </c>
      <c r="L164" s="3470">
        <v>62.63</v>
      </c>
      <c r="M164" s="3470">
        <v>5</v>
      </c>
      <c r="N164" s="3470" t="s">
        <v>3564</v>
      </c>
      <c r="O164" s="3470">
        <v>50.74</v>
      </c>
      <c r="P164" s="3470" t="s">
        <v>3452</v>
      </c>
      <c r="Q164" s="3457">
        <v>299371.40000000002</v>
      </c>
      <c r="R164" s="3470">
        <v>4780</v>
      </c>
      <c r="S164" s="3472">
        <v>29.62</v>
      </c>
      <c r="T164" s="3473">
        <v>296200</v>
      </c>
      <c r="U164" s="3470">
        <v>4730</v>
      </c>
      <c r="V164" s="3474">
        <v>0.1</v>
      </c>
      <c r="W164" s="3475">
        <v>26.65</v>
      </c>
      <c r="X164" s="3476">
        <v>266500</v>
      </c>
      <c r="Y164" s="3441">
        <v>2003</v>
      </c>
      <c r="Z164" s="3441">
        <v>1</v>
      </c>
      <c r="AA164" s="3470">
        <v>9</v>
      </c>
      <c r="AB164" s="3477">
        <v>1480</v>
      </c>
      <c r="AC164" s="3470" t="s">
        <v>3603</v>
      </c>
      <c r="AE164" s="3470" t="s">
        <v>3663</v>
      </c>
      <c r="AF164" s="3470" t="s">
        <v>3728</v>
      </c>
      <c r="AG164" s="3470" t="s">
        <v>3466</v>
      </c>
      <c r="AH164" s="3470" t="s">
        <v>3568</v>
      </c>
      <c r="AI164" s="3470" t="s">
        <v>3679</v>
      </c>
      <c r="AJ164" s="3478">
        <v>37894</v>
      </c>
      <c r="AK164" s="3479" t="s">
        <v>3570</v>
      </c>
      <c r="AL164" s="3470">
        <v>67641700</v>
      </c>
      <c r="AM164" s="3470" t="s">
        <v>3568</v>
      </c>
      <c r="AN164" s="3480" t="s">
        <v>3695</v>
      </c>
      <c r="AO164" s="3470" t="s">
        <v>3568</v>
      </c>
      <c r="AP164" s="3470" t="s">
        <v>3476</v>
      </c>
      <c r="AQ164" s="3470" t="s">
        <v>3571</v>
      </c>
      <c r="AW164" s="3470" t="s">
        <v>3572</v>
      </c>
      <c r="AX164" s="3470" t="s">
        <v>2511</v>
      </c>
      <c r="AY164" s="3481" t="s">
        <v>5026</v>
      </c>
      <c r="AZ164" s="3470" t="s">
        <v>3563</v>
      </c>
      <c r="BA164" s="3470" t="s">
        <v>3574</v>
      </c>
      <c r="BB164" s="3481"/>
      <c r="BC164" s="3470" t="s">
        <v>3576</v>
      </c>
      <c r="BD164" s="3482">
        <v>100037</v>
      </c>
      <c r="BE164" s="3470">
        <v>84050046</v>
      </c>
      <c r="BF164" s="3483">
        <v>2.8</v>
      </c>
      <c r="BG164" s="3478">
        <v>37597</v>
      </c>
      <c r="BI164" s="3441" t="s">
        <v>3476</v>
      </c>
      <c r="BJ164" s="3484">
        <v>37623</v>
      </c>
      <c r="BK164" s="3478">
        <v>37623</v>
      </c>
      <c r="BL164" s="3441" t="s">
        <v>3670</v>
      </c>
      <c r="BM164" s="3441"/>
      <c r="BN164" s="3441"/>
      <c r="BO164" s="3441"/>
      <c r="BP164" s="3441"/>
      <c r="BQ164" s="3441"/>
      <c r="BR164" s="3441"/>
    </row>
    <row r="165" spans="1:253" s="3470" customFormat="1" ht="12" hidden="1">
      <c r="A165" s="3470" t="s">
        <v>5027</v>
      </c>
      <c r="B165" s="3470" t="s">
        <v>5028</v>
      </c>
      <c r="C165" s="3471" t="s">
        <v>5029</v>
      </c>
      <c r="D165" s="3470" t="s">
        <v>5030</v>
      </c>
      <c r="E165" s="3470" t="s">
        <v>3558</v>
      </c>
      <c r="F165" s="3470" t="s">
        <v>3559</v>
      </c>
      <c r="H165" s="3470" t="s">
        <v>3725</v>
      </c>
      <c r="I165" s="3470" t="s">
        <v>4877</v>
      </c>
      <c r="J165" s="3470" t="s">
        <v>5031</v>
      </c>
      <c r="K165" s="3470" t="s">
        <v>3563</v>
      </c>
      <c r="L165" s="3470">
        <v>114.44</v>
      </c>
      <c r="M165" s="3470">
        <v>12</v>
      </c>
      <c r="N165" s="3470" t="s">
        <v>5032</v>
      </c>
      <c r="O165" s="3470">
        <v>92.72</v>
      </c>
      <c r="P165" s="3470" t="s">
        <v>3452</v>
      </c>
      <c r="Q165" s="3457">
        <v>570826.72</v>
      </c>
      <c r="R165" s="3470">
        <v>4988</v>
      </c>
      <c r="S165" s="3472">
        <v>56.51</v>
      </c>
      <c r="T165" s="3473">
        <v>565100</v>
      </c>
      <c r="U165" s="3470">
        <v>4938</v>
      </c>
      <c r="V165" s="3474">
        <v>0.1</v>
      </c>
      <c r="W165" s="3475">
        <v>50.85</v>
      </c>
      <c r="X165" s="3476">
        <v>508500</v>
      </c>
      <c r="Y165" s="3441">
        <v>2003</v>
      </c>
      <c r="Z165" s="3441">
        <v>1</v>
      </c>
      <c r="AA165" s="3470">
        <v>9</v>
      </c>
      <c r="AB165" s="3477">
        <v>2825</v>
      </c>
      <c r="AC165" s="3470" t="s">
        <v>5033</v>
      </c>
      <c r="AE165" s="3470" t="s">
        <v>3663</v>
      </c>
      <c r="AF165" s="3470" t="s">
        <v>3728</v>
      </c>
      <c r="AG165" s="3470" t="s">
        <v>3466</v>
      </c>
      <c r="AH165" s="3470" t="s">
        <v>3568</v>
      </c>
      <c r="AI165" s="3470" t="s">
        <v>3679</v>
      </c>
      <c r="AJ165" s="3478">
        <v>37894</v>
      </c>
      <c r="AK165" s="3479" t="s">
        <v>3570</v>
      </c>
      <c r="AL165" s="3470">
        <v>67641700</v>
      </c>
      <c r="AM165" s="3470" t="s">
        <v>3568</v>
      </c>
      <c r="AN165" s="3480" t="s">
        <v>3695</v>
      </c>
      <c r="AO165" s="3470" t="s">
        <v>3568</v>
      </c>
      <c r="AP165" s="3470" t="s">
        <v>3476</v>
      </c>
      <c r="AQ165" s="3470" t="s">
        <v>3571</v>
      </c>
      <c r="AW165" s="3470" t="s">
        <v>3572</v>
      </c>
      <c r="AX165" s="3470" t="s">
        <v>2511</v>
      </c>
      <c r="AY165" s="3481" t="s">
        <v>5034</v>
      </c>
      <c r="AZ165" s="3470" t="s">
        <v>3563</v>
      </c>
      <c r="BA165" s="3470" t="s">
        <v>3574</v>
      </c>
      <c r="BB165" s="3481"/>
      <c r="BC165" s="3470" t="s">
        <v>3576</v>
      </c>
      <c r="BD165" s="3482">
        <v>100037</v>
      </c>
      <c r="BE165" s="3470">
        <v>84050046</v>
      </c>
      <c r="BF165" s="3483">
        <v>2.8</v>
      </c>
      <c r="BG165" s="3478">
        <v>37583</v>
      </c>
      <c r="BI165" s="3441" t="s">
        <v>3476</v>
      </c>
      <c r="BJ165" s="3484">
        <v>37629</v>
      </c>
      <c r="BK165" s="3478">
        <v>37614</v>
      </c>
      <c r="BL165" s="3441" t="s">
        <v>3670</v>
      </c>
      <c r="BM165" s="3441"/>
      <c r="BN165" s="3441"/>
      <c r="BO165" s="3441"/>
      <c r="BP165" s="3441"/>
      <c r="BQ165" s="3441"/>
      <c r="BR165" s="3441"/>
    </row>
    <row r="166" spans="1:253" s="3470" customFormat="1" ht="12" hidden="1">
      <c r="A166" s="3470" t="s">
        <v>5035</v>
      </c>
      <c r="B166" s="3470" t="s">
        <v>5036</v>
      </c>
      <c r="C166" s="3471" t="s">
        <v>5037</v>
      </c>
      <c r="D166" s="3470" t="s">
        <v>5038</v>
      </c>
      <c r="E166" s="3470" t="s">
        <v>3558</v>
      </c>
      <c r="F166" s="3470" t="s">
        <v>3559</v>
      </c>
      <c r="H166" s="3470" t="s">
        <v>3725</v>
      </c>
      <c r="I166" s="3470" t="s">
        <v>4019</v>
      </c>
      <c r="J166" s="3470" t="s">
        <v>5039</v>
      </c>
      <c r="K166" s="3470" t="s">
        <v>3563</v>
      </c>
      <c r="L166" s="3470">
        <v>57.09</v>
      </c>
      <c r="M166" s="3470">
        <v>13</v>
      </c>
      <c r="N166" s="3470" t="s">
        <v>3564</v>
      </c>
      <c r="O166" s="3470">
        <v>46.25</v>
      </c>
      <c r="P166" s="3470" t="s">
        <v>3452</v>
      </c>
      <c r="Q166" s="3457">
        <v>267752.09999999998</v>
      </c>
      <c r="R166" s="3470">
        <v>4690</v>
      </c>
      <c r="S166" s="3472">
        <v>26.48</v>
      </c>
      <c r="T166" s="3473">
        <v>264800</v>
      </c>
      <c r="U166" s="3470">
        <v>4640</v>
      </c>
      <c r="V166" s="3474">
        <v>0.1</v>
      </c>
      <c r="W166" s="3475">
        <v>23.83</v>
      </c>
      <c r="X166" s="3476">
        <v>238300</v>
      </c>
      <c r="Y166" s="3441">
        <v>2003</v>
      </c>
      <c r="Z166" s="3441">
        <v>1</v>
      </c>
      <c r="AA166" s="3470">
        <v>9</v>
      </c>
      <c r="AB166" s="3477">
        <v>1320</v>
      </c>
      <c r="AC166" s="3470" t="s">
        <v>3565</v>
      </c>
      <c r="AE166" s="3470" t="s">
        <v>3663</v>
      </c>
      <c r="AF166" s="3470" t="s">
        <v>3728</v>
      </c>
      <c r="AG166" s="3470" t="s">
        <v>3466</v>
      </c>
      <c r="AH166" s="3470" t="s">
        <v>3568</v>
      </c>
      <c r="AI166" s="3470" t="s">
        <v>3679</v>
      </c>
      <c r="AJ166" s="3478">
        <v>37894</v>
      </c>
      <c r="AK166" s="3479" t="s">
        <v>3570</v>
      </c>
      <c r="AL166" s="3470">
        <v>67641700</v>
      </c>
      <c r="AM166" s="3470" t="s">
        <v>3568</v>
      </c>
      <c r="AN166" s="3480" t="s">
        <v>3695</v>
      </c>
      <c r="AO166" s="3470" t="s">
        <v>3568</v>
      </c>
      <c r="AP166" s="3470" t="s">
        <v>3476</v>
      </c>
      <c r="AQ166" s="3470" t="s">
        <v>3571</v>
      </c>
      <c r="AW166" s="3470" t="s">
        <v>3572</v>
      </c>
      <c r="AX166" s="3470" t="s">
        <v>2511</v>
      </c>
      <c r="AY166" s="3481" t="s">
        <v>5040</v>
      </c>
      <c r="AZ166" s="3470" t="s">
        <v>3563</v>
      </c>
      <c r="BA166" s="3470" t="s">
        <v>3574</v>
      </c>
      <c r="BB166" s="3481"/>
      <c r="BC166" s="3470" t="s">
        <v>3576</v>
      </c>
      <c r="BD166" s="3482">
        <v>100037</v>
      </c>
      <c r="BE166" s="3470">
        <v>84050046</v>
      </c>
      <c r="BF166" s="3483">
        <v>2.8</v>
      </c>
      <c r="BG166" s="3478">
        <v>37558</v>
      </c>
      <c r="BI166" s="3441" t="s">
        <v>3476</v>
      </c>
      <c r="BJ166" s="3484">
        <v>37624</v>
      </c>
      <c r="BK166" s="3478">
        <v>37620</v>
      </c>
      <c r="BL166" s="3441" t="s">
        <v>3670</v>
      </c>
      <c r="BM166" s="3441"/>
      <c r="BN166" s="3441"/>
      <c r="BO166" s="3441"/>
      <c r="BP166" s="3441"/>
      <c r="BQ166" s="3441"/>
      <c r="BR166" s="3441"/>
    </row>
    <row r="167" spans="1:253" s="3441" customFormat="1" ht="12" hidden="1">
      <c r="A167" s="3485" t="s">
        <v>5041</v>
      </c>
      <c r="B167" s="3470" t="s">
        <v>5042</v>
      </c>
      <c r="C167" s="3481" t="s">
        <v>5043</v>
      </c>
      <c r="D167" s="3481" t="s">
        <v>5044</v>
      </c>
      <c r="E167" s="3470" t="s">
        <v>3538</v>
      </c>
      <c r="F167" s="3470" t="s">
        <v>3823</v>
      </c>
      <c r="G167" s="3470"/>
      <c r="H167" s="3470" t="s">
        <v>3879</v>
      </c>
      <c r="I167" s="3470"/>
      <c r="J167" s="3481" t="s">
        <v>5045</v>
      </c>
      <c r="K167" s="3470" t="s">
        <v>3751</v>
      </c>
      <c r="L167" s="3470">
        <v>109.38</v>
      </c>
      <c r="M167" s="3470">
        <v>11</v>
      </c>
      <c r="N167" s="3470" t="s">
        <v>3872</v>
      </c>
      <c r="O167" s="3470">
        <v>90.22</v>
      </c>
      <c r="P167" s="3470" t="s">
        <v>3452</v>
      </c>
      <c r="Q167" s="3457">
        <v>371892</v>
      </c>
      <c r="R167" s="3470">
        <v>3400</v>
      </c>
      <c r="S167" s="3472">
        <v>36.75</v>
      </c>
      <c r="T167" s="3527">
        <v>367500</v>
      </c>
      <c r="U167" s="3470">
        <v>3360</v>
      </c>
      <c r="V167" s="3474">
        <v>0.1</v>
      </c>
      <c r="W167" s="3475">
        <v>33.07</v>
      </c>
      <c r="X167" s="3494">
        <v>330700</v>
      </c>
      <c r="Y167" s="3441">
        <v>2003</v>
      </c>
      <c r="Z167" s="3441">
        <v>2</v>
      </c>
      <c r="AA167" s="3470">
        <v>14</v>
      </c>
      <c r="AB167" s="3477">
        <v>1470</v>
      </c>
      <c r="AC167" s="3470" t="s">
        <v>3585</v>
      </c>
      <c r="AD167" s="3485"/>
      <c r="AE167" s="3441" t="s">
        <v>3663</v>
      </c>
      <c r="AF167" s="3470" t="s">
        <v>3752</v>
      </c>
      <c r="AG167" s="3522" t="s">
        <v>3466</v>
      </c>
      <c r="AH167" s="3485"/>
      <c r="AI167" s="3470" t="s">
        <v>3679</v>
      </c>
      <c r="AJ167" s="3523">
        <v>38138</v>
      </c>
      <c r="AK167" s="3500">
        <v>2</v>
      </c>
      <c r="AL167" s="3441">
        <v>67641700</v>
      </c>
      <c r="AN167" s="3441" t="s">
        <v>3800</v>
      </c>
      <c r="AO167" s="3470" t="s">
        <v>5046</v>
      </c>
      <c r="AP167" s="3441" t="s">
        <v>3476</v>
      </c>
      <c r="AQ167" s="3441" t="s">
        <v>3571</v>
      </c>
      <c r="AV167" s="3441" t="s">
        <v>3568</v>
      </c>
      <c r="AW167" s="3441" t="s">
        <v>3572</v>
      </c>
      <c r="AY167" s="3524" t="s">
        <v>5047</v>
      </c>
      <c r="AZ167" s="3441" t="s">
        <v>3751</v>
      </c>
      <c r="BA167" s="3441" t="s">
        <v>3770</v>
      </c>
      <c r="BB167" s="3524" t="s">
        <v>3771</v>
      </c>
      <c r="BC167" s="3441" t="s">
        <v>3772</v>
      </c>
      <c r="BD167" s="3525">
        <v>102483</v>
      </c>
      <c r="BE167" s="3441">
        <v>63023627</v>
      </c>
      <c r="BF167" s="3526">
        <v>2.8</v>
      </c>
      <c r="BG167" s="3518">
        <v>37630</v>
      </c>
      <c r="BH167" s="3470" t="s">
        <v>3437</v>
      </c>
      <c r="BI167" s="3441" t="s">
        <v>3476</v>
      </c>
      <c r="BJ167" s="3484">
        <v>37630</v>
      </c>
      <c r="BK167" s="3484"/>
      <c r="BL167" s="3441" t="s">
        <v>3670</v>
      </c>
      <c r="BS167" s="3470"/>
      <c r="BT167" s="3470"/>
      <c r="BU167" s="3470"/>
    </row>
    <row r="168" spans="1:253" s="3441" customFormat="1" ht="12" hidden="1">
      <c r="A168" s="3485" t="s">
        <v>5048</v>
      </c>
      <c r="B168" s="3470" t="s">
        <v>5049</v>
      </c>
      <c r="C168" s="3481" t="s">
        <v>5050</v>
      </c>
      <c r="D168" s="3481" t="s">
        <v>5051</v>
      </c>
      <c r="E168" s="3470" t="s">
        <v>2736</v>
      </c>
      <c r="F168" s="3528" t="s">
        <v>3990</v>
      </c>
      <c r="G168" s="3470"/>
      <c r="H168" s="3470" t="s">
        <v>3991</v>
      </c>
      <c r="I168" s="3470" t="s">
        <v>5052</v>
      </c>
      <c r="J168" s="3481" t="s">
        <v>4061</v>
      </c>
      <c r="K168" s="3470" t="s">
        <v>3638</v>
      </c>
      <c r="L168" s="3470">
        <v>113.18</v>
      </c>
      <c r="M168" s="3470">
        <v>5</v>
      </c>
      <c r="N168" s="3470" t="s">
        <v>3661</v>
      </c>
      <c r="O168" s="3470">
        <v>91.76</v>
      </c>
      <c r="P168" s="3470" t="s">
        <v>3452</v>
      </c>
      <c r="Q168" s="3457">
        <v>676816.4</v>
      </c>
      <c r="R168" s="3470">
        <v>5980</v>
      </c>
      <c r="S168" s="3532">
        <v>67.02</v>
      </c>
      <c r="T168" s="3527">
        <v>670200</v>
      </c>
      <c r="U168" s="3470">
        <v>5922</v>
      </c>
      <c r="V168" s="3474">
        <v>0.1</v>
      </c>
      <c r="W168" s="3475">
        <v>60.31</v>
      </c>
      <c r="X168" s="3494">
        <v>603100</v>
      </c>
      <c r="Y168" s="3441">
        <v>2003</v>
      </c>
      <c r="Z168" s="3441">
        <v>3</v>
      </c>
      <c r="AA168" s="3441">
        <v>3</v>
      </c>
      <c r="AB168" s="3485">
        <v>3350</v>
      </c>
      <c r="AC168" s="3470" t="s">
        <v>4922</v>
      </c>
      <c r="AD168" s="3485"/>
      <c r="AE168" s="3441" t="s">
        <v>2156</v>
      </c>
      <c r="AF168" s="3470" t="s">
        <v>3618</v>
      </c>
      <c r="AG168" s="3522" t="s">
        <v>3454</v>
      </c>
      <c r="AH168" s="3485"/>
      <c r="AI168" s="3456" t="s">
        <v>4834</v>
      </c>
      <c r="AJ168" s="3523">
        <v>37965</v>
      </c>
      <c r="AK168" s="3462" t="s">
        <v>3649</v>
      </c>
      <c r="AL168" s="3495">
        <v>67641700</v>
      </c>
      <c r="AN168" s="3441" t="s">
        <v>3619</v>
      </c>
      <c r="AO168" s="3441" t="s">
        <v>5053</v>
      </c>
      <c r="AP168" s="3456" t="s">
        <v>3476</v>
      </c>
      <c r="AQ168" s="3469" t="s">
        <v>3571</v>
      </c>
      <c r="AW168" s="3441" t="s">
        <v>3548</v>
      </c>
      <c r="AX168" s="3484" t="s">
        <v>3606</v>
      </c>
      <c r="AY168" s="3524" t="s">
        <v>5054</v>
      </c>
      <c r="AZ168" s="3470" t="s">
        <v>3647</v>
      </c>
      <c r="BA168" s="3441" t="s">
        <v>4048</v>
      </c>
      <c r="BB168" s="3524" t="s">
        <v>4364</v>
      </c>
      <c r="BC168" s="3441" t="s">
        <v>4049</v>
      </c>
      <c r="BD168" s="3525">
        <v>100088</v>
      </c>
      <c r="BE168" s="3441">
        <v>82058259</v>
      </c>
      <c r="BF168" s="3526">
        <v>2.9</v>
      </c>
      <c r="BG168" s="3518">
        <v>37602</v>
      </c>
      <c r="BI168" s="3486" t="s">
        <v>3721</v>
      </c>
      <c r="BJ168" s="3484">
        <v>37636</v>
      </c>
      <c r="BK168" s="3484">
        <v>37679</v>
      </c>
      <c r="BL168" s="3441" t="s">
        <v>3670</v>
      </c>
      <c r="BS168" s="3470"/>
      <c r="BT168" s="3470"/>
      <c r="BU168" s="3470"/>
    </row>
    <row r="169" spans="1:253" s="3470" customFormat="1" ht="12" hidden="1">
      <c r="A169" s="3470" t="s">
        <v>5055</v>
      </c>
      <c r="B169" s="3470" t="s">
        <v>5056</v>
      </c>
      <c r="C169" s="3481" t="s">
        <v>5057</v>
      </c>
      <c r="D169" s="3470">
        <v>13911019090</v>
      </c>
      <c r="E169" s="3470" t="s">
        <v>3558</v>
      </c>
      <c r="F169" s="3470" t="s">
        <v>3613</v>
      </c>
      <c r="H169" s="3453" t="s">
        <v>4820</v>
      </c>
      <c r="I169" s="3453" t="s">
        <v>4207</v>
      </c>
      <c r="J169" s="3453" t="s">
        <v>5058</v>
      </c>
      <c r="K169" s="3470" t="s">
        <v>3968</v>
      </c>
      <c r="L169" s="3495">
        <v>146.99</v>
      </c>
      <c r="M169" s="3495">
        <v>3</v>
      </c>
      <c r="N169" s="3470" t="s">
        <v>4003</v>
      </c>
      <c r="O169" s="3495">
        <v>134.26</v>
      </c>
      <c r="P169" s="3470" t="s">
        <v>3452</v>
      </c>
      <c r="Q169" s="3457">
        <v>653749.78419999999</v>
      </c>
      <c r="R169" s="3470">
        <v>4447.58</v>
      </c>
      <c r="S169" s="3472">
        <v>64.709999999999994</v>
      </c>
      <c r="T169" s="3473">
        <v>647099.99999999988</v>
      </c>
      <c r="U169" s="3470">
        <v>4403</v>
      </c>
      <c r="V169" s="3474">
        <v>0.1</v>
      </c>
      <c r="W169" s="3475">
        <v>58.23</v>
      </c>
      <c r="X169" s="3473">
        <v>582300</v>
      </c>
      <c r="Y169" s="3441">
        <v>2003</v>
      </c>
      <c r="Z169" s="3441">
        <v>1</v>
      </c>
      <c r="AA169" s="3470">
        <v>17</v>
      </c>
      <c r="AB169" s="3485">
        <v>3235</v>
      </c>
      <c r="AC169" s="3470" t="s">
        <v>3585</v>
      </c>
      <c r="AE169" s="3441" t="s">
        <v>3663</v>
      </c>
      <c r="AF169" s="3453" t="s">
        <v>3728</v>
      </c>
      <c r="AG169" s="3470" t="s">
        <v>3466</v>
      </c>
      <c r="AI169" s="3470" t="s">
        <v>3711</v>
      </c>
      <c r="AJ169" s="3478">
        <v>37894</v>
      </c>
      <c r="AK169" s="3479" t="s">
        <v>3570</v>
      </c>
      <c r="AL169" s="3441">
        <v>67641700</v>
      </c>
      <c r="AN169" s="3480" t="s">
        <v>3482</v>
      </c>
      <c r="AO169" s="3470" t="s">
        <v>5059</v>
      </c>
      <c r="AP169" s="3441" t="s">
        <v>3476</v>
      </c>
      <c r="AQ169" s="3456" t="s">
        <v>3571</v>
      </c>
      <c r="AV169" s="3519"/>
      <c r="AW169" s="3470" t="s">
        <v>3572</v>
      </c>
      <c r="AX169" s="3470" t="s">
        <v>2511</v>
      </c>
      <c r="AY169" s="3495">
        <v>252173</v>
      </c>
      <c r="AZ169" s="3470" t="s">
        <v>3968</v>
      </c>
      <c r="BA169" s="3470" t="s">
        <v>3971</v>
      </c>
      <c r="BB169" s="3470" t="s">
        <v>3972</v>
      </c>
      <c r="BC169" s="3470" t="s">
        <v>3973</v>
      </c>
      <c r="BD169" s="3470">
        <v>100096</v>
      </c>
      <c r="BE169" s="3470">
        <v>82919961</v>
      </c>
      <c r="BF169" s="3520">
        <v>2.9</v>
      </c>
      <c r="BG169" s="3478">
        <v>37612</v>
      </c>
      <c r="BI169" s="3441" t="s">
        <v>3700</v>
      </c>
      <c r="BJ169" s="3478">
        <v>37637</v>
      </c>
      <c r="BK169" s="3478"/>
      <c r="BL169" s="3441" t="s">
        <v>3670</v>
      </c>
      <c r="BM169" s="3441"/>
      <c r="BN169" s="3441"/>
      <c r="BO169" s="3441"/>
      <c r="BP169" s="3441"/>
      <c r="BQ169" s="3441"/>
      <c r="BR169" s="3441"/>
    </row>
    <row r="170" spans="1:253" s="3470" customFormat="1" ht="12" hidden="1">
      <c r="A170" s="3470" t="s">
        <v>5060</v>
      </c>
      <c r="B170" s="3470" t="s">
        <v>5061</v>
      </c>
      <c r="C170" s="3471" t="s">
        <v>5062</v>
      </c>
      <c r="D170" s="3470" t="s">
        <v>5063</v>
      </c>
      <c r="E170" s="3470" t="s">
        <v>3558</v>
      </c>
      <c r="F170" s="3470" t="s">
        <v>5064</v>
      </c>
      <c r="H170" s="3470" t="s">
        <v>5065</v>
      </c>
      <c r="I170" s="3470" t="s">
        <v>5066</v>
      </c>
      <c r="J170" s="3470" t="s">
        <v>5067</v>
      </c>
      <c r="K170" s="3470" t="s">
        <v>5068</v>
      </c>
      <c r="L170" s="3470">
        <v>96</v>
      </c>
      <c r="M170" s="3470">
        <v>7</v>
      </c>
      <c r="N170" s="3470" t="s">
        <v>5032</v>
      </c>
      <c r="O170" s="3470">
        <v>75.39</v>
      </c>
      <c r="P170" s="3470" t="s">
        <v>3452</v>
      </c>
      <c r="Q170" s="3457">
        <v>595200</v>
      </c>
      <c r="R170" s="3470">
        <v>6200</v>
      </c>
      <c r="S170" s="3472">
        <v>58.94</v>
      </c>
      <c r="T170" s="3473">
        <v>589400</v>
      </c>
      <c r="U170" s="3470">
        <v>6140</v>
      </c>
      <c r="V170" s="3474">
        <v>0.1</v>
      </c>
      <c r="W170" s="3475">
        <v>53.04</v>
      </c>
      <c r="X170" s="3476">
        <v>530400</v>
      </c>
      <c r="Y170" s="3441">
        <v>2003</v>
      </c>
      <c r="Z170" s="3441">
        <v>1</v>
      </c>
      <c r="AA170" s="3470">
        <v>9</v>
      </c>
      <c r="AB170" s="3477">
        <v>2945</v>
      </c>
      <c r="AC170" s="3470" t="s">
        <v>3693</v>
      </c>
      <c r="AE170" s="3470" t="s">
        <v>3663</v>
      </c>
      <c r="AF170" s="3470" t="s">
        <v>3728</v>
      </c>
      <c r="AG170" s="3470" t="s">
        <v>3466</v>
      </c>
      <c r="AI170" s="3470" t="s">
        <v>3679</v>
      </c>
      <c r="AJ170" s="3478">
        <v>37753</v>
      </c>
      <c r="AK170" s="3479" t="s">
        <v>3570</v>
      </c>
      <c r="AL170" s="3470">
        <v>67641700</v>
      </c>
      <c r="AN170" s="3480" t="s">
        <v>3695</v>
      </c>
      <c r="AP170" s="3470" t="s">
        <v>3476</v>
      </c>
      <c r="AQ170" s="3470" t="s">
        <v>3571</v>
      </c>
      <c r="AW170" s="3470" t="s">
        <v>3572</v>
      </c>
      <c r="AX170" s="3470" t="s">
        <v>2511</v>
      </c>
      <c r="AY170" s="3481" t="s">
        <v>5069</v>
      </c>
      <c r="AZ170" s="3470" t="s">
        <v>5068</v>
      </c>
      <c r="BA170" s="3470" t="s">
        <v>5070</v>
      </c>
      <c r="BB170" s="3481" t="s">
        <v>5071</v>
      </c>
      <c r="BC170" s="3470" t="s">
        <v>5072</v>
      </c>
      <c r="BD170" s="3482">
        <v>100086</v>
      </c>
      <c r="BE170" s="3470">
        <v>62550762</v>
      </c>
      <c r="BF170" s="3483">
        <v>2.7</v>
      </c>
      <c r="BG170" s="3478">
        <v>37586</v>
      </c>
      <c r="BI170" s="3441" t="s">
        <v>3700</v>
      </c>
      <c r="BJ170" s="3484">
        <v>37629</v>
      </c>
      <c r="BK170" s="3478"/>
      <c r="BL170" s="3441"/>
      <c r="BM170" s="3441"/>
      <c r="BN170" s="3441"/>
      <c r="BO170" s="3441"/>
      <c r="BP170" s="3441"/>
      <c r="BQ170" s="3441"/>
      <c r="BR170" s="3441"/>
    </row>
    <row r="171" spans="1:253" s="3441" customFormat="1" ht="12" hidden="1">
      <c r="A171" s="3485" t="s">
        <v>5073</v>
      </c>
      <c r="B171" s="3470" t="s">
        <v>5074</v>
      </c>
      <c r="C171" s="3481" t="s">
        <v>5075</v>
      </c>
      <c r="D171" s="3481" t="s">
        <v>5076</v>
      </c>
      <c r="E171" s="3470" t="s">
        <v>2736</v>
      </c>
      <c r="F171" s="3470" t="s">
        <v>3823</v>
      </c>
      <c r="G171" s="3470"/>
      <c r="H171" s="3470" t="s">
        <v>3879</v>
      </c>
      <c r="I171" s="3470"/>
      <c r="J171" s="3481" t="s">
        <v>5077</v>
      </c>
      <c r="K171" s="3470" t="s">
        <v>3751</v>
      </c>
      <c r="L171" s="3470">
        <v>138.19999999999999</v>
      </c>
      <c r="M171" s="3470">
        <v>2</v>
      </c>
      <c r="N171" s="3470" t="s">
        <v>3488</v>
      </c>
      <c r="O171" s="3470">
        <v>113.99</v>
      </c>
      <c r="P171" s="3470" t="s">
        <v>3452</v>
      </c>
      <c r="Q171" s="3457">
        <v>524469</v>
      </c>
      <c r="R171" s="3470">
        <v>3795</v>
      </c>
      <c r="S171" s="3472">
        <v>51.79</v>
      </c>
      <c r="T171" s="3527">
        <v>517900</v>
      </c>
      <c r="U171" s="3470">
        <v>3748</v>
      </c>
      <c r="V171" s="3474">
        <v>0.1</v>
      </c>
      <c r="W171" s="3475">
        <v>46.61</v>
      </c>
      <c r="X171" s="3494">
        <v>466100</v>
      </c>
      <c r="Y171" s="3441">
        <v>2003</v>
      </c>
      <c r="Z171" s="3441">
        <v>2</v>
      </c>
      <c r="AA171" s="3470">
        <v>17</v>
      </c>
      <c r="AB171" s="3477">
        <v>2070</v>
      </c>
      <c r="AC171" s="3470" t="s">
        <v>3634</v>
      </c>
      <c r="AD171" s="3485"/>
      <c r="AE171" s="3441" t="s">
        <v>3663</v>
      </c>
      <c r="AF171" s="3470" t="s">
        <v>3810</v>
      </c>
      <c r="AG171" s="3522" t="s">
        <v>3466</v>
      </c>
      <c r="AH171" s="3485"/>
      <c r="AI171" s="3470" t="s">
        <v>3679</v>
      </c>
      <c r="AJ171" s="3523">
        <v>38138</v>
      </c>
      <c r="AK171" s="3500">
        <v>2</v>
      </c>
      <c r="AL171" s="3441">
        <v>67641700</v>
      </c>
      <c r="AN171" s="3441" t="s">
        <v>3482</v>
      </c>
      <c r="AO171" s="3470" t="s">
        <v>5078</v>
      </c>
      <c r="AP171" s="3441" t="s">
        <v>3476</v>
      </c>
      <c r="AQ171" s="3441" t="s">
        <v>3571</v>
      </c>
      <c r="AV171" s="3441" t="s">
        <v>3568</v>
      </c>
      <c r="AW171" s="3441" t="s">
        <v>3572</v>
      </c>
      <c r="AY171" s="3524" t="s">
        <v>5079</v>
      </c>
      <c r="AZ171" s="3441" t="s">
        <v>3751</v>
      </c>
      <c r="BA171" s="3441" t="s">
        <v>3755</v>
      </c>
      <c r="BB171" s="3524" t="s">
        <v>3803</v>
      </c>
      <c r="BC171" s="3441" t="s">
        <v>3772</v>
      </c>
      <c r="BD171" s="3525">
        <v>102483</v>
      </c>
      <c r="BE171" s="3441">
        <v>63023627</v>
      </c>
      <c r="BF171" s="3526">
        <v>2.8</v>
      </c>
      <c r="BG171" s="3518">
        <v>37638</v>
      </c>
      <c r="BH171" s="3470" t="s">
        <v>3437</v>
      </c>
      <c r="BI171" s="3441" t="s">
        <v>3476</v>
      </c>
      <c r="BJ171" s="3518">
        <v>37664</v>
      </c>
      <c r="BK171" s="3484"/>
      <c r="BL171" s="3441" t="s">
        <v>3670</v>
      </c>
      <c r="BS171" s="3470"/>
      <c r="BT171" s="3470"/>
      <c r="BU171" s="3470"/>
    </row>
    <row r="172" spans="1:253" s="3441" customFormat="1" ht="12" hidden="1">
      <c r="A172" s="3485" t="s">
        <v>5080</v>
      </c>
      <c r="B172" s="3470" t="s">
        <v>5081</v>
      </c>
      <c r="C172" s="3481" t="s">
        <v>5082</v>
      </c>
      <c r="D172" s="3481" t="s">
        <v>5083</v>
      </c>
      <c r="E172" s="3470" t="s">
        <v>3763</v>
      </c>
      <c r="F172" s="3528" t="s">
        <v>3990</v>
      </c>
      <c r="G172" s="3470"/>
      <c r="H172" s="3470" t="s">
        <v>3629</v>
      </c>
      <c r="I172" s="3470" t="s">
        <v>4255</v>
      </c>
      <c r="J172" s="3481" t="s">
        <v>4174</v>
      </c>
      <c r="K172" s="3470" t="s">
        <v>3647</v>
      </c>
      <c r="L172" s="3470">
        <v>113.18</v>
      </c>
      <c r="M172" s="3470">
        <v>2</v>
      </c>
      <c r="N172" s="3470" t="s">
        <v>3661</v>
      </c>
      <c r="O172" s="3470">
        <v>91.76</v>
      </c>
      <c r="P172" s="3470" t="s">
        <v>3452</v>
      </c>
      <c r="Q172" s="3457">
        <v>666630.20000000007</v>
      </c>
      <c r="R172" s="3470">
        <v>5890</v>
      </c>
      <c r="S172" s="3472">
        <v>66.010000000000005</v>
      </c>
      <c r="T172" s="3527">
        <v>660100</v>
      </c>
      <c r="U172" s="3470">
        <v>5833</v>
      </c>
      <c r="V172" s="3474">
        <v>0.1</v>
      </c>
      <c r="W172" s="3475">
        <v>59.4</v>
      </c>
      <c r="X172" s="3494">
        <v>594000</v>
      </c>
      <c r="Y172" s="3441">
        <v>2003</v>
      </c>
      <c r="Z172" s="3441">
        <v>3</v>
      </c>
      <c r="AA172" s="3441">
        <v>3</v>
      </c>
      <c r="AB172" s="3485">
        <v>3300</v>
      </c>
      <c r="AC172" s="3470" t="s">
        <v>3544</v>
      </c>
      <c r="AD172" s="3485"/>
      <c r="AE172" s="3441" t="s">
        <v>2156</v>
      </c>
      <c r="AF172" s="3470" t="s">
        <v>4152</v>
      </c>
      <c r="AG172" s="3522" t="s">
        <v>3454</v>
      </c>
      <c r="AH172" s="3485"/>
      <c r="AI172" s="3456" t="s">
        <v>4834</v>
      </c>
      <c r="AJ172" s="3523">
        <v>37965</v>
      </c>
      <c r="AK172" s="3462" t="s">
        <v>3649</v>
      </c>
      <c r="AL172" s="3495">
        <v>67641700</v>
      </c>
      <c r="AN172" s="3441" t="s">
        <v>3619</v>
      </c>
      <c r="AP172" s="3456" t="s">
        <v>3476</v>
      </c>
      <c r="AQ172" s="3469" t="s">
        <v>3571</v>
      </c>
      <c r="AW172" s="3441" t="s">
        <v>4064</v>
      </c>
      <c r="AX172" s="3484" t="s">
        <v>3606</v>
      </c>
      <c r="AY172" s="3524" t="s">
        <v>5084</v>
      </c>
      <c r="AZ172" s="3470" t="s">
        <v>3631</v>
      </c>
      <c r="BA172" s="3441" t="s">
        <v>4048</v>
      </c>
      <c r="BB172" s="3524" t="s">
        <v>3640</v>
      </c>
      <c r="BC172" s="3441" t="s">
        <v>4049</v>
      </c>
      <c r="BD172" s="3525">
        <v>100088</v>
      </c>
      <c r="BE172" s="3441">
        <v>82058259</v>
      </c>
      <c r="BF172" s="3526">
        <v>2.9</v>
      </c>
      <c r="BG172" s="3518">
        <v>37606</v>
      </c>
      <c r="BI172" s="3486" t="s">
        <v>3721</v>
      </c>
      <c r="BJ172" s="3484">
        <v>37630</v>
      </c>
      <c r="BK172" s="3484">
        <v>37679</v>
      </c>
      <c r="BL172" s="3441" t="s">
        <v>3670</v>
      </c>
      <c r="BS172" s="3470"/>
      <c r="BT172" s="3470"/>
      <c r="BU172" s="3470"/>
    </row>
    <row r="173" spans="1:253" s="3470" customFormat="1" ht="12" hidden="1">
      <c r="A173" s="3470" t="s">
        <v>5085</v>
      </c>
      <c r="B173" s="3470" t="s">
        <v>5086</v>
      </c>
      <c r="C173" s="3471" t="s">
        <v>5087</v>
      </c>
      <c r="D173" s="3470">
        <v>13910108634</v>
      </c>
      <c r="E173" s="3470" t="s">
        <v>3558</v>
      </c>
      <c r="F173" s="3470" t="s">
        <v>4025</v>
      </c>
      <c r="H173" s="3470" t="s">
        <v>4026</v>
      </c>
      <c r="I173" s="3470" t="s">
        <v>5088</v>
      </c>
      <c r="J173" s="3470" t="s">
        <v>5089</v>
      </c>
      <c r="K173" s="3470" t="s">
        <v>4029</v>
      </c>
      <c r="L173" s="3470">
        <v>85.86</v>
      </c>
      <c r="M173" s="3470">
        <v>5</v>
      </c>
      <c r="N173" s="3470" t="s">
        <v>4030</v>
      </c>
      <c r="O173" s="3470">
        <v>69.540000000000006</v>
      </c>
      <c r="P173" s="3470" t="s">
        <v>3452</v>
      </c>
      <c r="Q173" s="3457">
        <v>345826.908</v>
      </c>
      <c r="R173" s="3470">
        <v>4027.8</v>
      </c>
      <c r="S173" s="3472">
        <v>34.17</v>
      </c>
      <c r="T173" s="3473">
        <v>341700</v>
      </c>
      <c r="U173" s="3470">
        <v>3980</v>
      </c>
      <c r="V173" s="3474">
        <v>0.1</v>
      </c>
      <c r="W173" s="3475">
        <v>30.75</v>
      </c>
      <c r="X173" s="3476">
        <v>307500</v>
      </c>
      <c r="Y173" s="3441">
        <v>2003</v>
      </c>
      <c r="Z173" s="3441">
        <v>1</v>
      </c>
      <c r="AA173" s="3470">
        <v>10</v>
      </c>
      <c r="AB173" s="3477">
        <v>1705</v>
      </c>
      <c r="AC173" s="3470" t="s">
        <v>3565</v>
      </c>
      <c r="AE173" s="3470" t="s">
        <v>3663</v>
      </c>
      <c r="AF173" s="3470" t="s">
        <v>5090</v>
      </c>
      <c r="AG173" s="3470" t="s">
        <v>3466</v>
      </c>
      <c r="AH173" s="3470" t="s">
        <v>3568</v>
      </c>
      <c r="AI173" s="3470" t="s">
        <v>3679</v>
      </c>
      <c r="AJ173" s="3478">
        <v>37621</v>
      </c>
      <c r="AK173" s="3479" t="s">
        <v>3570</v>
      </c>
      <c r="AL173" s="3470">
        <v>67641700</v>
      </c>
      <c r="AN173" s="3480" t="s">
        <v>3695</v>
      </c>
      <c r="AO173" s="3470" t="s">
        <v>3568</v>
      </c>
      <c r="AP173" s="3470" t="s">
        <v>3476</v>
      </c>
      <c r="AQ173" s="3470" t="s">
        <v>3571</v>
      </c>
      <c r="AW173" s="3470" t="s">
        <v>3572</v>
      </c>
      <c r="AX173" s="3470" t="s">
        <v>2511</v>
      </c>
      <c r="AY173" s="3481" t="s">
        <v>5091</v>
      </c>
      <c r="AZ173" s="3470" t="s">
        <v>4029</v>
      </c>
      <c r="BA173" s="3470" t="s">
        <v>4034</v>
      </c>
      <c r="BB173" s="3481" t="s">
        <v>4127</v>
      </c>
      <c r="BC173" s="3470" t="s">
        <v>4035</v>
      </c>
      <c r="BD173" s="3482">
        <v>100034</v>
      </c>
      <c r="BE173" s="3470">
        <v>66177078</v>
      </c>
      <c r="BF173" s="3483">
        <v>2.7</v>
      </c>
      <c r="BG173" s="3478">
        <v>37469</v>
      </c>
      <c r="BI173" s="3441" t="s">
        <v>3700</v>
      </c>
      <c r="BJ173" s="3484">
        <v>37629</v>
      </c>
      <c r="BK173" s="3478"/>
      <c r="BL173" s="3441" t="s">
        <v>3670</v>
      </c>
      <c r="BM173" s="3441"/>
      <c r="BN173" s="3441"/>
      <c r="BO173" s="3441"/>
      <c r="BP173" s="3441"/>
      <c r="BQ173" s="3441"/>
      <c r="BR173" s="3441"/>
    </row>
    <row r="174" spans="1:253" s="3441" customFormat="1" ht="12" hidden="1">
      <c r="A174" s="3485" t="s">
        <v>5092</v>
      </c>
      <c r="B174" s="3470" t="s">
        <v>5093</v>
      </c>
      <c r="C174" s="3481" t="s">
        <v>5094</v>
      </c>
      <c r="D174" s="3481" t="s">
        <v>5095</v>
      </c>
      <c r="E174" s="3470" t="s">
        <v>2736</v>
      </c>
      <c r="F174" s="3470" t="s">
        <v>3823</v>
      </c>
      <c r="G174" s="3470"/>
      <c r="H174" s="3470" t="s">
        <v>3749</v>
      </c>
      <c r="I174" s="3470"/>
      <c r="J174" s="3481" t="s">
        <v>4382</v>
      </c>
      <c r="K174" s="3470" t="s">
        <v>3751</v>
      </c>
      <c r="L174" s="3470">
        <v>112.34</v>
      </c>
      <c r="M174" s="3470">
        <v>3</v>
      </c>
      <c r="N174" s="3470" t="s">
        <v>3778</v>
      </c>
      <c r="O174" s="3470">
        <v>92.66</v>
      </c>
      <c r="P174" s="3470" t="s">
        <v>3452</v>
      </c>
      <c r="Q174" s="3457">
        <v>468457.8</v>
      </c>
      <c r="R174" s="3470">
        <v>4170</v>
      </c>
      <c r="S174" s="3472">
        <v>46.37</v>
      </c>
      <c r="T174" s="3527">
        <v>463700</v>
      </c>
      <c r="U174" s="3470">
        <v>4128</v>
      </c>
      <c r="V174" s="3474">
        <v>0.1</v>
      </c>
      <c r="W174" s="3475">
        <v>41.73</v>
      </c>
      <c r="X174" s="3494">
        <v>417299.99999999994</v>
      </c>
      <c r="Y174" s="3441">
        <v>2003</v>
      </c>
      <c r="Z174" s="3441">
        <v>2</v>
      </c>
      <c r="AA174" s="3470">
        <v>14</v>
      </c>
      <c r="AB174" s="3477">
        <v>1850</v>
      </c>
      <c r="AC174" s="3470" t="s">
        <v>3648</v>
      </c>
      <c r="AD174" s="3485"/>
      <c r="AE174" s="3441" t="s">
        <v>3663</v>
      </c>
      <c r="AF174" s="3470" t="s">
        <v>3799</v>
      </c>
      <c r="AG174" s="3522" t="s">
        <v>3466</v>
      </c>
      <c r="AH174" s="3485"/>
      <c r="AI174" s="3470" t="s">
        <v>3679</v>
      </c>
      <c r="AJ174" s="3523">
        <v>38138</v>
      </c>
      <c r="AK174" s="3500">
        <v>2</v>
      </c>
      <c r="AL174" s="3441">
        <v>67641700</v>
      </c>
      <c r="AN174" s="3441" t="s">
        <v>3800</v>
      </c>
      <c r="AO174" s="3470" t="s">
        <v>5096</v>
      </c>
      <c r="AP174" s="3441" t="s">
        <v>3476</v>
      </c>
      <c r="AQ174" s="3441" t="s">
        <v>3571</v>
      </c>
      <c r="AV174" s="3441" t="s">
        <v>3568</v>
      </c>
      <c r="AW174" s="3441" t="s">
        <v>3572</v>
      </c>
      <c r="AY174" s="3524" t="s">
        <v>5097</v>
      </c>
      <c r="AZ174" s="3441" t="s">
        <v>3766</v>
      </c>
      <c r="BA174" s="3441" t="s">
        <v>3770</v>
      </c>
      <c r="BB174" s="3524" t="s">
        <v>3803</v>
      </c>
      <c r="BC174" s="3441" t="s">
        <v>3772</v>
      </c>
      <c r="BD174" s="3525">
        <v>102483</v>
      </c>
      <c r="BE174" s="3441">
        <v>63023627</v>
      </c>
      <c r="BF174" s="3526">
        <v>2.8</v>
      </c>
      <c r="BG174" s="3518">
        <v>37630</v>
      </c>
      <c r="BH174" s="3470" t="s">
        <v>3437</v>
      </c>
      <c r="BI174" s="3441" t="s">
        <v>3476</v>
      </c>
      <c r="BJ174" s="3484">
        <v>37638</v>
      </c>
      <c r="BK174" s="3484"/>
      <c r="BL174" s="3441" t="s">
        <v>3670</v>
      </c>
      <c r="BS174" s="3470"/>
      <c r="BT174" s="3470"/>
      <c r="BU174" s="3470"/>
    </row>
    <row r="175" spans="1:253" s="3470" customFormat="1" ht="12" hidden="1">
      <c r="A175" s="3470" t="s">
        <v>5098</v>
      </c>
      <c r="B175" s="3470" t="s">
        <v>5099</v>
      </c>
      <c r="C175" s="3481" t="s">
        <v>5100</v>
      </c>
      <c r="D175" s="3470">
        <v>65881498</v>
      </c>
      <c r="E175" s="3470" t="s">
        <v>3558</v>
      </c>
      <c r="F175" s="3470" t="s">
        <v>3613</v>
      </c>
      <c r="H175" s="3453" t="s">
        <v>5101</v>
      </c>
      <c r="I175" s="3453" t="s">
        <v>3464</v>
      </c>
      <c r="J175" s="3453" t="s">
        <v>4549</v>
      </c>
      <c r="K175" s="3542" t="s">
        <v>5102</v>
      </c>
      <c r="L175" s="3495">
        <v>144.68</v>
      </c>
      <c r="M175" s="3495">
        <v>3</v>
      </c>
      <c r="N175" s="3470" t="s">
        <v>4003</v>
      </c>
      <c r="O175" s="3495">
        <v>132.65</v>
      </c>
      <c r="P175" s="3470" t="s">
        <v>3452</v>
      </c>
      <c r="Q175" s="3457">
        <v>633698.4</v>
      </c>
      <c r="R175" s="3470">
        <v>4380</v>
      </c>
      <c r="S175" s="3472">
        <v>62.64</v>
      </c>
      <c r="T175" s="3473">
        <v>626400</v>
      </c>
      <c r="U175" s="3470">
        <v>4330</v>
      </c>
      <c r="V175" s="3474">
        <v>0.1</v>
      </c>
      <c r="W175" s="3475">
        <v>56.37</v>
      </c>
      <c r="X175" s="3473">
        <v>563700</v>
      </c>
      <c r="Y175" s="3441">
        <v>2003</v>
      </c>
      <c r="Z175" s="3441">
        <v>1</v>
      </c>
      <c r="AA175" s="3441">
        <v>14</v>
      </c>
      <c r="AB175" s="3485">
        <v>3130</v>
      </c>
      <c r="AC175" s="3470" t="s">
        <v>3544</v>
      </c>
      <c r="AE175" s="3456" t="s">
        <v>2156</v>
      </c>
      <c r="AF175" s="3453" t="s">
        <v>3956</v>
      </c>
      <c r="AG175" s="3470" t="s">
        <v>3466</v>
      </c>
      <c r="AI175" s="3470" t="s">
        <v>3553</v>
      </c>
      <c r="AJ175" s="3478">
        <v>37710</v>
      </c>
      <c r="AK175" s="3500">
        <v>1</v>
      </c>
      <c r="AL175" s="3495">
        <v>67641700</v>
      </c>
      <c r="AN175" s="3480" t="s">
        <v>3482</v>
      </c>
      <c r="AP175" s="3456" t="s">
        <v>3475</v>
      </c>
      <c r="AQ175" s="3480" t="s">
        <v>3571</v>
      </c>
      <c r="AV175" s="3519"/>
      <c r="AW175" s="3470" t="s">
        <v>3572</v>
      </c>
      <c r="AX175" s="3470" t="s">
        <v>2511</v>
      </c>
      <c r="AY175" s="3495">
        <v>252190</v>
      </c>
      <c r="AZ175" s="3542" t="s">
        <v>5102</v>
      </c>
      <c r="BA175" s="3470" t="s">
        <v>3971</v>
      </c>
      <c r="BB175" s="3470" t="s">
        <v>3972</v>
      </c>
      <c r="BC175" s="3470" t="s">
        <v>3973</v>
      </c>
      <c r="BD175" s="3470">
        <v>100096</v>
      </c>
      <c r="BE175" s="3470">
        <v>82919961</v>
      </c>
      <c r="BF175" s="3520">
        <v>2.9</v>
      </c>
      <c r="BG175" s="3478">
        <v>37628</v>
      </c>
      <c r="BI175" s="3441" t="s">
        <v>3475</v>
      </c>
      <c r="BJ175" s="3478">
        <v>37631</v>
      </c>
      <c r="BK175" s="3478"/>
      <c r="BL175" s="3441" t="s">
        <v>3670</v>
      </c>
      <c r="BM175" s="3441"/>
      <c r="BN175" s="3441"/>
      <c r="BO175" s="3441"/>
      <c r="BP175" s="3441"/>
      <c r="BQ175" s="3441"/>
      <c r="BR175" s="3441"/>
    </row>
    <row r="176" spans="1:253" s="3470" customFormat="1" ht="12" hidden="1">
      <c r="A176" s="3470" t="s">
        <v>5103</v>
      </c>
      <c r="B176" s="3470" t="s">
        <v>5104</v>
      </c>
      <c r="C176" s="3481" t="s">
        <v>5105</v>
      </c>
      <c r="D176" s="3470">
        <v>62011987</v>
      </c>
      <c r="E176" s="3470" t="s">
        <v>3558</v>
      </c>
      <c r="F176" s="3470" t="s">
        <v>5001</v>
      </c>
      <c r="H176" s="3453" t="s">
        <v>5002</v>
      </c>
      <c r="I176" s="3453" t="s">
        <v>3992</v>
      </c>
      <c r="J176" s="3453" t="s">
        <v>5003</v>
      </c>
      <c r="K176" s="3470" t="s">
        <v>5004</v>
      </c>
      <c r="L176" s="3495">
        <v>125.64</v>
      </c>
      <c r="M176" s="3495" t="s">
        <v>5005</v>
      </c>
      <c r="N176" s="3470" t="s">
        <v>3969</v>
      </c>
      <c r="O176" s="3495">
        <v>110.62</v>
      </c>
      <c r="P176" s="3470" t="s">
        <v>4222</v>
      </c>
      <c r="Q176" s="3457">
        <v>364356</v>
      </c>
      <c r="R176" s="3470">
        <v>2900</v>
      </c>
      <c r="S176" s="3472">
        <v>35.93</v>
      </c>
      <c r="T176" s="3473">
        <v>359300</v>
      </c>
      <c r="U176" s="3470">
        <v>2860</v>
      </c>
      <c r="V176" s="3474">
        <v>0.1</v>
      </c>
      <c r="W176" s="3475">
        <v>32.33</v>
      </c>
      <c r="X176" s="3473">
        <v>323300</v>
      </c>
      <c r="Y176" s="3441">
        <v>2003</v>
      </c>
      <c r="Z176" s="3441">
        <v>1</v>
      </c>
      <c r="AA176" s="3470">
        <v>20</v>
      </c>
      <c r="AB176" s="3485">
        <v>1795</v>
      </c>
      <c r="AC176" s="3470" t="s">
        <v>3710</v>
      </c>
      <c r="AE176" s="3456" t="s">
        <v>3663</v>
      </c>
      <c r="AF176" s="3453" t="s">
        <v>3493</v>
      </c>
      <c r="AG176" s="3470" t="s">
        <v>3466</v>
      </c>
      <c r="AI176" s="3470" t="s">
        <v>3679</v>
      </c>
      <c r="AJ176" s="3478">
        <v>37599</v>
      </c>
      <c r="AK176" s="3479" t="s">
        <v>3570</v>
      </c>
      <c r="AL176" s="3495">
        <v>67641700</v>
      </c>
      <c r="AN176" s="3480" t="s">
        <v>3768</v>
      </c>
      <c r="AO176" s="3470" t="s">
        <v>3568</v>
      </c>
      <c r="AP176" s="3456" t="s">
        <v>3476</v>
      </c>
      <c r="AQ176" s="3456" t="s">
        <v>3571</v>
      </c>
      <c r="AV176" s="3519"/>
      <c r="AW176" s="3470" t="s">
        <v>3572</v>
      </c>
      <c r="AX176" s="3470" t="s">
        <v>2511</v>
      </c>
      <c r="AY176" s="3495">
        <v>212568</v>
      </c>
      <c r="AZ176" s="3470" t="s">
        <v>5004</v>
      </c>
      <c r="BA176" s="3470" t="s">
        <v>5007</v>
      </c>
      <c r="BB176" s="3470">
        <v>11506608</v>
      </c>
      <c r="BC176" s="3470" t="s">
        <v>5008</v>
      </c>
      <c r="BD176" s="3470">
        <v>100078</v>
      </c>
      <c r="BE176" s="3470">
        <v>68872458</v>
      </c>
      <c r="BF176" s="3520">
        <v>2.7</v>
      </c>
      <c r="BG176" s="3478">
        <v>37538</v>
      </c>
      <c r="BI176" s="3441" t="s">
        <v>3700</v>
      </c>
      <c r="BJ176" s="3478">
        <v>37266</v>
      </c>
      <c r="BK176" s="3478"/>
      <c r="BL176" s="3441" t="s">
        <v>3670</v>
      </c>
      <c r="BM176" s="3441"/>
      <c r="BN176" s="3441"/>
      <c r="BO176" s="3441"/>
      <c r="BP176" s="3441"/>
      <c r="BQ176" s="3441"/>
      <c r="BR176" s="3441"/>
    </row>
    <row r="177" spans="1:73" s="3470" customFormat="1" ht="12" hidden="1">
      <c r="A177" s="3470" t="s">
        <v>5106</v>
      </c>
      <c r="B177" s="3470" t="s">
        <v>5107</v>
      </c>
      <c r="C177" s="3481" t="s">
        <v>5108</v>
      </c>
      <c r="D177" s="3470">
        <v>82919961</v>
      </c>
      <c r="E177" s="3470" t="s">
        <v>3558</v>
      </c>
      <c r="F177" s="3470" t="s">
        <v>3613</v>
      </c>
      <c r="H177" s="3453" t="s">
        <v>5109</v>
      </c>
      <c r="I177" s="3453" t="s">
        <v>3726</v>
      </c>
      <c r="J177" s="3453" t="s">
        <v>3967</v>
      </c>
      <c r="K177" s="3470" t="s">
        <v>3968</v>
      </c>
      <c r="L177" s="3495">
        <v>161.88</v>
      </c>
      <c r="M177" s="3495">
        <v>1</v>
      </c>
      <c r="N177" s="3470" t="s">
        <v>4137</v>
      </c>
      <c r="O177" s="3495">
        <v>148.03</v>
      </c>
      <c r="P177" s="3470" t="s">
        <v>3452</v>
      </c>
      <c r="Q177" s="3457">
        <v>704718.67920000001</v>
      </c>
      <c r="R177" s="3470">
        <v>4353.34</v>
      </c>
      <c r="S177" s="3472">
        <v>69.680000000000007</v>
      </c>
      <c r="T177" s="3473">
        <v>696800.00000000012</v>
      </c>
      <c r="U177" s="3470">
        <v>4305</v>
      </c>
      <c r="V177" s="3474">
        <v>0.1</v>
      </c>
      <c r="W177" s="3475">
        <v>62.71</v>
      </c>
      <c r="X177" s="3473">
        <v>627100</v>
      </c>
      <c r="Y177" s="3441">
        <v>2003</v>
      </c>
      <c r="Z177" s="3441">
        <v>1</v>
      </c>
      <c r="AA177" s="3441">
        <v>13</v>
      </c>
      <c r="AB177" s="3485">
        <v>3480</v>
      </c>
      <c r="AC177" s="3470" t="s">
        <v>5110</v>
      </c>
      <c r="AE177" s="3456" t="s">
        <v>2156</v>
      </c>
      <c r="AF177" s="3453" t="s">
        <v>3587</v>
      </c>
      <c r="AG177" s="3470" t="s">
        <v>3466</v>
      </c>
      <c r="AI177" s="3470" t="s">
        <v>4834</v>
      </c>
      <c r="AJ177" s="3478">
        <v>37894</v>
      </c>
      <c r="AK177" s="3500">
        <v>1</v>
      </c>
      <c r="AL177" s="3495">
        <v>67641700</v>
      </c>
      <c r="AN177" s="3480" t="s">
        <v>3482</v>
      </c>
      <c r="AP177" s="3456" t="s">
        <v>3475</v>
      </c>
      <c r="AQ177" s="3456" t="s">
        <v>3457</v>
      </c>
      <c r="AV177" s="3519"/>
      <c r="AW177" s="3470" t="s">
        <v>3572</v>
      </c>
      <c r="AX177" s="3470" t="s">
        <v>2511</v>
      </c>
      <c r="AY177" s="3495">
        <v>252113</v>
      </c>
      <c r="AZ177" s="3470" t="s">
        <v>3968</v>
      </c>
      <c r="BA177" s="3470" t="s">
        <v>3971</v>
      </c>
      <c r="BB177" s="3470" t="s">
        <v>3972</v>
      </c>
      <c r="BC177" s="3470" t="s">
        <v>3973</v>
      </c>
      <c r="BD177" s="3470">
        <v>100096</v>
      </c>
      <c r="BE177" s="3470">
        <v>82919961</v>
      </c>
      <c r="BF177" s="3520">
        <v>2.9</v>
      </c>
      <c r="BG177" s="3478">
        <v>37618</v>
      </c>
      <c r="BI177" s="3441" t="s">
        <v>3922</v>
      </c>
      <c r="BJ177" s="3478">
        <v>37629</v>
      </c>
      <c r="BK177" s="3478"/>
      <c r="BL177" s="3441" t="s">
        <v>3670</v>
      </c>
      <c r="BM177" s="3441"/>
      <c r="BN177" s="3441"/>
      <c r="BO177" s="3441"/>
      <c r="BP177" s="3441"/>
      <c r="BQ177" s="3441"/>
      <c r="BR177" s="3441"/>
    </row>
    <row r="178" spans="1:73" s="3470" customFormat="1" ht="12" hidden="1">
      <c r="A178" s="3470" t="s">
        <v>5111</v>
      </c>
      <c r="B178" s="3470" t="s">
        <v>5112</v>
      </c>
      <c r="C178" s="3481" t="s">
        <v>5113</v>
      </c>
      <c r="D178" s="3470">
        <v>13601218750</v>
      </c>
      <c r="E178" s="3470" t="s">
        <v>3558</v>
      </c>
      <c r="F178" s="3470" t="s">
        <v>3613</v>
      </c>
      <c r="H178" s="3453" t="s">
        <v>5114</v>
      </c>
      <c r="I178" s="3453" t="s">
        <v>4019</v>
      </c>
      <c r="J178" s="3453" t="s">
        <v>5115</v>
      </c>
      <c r="K178" s="3470" t="s">
        <v>3968</v>
      </c>
      <c r="L178" s="3495">
        <v>130.08000000000001</v>
      </c>
      <c r="M178" s="3495">
        <v>1</v>
      </c>
      <c r="N178" s="3470" t="s">
        <v>4003</v>
      </c>
      <c r="O178" s="3495">
        <v>118.85</v>
      </c>
      <c r="P178" s="3470" t="s">
        <v>3452</v>
      </c>
      <c r="Q178" s="3457">
        <v>584225</v>
      </c>
      <c r="R178" s="3470">
        <v>4491.2700000000004</v>
      </c>
      <c r="S178" s="3472">
        <v>57.78</v>
      </c>
      <c r="T178" s="3473">
        <v>577800</v>
      </c>
      <c r="U178" s="3470">
        <v>4442</v>
      </c>
      <c r="V178" s="3474">
        <v>0.1</v>
      </c>
      <c r="W178" s="3475">
        <v>52</v>
      </c>
      <c r="X178" s="3473">
        <v>520000</v>
      </c>
      <c r="Y178" s="3441">
        <v>2003</v>
      </c>
      <c r="Z178" s="3441">
        <v>1</v>
      </c>
      <c r="AA178" s="3470">
        <v>13</v>
      </c>
      <c r="AB178" s="3485">
        <v>2885</v>
      </c>
      <c r="AC178" s="3470" t="s">
        <v>5116</v>
      </c>
      <c r="AE178" s="3577" t="s">
        <v>4914</v>
      </c>
      <c r="AF178" s="3453" t="s">
        <v>3728</v>
      </c>
      <c r="AG178" s="3470" t="s">
        <v>3466</v>
      </c>
      <c r="AI178" s="3522" t="s">
        <v>5117</v>
      </c>
      <c r="AJ178" s="3478">
        <v>37894</v>
      </c>
      <c r="AK178" s="3479" t="s">
        <v>3570</v>
      </c>
      <c r="AL178" s="3491">
        <v>67641700</v>
      </c>
      <c r="AN178" s="3480" t="s">
        <v>3482</v>
      </c>
      <c r="AP178" s="3497" t="s">
        <v>3476</v>
      </c>
      <c r="AQ178" s="3456" t="s">
        <v>3571</v>
      </c>
      <c r="AV178" s="3519"/>
      <c r="AW178" s="3470" t="s">
        <v>3572</v>
      </c>
      <c r="AX178" s="3470" t="s">
        <v>2511</v>
      </c>
      <c r="AY178" s="3495">
        <v>252146</v>
      </c>
      <c r="AZ178" s="3470" t="s">
        <v>3968</v>
      </c>
      <c r="BA178" s="3470" t="s">
        <v>3971</v>
      </c>
      <c r="BB178" s="3470" t="s">
        <v>3972</v>
      </c>
      <c r="BC178" s="3470" t="s">
        <v>3973</v>
      </c>
      <c r="BD178" s="3470">
        <v>100096</v>
      </c>
      <c r="BE178" s="3470">
        <v>82919961</v>
      </c>
      <c r="BF178" s="3520">
        <v>2.9</v>
      </c>
      <c r="BG178" s="3478">
        <v>37612</v>
      </c>
      <c r="BI178" s="3441" t="s">
        <v>3700</v>
      </c>
      <c r="BJ178" s="3478">
        <v>37621</v>
      </c>
      <c r="BK178" s="3478"/>
      <c r="BL178" s="3441" t="s">
        <v>3670</v>
      </c>
      <c r="BM178" s="3441"/>
      <c r="BN178" s="3441"/>
      <c r="BO178" s="3441"/>
      <c r="BP178" s="3441"/>
      <c r="BQ178" s="3441"/>
      <c r="BR178" s="3441"/>
    </row>
    <row r="179" spans="1:73" s="3441" customFormat="1" ht="12" hidden="1">
      <c r="A179" s="3485" t="s">
        <v>5118</v>
      </c>
      <c r="B179" s="3470" t="s">
        <v>5119</v>
      </c>
      <c r="C179" s="3481" t="s">
        <v>5120</v>
      </c>
      <c r="D179" s="3481">
        <v>13651207778</v>
      </c>
      <c r="E179" s="3470" t="s">
        <v>3558</v>
      </c>
      <c r="F179" s="3521" t="s">
        <v>4403</v>
      </c>
      <c r="G179" s="3470" t="s">
        <v>3568</v>
      </c>
      <c r="H179" s="3470" t="s">
        <v>4949</v>
      </c>
      <c r="I179" s="3470" t="s">
        <v>5121</v>
      </c>
      <c r="J179" s="3481" t="s">
        <v>5122</v>
      </c>
      <c r="K179" s="3470" t="s">
        <v>4406</v>
      </c>
      <c r="L179" s="3470">
        <v>129.74</v>
      </c>
      <c r="M179" s="3470">
        <v>3</v>
      </c>
      <c r="N179" s="3470" t="s">
        <v>4003</v>
      </c>
      <c r="O179" s="3470">
        <v>116.38</v>
      </c>
      <c r="P179" s="3470" t="s">
        <v>3452</v>
      </c>
      <c r="Q179" s="3457">
        <v>643510.4</v>
      </c>
      <c r="R179" s="3470">
        <v>4960</v>
      </c>
      <c r="S179" s="3472">
        <v>63.7</v>
      </c>
      <c r="T179" s="3527">
        <v>637000</v>
      </c>
      <c r="U179" s="3470">
        <v>4910</v>
      </c>
      <c r="V179" s="3474">
        <v>0.1</v>
      </c>
      <c r="W179" s="3475">
        <v>57.33</v>
      </c>
      <c r="X179" s="3473">
        <v>573300</v>
      </c>
      <c r="Y179" s="3441">
        <v>2003</v>
      </c>
      <c r="Z179" s="3441">
        <v>2</v>
      </c>
      <c r="AA179" s="3441">
        <v>28</v>
      </c>
      <c r="AB179" s="3485">
        <v>3185</v>
      </c>
      <c r="AC179" s="3470" t="s">
        <v>4407</v>
      </c>
      <c r="AD179" s="3485"/>
      <c r="AE179" s="3441" t="s">
        <v>3663</v>
      </c>
      <c r="AF179" s="3470" t="s">
        <v>3728</v>
      </c>
      <c r="AG179" s="3522" t="s">
        <v>3466</v>
      </c>
      <c r="AH179" s="3485"/>
      <c r="AI179" s="3470" t="s">
        <v>3679</v>
      </c>
      <c r="AJ179" s="3523">
        <v>37833</v>
      </c>
      <c r="AK179" s="3479">
        <v>2</v>
      </c>
      <c r="AL179" s="3441">
        <v>67641700</v>
      </c>
      <c r="AN179" s="3441" t="s">
        <v>3680</v>
      </c>
      <c r="AO179" s="3441" t="s">
        <v>5123</v>
      </c>
      <c r="AP179" s="3441" t="s">
        <v>3476</v>
      </c>
      <c r="AQ179" s="3441" t="s">
        <v>3571</v>
      </c>
      <c r="AW179" s="3441" t="s">
        <v>3572</v>
      </c>
      <c r="AX179" s="3441" t="s">
        <v>3568</v>
      </c>
      <c r="AY179" s="3524">
        <v>261098</v>
      </c>
      <c r="AZ179" s="3441" t="s">
        <v>4406</v>
      </c>
      <c r="BA179" s="3441" t="s">
        <v>4409</v>
      </c>
      <c r="BB179" s="3524" t="s">
        <v>4410</v>
      </c>
      <c r="BC179" s="3441" t="s">
        <v>4411</v>
      </c>
      <c r="BD179" s="3525" t="s">
        <v>3568</v>
      </c>
      <c r="BE179" s="3441">
        <v>68152860</v>
      </c>
      <c r="BF179" s="3526">
        <v>2.8</v>
      </c>
      <c r="BG179" s="3518">
        <v>37627</v>
      </c>
      <c r="BH179" s="3441" t="s">
        <v>4412</v>
      </c>
      <c r="BI179" s="3441" t="s">
        <v>3476</v>
      </c>
      <c r="BJ179" s="3484">
        <v>37678</v>
      </c>
      <c r="BK179" s="3484"/>
      <c r="BL179" s="3470" t="s">
        <v>3670</v>
      </c>
      <c r="BS179" s="3470"/>
      <c r="BT179" s="3470"/>
      <c r="BU179" s="3470"/>
    </row>
    <row r="180" spans="1:73" s="3441" customFormat="1" ht="12" hidden="1">
      <c r="A180" s="3485" t="s">
        <v>5124</v>
      </c>
      <c r="B180" s="3470" t="s">
        <v>5125</v>
      </c>
      <c r="C180" s="3481" t="s">
        <v>5126</v>
      </c>
      <c r="D180" s="3481">
        <v>13601169665</v>
      </c>
      <c r="E180" s="3470" t="s">
        <v>3558</v>
      </c>
      <c r="F180" s="3521" t="s">
        <v>4403</v>
      </c>
      <c r="G180" s="3470" t="s">
        <v>3568</v>
      </c>
      <c r="H180" s="3470" t="s">
        <v>4949</v>
      </c>
      <c r="I180" s="3470" t="s">
        <v>4950</v>
      </c>
      <c r="J180" s="3481" t="s">
        <v>5089</v>
      </c>
      <c r="K180" s="3470" t="s">
        <v>4406</v>
      </c>
      <c r="L180" s="3470">
        <v>70.97</v>
      </c>
      <c r="M180" s="3470">
        <v>5</v>
      </c>
      <c r="N180" s="3470" t="s">
        <v>3564</v>
      </c>
      <c r="O180" s="3470">
        <v>63.66</v>
      </c>
      <c r="P180" s="3470" t="s">
        <v>3452</v>
      </c>
      <c r="Q180" s="3457">
        <v>323623.2</v>
      </c>
      <c r="R180" s="3470">
        <v>4560</v>
      </c>
      <c r="S180" s="3472">
        <v>32.03</v>
      </c>
      <c r="T180" s="3527">
        <v>320300</v>
      </c>
      <c r="U180" s="3470">
        <v>4514</v>
      </c>
      <c r="V180" s="3474">
        <v>0.1</v>
      </c>
      <c r="W180" s="3475">
        <v>28.82</v>
      </c>
      <c r="X180" s="3473">
        <v>288200</v>
      </c>
      <c r="Y180" s="3441">
        <v>2003</v>
      </c>
      <c r="Z180" s="3441">
        <v>2</v>
      </c>
      <c r="AA180" s="3441">
        <v>26</v>
      </c>
      <c r="AB180" s="3485">
        <v>1600</v>
      </c>
      <c r="AC180" s="3470" t="s">
        <v>5127</v>
      </c>
      <c r="AD180" s="3485"/>
      <c r="AE180" s="3441" t="s">
        <v>3663</v>
      </c>
      <c r="AF180" s="3470" t="s">
        <v>3728</v>
      </c>
      <c r="AG180" s="3522" t="s">
        <v>3466</v>
      </c>
      <c r="AH180" s="3485"/>
      <c r="AI180" s="3470" t="s">
        <v>3679</v>
      </c>
      <c r="AJ180" s="3523">
        <v>37833</v>
      </c>
      <c r="AK180" s="3479">
        <v>2</v>
      </c>
      <c r="AL180" s="3441">
        <v>67641700</v>
      </c>
      <c r="AN180" s="3441" t="s">
        <v>3680</v>
      </c>
      <c r="AO180" s="3441" t="s">
        <v>5128</v>
      </c>
      <c r="AP180" s="3441" t="s">
        <v>3476</v>
      </c>
      <c r="AQ180" s="3441" t="s">
        <v>3571</v>
      </c>
      <c r="AW180" s="3441" t="s">
        <v>3572</v>
      </c>
      <c r="AX180" s="3441" t="s">
        <v>3568</v>
      </c>
      <c r="AY180" s="3524">
        <v>261026</v>
      </c>
      <c r="AZ180" s="3441" t="s">
        <v>4406</v>
      </c>
      <c r="BA180" s="3441" t="s">
        <v>4409</v>
      </c>
      <c r="BB180" s="3524" t="s">
        <v>4410</v>
      </c>
      <c r="BC180" s="3441" t="s">
        <v>4411</v>
      </c>
      <c r="BD180" s="3525" t="s">
        <v>3568</v>
      </c>
      <c r="BE180" s="3441">
        <v>68152860</v>
      </c>
      <c r="BF180" s="3526">
        <v>2.8</v>
      </c>
      <c r="BG180" s="3518">
        <v>37628</v>
      </c>
      <c r="BH180" s="3441" t="s">
        <v>4412</v>
      </c>
      <c r="BI180" s="3441" t="s">
        <v>5021</v>
      </c>
      <c r="BJ180" s="3484">
        <v>37676</v>
      </c>
      <c r="BK180" s="3484"/>
      <c r="BL180" s="3470" t="s">
        <v>3670</v>
      </c>
      <c r="BS180" s="3470"/>
      <c r="BT180" s="3470"/>
      <c r="BU180" s="3470"/>
    </row>
    <row r="181" spans="1:73" s="3470" customFormat="1" ht="12" hidden="1">
      <c r="A181" s="3470" t="s">
        <v>5129</v>
      </c>
      <c r="B181" s="3470" t="s">
        <v>5130</v>
      </c>
      <c r="C181" s="3481" t="s">
        <v>5131</v>
      </c>
      <c r="D181" s="3470">
        <v>13701087208</v>
      </c>
      <c r="E181" s="3470" t="s">
        <v>3558</v>
      </c>
      <c r="F181" s="3470" t="s">
        <v>3613</v>
      </c>
      <c r="H181" s="3453" t="s">
        <v>5132</v>
      </c>
      <c r="I181" s="3453" t="s">
        <v>4019</v>
      </c>
      <c r="J181" s="3453" t="s">
        <v>3479</v>
      </c>
      <c r="K181" s="3470" t="s">
        <v>3968</v>
      </c>
      <c r="L181" s="3495">
        <v>149.11000000000001</v>
      </c>
      <c r="M181" s="3495">
        <v>1</v>
      </c>
      <c r="N181" s="3470" t="s">
        <v>4003</v>
      </c>
      <c r="O181" s="3495">
        <v>135.76</v>
      </c>
      <c r="P181" s="3470" t="s">
        <v>3452</v>
      </c>
      <c r="Q181" s="3457">
        <v>641345.96760000009</v>
      </c>
      <c r="R181" s="3470">
        <v>4301.16</v>
      </c>
      <c r="S181" s="3472">
        <v>63.52</v>
      </c>
      <c r="T181" s="3473">
        <v>635200</v>
      </c>
      <c r="U181" s="3470">
        <v>4260</v>
      </c>
      <c r="V181" s="3474">
        <v>0.1</v>
      </c>
      <c r="W181" s="3475">
        <v>57.16</v>
      </c>
      <c r="X181" s="3473">
        <v>571600</v>
      </c>
      <c r="Y181" s="3441">
        <v>2003</v>
      </c>
      <c r="Z181" s="3441">
        <v>1</v>
      </c>
      <c r="AA181" s="3470">
        <v>17</v>
      </c>
      <c r="AB181" s="3485">
        <v>3175</v>
      </c>
      <c r="AC181" s="3470" t="s">
        <v>3710</v>
      </c>
      <c r="AE181" s="3441" t="s">
        <v>3663</v>
      </c>
      <c r="AF181" s="3453" t="s">
        <v>3728</v>
      </c>
      <c r="AG181" s="3470" t="s">
        <v>3466</v>
      </c>
      <c r="AI181" s="3470" t="s">
        <v>3553</v>
      </c>
      <c r="AJ181" s="3478">
        <v>37894</v>
      </c>
      <c r="AK181" s="3479" t="s">
        <v>3570</v>
      </c>
      <c r="AL181" s="3441">
        <v>67641700</v>
      </c>
      <c r="AN181" s="3480" t="s">
        <v>3482</v>
      </c>
      <c r="AO181" s="3470" t="s">
        <v>5133</v>
      </c>
      <c r="AP181" s="3441" t="s">
        <v>3476</v>
      </c>
      <c r="AQ181" s="3456" t="s">
        <v>3571</v>
      </c>
      <c r="AV181" s="3519"/>
      <c r="AW181" s="3470" t="s">
        <v>3572</v>
      </c>
      <c r="AX181" s="3470" t="s">
        <v>2511</v>
      </c>
      <c r="AY181" s="3495">
        <v>252136</v>
      </c>
      <c r="AZ181" s="3470" t="s">
        <v>3968</v>
      </c>
      <c r="BA181" s="3470" t="s">
        <v>3971</v>
      </c>
      <c r="BB181" s="3470" t="s">
        <v>3972</v>
      </c>
      <c r="BC181" s="3470" t="s">
        <v>3973</v>
      </c>
      <c r="BD181" s="3470">
        <v>100096</v>
      </c>
      <c r="BE181" s="3470">
        <v>82919961</v>
      </c>
      <c r="BF181" s="3520">
        <v>2.9</v>
      </c>
      <c r="BG181" s="3478">
        <v>37612</v>
      </c>
      <c r="BI181" s="3441" t="s">
        <v>3700</v>
      </c>
      <c r="BJ181" s="3478">
        <v>37637</v>
      </c>
      <c r="BK181" s="3478"/>
      <c r="BL181" s="3441" t="s">
        <v>3670</v>
      </c>
      <c r="BM181" s="3441"/>
      <c r="BN181" s="3441"/>
      <c r="BO181" s="3441"/>
      <c r="BP181" s="3441"/>
      <c r="BQ181" s="3441"/>
      <c r="BR181" s="3441"/>
    </row>
    <row r="182" spans="1:73" s="3470" customFormat="1" ht="12" hidden="1">
      <c r="A182" s="3470" t="s">
        <v>5134</v>
      </c>
      <c r="B182" s="3470" t="s">
        <v>5135</v>
      </c>
      <c r="C182" s="3481" t="s">
        <v>5136</v>
      </c>
      <c r="D182" s="3470">
        <v>13701141715</v>
      </c>
      <c r="E182" s="3470" t="s">
        <v>2736</v>
      </c>
      <c r="F182" s="3470" t="s">
        <v>3748</v>
      </c>
      <c r="H182" s="3470" t="s">
        <v>3749</v>
      </c>
      <c r="J182" s="3470" t="s">
        <v>5137</v>
      </c>
      <c r="K182" s="3470" t="s">
        <v>3751</v>
      </c>
      <c r="L182" s="3470">
        <v>112.34</v>
      </c>
      <c r="M182" s="3470">
        <v>3</v>
      </c>
      <c r="N182" s="3470" t="s">
        <v>3872</v>
      </c>
      <c r="O182" s="3470">
        <v>92.66</v>
      </c>
      <c r="P182" s="3470" t="s">
        <v>3452</v>
      </c>
      <c r="Q182" s="3457">
        <v>468457.8</v>
      </c>
      <c r="R182" s="3470">
        <v>4170</v>
      </c>
      <c r="S182" s="3472">
        <v>46.36</v>
      </c>
      <c r="T182" s="3527">
        <v>463600</v>
      </c>
      <c r="U182" s="3470">
        <v>4127</v>
      </c>
      <c r="V182" s="3474">
        <v>0.1</v>
      </c>
      <c r="W182" s="3475">
        <v>41.72</v>
      </c>
      <c r="X182" s="3494">
        <v>417200</v>
      </c>
      <c r="Y182" s="3441">
        <v>2003</v>
      </c>
      <c r="Z182" s="3441">
        <v>3</v>
      </c>
      <c r="AA182" s="3470">
        <v>7</v>
      </c>
      <c r="AB182" s="3477">
        <v>1850</v>
      </c>
      <c r="AC182" s="3470" t="s">
        <v>3634</v>
      </c>
      <c r="AE182" s="3470" t="s">
        <v>3663</v>
      </c>
      <c r="AF182" s="3470" t="s">
        <v>3752</v>
      </c>
      <c r="AG182" s="3470" t="s">
        <v>3466</v>
      </c>
      <c r="AI182" s="3470" t="s">
        <v>3679</v>
      </c>
      <c r="AJ182" s="3478">
        <v>38138</v>
      </c>
      <c r="AK182" s="3500">
        <v>3</v>
      </c>
      <c r="AL182" s="3470">
        <v>67641700</v>
      </c>
      <c r="AN182" s="3441" t="s">
        <v>3456</v>
      </c>
      <c r="AO182" s="3470" t="s">
        <v>5138</v>
      </c>
      <c r="AP182" s="3470" t="s">
        <v>3476</v>
      </c>
      <c r="AQ182" s="3470" t="s">
        <v>3571</v>
      </c>
      <c r="AV182" s="3470" t="s">
        <v>3568</v>
      </c>
      <c r="AW182" s="3470" t="s">
        <v>3572</v>
      </c>
      <c r="AY182" s="3481" t="s">
        <v>5139</v>
      </c>
      <c r="AZ182" s="3470" t="s">
        <v>3751</v>
      </c>
      <c r="BA182" s="3470" t="s">
        <v>3770</v>
      </c>
      <c r="BB182" s="3481" t="s">
        <v>3803</v>
      </c>
      <c r="BC182" s="3470" t="s">
        <v>3757</v>
      </c>
      <c r="BD182" s="3482">
        <v>102488</v>
      </c>
      <c r="BE182" s="3470">
        <v>63023627</v>
      </c>
      <c r="BF182" s="3483">
        <v>2.8</v>
      </c>
      <c r="BG182" s="3478">
        <v>37633</v>
      </c>
      <c r="BH182" s="3470" t="s">
        <v>3437</v>
      </c>
      <c r="BI182" s="3441" t="s">
        <v>3700</v>
      </c>
      <c r="BJ182" s="3484">
        <v>37685</v>
      </c>
      <c r="BK182" s="3478"/>
      <c r="BL182" s="3441" t="s">
        <v>3670</v>
      </c>
      <c r="BM182" s="3441"/>
      <c r="BN182" s="3441"/>
      <c r="BO182" s="3441"/>
      <c r="BP182" s="3441"/>
      <c r="BQ182" s="3441"/>
      <c r="BR182" s="3441"/>
    </row>
    <row r="183" spans="1:73" s="3497" customFormat="1" ht="12" hidden="1">
      <c r="A183" s="3485" t="s">
        <v>5140</v>
      </c>
      <c r="B183" s="3453" t="s">
        <v>5141</v>
      </c>
      <c r="C183" s="3454" t="s">
        <v>5142</v>
      </c>
      <c r="D183" s="3453">
        <v>13601247617</v>
      </c>
      <c r="E183" s="3498" t="s">
        <v>3538</v>
      </c>
      <c r="F183" s="3573" t="s">
        <v>5143</v>
      </c>
      <c r="G183" s="3561"/>
      <c r="H183" s="3498" t="s">
        <v>5144</v>
      </c>
      <c r="I183" s="3498" t="s">
        <v>3726</v>
      </c>
      <c r="J183" s="3498" t="s">
        <v>5145</v>
      </c>
      <c r="K183" s="3555" t="s">
        <v>4489</v>
      </c>
      <c r="L183" s="3574">
        <v>91.56</v>
      </c>
      <c r="M183" s="3574">
        <v>9</v>
      </c>
      <c r="N183" s="3496" t="s">
        <v>3543</v>
      </c>
      <c r="O183" s="3574">
        <v>75.89</v>
      </c>
      <c r="P183" s="3496" t="s">
        <v>3452</v>
      </c>
      <c r="Q183" s="3510">
        <v>357084</v>
      </c>
      <c r="R183" s="3574">
        <v>3900</v>
      </c>
      <c r="S183" s="3472">
        <v>35.340000000000003</v>
      </c>
      <c r="T183" s="3473">
        <v>353400.00000000006</v>
      </c>
      <c r="U183" s="3470">
        <v>3860</v>
      </c>
      <c r="V183" s="3474">
        <v>0.1</v>
      </c>
      <c r="W183" s="3475">
        <v>31.8</v>
      </c>
      <c r="X183" s="3572">
        <v>318000</v>
      </c>
      <c r="Y183" s="3495">
        <v>2003</v>
      </c>
      <c r="Z183" s="3495">
        <v>1</v>
      </c>
      <c r="AA183" s="3515">
        <v>20</v>
      </c>
      <c r="AB183" s="3477">
        <v>1765</v>
      </c>
      <c r="AC183" s="3490" t="s">
        <v>3710</v>
      </c>
      <c r="AD183" s="3561"/>
      <c r="AE183" s="3497" t="s">
        <v>2156</v>
      </c>
      <c r="AF183" s="3555" t="s">
        <v>4551</v>
      </c>
      <c r="AG183" s="3555" t="s">
        <v>3454</v>
      </c>
      <c r="AH183" s="3555"/>
      <c r="AI183" s="3456" t="s">
        <v>3553</v>
      </c>
      <c r="AJ183" s="3575">
        <v>37700</v>
      </c>
      <c r="AK183" s="3500">
        <v>1</v>
      </c>
      <c r="AL183" s="3501">
        <v>67641700</v>
      </c>
      <c r="AM183" s="3502"/>
      <c r="AN183" s="3470" t="s">
        <v>3484</v>
      </c>
      <c r="AO183" s="3470" t="s">
        <v>5146</v>
      </c>
      <c r="AP183" s="3456" t="s">
        <v>3476</v>
      </c>
      <c r="AQ183" s="3480" t="s">
        <v>3457</v>
      </c>
      <c r="AV183" s="3556"/>
      <c r="AW183" s="3490" t="s">
        <v>3548</v>
      </c>
      <c r="AX183" s="3502" t="s">
        <v>4046</v>
      </c>
      <c r="AY183" s="3503" t="s">
        <v>5147</v>
      </c>
      <c r="AZ183" s="3555" t="s">
        <v>5148</v>
      </c>
      <c r="BA183" s="3552" t="s">
        <v>5149</v>
      </c>
      <c r="BB183" s="3466">
        <v>1102211135488</v>
      </c>
      <c r="BC183" s="3552" t="s">
        <v>5150</v>
      </c>
      <c r="BD183" s="3569">
        <v>102202</v>
      </c>
      <c r="BE183" s="3501">
        <v>69711228</v>
      </c>
      <c r="BF183" s="3506">
        <v>2.7</v>
      </c>
      <c r="BG183" s="3539">
        <v>37618</v>
      </c>
      <c r="BI183" s="3470" t="s">
        <v>3476</v>
      </c>
      <c r="BJ183" s="3566">
        <v>37637</v>
      </c>
      <c r="BK183" s="3441" t="s">
        <v>3588</v>
      </c>
      <c r="BL183" s="3470" t="s">
        <v>3670</v>
      </c>
      <c r="BM183" s="3441"/>
      <c r="BN183" s="3441"/>
      <c r="BO183" s="3441"/>
      <c r="BP183" s="3441"/>
      <c r="BQ183" s="3441"/>
      <c r="BR183" s="3441"/>
      <c r="BS183" s="3470"/>
      <c r="BT183" s="3470"/>
      <c r="BU183" s="3470"/>
    </row>
    <row r="184" spans="1:73" s="3470" customFormat="1" ht="12" hidden="1">
      <c r="A184" s="3470" t="s">
        <v>5151</v>
      </c>
      <c r="B184" s="3470" t="s">
        <v>5152</v>
      </c>
      <c r="C184" s="3481" t="s">
        <v>5153</v>
      </c>
      <c r="D184" s="3470">
        <v>13681144448</v>
      </c>
      <c r="E184" s="3470" t="s">
        <v>3538</v>
      </c>
      <c r="F184" s="3470" t="s">
        <v>3808</v>
      </c>
      <c r="H184" s="3470" t="s">
        <v>3879</v>
      </c>
      <c r="J184" s="3470" t="s">
        <v>3967</v>
      </c>
      <c r="K184" s="3470" t="s">
        <v>3766</v>
      </c>
      <c r="L184" s="3470">
        <v>109.38</v>
      </c>
      <c r="M184" s="3470">
        <v>1</v>
      </c>
      <c r="N184" s="3470" t="s">
        <v>3872</v>
      </c>
      <c r="O184" s="3470">
        <v>90.22</v>
      </c>
      <c r="P184" s="3470" t="s">
        <v>3452</v>
      </c>
      <c r="Q184" s="3457">
        <v>360954</v>
      </c>
      <c r="R184" s="3470">
        <v>3300</v>
      </c>
      <c r="S184" s="3472">
        <v>35.65</v>
      </c>
      <c r="T184" s="3527">
        <v>356500</v>
      </c>
      <c r="U184" s="3470">
        <v>3260</v>
      </c>
      <c r="V184" s="3474">
        <v>0.1</v>
      </c>
      <c r="W184" s="3475">
        <v>32.08</v>
      </c>
      <c r="X184" s="3494">
        <v>320800</v>
      </c>
      <c r="Y184" s="3441">
        <v>2003</v>
      </c>
      <c r="Z184" s="3441">
        <v>2</v>
      </c>
      <c r="AA184" s="3470">
        <v>14</v>
      </c>
      <c r="AB184" s="3477">
        <v>1425</v>
      </c>
      <c r="AC184" s="3470" t="s">
        <v>3634</v>
      </c>
      <c r="AE184" s="3470" t="s">
        <v>3663</v>
      </c>
      <c r="AF184" s="3470" t="s">
        <v>3752</v>
      </c>
      <c r="AG184" s="3470" t="s">
        <v>3466</v>
      </c>
      <c r="AI184" s="3470" t="s">
        <v>3679</v>
      </c>
      <c r="AJ184" s="3478">
        <v>38138</v>
      </c>
      <c r="AK184" s="3500">
        <v>2</v>
      </c>
      <c r="AL184" s="3470">
        <v>67641700</v>
      </c>
      <c r="AN184" s="3441" t="s">
        <v>3791</v>
      </c>
      <c r="AO184" s="3470" t="s">
        <v>5154</v>
      </c>
      <c r="AP184" s="3470" t="s">
        <v>3476</v>
      </c>
      <c r="AQ184" s="3470" t="s">
        <v>3571</v>
      </c>
      <c r="AV184" s="3470" t="s">
        <v>3568</v>
      </c>
      <c r="AW184" s="3470" t="s">
        <v>3572</v>
      </c>
      <c r="AY184" s="3481" t="s">
        <v>5155</v>
      </c>
      <c r="AZ184" s="3470" t="s">
        <v>3751</v>
      </c>
      <c r="BA184" s="3470" t="s">
        <v>3770</v>
      </c>
      <c r="BB184" s="3481" t="s">
        <v>3756</v>
      </c>
      <c r="BC184" s="3470" t="s">
        <v>3772</v>
      </c>
      <c r="BD184" s="3482">
        <v>102488</v>
      </c>
      <c r="BE184" s="3470">
        <v>63023627</v>
      </c>
      <c r="BF184" s="3483">
        <v>2.8</v>
      </c>
      <c r="BG184" s="3478">
        <v>37634</v>
      </c>
      <c r="BH184" s="3470" t="s">
        <v>3437</v>
      </c>
      <c r="BI184" s="3441" t="s">
        <v>3476</v>
      </c>
      <c r="BJ184" s="3518">
        <v>37660</v>
      </c>
      <c r="BK184" s="3478"/>
      <c r="BL184" s="3441" t="s">
        <v>3670</v>
      </c>
      <c r="BM184" s="3441"/>
      <c r="BN184" s="3441"/>
      <c r="BO184" s="3441"/>
      <c r="BP184" s="3441"/>
      <c r="BQ184" s="3441"/>
      <c r="BR184" s="3441"/>
    </row>
    <row r="185" spans="1:73" s="3470" customFormat="1" ht="12" hidden="1">
      <c r="A185" s="3470" t="s">
        <v>5156</v>
      </c>
      <c r="B185" s="3470" t="s">
        <v>5157</v>
      </c>
      <c r="C185" s="3481" t="s">
        <v>5158</v>
      </c>
      <c r="D185" s="3470">
        <v>13701367692</v>
      </c>
      <c r="E185" s="3470" t="s">
        <v>2736</v>
      </c>
      <c r="F185" s="3470" t="s">
        <v>3808</v>
      </c>
      <c r="H185" s="3470" t="s">
        <v>3857</v>
      </c>
      <c r="J185" s="3470" t="s">
        <v>5159</v>
      </c>
      <c r="K185" s="3470" t="s">
        <v>3751</v>
      </c>
      <c r="L185" s="3470">
        <v>138.19999999999999</v>
      </c>
      <c r="M185" s="3470">
        <v>11</v>
      </c>
      <c r="N185" s="3470" t="s">
        <v>3488</v>
      </c>
      <c r="O185" s="3470">
        <v>113.99</v>
      </c>
      <c r="P185" s="3470" t="s">
        <v>3452</v>
      </c>
      <c r="Q185" s="3457">
        <v>537598</v>
      </c>
      <c r="R185" s="3470">
        <v>3890</v>
      </c>
      <c r="S185" s="3472">
        <v>53.09</v>
      </c>
      <c r="T185" s="3527">
        <v>530900</v>
      </c>
      <c r="U185" s="3470">
        <v>3842</v>
      </c>
      <c r="V185" s="3474">
        <v>0.1</v>
      </c>
      <c r="W185" s="3475">
        <v>47.78</v>
      </c>
      <c r="X185" s="3494">
        <v>477800</v>
      </c>
      <c r="Y185" s="3441">
        <v>2003</v>
      </c>
      <c r="Z185" s="3441">
        <v>2</v>
      </c>
      <c r="AA185" s="3470">
        <v>14</v>
      </c>
      <c r="AB185" s="3477">
        <v>2120</v>
      </c>
      <c r="AC185" s="3470" t="s">
        <v>3798</v>
      </c>
      <c r="AE185" s="3470" t="s">
        <v>3663</v>
      </c>
      <c r="AF185" s="3470" t="s">
        <v>3810</v>
      </c>
      <c r="AG185" s="3470" t="s">
        <v>3466</v>
      </c>
      <c r="AI185" s="3470" t="s">
        <v>3679</v>
      </c>
      <c r="AJ185" s="3478">
        <v>38138</v>
      </c>
      <c r="AK185" s="3500">
        <v>2</v>
      </c>
      <c r="AL185" s="3470">
        <v>67641700</v>
      </c>
      <c r="AN185" s="3441" t="s">
        <v>3791</v>
      </c>
      <c r="AO185" s="3470" t="s">
        <v>5160</v>
      </c>
      <c r="AP185" s="3470" t="s">
        <v>3476</v>
      </c>
      <c r="AQ185" s="3470" t="s">
        <v>3571</v>
      </c>
      <c r="AV185" s="3470" t="s">
        <v>3568</v>
      </c>
      <c r="AW185" s="3470" t="s">
        <v>3572</v>
      </c>
      <c r="AY185" s="3481" t="s">
        <v>5161</v>
      </c>
      <c r="AZ185" s="3470" t="s">
        <v>3766</v>
      </c>
      <c r="BA185" s="3470" t="s">
        <v>3781</v>
      </c>
      <c r="BB185" s="3481" t="s">
        <v>3803</v>
      </c>
      <c r="BC185" s="3470" t="s">
        <v>3782</v>
      </c>
      <c r="BD185" s="3482">
        <v>102488</v>
      </c>
      <c r="BE185" s="3470">
        <v>63023627</v>
      </c>
      <c r="BF185" s="3483">
        <v>2.8</v>
      </c>
      <c r="BG185" s="3478">
        <v>37635</v>
      </c>
      <c r="BH185" s="3470" t="s">
        <v>3437</v>
      </c>
      <c r="BI185" s="3441" t="s">
        <v>3476</v>
      </c>
      <c r="BJ185" s="3518">
        <v>37649</v>
      </c>
      <c r="BK185" s="3478"/>
      <c r="BL185" s="3441" t="s">
        <v>3670</v>
      </c>
      <c r="BM185" s="3441"/>
      <c r="BN185" s="3441"/>
      <c r="BO185" s="3441"/>
      <c r="BP185" s="3441"/>
      <c r="BQ185" s="3441"/>
      <c r="BR185" s="3441"/>
    </row>
    <row r="186" spans="1:73" s="3441" customFormat="1" ht="12" hidden="1">
      <c r="A186" s="3485" t="s">
        <v>5162</v>
      </c>
      <c r="B186" s="3470" t="s">
        <v>5163</v>
      </c>
      <c r="C186" s="3481" t="s">
        <v>5164</v>
      </c>
      <c r="D186" s="3481" t="s">
        <v>5165</v>
      </c>
      <c r="E186" s="3470" t="s">
        <v>2736</v>
      </c>
      <c r="F186" s="3528" t="s">
        <v>3628</v>
      </c>
      <c r="G186" s="3470"/>
      <c r="H186" s="3470" t="s">
        <v>3629</v>
      </c>
      <c r="I186" s="3470" t="s">
        <v>4854</v>
      </c>
      <c r="J186" s="3481" t="s">
        <v>5166</v>
      </c>
      <c r="K186" s="3470" t="s">
        <v>3647</v>
      </c>
      <c r="L186" s="3470">
        <v>113.18</v>
      </c>
      <c r="M186" s="3470">
        <v>8</v>
      </c>
      <c r="N186" s="3470" t="s">
        <v>3661</v>
      </c>
      <c r="O186" s="3470">
        <v>91.76</v>
      </c>
      <c r="P186" s="3470" t="s">
        <v>3452</v>
      </c>
      <c r="Q186" s="3457">
        <v>697188.8</v>
      </c>
      <c r="R186" s="3470">
        <v>6160</v>
      </c>
      <c r="S186" s="3472">
        <v>69.03</v>
      </c>
      <c r="T186" s="3527">
        <v>690300</v>
      </c>
      <c r="U186" s="3470">
        <v>6100</v>
      </c>
      <c r="V186" s="3474">
        <v>0.1</v>
      </c>
      <c r="W186" s="3475">
        <v>62.12</v>
      </c>
      <c r="X186" s="3494">
        <v>621200</v>
      </c>
      <c r="Y186" s="3441">
        <v>2003</v>
      </c>
      <c r="Z186" s="3495">
        <v>3</v>
      </c>
      <c r="AA186" s="3495">
        <v>3</v>
      </c>
      <c r="AB186" s="3485">
        <v>3450</v>
      </c>
      <c r="AC186" s="3470" t="s">
        <v>3544</v>
      </c>
      <c r="AD186" s="3485"/>
      <c r="AE186" s="3441" t="s">
        <v>4914</v>
      </c>
      <c r="AF186" s="3470" t="s">
        <v>3587</v>
      </c>
      <c r="AG186" s="3522" t="s">
        <v>3454</v>
      </c>
      <c r="AH186" s="3485"/>
      <c r="AI186" s="3456" t="s">
        <v>3711</v>
      </c>
      <c r="AJ186" s="3523">
        <v>37965</v>
      </c>
      <c r="AK186" s="3500" t="s">
        <v>4210</v>
      </c>
      <c r="AL186" s="3495">
        <v>67641700</v>
      </c>
      <c r="AN186" s="3470" t="s">
        <v>3635</v>
      </c>
      <c r="AP186" s="3456" t="s">
        <v>3476</v>
      </c>
      <c r="AQ186" s="3469" t="s">
        <v>3571</v>
      </c>
      <c r="AW186" s="3441" t="s">
        <v>3548</v>
      </c>
      <c r="AX186" s="3484" t="s">
        <v>4046</v>
      </c>
      <c r="AY186" s="3524" t="s">
        <v>5167</v>
      </c>
      <c r="AZ186" s="3470" t="s">
        <v>3638</v>
      </c>
      <c r="BA186" s="3441" t="s">
        <v>4048</v>
      </c>
      <c r="BB186" s="3524" t="s">
        <v>3640</v>
      </c>
      <c r="BC186" s="3441" t="s">
        <v>4436</v>
      </c>
      <c r="BD186" s="3525">
        <v>100088</v>
      </c>
      <c r="BE186" s="3441">
        <v>82058259</v>
      </c>
      <c r="BF186" s="3526">
        <v>2.9</v>
      </c>
      <c r="BG186" s="3518">
        <v>37606</v>
      </c>
      <c r="BI186" s="3470" t="s">
        <v>4849</v>
      </c>
      <c r="BJ186" s="3484">
        <v>37636</v>
      </c>
      <c r="BK186" s="3484">
        <v>37679</v>
      </c>
      <c r="BL186" s="3470" t="s">
        <v>3670</v>
      </c>
      <c r="BS186" s="3470"/>
      <c r="BT186" s="3470"/>
      <c r="BU186" s="3470"/>
    </row>
    <row r="187" spans="1:73" s="3470" customFormat="1" ht="12" hidden="1">
      <c r="A187" s="3470" t="s">
        <v>5168</v>
      </c>
      <c r="B187" s="3470" t="s">
        <v>5169</v>
      </c>
      <c r="C187" s="3481" t="s">
        <v>5170</v>
      </c>
      <c r="D187" s="3470">
        <v>62782281</v>
      </c>
      <c r="E187" s="3470" t="s">
        <v>3558</v>
      </c>
      <c r="F187" s="3470" t="s">
        <v>4025</v>
      </c>
      <c r="H187" s="3453" t="s">
        <v>4026</v>
      </c>
      <c r="I187" s="3453" t="s">
        <v>5171</v>
      </c>
      <c r="J187" s="3453" t="s">
        <v>3727</v>
      </c>
      <c r="K187" s="3470" t="s">
        <v>4029</v>
      </c>
      <c r="L187" s="3495">
        <v>82.81</v>
      </c>
      <c r="M187" s="3495">
        <v>3</v>
      </c>
      <c r="N187" s="3470" t="s">
        <v>4030</v>
      </c>
      <c r="O187" s="3495">
        <v>67.069999999999993</v>
      </c>
      <c r="P187" s="3470" t="s">
        <v>3452</v>
      </c>
      <c r="Q187" s="3457">
        <v>337036.7</v>
      </c>
      <c r="R187" s="3470">
        <v>4070</v>
      </c>
      <c r="S187" s="3472">
        <v>33.28</v>
      </c>
      <c r="T187" s="3473">
        <v>332800</v>
      </c>
      <c r="U187" s="3470">
        <v>4020</v>
      </c>
      <c r="V187" s="3474">
        <v>0.1</v>
      </c>
      <c r="W187" s="3475">
        <v>29.95</v>
      </c>
      <c r="X187" s="3473">
        <v>299500</v>
      </c>
      <c r="Y187" s="3441">
        <v>2003</v>
      </c>
      <c r="Z187" s="3441">
        <v>1</v>
      </c>
      <c r="AA187" s="3470">
        <v>16</v>
      </c>
      <c r="AB187" s="3485">
        <v>1660</v>
      </c>
      <c r="AC187" s="3470" t="s">
        <v>3798</v>
      </c>
      <c r="AE187" s="3456" t="s">
        <v>3663</v>
      </c>
      <c r="AF187" s="3453" t="s">
        <v>5172</v>
      </c>
      <c r="AG187" s="3470" t="s">
        <v>3466</v>
      </c>
      <c r="AH187" s="3470" t="s">
        <v>3568</v>
      </c>
      <c r="AI187" s="3470" t="s">
        <v>3679</v>
      </c>
      <c r="AJ187" s="3478">
        <v>37621</v>
      </c>
      <c r="AK187" s="3479" t="s">
        <v>3570</v>
      </c>
      <c r="AL187" s="3495">
        <v>67641700</v>
      </c>
      <c r="AN187" s="3480" t="s">
        <v>4210</v>
      </c>
      <c r="AO187" s="3470" t="s">
        <v>3568</v>
      </c>
      <c r="AP187" s="3456" t="s">
        <v>3476</v>
      </c>
      <c r="AQ187" s="3456" t="s">
        <v>3571</v>
      </c>
      <c r="AV187" s="3519"/>
      <c r="AW187" s="3470" t="s">
        <v>3572</v>
      </c>
      <c r="AX187" s="3470" t="s">
        <v>2511</v>
      </c>
      <c r="AY187" s="3495">
        <v>190022</v>
      </c>
      <c r="AZ187" s="3470" t="s">
        <v>4029</v>
      </c>
      <c r="BA187" s="3470" t="s">
        <v>4034</v>
      </c>
      <c r="BB187" s="3470" t="s">
        <v>4127</v>
      </c>
      <c r="BC187" s="3470" t="s">
        <v>4035</v>
      </c>
      <c r="BD187" s="3470">
        <v>100034</v>
      </c>
      <c r="BE187" s="3470">
        <v>66177078</v>
      </c>
      <c r="BF187" s="3520">
        <v>2.7</v>
      </c>
      <c r="BG187" s="3478">
        <v>37587</v>
      </c>
      <c r="BI187" s="3441" t="s">
        <v>3700</v>
      </c>
      <c r="BJ187" s="3478">
        <v>37631</v>
      </c>
      <c r="BK187" s="3478"/>
      <c r="BL187" s="3441" t="s">
        <v>3670</v>
      </c>
      <c r="BM187" s="3441"/>
      <c r="BN187" s="3441"/>
      <c r="BO187" s="3441"/>
      <c r="BP187" s="3441"/>
      <c r="BQ187" s="3441"/>
      <c r="BR187" s="3441"/>
    </row>
    <row r="188" spans="1:73" s="3470" customFormat="1" ht="12" hidden="1">
      <c r="A188" s="3470" t="s">
        <v>5173</v>
      </c>
      <c r="B188" s="3470" t="s">
        <v>5174</v>
      </c>
      <c r="C188" s="3481" t="s">
        <v>5175</v>
      </c>
      <c r="D188" s="3470">
        <v>13910536019</v>
      </c>
      <c r="E188" s="3470" t="s">
        <v>3558</v>
      </c>
      <c r="F188" s="3470" t="s">
        <v>4025</v>
      </c>
      <c r="H188" s="3453" t="s">
        <v>4026</v>
      </c>
      <c r="I188" s="3453" t="s">
        <v>5176</v>
      </c>
      <c r="J188" s="3453" t="s">
        <v>5177</v>
      </c>
      <c r="K188" s="3470" t="s">
        <v>4029</v>
      </c>
      <c r="L188" s="3495">
        <v>117.78</v>
      </c>
      <c r="M188" s="3495">
        <v>2</v>
      </c>
      <c r="N188" s="3470" t="s">
        <v>3488</v>
      </c>
      <c r="O188" s="3495">
        <v>95.39</v>
      </c>
      <c r="P188" s="3470" t="s">
        <v>3452</v>
      </c>
      <c r="Q188" s="3457">
        <v>494676</v>
      </c>
      <c r="R188" s="3470">
        <v>4200</v>
      </c>
      <c r="S188" s="3472">
        <v>48.87</v>
      </c>
      <c r="T188" s="3473">
        <v>488700</v>
      </c>
      <c r="U188" s="3470">
        <v>4150</v>
      </c>
      <c r="V188" s="3474">
        <v>0.1</v>
      </c>
      <c r="W188" s="3475">
        <v>43.98</v>
      </c>
      <c r="X188" s="3473">
        <v>439799.99999999994</v>
      </c>
      <c r="Y188" s="3441">
        <v>2003</v>
      </c>
      <c r="Z188" s="3441">
        <v>1</v>
      </c>
      <c r="AA188" s="3470">
        <v>16</v>
      </c>
      <c r="AB188" s="3485">
        <v>2440</v>
      </c>
      <c r="AC188" s="3470" t="s">
        <v>3544</v>
      </c>
      <c r="AE188" s="3456" t="s">
        <v>3663</v>
      </c>
      <c r="AF188" s="3453" t="s">
        <v>5172</v>
      </c>
      <c r="AG188" s="3470" t="s">
        <v>3466</v>
      </c>
      <c r="AH188" s="3470" t="s">
        <v>3568</v>
      </c>
      <c r="AI188" s="3470" t="s">
        <v>3679</v>
      </c>
      <c r="AJ188" s="3478">
        <v>37621</v>
      </c>
      <c r="AK188" s="3479" t="s">
        <v>3570</v>
      </c>
      <c r="AL188" s="3495">
        <v>67641700</v>
      </c>
      <c r="AN188" s="3480" t="s">
        <v>3649</v>
      </c>
      <c r="AO188" s="3470" t="s">
        <v>3568</v>
      </c>
      <c r="AP188" s="3456" t="s">
        <v>3476</v>
      </c>
      <c r="AQ188" s="3456" t="s">
        <v>3571</v>
      </c>
      <c r="AV188" s="3519"/>
      <c r="AW188" s="3470" t="s">
        <v>3572</v>
      </c>
      <c r="AX188" s="3470" t="s">
        <v>2511</v>
      </c>
      <c r="AY188" s="3495">
        <v>190024</v>
      </c>
      <c r="AZ188" s="3470" t="s">
        <v>4029</v>
      </c>
      <c r="BA188" s="3470" t="s">
        <v>4034</v>
      </c>
      <c r="BB188" s="3470" t="s">
        <v>4127</v>
      </c>
      <c r="BC188" s="3470" t="s">
        <v>4035</v>
      </c>
      <c r="BD188" s="3470">
        <v>100034</v>
      </c>
      <c r="BE188" s="3470">
        <v>66177078</v>
      </c>
      <c r="BF188" s="3520">
        <v>2.7</v>
      </c>
      <c r="BG188" s="3478">
        <v>37580</v>
      </c>
      <c r="BI188" s="3441" t="s">
        <v>3700</v>
      </c>
      <c r="BJ188" s="3478">
        <v>37636</v>
      </c>
      <c r="BK188" s="3478"/>
      <c r="BL188" s="3441" t="s">
        <v>3670</v>
      </c>
      <c r="BM188" s="3441"/>
      <c r="BN188" s="3441"/>
      <c r="BO188" s="3441"/>
      <c r="BP188" s="3441"/>
      <c r="BQ188" s="3441"/>
      <c r="BR188" s="3441"/>
    </row>
    <row r="189" spans="1:73" s="3441" customFormat="1" ht="12" hidden="1">
      <c r="A189" s="3470" t="s">
        <v>5178</v>
      </c>
      <c r="B189" s="3470" t="s">
        <v>5179</v>
      </c>
      <c r="C189" s="3481" t="s">
        <v>5180</v>
      </c>
      <c r="D189" s="3481" t="s">
        <v>5181</v>
      </c>
      <c r="E189" s="3470" t="s">
        <v>3558</v>
      </c>
      <c r="F189" s="3521" t="s">
        <v>3951</v>
      </c>
      <c r="G189" s="3470"/>
      <c r="H189" s="3470" t="s">
        <v>4281</v>
      </c>
      <c r="I189" s="3470" t="s">
        <v>3676</v>
      </c>
      <c r="J189" s="3481" t="s">
        <v>5182</v>
      </c>
      <c r="K189" s="3470" t="s">
        <v>3955</v>
      </c>
      <c r="L189" s="3470">
        <v>55.06</v>
      </c>
      <c r="M189" s="3470">
        <v>13</v>
      </c>
      <c r="N189" s="3470" t="s">
        <v>3790</v>
      </c>
      <c r="O189" s="3470">
        <v>45.57</v>
      </c>
      <c r="P189" s="3470" t="s">
        <v>3452</v>
      </c>
      <c r="Q189" s="3457">
        <v>264398.12</v>
      </c>
      <c r="R189" s="3470">
        <v>4802</v>
      </c>
      <c r="S189" s="3472">
        <v>26.16</v>
      </c>
      <c r="T189" s="3473">
        <v>261600</v>
      </c>
      <c r="U189" s="3470">
        <v>4752</v>
      </c>
      <c r="V189" s="3474">
        <v>0.1</v>
      </c>
      <c r="W189" s="3475">
        <v>23.54</v>
      </c>
      <c r="X189" s="3476">
        <v>235400</v>
      </c>
      <c r="Y189" s="3441">
        <v>2003</v>
      </c>
      <c r="Z189" s="3441">
        <v>1</v>
      </c>
      <c r="AA189" s="3441">
        <v>16</v>
      </c>
      <c r="AB189" s="3477">
        <v>1305</v>
      </c>
      <c r="AC189" s="3470" t="s">
        <v>3693</v>
      </c>
      <c r="AD189" s="3485"/>
      <c r="AE189" s="3441" t="s">
        <v>3663</v>
      </c>
      <c r="AF189" s="3470" t="s">
        <v>3587</v>
      </c>
      <c r="AG189" s="3522" t="s">
        <v>3466</v>
      </c>
      <c r="AH189" s="3485"/>
      <c r="AI189" s="3470" t="s">
        <v>3679</v>
      </c>
      <c r="AJ189" s="3523">
        <v>37711</v>
      </c>
      <c r="AK189" s="3479" t="s">
        <v>3456</v>
      </c>
      <c r="AL189" s="3441" t="s">
        <v>3957</v>
      </c>
      <c r="AN189" s="3441" t="s">
        <v>4210</v>
      </c>
      <c r="AP189" s="3441" t="s">
        <v>3476</v>
      </c>
      <c r="AQ189" s="3441" t="s">
        <v>3571</v>
      </c>
      <c r="AV189" s="3441" t="s">
        <v>3568</v>
      </c>
      <c r="AW189" s="3441" t="s">
        <v>3572</v>
      </c>
      <c r="AX189" s="3441" t="s">
        <v>2511</v>
      </c>
      <c r="AY189" s="3524" t="s">
        <v>5183</v>
      </c>
      <c r="AZ189" s="3441" t="s">
        <v>3955</v>
      </c>
      <c r="BA189" s="3441" t="s">
        <v>3959</v>
      </c>
      <c r="BB189" s="3524" t="s">
        <v>3960</v>
      </c>
      <c r="BC189" s="3441" t="s">
        <v>3961</v>
      </c>
      <c r="BD189" s="3525">
        <v>102100</v>
      </c>
      <c r="BE189" s="3441">
        <v>62998398</v>
      </c>
      <c r="BF189" s="3526">
        <v>2.8</v>
      </c>
      <c r="BG189" s="3518">
        <v>37628</v>
      </c>
      <c r="BI189" s="3441" t="s">
        <v>3713</v>
      </c>
      <c r="BJ189" s="3484">
        <v>37636</v>
      </c>
      <c r="BK189" s="3484"/>
      <c r="BL189" s="3470" t="s">
        <v>3670</v>
      </c>
      <c r="BS189" s="3470"/>
      <c r="BT189" s="3470"/>
      <c r="BU189" s="3470"/>
    </row>
    <row r="190" spans="1:73" s="3470" customFormat="1" ht="12" hidden="1">
      <c r="A190" s="3470" t="s">
        <v>5184</v>
      </c>
      <c r="B190" s="3470" t="s">
        <v>5185</v>
      </c>
      <c r="C190" s="3481" t="s">
        <v>5186</v>
      </c>
      <c r="D190" s="3470">
        <v>13910787943</v>
      </c>
      <c r="E190" s="3470" t="s">
        <v>3558</v>
      </c>
      <c r="F190" s="3470" t="s">
        <v>3613</v>
      </c>
      <c r="H190" s="3453" t="s">
        <v>5187</v>
      </c>
      <c r="I190" s="3453" t="s">
        <v>4019</v>
      </c>
      <c r="J190" s="3453" t="s">
        <v>3495</v>
      </c>
      <c r="K190" s="3470" t="s">
        <v>3968</v>
      </c>
      <c r="L190" s="3495">
        <v>129.01</v>
      </c>
      <c r="M190" s="3495">
        <v>2</v>
      </c>
      <c r="N190" s="3470" t="s">
        <v>4003</v>
      </c>
      <c r="O190" s="3495">
        <v>117.87</v>
      </c>
      <c r="P190" s="3470" t="s">
        <v>3452</v>
      </c>
      <c r="Q190" s="3457">
        <v>554083.75890000002</v>
      </c>
      <c r="R190" s="3470">
        <v>4294.8900000000003</v>
      </c>
      <c r="S190" s="3472">
        <v>54.76</v>
      </c>
      <c r="T190" s="3473">
        <v>547600</v>
      </c>
      <c r="U190" s="3470">
        <v>4245</v>
      </c>
      <c r="V190" s="3474">
        <v>0.1</v>
      </c>
      <c r="W190" s="3475">
        <v>49.28</v>
      </c>
      <c r="X190" s="3473">
        <v>492800</v>
      </c>
      <c r="Y190" s="3441">
        <v>2003</v>
      </c>
      <c r="Z190" s="3441">
        <v>1</v>
      </c>
      <c r="AA190" s="3470">
        <v>16</v>
      </c>
      <c r="AB190" s="3485">
        <v>2735</v>
      </c>
      <c r="AC190" s="3470" t="s">
        <v>3970</v>
      </c>
      <c r="AE190" s="3441" t="s">
        <v>3663</v>
      </c>
      <c r="AF190" s="3453" t="s">
        <v>3728</v>
      </c>
      <c r="AG190" s="3470" t="s">
        <v>3466</v>
      </c>
      <c r="AI190" s="3470" t="s">
        <v>4834</v>
      </c>
      <c r="AJ190" s="3478">
        <v>37894</v>
      </c>
      <c r="AK190" s="3479" t="s">
        <v>3570</v>
      </c>
      <c r="AL190" s="3441">
        <v>67641700</v>
      </c>
      <c r="AN190" s="3480" t="s">
        <v>3482</v>
      </c>
      <c r="AP190" s="3441" t="s">
        <v>3476</v>
      </c>
      <c r="AQ190" s="3456" t="s">
        <v>3571</v>
      </c>
      <c r="AV190" s="3519"/>
      <c r="AW190" s="3470" t="s">
        <v>3572</v>
      </c>
      <c r="AX190" s="3470" t="s">
        <v>2511</v>
      </c>
      <c r="AY190" s="3495">
        <v>252130</v>
      </c>
      <c r="AZ190" s="3470" t="s">
        <v>3968</v>
      </c>
      <c r="BA190" s="3470" t="s">
        <v>3971</v>
      </c>
      <c r="BB190" s="3470" t="s">
        <v>3972</v>
      </c>
      <c r="BC190" s="3470" t="s">
        <v>3973</v>
      </c>
      <c r="BD190" s="3470">
        <v>100096</v>
      </c>
      <c r="BE190" s="3470">
        <v>82919961</v>
      </c>
      <c r="BF190" s="3520">
        <v>2.9</v>
      </c>
      <c r="BG190" s="3478">
        <v>37612</v>
      </c>
      <c r="BI190" s="3441" t="s">
        <v>3700</v>
      </c>
      <c r="BJ190" s="3478">
        <v>37629</v>
      </c>
      <c r="BK190" s="3478"/>
      <c r="BL190" s="3441" t="s">
        <v>3670</v>
      </c>
      <c r="BM190" s="3441"/>
      <c r="BN190" s="3441"/>
      <c r="BO190" s="3441"/>
      <c r="BP190" s="3441"/>
      <c r="BQ190" s="3441"/>
      <c r="BR190" s="3441"/>
    </row>
    <row r="191" spans="1:73" s="3470" customFormat="1" ht="12" hidden="1">
      <c r="A191" s="3470" t="s">
        <v>5188</v>
      </c>
      <c r="B191" s="3470" t="s">
        <v>5189</v>
      </c>
      <c r="C191" s="3481" t="s">
        <v>5190</v>
      </c>
      <c r="D191" s="3470">
        <v>13301100861</v>
      </c>
      <c r="E191" s="3470" t="s">
        <v>3558</v>
      </c>
      <c r="F191" s="3470" t="s">
        <v>3613</v>
      </c>
      <c r="H191" s="3453" t="s">
        <v>4262</v>
      </c>
      <c r="I191" s="3453" t="s">
        <v>4433</v>
      </c>
      <c r="J191" s="3453" t="s">
        <v>3495</v>
      </c>
      <c r="K191" s="3470" t="s">
        <v>3968</v>
      </c>
      <c r="L191" s="3495">
        <v>145.22999999999999</v>
      </c>
      <c r="M191" s="3495">
        <v>2</v>
      </c>
      <c r="N191" s="3470" t="s">
        <v>4003</v>
      </c>
      <c r="O191" s="3495">
        <v>132.36000000000001</v>
      </c>
      <c r="P191" s="3470" t="s">
        <v>3452</v>
      </c>
      <c r="Q191" s="3457">
        <v>645849.42839999998</v>
      </c>
      <c r="R191" s="3470">
        <v>4447.08</v>
      </c>
      <c r="S191" s="3472">
        <v>63.87</v>
      </c>
      <c r="T191" s="3473">
        <v>638700</v>
      </c>
      <c r="U191" s="3470">
        <v>4398</v>
      </c>
      <c r="V191" s="3474">
        <v>0.1</v>
      </c>
      <c r="W191" s="3475">
        <v>57.48</v>
      </c>
      <c r="X191" s="3473">
        <v>574800</v>
      </c>
      <c r="Y191" s="3441">
        <v>2003</v>
      </c>
      <c r="Z191" s="3441">
        <v>1</v>
      </c>
      <c r="AA191" s="3470">
        <v>16</v>
      </c>
      <c r="AB191" s="3485">
        <v>3190</v>
      </c>
      <c r="AC191" s="3470" t="s">
        <v>4922</v>
      </c>
      <c r="AE191" s="3441" t="s">
        <v>3663</v>
      </c>
      <c r="AF191" s="3453" t="s">
        <v>3604</v>
      </c>
      <c r="AG191" s="3470" t="s">
        <v>3466</v>
      </c>
      <c r="AI191" s="3470" t="s">
        <v>4834</v>
      </c>
      <c r="AJ191" s="3478">
        <v>37894</v>
      </c>
      <c r="AK191" s="3479" t="s">
        <v>3570</v>
      </c>
      <c r="AL191" s="3441">
        <v>67641700</v>
      </c>
      <c r="AN191" s="3480" t="s">
        <v>3482</v>
      </c>
      <c r="AP191" s="3441" t="s">
        <v>3476</v>
      </c>
      <c r="AQ191" s="3456" t="s">
        <v>3571</v>
      </c>
      <c r="AV191" s="3519"/>
      <c r="AW191" s="3470" t="s">
        <v>3572</v>
      </c>
      <c r="AX191" s="3470" t="s">
        <v>2511</v>
      </c>
      <c r="AY191" s="3495">
        <v>252161</v>
      </c>
      <c r="AZ191" s="3470" t="s">
        <v>3968</v>
      </c>
      <c r="BA191" s="3470" t="s">
        <v>3971</v>
      </c>
      <c r="BB191" s="3470" t="s">
        <v>3972</v>
      </c>
      <c r="BC191" s="3470" t="s">
        <v>3973</v>
      </c>
      <c r="BD191" s="3470">
        <v>100096</v>
      </c>
      <c r="BE191" s="3470">
        <v>82919961</v>
      </c>
      <c r="BF191" s="3520">
        <v>2.9</v>
      </c>
      <c r="BG191" s="3478">
        <v>37611</v>
      </c>
      <c r="BI191" s="3441" t="s">
        <v>3700</v>
      </c>
      <c r="BJ191" s="3478">
        <v>37636</v>
      </c>
      <c r="BK191" s="3478"/>
      <c r="BL191" s="3441" t="s">
        <v>3670</v>
      </c>
      <c r="BM191" s="3441"/>
      <c r="BN191" s="3441"/>
      <c r="BO191" s="3441"/>
      <c r="BP191" s="3441"/>
      <c r="BQ191" s="3441"/>
      <c r="BR191" s="3441"/>
    </row>
    <row r="192" spans="1:73" s="3470" customFormat="1" ht="12" hidden="1">
      <c r="A192" s="3470" t="s">
        <v>5191</v>
      </c>
      <c r="B192" s="3470" t="s">
        <v>5192</v>
      </c>
      <c r="C192" s="3481" t="s">
        <v>5193</v>
      </c>
      <c r="D192" s="3470">
        <v>13801033565</v>
      </c>
      <c r="E192" s="3470" t="s">
        <v>3558</v>
      </c>
      <c r="F192" s="3470" t="s">
        <v>3613</v>
      </c>
      <c r="H192" s="3453" t="s">
        <v>5194</v>
      </c>
      <c r="I192" s="3453" t="s">
        <v>3615</v>
      </c>
      <c r="J192" s="3453" t="s">
        <v>4218</v>
      </c>
      <c r="K192" s="3470" t="s">
        <v>3968</v>
      </c>
      <c r="L192" s="3495">
        <v>149.88</v>
      </c>
      <c r="M192" s="3495">
        <v>1</v>
      </c>
      <c r="N192" s="3470" t="s">
        <v>4003</v>
      </c>
      <c r="O192" s="3495">
        <v>137.54</v>
      </c>
      <c r="P192" s="3470" t="s">
        <v>3452</v>
      </c>
      <c r="Q192" s="3457">
        <v>658033.15199999989</v>
      </c>
      <c r="R192" s="3470">
        <v>4390.3999999999996</v>
      </c>
      <c r="S192" s="3472">
        <v>65.16</v>
      </c>
      <c r="T192" s="3473">
        <v>651600</v>
      </c>
      <c r="U192" s="3470">
        <v>4348</v>
      </c>
      <c r="V192" s="3474">
        <v>0.1</v>
      </c>
      <c r="W192" s="3475">
        <v>58.64</v>
      </c>
      <c r="X192" s="3473">
        <v>586400</v>
      </c>
      <c r="Y192" s="3441">
        <v>2003</v>
      </c>
      <c r="Z192" s="3441">
        <v>1</v>
      </c>
      <c r="AA192" s="3470">
        <v>29</v>
      </c>
      <c r="AB192" s="3485">
        <v>3255</v>
      </c>
      <c r="AC192" s="3470" t="s">
        <v>3544</v>
      </c>
      <c r="AE192" s="3441" t="s">
        <v>3663</v>
      </c>
      <c r="AF192" s="3453" t="s">
        <v>3728</v>
      </c>
      <c r="AG192" s="3470" t="s">
        <v>3466</v>
      </c>
      <c r="AI192" s="3470" t="s">
        <v>3711</v>
      </c>
      <c r="AJ192" s="3478">
        <v>37894</v>
      </c>
      <c r="AK192" s="3500">
        <v>1</v>
      </c>
      <c r="AL192" s="3441">
        <v>67641700</v>
      </c>
      <c r="AN192" s="3480" t="s">
        <v>3487</v>
      </c>
      <c r="AO192" s="3441" t="s">
        <v>5195</v>
      </c>
      <c r="AP192" s="3441" t="s">
        <v>3476</v>
      </c>
      <c r="AQ192" s="3456" t="s">
        <v>3571</v>
      </c>
      <c r="AV192" s="3519"/>
      <c r="AW192" s="3470" t="s">
        <v>3572</v>
      </c>
      <c r="AX192" s="3470" t="s">
        <v>2511</v>
      </c>
      <c r="AY192" s="3495">
        <v>226631</v>
      </c>
      <c r="AZ192" s="3470" t="s">
        <v>3968</v>
      </c>
      <c r="BA192" s="3470" t="s">
        <v>3971</v>
      </c>
      <c r="BB192" s="3470" t="s">
        <v>3972</v>
      </c>
      <c r="BC192" s="3470" t="s">
        <v>3973</v>
      </c>
      <c r="BD192" s="3470">
        <v>100096</v>
      </c>
      <c r="BE192" s="3470">
        <v>82919961</v>
      </c>
      <c r="BF192" s="3520">
        <v>2.9</v>
      </c>
      <c r="BG192" s="3478">
        <v>37546</v>
      </c>
      <c r="BI192" s="3470" t="s">
        <v>3476</v>
      </c>
      <c r="BJ192" s="3478">
        <v>37649</v>
      </c>
      <c r="BK192" s="3478"/>
      <c r="BL192" s="3441" t="s">
        <v>3670</v>
      </c>
      <c r="BM192" s="3441"/>
      <c r="BN192" s="3441"/>
      <c r="BO192" s="3441"/>
      <c r="BP192" s="3441"/>
      <c r="BQ192" s="3441"/>
      <c r="BR192" s="3441"/>
    </row>
    <row r="193" spans="1:73" s="3441" customFormat="1" ht="13.2" hidden="1">
      <c r="A193" s="3453" t="s">
        <v>5196</v>
      </c>
      <c r="B193" s="3542" t="s">
        <v>5197</v>
      </c>
      <c r="C193" s="3481" t="s">
        <v>5198</v>
      </c>
      <c r="D193" s="3543" t="s">
        <v>5199</v>
      </c>
      <c r="E193" s="3542" t="s">
        <v>2736</v>
      </c>
      <c r="F193" s="3542" t="s">
        <v>5200</v>
      </c>
      <c r="G193" s="3485"/>
      <c r="H193" s="3485" t="s">
        <v>4316</v>
      </c>
      <c r="I193" s="3485" t="s">
        <v>5201</v>
      </c>
      <c r="J193" s="3543" t="s">
        <v>4150</v>
      </c>
      <c r="K193" s="3485" t="s">
        <v>4154</v>
      </c>
      <c r="L193" s="3477">
        <v>61.49</v>
      </c>
      <c r="M193" s="3477">
        <v>22</v>
      </c>
      <c r="N193" s="3470" t="s">
        <v>3564</v>
      </c>
      <c r="O193" s="3485">
        <v>48.69</v>
      </c>
      <c r="P193" s="3470" t="s">
        <v>3452</v>
      </c>
      <c r="Q193" s="3457">
        <v>503437.07700000005</v>
      </c>
      <c r="R193" s="3470">
        <v>8187.3</v>
      </c>
      <c r="S193" s="3472">
        <v>49.86</v>
      </c>
      <c r="T193" s="3473">
        <v>498600</v>
      </c>
      <c r="U193" s="3470">
        <v>8110</v>
      </c>
      <c r="V193" s="3474">
        <v>0.1</v>
      </c>
      <c r="W193" s="3475">
        <v>44.87</v>
      </c>
      <c r="X193" s="3473">
        <v>448700</v>
      </c>
      <c r="Y193" s="3441">
        <v>2003</v>
      </c>
      <c r="Z193" s="3441">
        <v>1</v>
      </c>
      <c r="AA193" s="3441">
        <v>23</v>
      </c>
      <c r="AB193" s="3485">
        <v>2490</v>
      </c>
      <c r="AC193" s="3485" t="s">
        <v>4922</v>
      </c>
      <c r="AD193" s="3485"/>
      <c r="AE193" s="3456" t="s">
        <v>2156</v>
      </c>
      <c r="AF193" s="3490" t="s">
        <v>5202</v>
      </c>
      <c r="AG193" s="3485" t="s">
        <v>3454</v>
      </c>
      <c r="AH193" s="3485"/>
      <c r="AI193" s="3561" t="s">
        <v>4834</v>
      </c>
      <c r="AJ193" s="3539">
        <v>37863</v>
      </c>
      <c r="AK193" s="3500">
        <v>1</v>
      </c>
      <c r="AL193" s="3515">
        <v>67641700</v>
      </c>
      <c r="AN193" s="3470" t="s">
        <v>3680</v>
      </c>
      <c r="AO193" s="3441" t="s">
        <v>5203</v>
      </c>
      <c r="AP193" s="3502" t="s">
        <v>3475</v>
      </c>
      <c r="AQ193" s="3470" t="s">
        <v>3457</v>
      </c>
      <c r="AU193" s="3463"/>
      <c r="AV193" s="3518"/>
      <c r="AW193" s="3470" t="s">
        <v>3458</v>
      </c>
      <c r="AX193" s="3441" t="s">
        <v>3549</v>
      </c>
      <c r="AY193" s="3536" t="s">
        <v>5204</v>
      </c>
      <c r="AZ193" s="3485" t="s">
        <v>4151</v>
      </c>
      <c r="BA193" s="3463" t="s">
        <v>4155</v>
      </c>
      <c r="BB193" s="3466">
        <v>1102272096110</v>
      </c>
      <c r="BC193" s="3463" t="s">
        <v>5205</v>
      </c>
      <c r="BD193" s="3537">
        <v>100044</v>
      </c>
      <c r="BE193" s="3441">
        <v>62251419</v>
      </c>
      <c r="BF193" s="3544">
        <v>2.8</v>
      </c>
      <c r="BG193" s="3518">
        <v>37602</v>
      </c>
      <c r="BI193" s="3441" t="s">
        <v>3922</v>
      </c>
      <c r="BJ193" s="3478">
        <v>37644</v>
      </c>
      <c r="BL193" s="3441" t="s">
        <v>3594</v>
      </c>
      <c r="BS193" s="3470"/>
      <c r="BT193" s="3470"/>
      <c r="BU193" s="3470"/>
    </row>
    <row r="194" spans="1:73" s="3470" customFormat="1" ht="12" hidden="1">
      <c r="A194" s="3470" t="s">
        <v>5206</v>
      </c>
      <c r="B194" s="3470" t="s">
        <v>5207</v>
      </c>
      <c r="C194" s="3481" t="s">
        <v>5208</v>
      </c>
      <c r="D194" s="3470">
        <v>13661191388</v>
      </c>
      <c r="E194" s="3470" t="s">
        <v>2736</v>
      </c>
      <c r="F194" s="3470" t="s">
        <v>3808</v>
      </c>
      <c r="H194" s="3470" t="s">
        <v>3749</v>
      </c>
      <c r="J194" s="3470" t="s">
        <v>3541</v>
      </c>
      <c r="K194" s="3470" t="s">
        <v>3766</v>
      </c>
      <c r="L194" s="3470">
        <v>109.38</v>
      </c>
      <c r="M194" s="3470">
        <v>12</v>
      </c>
      <c r="N194" s="3470" t="s">
        <v>3778</v>
      </c>
      <c r="O194" s="3470">
        <v>90.22</v>
      </c>
      <c r="P194" s="3470" t="s">
        <v>3452</v>
      </c>
      <c r="Q194" s="3457">
        <v>372985.8</v>
      </c>
      <c r="R194" s="3470">
        <v>3410</v>
      </c>
      <c r="S194" s="3472">
        <v>36.83</v>
      </c>
      <c r="T194" s="3527">
        <v>368300</v>
      </c>
      <c r="U194" s="3470">
        <v>3368</v>
      </c>
      <c r="V194" s="3474">
        <v>0.1</v>
      </c>
      <c r="W194" s="3475">
        <v>33.14</v>
      </c>
      <c r="X194" s="3494">
        <v>331400</v>
      </c>
      <c r="Y194" s="3441">
        <v>2003</v>
      </c>
      <c r="Z194" s="3441">
        <v>2</v>
      </c>
      <c r="AA194" s="3470">
        <v>14</v>
      </c>
      <c r="AB194" s="3477">
        <v>1470</v>
      </c>
      <c r="AC194" s="3470" t="s">
        <v>3798</v>
      </c>
      <c r="AE194" s="3470" t="s">
        <v>3663</v>
      </c>
      <c r="AF194" s="3470" t="s">
        <v>3799</v>
      </c>
      <c r="AG194" s="3470" t="s">
        <v>3466</v>
      </c>
      <c r="AI194" s="3470" t="s">
        <v>3679</v>
      </c>
      <c r="AJ194" s="3478">
        <v>38138</v>
      </c>
      <c r="AK194" s="3500">
        <v>2</v>
      </c>
      <c r="AL194" s="3470">
        <v>67641700</v>
      </c>
      <c r="AN194" s="3441" t="s">
        <v>3468</v>
      </c>
      <c r="AO194" s="3470" t="s">
        <v>5209</v>
      </c>
      <c r="AP194" s="3470" t="s">
        <v>3476</v>
      </c>
      <c r="AQ194" s="3470" t="s">
        <v>3571</v>
      </c>
      <c r="AV194" s="3470" t="s">
        <v>3568</v>
      </c>
      <c r="AW194" s="3470" t="s">
        <v>3572</v>
      </c>
      <c r="AY194" s="3481" t="s">
        <v>5210</v>
      </c>
      <c r="AZ194" s="3470" t="s">
        <v>3766</v>
      </c>
      <c r="BA194" s="3470" t="s">
        <v>3755</v>
      </c>
      <c r="BB194" s="3481" t="s">
        <v>3756</v>
      </c>
      <c r="BC194" s="3470" t="s">
        <v>3782</v>
      </c>
      <c r="BD194" s="3482">
        <v>102488</v>
      </c>
      <c r="BE194" s="3470">
        <v>63023627</v>
      </c>
      <c r="BF194" s="3483">
        <v>2.8</v>
      </c>
      <c r="BG194" s="3478">
        <v>37637</v>
      </c>
      <c r="BH194" s="3470" t="s">
        <v>3758</v>
      </c>
      <c r="BI194" s="3441" t="s">
        <v>3476</v>
      </c>
      <c r="BJ194" s="3518">
        <v>37650</v>
      </c>
      <c r="BK194" s="3478"/>
      <c r="BL194" s="3441" t="s">
        <v>3670</v>
      </c>
      <c r="BM194" s="3441"/>
      <c r="BN194" s="3441"/>
      <c r="BO194" s="3441"/>
      <c r="BP194" s="3441"/>
      <c r="BQ194" s="3441"/>
      <c r="BR194" s="3441"/>
    </row>
    <row r="195" spans="1:73" s="3470" customFormat="1" ht="12" hidden="1">
      <c r="A195" s="3470" t="s">
        <v>5211</v>
      </c>
      <c r="B195" s="3470" t="s">
        <v>5212</v>
      </c>
      <c r="C195" s="3481" t="s">
        <v>5213</v>
      </c>
      <c r="D195" s="3470">
        <v>13011068697</v>
      </c>
      <c r="E195" s="3470" t="s">
        <v>3558</v>
      </c>
      <c r="F195" s="3470" t="s">
        <v>5064</v>
      </c>
      <c r="H195" s="3453" t="s">
        <v>5065</v>
      </c>
      <c r="I195" s="3453" t="s">
        <v>4124</v>
      </c>
      <c r="J195" s="3453" t="s">
        <v>5214</v>
      </c>
      <c r="K195" s="3470" t="s">
        <v>5068</v>
      </c>
      <c r="L195" s="3495">
        <v>91</v>
      </c>
      <c r="M195" s="3495">
        <v>8</v>
      </c>
      <c r="N195" s="3470" t="s">
        <v>3451</v>
      </c>
      <c r="O195" s="3495">
        <v>71.92</v>
      </c>
      <c r="P195" s="3470" t="s">
        <v>3452</v>
      </c>
      <c r="Q195" s="3457">
        <v>547456</v>
      </c>
      <c r="R195" s="3470">
        <v>6016</v>
      </c>
      <c r="S195" s="3472">
        <v>54.21</v>
      </c>
      <c r="T195" s="3473">
        <v>542100</v>
      </c>
      <c r="U195" s="3470">
        <v>5958</v>
      </c>
      <c r="V195" s="3474">
        <v>0.1</v>
      </c>
      <c r="W195" s="3475">
        <v>48.78</v>
      </c>
      <c r="X195" s="3473">
        <v>487800</v>
      </c>
      <c r="Y195" s="3441">
        <v>2003</v>
      </c>
      <c r="Z195" s="3441">
        <v>1</v>
      </c>
      <c r="AA195" s="3470">
        <v>20</v>
      </c>
      <c r="AB195" s="3485">
        <v>2710</v>
      </c>
      <c r="AC195" s="3470" t="s">
        <v>5215</v>
      </c>
      <c r="AE195" s="3456" t="s">
        <v>3663</v>
      </c>
      <c r="AF195" s="3453" t="s">
        <v>4551</v>
      </c>
      <c r="AG195" s="3470" t="s">
        <v>3466</v>
      </c>
      <c r="AI195" s="3470" t="s">
        <v>3679</v>
      </c>
      <c r="AJ195" s="3478">
        <v>37753</v>
      </c>
      <c r="AK195" s="3479" t="s">
        <v>3570</v>
      </c>
      <c r="AL195" s="3495">
        <v>67641700</v>
      </c>
      <c r="AN195" s="3480" t="s">
        <v>4427</v>
      </c>
      <c r="AP195" s="3456" t="s">
        <v>3476</v>
      </c>
      <c r="AQ195" s="3456" t="s">
        <v>3571</v>
      </c>
      <c r="AV195" s="3519"/>
      <c r="AW195" s="3470" t="s">
        <v>3572</v>
      </c>
      <c r="AX195" s="3470" t="s">
        <v>2511</v>
      </c>
      <c r="AY195" s="3495">
        <v>236132</v>
      </c>
      <c r="AZ195" s="3470" t="s">
        <v>5068</v>
      </c>
      <c r="BA195" s="3470" t="s">
        <v>5070</v>
      </c>
      <c r="BB195" s="3470" t="s">
        <v>5071</v>
      </c>
      <c r="BC195" s="3470" t="s">
        <v>5072</v>
      </c>
      <c r="BD195" s="3470">
        <v>100086</v>
      </c>
      <c r="BE195" s="3470">
        <v>62550762</v>
      </c>
      <c r="BF195" s="3520">
        <v>2.7</v>
      </c>
      <c r="BG195" s="3478">
        <v>37629</v>
      </c>
      <c r="BI195" s="3441" t="s">
        <v>3700</v>
      </c>
      <c r="BJ195" s="3478">
        <v>37638</v>
      </c>
      <c r="BK195" s="3478"/>
      <c r="BL195" s="3441"/>
      <c r="BM195" s="3441"/>
      <c r="BN195" s="3441"/>
      <c r="BO195" s="3441"/>
      <c r="BP195" s="3441"/>
      <c r="BQ195" s="3441"/>
      <c r="BR195" s="3441"/>
    </row>
    <row r="196" spans="1:73" s="3470" customFormat="1" ht="12" hidden="1">
      <c r="A196" s="3470" t="s">
        <v>5216</v>
      </c>
      <c r="B196" s="3470" t="s">
        <v>5217</v>
      </c>
      <c r="C196" s="3481" t="s">
        <v>5218</v>
      </c>
      <c r="D196" s="3470">
        <v>13501086414</v>
      </c>
      <c r="E196" s="3470" t="s">
        <v>2736</v>
      </c>
      <c r="F196" s="3470" t="s">
        <v>3808</v>
      </c>
      <c r="H196" s="3470" t="s">
        <v>3857</v>
      </c>
      <c r="J196" s="3470" t="s">
        <v>5219</v>
      </c>
      <c r="K196" s="3470" t="s">
        <v>3751</v>
      </c>
      <c r="L196" s="3470">
        <v>112.34</v>
      </c>
      <c r="M196" s="3470">
        <v>5</v>
      </c>
      <c r="N196" s="3470" t="s">
        <v>3778</v>
      </c>
      <c r="O196" s="3470">
        <v>92.66</v>
      </c>
      <c r="P196" s="3470" t="s">
        <v>3452</v>
      </c>
      <c r="Q196" s="3457">
        <v>469581.2</v>
      </c>
      <c r="R196" s="3470">
        <v>4180</v>
      </c>
      <c r="S196" s="3472">
        <v>46.48</v>
      </c>
      <c r="T196" s="3527">
        <v>464799.99999999994</v>
      </c>
      <c r="U196" s="3470">
        <v>4138</v>
      </c>
      <c r="V196" s="3474">
        <v>0.1</v>
      </c>
      <c r="W196" s="3475">
        <v>41.83</v>
      </c>
      <c r="X196" s="3494">
        <v>418300</v>
      </c>
      <c r="Y196" s="3441">
        <v>2003</v>
      </c>
      <c r="Z196" s="3441">
        <v>2</v>
      </c>
      <c r="AA196" s="3470">
        <v>14</v>
      </c>
      <c r="AB196" s="3477">
        <v>1855</v>
      </c>
      <c r="AC196" s="3470" t="s">
        <v>3798</v>
      </c>
      <c r="AE196" s="3470" t="s">
        <v>3663</v>
      </c>
      <c r="AF196" s="3470" t="s">
        <v>3752</v>
      </c>
      <c r="AG196" s="3470" t="s">
        <v>3466</v>
      </c>
      <c r="AI196" s="3470" t="s">
        <v>3679</v>
      </c>
      <c r="AJ196" s="3478">
        <v>38138</v>
      </c>
      <c r="AK196" s="3500">
        <v>2</v>
      </c>
      <c r="AL196" s="3470">
        <v>67641700</v>
      </c>
      <c r="AN196" s="3441" t="s">
        <v>3468</v>
      </c>
      <c r="AO196" s="3470" t="s">
        <v>5220</v>
      </c>
      <c r="AP196" s="3470" t="s">
        <v>3476</v>
      </c>
      <c r="AQ196" s="3470" t="s">
        <v>3571</v>
      </c>
      <c r="AV196" s="3470" t="s">
        <v>3568</v>
      </c>
      <c r="AW196" s="3470" t="s">
        <v>3572</v>
      </c>
      <c r="AY196" s="3481" t="s">
        <v>5221</v>
      </c>
      <c r="AZ196" s="3470" t="s">
        <v>3766</v>
      </c>
      <c r="BA196" s="3470" t="s">
        <v>3781</v>
      </c>
      <c r="BB196" s="3481" t="s">
        <v>3756</v>
      </c>
      <c r="BC196" s="3470" t="s">
        <v>3772</v>
      </c>
      <c r="BD196" s="3482">
        <v>102488</v>
      </c>
      <c r="BE196" s="3470">
        <v>63023627</v>
      </c>
      <c r="BF196" s="3483">
        <v>2.8</v>
      </c>
      <c r="BG196" s="3478">
        <v>37639</v>
      </c>
      <c r="BH196" s="3470" t="s">
        <v>3437</v>
      </c>
      <c r="BI196" s="3441" t="s">
        <v>3476</v>
      </c>
      <c r="BJ196" s="3518">
        <v>37660</v>
      </c>
      <c r="BK196" s="3478"/>
      <c r="BL196" s="3441" t="s">
        <v>3670</v>
      </c>
      <c r="BM196" s="3441"/>
      <c r="BN196" s="3441"/>
      <c r="BO196" s="3441"/>
      <c r="BP196" s="3441"/>
      <c r="BQ196" s="3441"/>
      <c r="BR196" s="3441"/>
    </row>
    <row r="197" spans="1:73" s="3441" customFormat="1" ht="12" hidden="1">
      <c r="A197" s="3470" t="s">
        <v>5222</v>
      </c>
      <c r="B197" s="3470" t="s">
        <v>5223</v>
      </c>
      <c r="C197" s="3481" t="s">
        <v>5224</v>
      </c>
      <c r="D197" s="3481" t="s">
        <v>5225</v>
      </c>
      <c r="E197" s="3470" t="s">
        <v>2736</v>
      </c>
      <c r="F197" s="3528" t="s">
        <v>3748</v>
      </c>
      <c r="G197" s="3470"/>
      <c r="H197" s="3470" t="s">
        <v>3764</v>
      </c>
      <c r="I197" s="3470"/>
      <c r="J197" s="3481" t="s">
        <v>5226</v>
      </c>
      <c r="K197" s="3470" t="s">
        <v>3751</v>
      </c>
      <c r="L197" s="3470">
        <v>64.98</v>
      </c>
      <c r="M197" s="3470">
        <v>8</v>
      </c>
      <c r="N197" s="3470" t="s">
        <v>3790</v>
      </c>
      <c r="O197" s="3470">
        <v>52.68</v>
      </c>
      <c r="P197" s="3470" t="s">
        <v>3452</v>
      </c>
      <c r="Q197" s="3457">
        <v>224830.80000000002</v>
      </c>
      <c r="R197" s="3470">
        <v>3460</v>
      </c>
      <c r="S197" s="3472">
        <v>22.18</v>
      </c>
      <c r="T197" s="3527">
        <v>221800</v>
      </c>
      <c r="U197" s="3470">
        <v>3414</v>
      </c>
      <c r="V197" s="3474">
        <v>0.1</v>
      </c>
      <c r="W197" s="3475">
        <v>19.96</v>
      </c>
      <c r="X197" s="3476">
        <v>199600</v>
      </c>
      <c r="Y197" s="3441">
        <v>2003</v>
      </c>
      <c r="Z197" s="3441">
        <v>2</v>
      </c>
      <c r="AA197" s="3441">
        <v>10</v>
      </c>
      <c r="AB197" s="3477">
        <v>885</v>
      </c>
      <c r="AC197" s="3470" t="s">
        <v>3648</v>
      </c>
      <c r="AD197" s="3485"/>
      <c r="AE197" s="3441" t="s">
        <v>3663</v>
      </c>
      <c r="AF197" s="3470" t="s">
        <v>3810</v>
      </c>
      <c r="AG197" s="3522" t="s">
        <v>3466</v>
      </c>
      <c r="AH197" s="3485" t="s">
        <v>3568</v>
      </c>
      <c r="AI197" s="3470" t="s">
        <v>3679</v>
      </c>
      <c r="AJ197" s="3523">
        <v>38138</v>
      </c>
      <c r="AK197" s="3500">
        <v>2</v>
      </c>
      <c r="AL197" s="3441">
        <v>67641700</v>
      </c>
      <c r="AN197" s="3480" t="s">
        <v>3791</v>
      </c>
      <c r="AO197" s="3441" t="s">
        <v>5227</v>
      </c>
      <c r="AP197" s="3441" t="s">
        <v>3476</v>
      </c>
      <c r="AQ197" s="3441" t="s">
        <v>3571</v>
      </c>
      <c r="AV197" s="3441" t="s">
        <v>3568</v>
      </c>
      <c r="AW197" s="3470" t="s">
        <v>3572</v>
      </c>
      <c r="AY197" s="3441">
        <v>263942</v>
      </c>
      <c r="AZ197" s="3470" t="s">
        <v>3751</v>
      </c>
      <c r="BA197" s="3441" t="s">
        <v>3770</v>
      </c>
      <c r="BB197" s="3441" t="s">
        <v>3771</v>
      </c>
      <c r="BC197" s="3524" t="s">
        <v>3772</v>
      </c>
      <c r="BD197" s="3441">
        <v>102488</v>
      </c>
      <c r="BE197" s="3525">
        <v>63023627</v>
      </c>
      <c r="BF197" s="3520">
        <v>2.8</v>
      </c>
      <c r="BG197" s="3518">
        <v>37639</v>
      </c>
      <c r="BH197" s="3518"/>
      <c r="BI197" s="3441" t="s">
        <v>3700</v>
      </c>
      <c r="BJ197" s="3484">
        <v>37660</v>
      </c>
      <c r="BK197" s="3518"/>
      <c r="BL197" s="3441" t="s">
        <v>3594</v>
      </c>
      <c r="BS197" s="3470"/>
      <c r="BT197" s="3470"/>
      <c r="BU197" s="3470"/>
    </row>
    <row r="198" spans="1:73" s="3441" customFormat="1" ht="12" hidden="1">
      <c r="A198" s="3470" t="s">
        <v>5228</v>
      </c>
      <c r="B198" s="3470" t="s">
        <v>5229</v>
      </c>
      <c r="C198" s="3481" t="s">
        <v>5230</v>
      </c>
      <c r="D198" s="3481" t="s">
        <v>5231</v>
      </c>
      <c r="E198" s="3470" t="s">
        <v>3538</v>
      </c>
      <c r="F198" s="3528" t="s">
        <v>3748</v>
      </c>
      <c r="G198" s="3470"/>
      <c r="H198" s="3470" t="s">
        <v>3788</v>
      </c>
      <c r="I198" s="3470"/>
      <c r="J198" s="3481" t="s">
        <v>5232</v>
      </c>
      <c r="K198" s="3470" t="s">
        <v>3751</v>
      </c>
      <c r="L198" s="3470">
        <v>99.93</v>
      </c>
      <c r="M198" s="3470">
        <v>15</v>
      </c>
      <c r="N198" s="3470" t="s">
        <v>3543</v>
      </c>
      <c r="O198" s="3470">
        <v>81.010000000000005</v>
      </c>
      <c r="P198" s="3470" t="s">
        <v>3452</v>
      </c>
      <c r="Q198" s="3457">
        <v>368741.7</v>
      </c>
      <c r="R198" s="3470">
        <v>3690</v>
      </c>
      <c r="S198" s="3472">
        <v>36.39</v>
      </c>
      <c r="T198" s="3527">
        <v>363900</v>
      </c>
      <c r="U198" s="3470">
        <v>3642</v>
      </c>
      <c r="V198" s="3474">
        <v>0.1</v>
      </c>
      <c r="W198" s="3475">
        <v>32.75</v>
      </c>
      <c r="X198" s="3476">
        <v>327500</v>
      </c>
      <c r="Y198" s="3441">
        <v>2003</v>
      </c>
      <c r="Z198" s="3441">
        <v>2</v>
      </c>
      <c r="AA198" s="3441">
        <v>10</v>
      </c>
      <c r="AB198" s="3477">
        <v>1455</v>
      </c>
      <c r="AC198" s="3470" t="s">
        <v>3648</v>
      </c>
      <c r="AD198" s="3485"/>
      <c r="AE198" s="3441" t="s">
        <v>3663</v>
      </c>
      <c r="AF198" s="3470" t="s">
        <v>3799</v>
      </c>
      <c r="AG198" s="3522" t="s">
        <v>3466</v>
      </c>
      <c r="AH198" s="3485" t="s">
        <v>3568</v>
      </c>
      <c r="AI198" s="3470" t="s">
        <v>3679</v>
      </c>
      <c r="AJ198" s="3523">
        <v>38138</v>
      </c>
      <c r="AK198" s="3500">
        <v>2</v>
      </c>
      <c r="AL198" s="3441">
        <v>67641700</v>
      </c>
      <c r="AN198" s="3480" t="s">
        <v>3791</v>
      </c>
      <c r="AO198" s="3441" t="s">
        <v>5233</v>
      </c>
      <c r="AP198" s="3441" t="s">
        <v>3476</v>
      </c>
      <c r="AQ198" s="3441" t="s">
        <v>3571</v>
      </c>
      <c r="AV198" s="3441" t="s">
        <v>3568</v>
      </c>
      <c r="AW198" s="3470" t="s">
        <v>3572</v>
      </c>
      <c r="AY198" s="3441">
        <v>263930</v>
      </c>
      <c r="AZ198" s="3470" t="s">
        <v>3766</v>
      </c>
      <c r="BA198" s="3441" t="s">
        <v>3755</v>
      </c>
      <c r="BB198" s="3441" t="s">
        <v>3756</v>
      </c>
      <c r="BC198" s="3524" t="s">
        <v>3772</v>
      </c>
      <c r="BD198" s="3441">
        <v>102488</v>
      </c>
      <c r="BE198" s="3525">
        <v>63023627</v>
      </c>
      <c r="BF198" s="3520">
        <v>2.8</v>
      </c>
      <c r="BG198" s="3518">
        <v>37638</v>
      </c>
      <c r="BH198" s="3518"/>
      <c r="BI198" s="3441" t="s">
        <v>3700</v>
      </c>
      <c r="BJ198" s="3484">
        <v>37660</v>
      </c>
      <c r="BK198" s="3518"/>
      <c r="BL198" s="3441" t="s">
        <v>3594</v>
      </c>
      <c r="BS198" s="3470"/>
      <c r="BT198" s="3470"/>
      <c r="BU198" s="3470"/>
    </row>
    <row r="199" spans="1:73" s="3470" customFormat="1" ht="12" hidden="1">
      <c r="A199" s="3470" t="s">
        <v>5234</v>
      </c>
      <c r="B199" s="3470" t="s">
        <v>5235</v>
      </c>
      <c r="C199" s="3481" t="s">
        <v>5236</v>
      </c>
      <c r="D199" s="3470">
        <v>13910522625</v>
      </c>
      <c r="E199" s="3470" t="s">
        <v>2736</v>
      </c>
      <c r="F199" s="3470" t="s">
        <v>3823</v>
      </c>
      <c r="H199" s="3470" t="s">
        <v>3749</v>
      </c>
      <c r="J199" s="3470" t="s">
        <v>4208</v>
      </c>
      <c r="K199" s="3470" t="s">
        <v>3751</v>
      </c>
      <c r="L199" s="3470">
        <v>109.38</v>
      </c>
      <c r="M199" s="3470">
        <v>8</v>
      </c>
      <c r="N199" s="3470" t="s">
        <v>3778</v>
      </c>
      <c r="O199" s="3470">
        <v>90.22</v>
      </c>
      <c r="P199" s="3470" t="s">
        <v>3452</v>
      </c>
      <c r="Q199" s="3457">
        <v>368610.6</v>
      </c>
      <c r="R199" s="3470">
        <v>3370</v>
      </c>
      <c r="S199" s="3472">
        <v>36.42</v>
      </c>
      <c r="T199" s="3527">
        <v>364200</v>
      </c>
      <c r="U199" s="3470">
        <v>3330</v>
      </c>
      <c r="V199" s="3474">
        <v>0.1</v>
      </c>
      <c r="W199" s="3475">
        <v>32.770000000000003</v>
      </c>
      <c r="X199" s="3494">
        <v>327700.00000000006</v>
      </c>
      <c r="Y199" s="3441">
        <v>2003</v>
      </c>
      <c r="Z199" s="3441">
        <v>2</v>
      </c>
      <c r="AA199" s="3470">
        <v>14</v>
      </c>
      <c r="AB199" s="3477">
        <v>1455</v>
      </c>
      <c r="AC199" s="3470" t="s">
        <v>3634</v>
      </c>
      <c r="AE199" s="3470" t="s">
        <v>3663</v>
      </c>
      <c r="AF199" s="3470" t="s">
        <v>3752</v>
      </c>
      <c r="AG199" s="3470" t="s">
        <v>3466</v>
      </c>
      <c r="AI199" s="3470" t="s">
        <v>3679</v>
      </c>
      <c r="AJ199" s="3478">
        <v>38138</v>
      </c>
      <c r="AK199" s="3500">
        <v>2</v>
      </c>
      <c r="AL199" s="3470">
        <v>67641700</v>
      </c>
      <c r="AN199" s="3441" t="s">
        <v>3468</v>
      </c>
      <c r="AO199" s="3470" t="s">
        <v>5237</v>
      </c>
      <c r="AP199" s="3470" t="s">
        <v>3476</v>
      </c>
      <c r="AQ199" s="3470" t="s">
        <v>3571</v>
      </c>
      <c r="AV199" s="3470" t="s">
        <v>3568</v>
      </c>
      <c r="AW199" s="3470" t="s">
        <v>3572</v>
      </c>
      <c r="AY199" s="3481" t="s">
        <v>5238</v>
      </c>
      <c r="AZ199" s="3470" t="s">
        <v>3766</v>
      </c>
      <c r="BA199" s="3470" t="s">
        <v>3770</v>
      </c>
      <c r="BB199" s="3481" t="s">
        <v>3803</v>
      </c>
      <c r="BC199" s="3470" t="s">
        <v>3772</v>
      </c>
      <c r="BD199" s="3482">
        <v>102488</v>
      </c>
      <c r="BE199" s="3470">
        <v>63023627</v>
      </c>
      <c r="BF199" s="3483">
        <v>2.8</v>
      </c>
      <c r="BG199" s="3478">
        <v>37638</v>
      </c>
      <c r="BH199" s="3470" t="s">
        <v>3437</v>
      </c>
      <c r="BI199" s="3441" t="s">
        <v>3476</v>
      </c>
      <c r="BJ199" s="3518">
        <v>37650</v>
      </c>
      <c r="BK199" s="3478"/>
      <c r="BL199" s="3441" t="s">
        <v>3670</v>
      </c>
      <c r="BM199" s="3441"/>
      <c r="BN199" s="3441"/>
      <c r="BO199" s="3441"/>
      <c r="BP199" s="3441"/>
      <c r="BQ199" s="3441"/>
      <c r="BR199" s="3441"/>
    </row>
    <row r="200" spans="1:73" s="3470" customFormat="1" ht="12" hidden="1">
      <c r="A200" s="3470" t="s">
        <v>5239</v>
      </c>
      <c r="B200" s="3470" t="s">
        <v>5240</v>
      </c>
      <c r="C200" s="3481" t="s">
        <v>5241</v>
      </c>
      <c r="D200" s="3470">
        <v>13910017370</v>
      </c>
      <c r="E200" s="3470" t="s">
        <v>2736</v>
      </c>
      <c r="F200" s="3470" t="s">
        <v>3808</v>
      </c>
      <c r="H200" s="3470" t="s">
        <v>3879</v>
      </c>
      <c r="J200" s="3470" t="s">
        <v>5242</v>
      </c>
      <c r="K200" s="3470" t="s">
        <v>3751</v>
      </c>
      <c r="L200" s="3470">
        <v>108.37</v>
      </c>
      <c r="M200" s="3470">
        <v>17</v>
      </c>
      <c r="N200" s="3470" t="s">
        <v>3778</v>
      </c>
      <c r="O200" s="3470">
        <v>89.39</v>
      </c>
      <c r="P200" s="3470" t="s">
        <v>3452</v>
      </c>
      <c r="Q200" s="3457">
        <v>425894.10000000003</v>
      </c>
      <c r="R200" s="3470">
        <v>3930</v>
      </c>
      <c r="S200" s="3472">
        <v>42.15</v>
      </c>
      <c r="T200" s="3527">
        <v>421500</v>
      </c>
      <c r="U200" s="3470">
        <v>3890</v>
      </c>
      <c r="V200" s="3474">
        <v>0.1</v>
      </c>
      <c r="W200" s="3475">
        <v>37.93</v>
      </c>
      <c r="X200" s="3494">
        <v>379300</v>
      </c>
      <c r="Y200" s="3441">
        <v>2003</v>
      </c>
      <c r="Z200" s="3441">
        <v>2</v>
      </c>
      <c r="AA200" s="3470">
        <v>14</v>
      </c>
      <c r="AB200" s="3477">
        <v>1685</v>
      </c>
      <c r="AC200" s="3470" t="s">
        <v>3634</v>
      </c>
      <c r="AE200" s="3470" t="s">
        <v>3663</v>
      </c>
      <c r="AF200" s="3470" t="s">
        <v>3799</v>
      </c>
      <c r="AG200" s="3470" t="s">
        <v>3466</v>
      </c>
      <c r="AI200" s="3470" t="s">
        <v>3679</v>
      </c>
      <c r="AJ200" s="3478">
        <v>38138</v>
      </c>
      <c r="AK200" s="3500">
        <v>2</v>
      </c>
      <c r="AL200" s="3470">
        <v>67641700</v>
      </c>
      <c r="AN200" s="3441" t="s">
        <v>3791</v>
      </c>
      <c r="AO200" s="3470" t="s">
        <v>5243</v>
      </c>
      <c r="AP200" s="3470" t="s">
        <v>3476</v>
      </c>
      <c r="AQ200" s="3470" t="s">
        <v>3571</v>
      </c>
      <c r="AV200" s="3470" t="s">
        <v>3568</v>
      </c>
      <c r="AW200" s="3470" t="s">
        <v>3572</v>
      </c>
      <c r="AY200" s="3481" t="s">
        <v>5244</v>
      </c>
      <c r="AZ200" s="3470" t="s">
        <v>3751</v>
      </c>
      <c r="BA200" s="3470" t="s">
        <v>3770</v>
      </c>
      <c r="BB200" s="3481" t="s">
        <v>3771</v>
      </c>
      <c r="BC200" s="3470" t="s">
        <v>3772</v>
      </c>
      <c r="BD200" s="3482">
        <v>102488</v>
      </c>
      <c r="BE200" s="3470">
        <v>63023627</v>
      </c>
      <c r="BF200" s="3483">
        <v>2.8</v>
      </c>
      <c r="BG200" s="3478">
        <v>37638</v>
      </c>
      <c r="BH200" s="3470" t="s">
        <v>3783</v>
      </c>
      <c r="BI200" s="3441" t="s">
        <v>3476</v>
      </c>
      <c r="BJ200" s="3518">
        <v>37660</v>
      </c>
      <c r="BK200" s="3478"/>
      <c r="BL200" s="3441" t="s">
        <v>3670</v>
      </c>
      <c r="BM200" s="3441"/>
      <c r="BN200" s="3441"/>
      <c r="BO200" s="3441"/>
      <c r="BP200" s="3441"/>
      <c r="BQ200" s="3441"/>
      <c r="BR200" s="3441"/>
    </row>
    <row r="201" spans="1:73" s="3470" customFormat="1" ht="12" hidden="1">
      <c r="A201" s="3470" t="s">
        <v>5245</v>
      </c>
      <c r="B201" s="3470" t="s">
        <v>5246</v>
      </c>
      <c r="C201" s="3481" t="s">
        <v>5247</v>
      </c>
      <c r="D201" s="3470">
        <v>13701087330</v>
      </c>
      <c r="E201" s="3470" t="s">
        <v>3763</v>
      </c>
      <c r="F201" s="3470" t="s">
        <v>3823</v>
      </c>
      <c r="H201" s="3470" t="s">
        <v>3879</v>
      </c>
      <c r="J201" s="3470" t="s">
        <v>5248</v>
      </c>
      <c r="K201" s="3470" t="s">
        <v>3793</v>
      </c>
      <c r="L201" s="3470">
        <v>112.34</v>
      </c>
      <c r="M201" s="3470">
        <v>19</v>
      </c>
      <c r="N201" s="3470" t="s">
        <v>3778</v>
      </c>
      <c r="O201" s="3470">
        <v>92.66</v>
      </c>
      <c r="P201" s="3470" t="s">
        <v>3452</v>
      </c>
      <c r="Q201" s="3457">
        <v>491487.5</v>
      </c>
      <c r="R201" s="3470">
        <v>4375</v>
      </c>
      <c r="S201" s="3472">
        <v>48.59</v>
      </c>
      <c r="T201" s="3527">
        <v>485900.00000000006</v>
      </c>
      <c r="U201" s="3470">
        <v>4326</v>
      </c>
      <c r="V201" s="3474">
        <v>0.1</v>
      </c>
      <c r="W201" s="3475">
        <v>43.73</v>
      </c>
      <c r="X201" s="3494">
        <v>437299.99999999994</v>
      </c>
      <c r="Y201" s="3441">
        <v>2003</v>
      </c>
      <c r="Z201" s="3441">
        <v>2</v>
      </c>
      <c r="AA201" s="3470">
        <v>14</v>
      </c>
      <c r="AB201" s="3477">
        <v>1940</v>
      </c>
      <c r="AC201" s="3470" t="s">
        <v>3648</v>
      </c>
      <c r="AE201" s="3470" t="s">
        <v>3663</v>
      </c>
      <c r="AF201" s="3470" t="s">
        <v>3799</v>
      </c>
      <c r="AG201" s="3470" t="s">
        <v>3466</v>
      </c>
      <c r="AI201" s="3470" t="s">
        <v>3679</v>
      </c>
      <c r="AJ201" s="3478">
        <v>38138</v>
      </c>
      <c r="AK201" s="3500">
        <v>2</v>
      </c>
      <c r="AL201" s="3470">
        <v>67641700</v>
      </c>
      <c r="AN201" s="3441" t="s">
        <v>3800</v>
      </c>
      <c r="AO201" s="3470" t="s">
        <v>5249</v>
      </c>
      <c r="AP201" s="3470" t="s">
        <v>3476</v>
      </c>
      <c r="AQ201" s="3470" t="s">
        <v>3571</v>
      </c>
      <c r="AV201" s="3470" t="s">
        <v>3568</v>
      </c>
      <c r="AW201" s="3470" t="s">
        <v>3572</v>
      </c>
      <c r="AY201" s="3481" t="s">
        <v>5250</v>
      </c>
      <c r="AZ201" s="3470" t="s">
        <v>3751</v>
      </c>
      <c r="BA201" s="3470" t="s">
        <v>3770</v>
      </c>
      <c r="BB201" s="3481" t="s">
        <v>3771</v>
      </c>
      <c r="BC201" s="3470" t="s">
        <v>3772</v>
      </c>
      <c r="BD201" s="3482">
        <v>102488</v>
      </c>
      <c r="BE201" s="3470">
        <v>63023627</v>
      </c>
      <c r="BF201" s="3483">
        <v>2.8</v>
      </c>
      <c r="BG201" s="3478">
        <v>37635</v>
      </c>
      <c r="BH201" s="3470" t="s">
        <v>3758</v>
      </c>
      <c r="BI201" s="3441" t="s">
        <v>3476</v>
      </c>
      <c r="BJ201" s="3518">
        <v>37660</v>
      </c>
      <c r="BK201" s="3478"/>
      <c r="BL201" s="3441" t="s">
        <v>3670</v>
      </c>
      <c r="BM201" s="3441"/>
      <c r="BN201" s="3441"/>
      <c r="BO201" s="3441"/>
      <c r="BP201" s="3441"/>
      <c r="BQ201" s="3441"/>
      <c r="BR201" s="3441"/>
    </row>
    <row r="202" spans="1:73" s="3470" customFormat="1" ht="12" hidden="1">
      <c r="A202" s="3470" t="s">
        <v>5251</v>
      </c>
      <c r="B202" s="3470" t="s">
        <v>5252</v>
      </c>
      <c r="C202" s="3481" t="s">
        <v>5253</v>
      </c>
      <c r="D202" s="3470">
        <v>13661124036</v>
      </c>
      <c r="E202" s="3470" t="s">
        <v>3538</v>
      </c>
      <c r="F202" s="3470" t="s">
        <v>3748</v>
      </c>
      <c r="H202" s="3470" t="s">
        <v>3879</v>
      </c>
      <c r="J202" s="3470" t="s">
        <v>5254</v>
      </c>
      <c r="K202" s="3470" t="s">
        <v>3751</v>
      </c>
      <c r="L202" s="3470">
        <v>64.06</v>
      </c>
      <c r="M202" s="3470">
        <v>7</v>
      </c>
      <c r="N202" s="3470" t="s">
        <v>3489</v>
      </c>
      <c r="O202" s="3470">
        <v>52.84</v>
      </c>
      <c r="P202" s="3470" t="s">
        <v>3452</v>
      </c>
      <c r="Q202" s="3457">
        <v>221327.30000000002</v>
      </c>
      <c r="R202" s="3470">
        <v>3455</v>
      </c>
      <c r="S202" s="3472">
        <v>21.86</v>
      </c>
      <c r="T202" s="3527">
        <v>218600</v>
      </c>
      <c r="U202" s="3470">
        <v>3413</v>
      </c>
      <c r="V202" s="3474">
        <v>0.1</v>
      </c>
      <c r="W202" s="3475">
        <v>19.670000000000002</v>
      </c>
      <c r="X202" s="3494">
        <v>196700.00000000003</v>
      </c>
      <c r="Y202" s="3441">
        <v>2003</v>
      </c>
      <c r="Z202" s="3441">
        <v>2</v>
      </c>
      <c r="AA202" s="3470">
        <v>14</v>
      </c>
      <c r="AB202" s="3477">
        <v>870</v>
      </c>
      <c r="AC202" s="3470" t="s">
        <v>3648</v>
      </c>
      <c r="AE202" s="3470" t="s">
        <v>3663</v>
      </c>
      <c r="AF202" s="3470" t="s">
        <v>3752</v>
      </c>
      <c r="AG202" s="3470" t="s">
        <v>3466</v>
      </c>
      <c r="AI202" s="3470" t="s">
        <v>3679</v>
      </c>
      <c r="AJ202" s="3478">
        <v>38138</v>
      </c>
      <c r="AK202" s="3500">
        <v>2</v>
      </c>
      <c r="AL202" s="3470">
        <v>67641700</v>
      </c>
      <c r="AN202" s="3441" t="s">
        <v>3468</v>
      </c>
      <c r="AO202" s="3470" t="s">
        <v>5255</v>
      </c>
      <c r="AP202" s="3470" t="s">
        <v>3476</v>
      </c>
      <c r="AQ202" s="3470" t="s">
        <v>3571</v>
      </c>
      <c r="AV202" s="3470" t="s">
        <v>3568</v>
      </c>
      <c r="AW202" s="3470" t="s">
        <v>3572</v>
      </c>
      <c r="AY202" s="3481" t="s">
        <v>5256</v>
      </c>
      <c r="AZ202" s="3470" t="s">
        <v>3793</v>
      </c>
      <c r="BA202" s="3470" t="s">
        <v>3770</v>
      </c>
      <c r="BB202" s="3481" t="s">
        <v>3756</v>
      </c>
      <c r="BC202" s="3470" t="s">
        <v>3772</v>
      </c>
      <c r="BD202" s="3482">
        <v>102488</v>
      </c>
      <c r="BE202" s="3470">
        <v>63023627</v>
      </c>
      <c r="BF202" s="3483">
        <v>2.8</v>
      </c>
      <c r="BG202" s="3478">
        <v>37638</v>
      </c>
      <c r="BH202" s="3470" t="s">
        <v>3783</v>
      </c>
      <c r="BI202" s="3441" t="s">
        <v>3476</v>
      </c>
      <c r="BJ202" s="3518">
        <v>37650</v>
      </c>
      <c r="BK202" s="3478"/>
      <c r="BL202" s="3441" t="s">
        <v>3670</v>
      </c>
      <c r="BM202" s="3441"/>
      <c r="BN202" s="3441"/>
      <c r="BO202" s="3441"/>
      <c r="BP202" s="3441"/>
      <c r="BQ202" s="3441"/>
      <c r="BR202" s="3441"/>
    </row>
    <row r="203" spans="1:73" s="3469" customFormat="1" ht="12" hidden="1">
      <c r="A203" s="3453" t="s">
        <v>5257</v>
      </c>
      <c r="B203" s="3542" t="s">
        <v>5258</v>
      </c>
      <c r="C203" s="3481" t="s">
        <v>5259</v>
      </c>
      <c r="D203" s="3485">
        <v>13901231038</v>
      </c>
      <c r="E203" s="3542" t="s">
        <v>3558</v>
      </c>
      <c r="F203" s="3542" t="s">
        <v>5260</v>
      </c>
      <c r="G203" s="3485"/>
      <c r="H203" s="3542" t="s">
        <v>5261</v>
      </c>
      <c r="I203" s="3542" t="s">
        <v>5262</v>
      </c>
      <c r="J203" s="3530" t="s">
        <v>5263</v>
      </c>
      <c r="K203" s="3542" t="s">
        <v>3737</v>
      </c>
      <c r="L203" s="3477">
        <v>107.17</v>
      </c>
      <c r="M203" s="3477">
        <v>20</v>
      </c>
      <c r="N203" s="3470" t="s">
        <v>4871</v>
      </c>
      <c r="O203" s="3477">
        <v>88.35</v>
      </c>
      <c r="P203" s="3542" t="s">
        <v>3452</v>
      </c>
      <c r="Q203" s="3457">
        <v>823065.59999999998</v>
      </c>
      <c r="R203" s="3477">
        <v>7680</v>
      </c>
      <c r="S203" s="3472">
        <v>81.59</v>
      </c>
      <c r="T203" s="3473">
        <v>815900</v>
      </c>
      <c r="U203" s="3477">
        <v>7614</v>
      </c>
      <c r="V203" s="3540">
        <v>0.1</v>
      </c>
      <c r="W203" s="3475">
        <v>73.430000000000007</v>
      </c>
      <c r="X203" s="3476">
        <v>734300.00000000012</v>
      </c>
      <c r="Y203" s="3495">
        <v>2003</v>
      </c>
      <c r="Z203" s="3495">
        <v>1</v>
      </c>
      <c r="AA203" s="3495">
        <v>21</v>
      </c>
      <c r="AB203" s="3477">
        <v>4075</v>
      </c>
      <c r="AC203" s="3470" t="s">
        <v>4922</v>
      </c>
      <c r="AD203" s="3542"/>
      <c r="AE203" s="3441" t="s">
        <v>3663</v>
      </c>
      <c r="AF203" s="3542" t="s">
        <v>4126</v>
      </c>
      <c r="AG203" s="3485" t="s">
        <v>3466</v>
      </c>
      <c r="AH203" s="3485"/>
      <c r="AI203" s="3470" t="s">
        <v>3679</v>
      </c>
      <c r="AJ203" s="3613">
        <v>37716</v>
      </c>
      <c r="AK203" s="3500">
        <v>1</v>
      </c>
      <c r="AL203" s="3441">
        <v>67641700</v>
      </c>
      <c r="AM203" s="3441"/>
      <c r="AN203" s="3470" t="s">
        <v>3680</v>
      </c>
      <c r="AO203" s="3517"/>
      <c r="AP203" s="3441" t="s">
        <v>3476</v>
      </c>
      <c r="AQ203" s="3456" t="s">
        <v>3714</v>
      </c>
      <c r="AR203" s="3461"/>
      <c r="AS203" s="3461"/>
      <c r="AU203" s="3453"/>
      <c r="AV203" s="3519"/>
      <c r="AW203" s="3470" t="s">
        <v>5264</v>
      </c>
      <c r="AX203" s="3441" t="s">
        <v>3606</v>
      </c>
      <c r="AY203" s="3536" t="s">
        <v>5265</v>
      </c>
      <c r="AZ203" s="3441" t="s">
        <v>3638</v>
      </c>
      <c r="BA203" s="3461" t="s">
        <v>5266</v>
      </c>
      <c r="BB203" s="3461" t="s">
        <v>5267</v>
      </c>
      <c r="BC203" s="3461" t="s">
        <v>4436</v>
      </c>
      <c r="BD203" s="3614">
        <v>100088</v>
      </c>
      <c r="BE203" s="3461">
        <v>82058259</v>
      </c>
      <c r="BF203" s="3615">
        <v>2.7</v>
      </c>
      <c r="BG203" s="3461">
        <v>37637</v>
      </c>
      <c r="BH203" s="3461"/>
      <c r="BI203" s="3441" t="s">
        <v>3476</v>
      </c>
      <c r="BJ203" s="3478">
        <v>37641</v>
      </c>
      <c r="BK203" s="3518"/>
      <c r="BL203" s="3441" t="s">
        <v>3670</v>
      </c>
      <c r="BM203" s="3441"/>
      <c r="BN203" s="3441"/>
      <c r="BO203" s="3441"/>
      <c r="BP203" s="3441"/>
      <c r="BQ203" s="3441"/>
      <c r="BR203" s="3441"/>
      <c r="BS203" s="3470"/>
      <c r="BT203" s="3470"/>
      <c r="BU203" s="3470"/>
    </row>
    <row r="204" spans="1:73" s="3441" customFormat="1" ht="12" hidden="1">
      <c r="A204" s="3485" t="s">
        <v>5268</v>
      </c>
      <c r="B204" s="3470" t="s">
        <v>5269</v>
      </c>
      <c r="C204" s="3481" t="s">
        <v>5270</v>
      </c>
      <c r="D204" s="3481" t="s">
        <v>5271</v>
      </c>
      <c r="E204" s="3470" t="s">
        <v>2736</v>
      </c>
      <c r="F204" s="3470" t="s">
        <v>3748</v>
      </c>
      <c r="G204" s="3470"/>
      <c r="H204" s="3470" t="s">
        <v>3749</v>
      </c>
      <c r="I204" s="3470"/>
      <c r="J204" s="3481" t="s">
        <v>5145</v>
      </c>
      <c r="K204" s="3470" t="s">
        <v>3766</v>
      </c>
      <c r="L204" s="3470">
        <v>109.38</v>
      </c>
      <c r="M204" s="3470">
        <v>9</v>
      </c>
      <c r="N204" s="3470" t="s">
        <v>3778</v>
      </c>
      <c r="O204" s="3470">
        <v>90.22</v>
      </c>
      <c r="P204" s="3470" t="s">
        <v>3452</v>
      </c>
      <c r="Q204" s="3457">
        <v>369704.39999999997</v>
      </c>
      <c r="R204" s="3470">
        <v>3380</v>
      </c>
      <c r="S204" s="3472">
        <v>36.46</v>
      </c>
      <c r="T204" s="3527">
        <v>364600</v>
      </c>
      <c r="U204" s="3470">
        <v>3334</v>
      </c>
      <c r="V204" s="3474">
        <v>0.1</v>
      </c>
      <c r="W204" s="3475">
        <v>32.81</v>
      </c>
      <c r="X204" s="3494">
        <v>328100</v>
      </c>
      <c r="Y204" s="3441">
        <v>2003</v>
      </c>
      <c r="Z204" s="3441">
        <v>2</v>
      </c>
      <c r="AA204" s="3470">
        <v>17</v>
      </c>
      <c r="AB204" s="3477">
        <v>1455</v>
      </c>
      <c r="AC204" s="3470" t="s">
        <v>3634</v>
      </c>
      <c r="AD204" s="3485"/>
      <c r="AE204" s="3441" t="s">
        <v>3663</v>
      </c>
      <c r="AF204" s="3470" t="s">
        <v>3752</v>
      </c>
      <c r="AG204" s="3522" t="s">
        <v>3466</v>
      </c>
      <c r="AH204" s="3485"/>
      <c r="AI204" s="3470" t="s">
        <v>3679</v>
      </c>
      <c r="AJ204" s="3523">
        <v>38138</v>
      </c>
      <c r="AK204" s="3500">
        <v>2</v>
      </c>
      <c r="AL204" s="3441">
        <v>67641700</v>
      </c>
      <c r="AN204" s="3441" t="s">
        <v>4210</v>
      </c>
      <c r="AO204" s="3470" t="s">
        <v>5272</v>
      </c>
      <c r="AP204" s="3441" t="s">
        <v>3476</v>
      </c>
      <c r="AQ204" s="3441" t="s">
        <v>3571</v>
      </c>
      <c r="AV204" s="3441" t="s">
        <v>3568</v>
      </c>
      <c r="AW204" s="3441" t="s">
        <v>3572</v>
      </c>
      <c r="AY204" s="3524" t="s">
        <v>5273</v>
      </c>
      <c r="AZ204" s="3441" t="s">
        <v>3793</v>
      </c>
      <c r="BA204" s="3441" t="s">
        <v>3755</v>
      </c>
      <c r="BB204" s="3524" t="s">
        <v>3771</v>
      </c>
      <c r="BC204" s="3441" t="s">
        <v>3772</v>
      </c>
      <c r="BD204" s="3525">
        <v>102483</v>
      </c>
      <c r="BE204" s="3441">
        <v>63023627</v>
      </c>
      <c r="BF204" s="3526">
        <v>2.8</v>
      </c>
      <c r="BG204" s="3518">
        <v>37640</v>
      </c>
      <c r="BH204" s="3470" t="s">
        <v>3437</v>
      </c>
      <c r="BI204" s="3441" t="s">
        <v>3476</v>
      </c>
      <c r="BJ204" s="3518">
        <v>37665</v>
      </c>
      <c r="BK204" s="3484"/>
      <c r="BL204" s="3441" t="s">
        <v>3670</v>
      </c>
      <c r="BS204" s="3470"/>
      <c r="BT204" s="3470"/>
      <c r="BU204" s="3470"/>
    </row>
    <row r="205" spans="1:73" s="3470" customFormat="1" ht="12" hidden="1">
      <c r="A205" s="3470" t="s">
        <v>5274</v>
      </c>
      <c r="B205" s="3470" t="s">
        <v>5275</v>
      </c>
      <c r="C205" s="3454" t="s">
        <v>5276</v>
      </c>
      <c r="D205" s="3470">
        <v>13701200413</v>
      </c>
      <c r="E205" s="3470" t="s">
        <v>3538</v>
      </c>
      <c r="F205" s="3470" t="s">
        <v>4937</v>
      </c>
      <c r="G205" s="3470" t="s">
        <v>3715</v>
      </c>
      <c r="H205" s="3470" t="s">
        <v>4216</v>
      </c>
      <c r="I205" s="3453" t="s">
        <v>4217</v>
      </c>
      <c r="J205" s="3453" t="s">
        <v>4434</v>
      </c>
      <c r="K205" s="3470" t="s">
        <v>4080</v>
      </c>
      <c r="L205" s="3495">
        <v>106.07</v>
      </c>
      <c r="M205" s="3495">
        <v>6</v>
      </c>
      <c r="N205" s="3470" t="s">
        <v>3451</v>
      </c>
      <c r="O205" s="3495">
        <v>94.39</v>
      </c>
      <c r="P205" s="3470" t="s">
        <v>3452</v>
      </c>
      <c r="Q205" s="3457">
        <v>513378.8</v>
      </c>
      <c r="R205" s="3470">
        <v>4840</v>
      </c>
      <c r="S205" s="3472">
        <v>50.8</v>
      </c>
      <c r="T205" s="3527">
        <v>508000</v>
      </c>
      <c r="U205" s="3470">
        <v>4790</v>
      </c>
      <c r="V205" s="3474">
        <v>0.1</v>
      </c>
      <c r="W205" s="3475">
        <v>45.72</v>
      </c>
      <c r="X205" s="3473">
        <v>457200</v>
      </c>
      <c r="Y205" s="3441">
        <v>2003</v>
      </c>
      <c r="Z205" s="3441">
        <v>2</v>
      </c>
      <c r="AA205" s="3441">
        <v>17</v>
      </c>
      <c r="AB205" s="3485">
        <v>2540</v>
      </c>
      <c r="AC205" s="3453" t="s">
        <v>3970</v>
      </c>
      <c r="AE205" s="3456" t="s">
        <v>3663</v>
      </c>
      <c r="AF205" s="3470" t="s">
        <v>4152</v>
      </c>
      <c r="AG205" s="3470" t="s">
        <v>3466</v>
      </c>
      <c r="AI205" s="3470" t="s">
        <v>3679</v>
      </c>
      <c r="AJ205" s="3478">
        <v>37833</v>
      </c>
      <c r="AK205" s="3548" t="s">
        <v>3468</v>
      </c>
      <c r="AL205" s="3495">
        <v>67641700</v>
      </c>
      <c r="AN205" s="3480" t="s">
        <v>3482</v>
      </c>
      <c r="AO205" s="3441" t="s">
        <v>5277</v>
      </c>
      <c r="AP205" s="3456" t="s">
        <v>3476</v>
      </c>
      <c r="AQ205" s="3456" t="s">
        <v>5278</v>
      </c>
      <c r="AR205" s="3470">
        <v>2003</v>
      </c>
      <c r="AS205" s="3470">
        <v>3</v>
      </c>
      <c r="AT205" s="3470">
        <v>3</v>
      </c>
      <c r="AV205" s="3519"/>
      <c r="AW205" s="3470" t="s">
        <v>3572</v>
      </c>
      <c r="AX205" s="3470" t="s">
        <v>2420</v>
      </c>
      <c r="AY205" s="3495">
        <v>261135</v>
      </c>
      <c r="AZ205" s="3470" t="s">
        <v>4175</v>
      </c>
      <c r="BA205" s="3470" t="s">
        <v>4104</v>
      </c>
      <c r="BB205" s="3470" t="s">
        <v>4190</v>
      </c>
      <c r="BC205" s="3470" t="s">
        <v>4083</v>
      </c>
      <c r="BD205" s="3470" t="s">
        <v>3715</v>
      </c>
      <c r="BE205" s="3470">
        <v>68152860</v>
      </c>
      <c r="BF205" s="3520">
        <v>2.8</v>
      </c>
      <c r="BG205" s="3478">
        <v>37619</v>
      </c>
      <c r="BH205" s="3470" t="s">
        <v>4163</v>
      </c>
      <c r="BI205" s="3486" t="s">
        <v>3721</v>
      </c>
      <c r="BJ205" s="3478">
        <v>37631</v>
      </c>
      <c r="BK205" s="3478"/>
      <c r="BL205" s="3441" t="s">
        <v>3670</v>
      </c>
      <c r="BM205" s="3441"/>
      <c r="BN205" s="3441"/>
      <c r="BO205" s="3441"/>
      <c r="BP205" s="3441"/>
      <c r="BQ205" s="3441"/>
      <c r="BR205" s="3441"/>
    </row>
    <row r="206" spans="1:73" s="3441" customFormat="1" ht="12" hidden="1">
      <c r="A206" s="3485" t="s">
        <v>5279</v>
      </c>
      <c r="B206" s="3470" t="s">
        <v>5280</v>
      </c>
      <c r="C206" s="3481" t="s">
        <v>5281</v>
      </c>
      <c r="D206" s="3481">
        <v>13910987710</v>
      </c>
      <c r="E206" s="3470" t="s">
        <v>3558</v>
      </c>
      <c r="F206" s="3521" t="s">
        <v>4403</v>
      </c>
      <c r="G206" s="3470" t="s">
        <v>3568</v>
      </c>
      <c r="H206" s="3470" t="s">
        <v>5282</v>
      </c>
      <c r="I206" s="3470" t="s">
        <v>5012</v>
      </c>
      <c r="J206" s="3481" t="s">
        <v>5089</v>
      </c>
      <c r="K206" s="3470" t="s">
        <v>4406</v>
      </c>
      <c r="L206" s="3470">
        <v>106.07</v>
      </c>
      <c r="M206" s="3470">
        <v>5</v>
      </c>
      <c r="N206" s="3470" t="s">
        <v>4030</v>
      </c>
      <c r="O206" s="3470">
        <v>94.39</v>
      </c>
      <c r="P206" s="3470" t="s">
        <v>3452</v>
      </c>
      <c r="Q206" s="3457">
        <v>532471.4</v>
      </c>
      <c r="R206" s="3470">
        <v>5020</v>
      </c>
      <c r="S206" s="3472">
        <v>52.71</v>
      </c>
      <c r="T206" s="3527">
        <v>527100</v>
      </c>
      <c r="U206" s="3470">
        <v>4970</v>
      </c>
      <c r="V206" s="3474">
        <v>0.1</v>
      </c>
      <c r="W206" s="3475">
        <v>47.43</v>
      </c>
      <c r="X206" s="3473">
        <v>474300</v>
      </c>
      <c r="Y206" s="3441">
        <v>2003</v>
      </c>
      <c r="Z206" s="3441">
        <v>2</v>
      </c>
      <c r="AA206" s="3441">
        <v>24</v>
      </c>
      <c r="AB206" s="3485">
        <v>2635</v>
      </c>
      <c r="AC206" s="3470" t="s">
        <v>3693</v>
      </c>
      <c r="AD206" s="3485"/>
      <c r="AE206" s="3441" t="s">
        <v>3663</v>
      </c>
      <c r="AF206" s="3470" t="s">
        <v>3728</v>
      </c>
      <c r="AG206" s="3522" t="s">
        <v>3466</v>
      </c>
      <c r="AH206" s="3485"/>
      <c r="AI206" s="3470" t="s">
        <v>3679</v>
      </c>
      <c r="AJ206" s="3523">
        <v>37833</v>
      </c>
      <c r="AK206" s="3479">
        <v>2</v>
      </c>
      <c r="AL206" s="3441">
        <v>67641700</v>
      </c>
      <c r="AN206" s="3441" t="s">
        <v>3680</v>
      </c>
      <c r="AO206" s="3441" t="s">
        <v>5283</v>
      </c>
      <c r="AP206" s="3441" t="s">
        <v>3476</v>
      </c>
      <c r="AQ206" s="3441" t="s">
        <v>3571</v>
      </c>
      <c r="AW206" s="3441" t="s">
        <v>3572</v>
      </c>
      <c r="AX206" s="3441" t="s">
        <v>3568</v>
      </c>
      <c r="AY206" s="3524">
        <v>261141</v>
      </c>
      <c r="AZ206" s="3441" t="s">
        <v>4406</v>
      </c>
      <c r="BA206" s="3441" t="s">
        <v>4409</v>
      </c>
      <c r="BB206" s="3524" t="s">
        <v>4410</v>
      </c>
      <c r="BC206" s="3441" t="s">
        <v>4411</v>
      </c>
      <c r="BD206" s="3525" t="s">
        <v>3568</v>
      </c>
      <c r="BE206" s="3441">
        <v>68152860</v>
      </c>
      <c r="BF206" s="3526">
        <v>2.8</v>
      </c>
      <c r="BG206" s="3518">
        <v>37641</v>
      </c>
      <c r="BH206" s="3441" t="s">
        <v>4412</v>
      </c>
      <c r="BI206" s="3441" t="s">
        <v>5021</v>
      </c>
      <c r="BJ206" s="3484">
        <v>37673</v>
      </c>
      <c r="BK206" s="3484"/>
      <c r="BL206" s="3470" t="s">
        <v>3670</v>
      </c>
      <c r="BS206" s="3470"/>
      <c r="BT206" s="3470"/>
      <c r="BU206" s="3470"/>
    </row>
    <row r="207" spans="1:73" s="3470" customFormat="1" ht="12" hidden="1">
      <c r="A207" s="3470" t="s">
        <v>5284</v>
      </c>
      <c r="B207" s="3470" t="s">
        <v>5285</v>
      </c>
      <c r="C207" s="3454" t="s">
        <v>5286</v>
      </c>
      <c r="D207" s="3470">
        <v>13683211135</v>
      </c>
      <c r="E207" s="3470" t="s">
        <v>2736</v>
      </c>
      <c r="F207" s="3470" t="s">
        <v>4099</v>
      </c>
      <c r="G207" s="3470" t="s">
        <v>2420</v>
      </c>
      <c r="H207" s="3470" t="s">
        <v>5287</v>
      </c>
      <c r="I207" s="3453" t="s">
        <v>4173</v>
      </c>
      <c r="J207" s="3453" t="s">
        <v>5288</v>
      </c>
      <c r="K207" s="3470" t="s">
        <v>4080</v>
      </c>
      <c r="L207" s="3495">
        <v>101.49</v>
      </c>
      <c r="M207" s="3495">
        <v>3</v>
      </c>
      <c r="N207" s="3470" t="s">
        <v>5289</v>
      </c>
      <c r="O207" s="3495">
        <v>90.32</v>
      </c>
      <c r="P207" s="3470" t="s">
        <v>3452</v>
      </c>
      <c r="Q207" s="3457">
        <v>539926.79999999993</v>
      </c>
      <c r="R207" s="3470">
        <v>5320</v>
      </c>
      <c r="S207" s="3472">
        <v>53.44</v>
      </c>
      <c r="T207" s="3527">
        <v>534400</v>
      </c>
      <c r="U207" s="3470">
        <v>5266</v>
      </c>
      <c r="V207" s="3474">
        <v>0.1</v>
      </c>
      <c r="W207" s="3475">
        <v>48.09</v>
      </c>
      <c r="X207" s="3473">
        <v>480900.00000000006</v>
      </c>
      <c r="Y207" s="3441">
        <v>2003</v>
      </c>
      <c r="Z207" s="3441">
        <v>2</v>
      </c>
      <c r="AA207" s="3441">
        <v>21</v>
      </c>
      <c r="AB207" s="3485">
        <v>2670</v>
      </c>
      <c r="AC207" s="3453" t="s">
        <v>4241</v>
      </c>
      <c r="AE207" s="3456" t="s">
        <v>3663</v>
      </c>
      <c r="AF207" s="3470" t="s">
        <v>3587</v>
      </c>
      <c r="AG207" s="3470" t="s">
        <v>3466</v>
      </c>
      <c r="AI207" s="3470" t="s">
        <v>3679</v>
      </c>
      <c r="AJ207" s="3478">
        <v>37833</v>
      </c>
      <c r="AK207" s="3548">
        <v>2</v>
      </c>
      <c r="AL207" s="3495">
        <v>67641700</v>
      </c>
      <c r="AN207" s="3480" t="s">
        <v>4210</v>
      </c>
      <c r="AO207" s="3441" t="s">
        <v>5290</v>
      </c>
      <c r="AP207" s="3456" t="s">
        <v>3476</v>
      </c>
      <c r="AQ207" s="3456" t="s">
        <v>3571</v>
      </c>
      <c r="AV207" s="3519"/>
      <c r="AW207" s="3470" t="s">
        <v>3572</v>
      </c>
      <c r="AX207" s="3470" t="s">
        <v>2420</v>
      </c>
      <c r="AY207" s="3495">
        <v>261261</v>
      </c>
      <c r="AZ207" s="3470" t="s">
        <v>4080</v>
      </c>
      <c r="BA207" s="3470" t="s">
        <v>4081</v>
      </c>
      <c r="BB207" s="3470" t="s">
        <v>4190</v>
      </c>
      <c r="BC207" s="3470" t="s">
        <v>4083</v>
      </c>
      <c r="BD207" s="3470" t="s">
        <v>2420</v>
      </c>
      <c r="BE207" s="3470">
        <v>68152860</v>
      </c>
      <c r="BF207" s="3520">
        <v>2.8</v>
      </c>
      <c r="BG207" s="3478">
        <v>37640</v>
      </c>
      <c r="BH207" s="3470" t="s">
        <v>4163</v>
      </c>
      <c r="BI207" s="3441" t="s">
        <v>3476</v>
      </c>
      <c r="BJ207" s="3484">
        <v>37671</v>
      </c>
      <c r="BK207" s="3478"/>
      <c r="BL207" s="3441" t="s">
        <v>3670</v>
      </c>
      <c r="BM207" s="3441"/>
      <c r="BN207" s="3441"/>
      <c r="BO207" s="3441"/>
      <c r="BP207" s="3441"/>
      <c r="BQ207" s="3441"/>
      <c r="BR207" s="3441"/>
    </row>
    <row r="208" spans="1:73" s="3470" customFormat="1" ht="12" hidden="1">
      <c r="A208" s="3470" t="s">
        <v>5291</v>
      </c>
      <c r="B208" s="3470" t="s">
        <v>5292</v>
      </c>
      <c r="C208" s="3454" t="s">
        <v>5293</v>
      </c>
      <c r="D208" s="3470">
        <v>13621204513</v>
      </c>
      <c r="E208" s="3470" t="s">
        <v>2736</v>
      </c>
      <c r="F208" s="3470" t="s">
        <v>4099</v>
      </c>
      <c r="G208" s="3470" t="s">
        <v>2420</v>
      </c>
      <c r="H208" s="3470" t="s">
        <v>5294</v>
      </c>
      <c r="I208" s="3453" t="s">
        <v>4173</v>
      </c>
      <c r="J208" s="3453" t="s">
        <v>5295</v>
      </c>
      <c r="K208" s="3470" t="s">
        <v>4076</v>
      </c>
      <c r="L208" s="3495">
        <v>87.54</v>
      </c>
      <c r="M208" s="3495">
        <v>2</v>
      </c>
      <c r="N208" s="3470" t="s">
        <v>3543</v>
      </c>
      <c r="O208" s="3495">
        <v>78.37</v>
      </c>
      <c r="P208" s="3470" t="s">
        <v>3452</v>
      </c>
      <c r="Q208" s="3457">
        <v>407936.4</v>
      </c>
      <c r="R208" s="3470">
        <v>4660</v>
      </c>
      <c r="S208" s="3472">
        <v>40.36</v>
      </c>
      <c r="T208" s="3527">
        <v>403600</v>
      </c>
      <c r="U208" s="3470">
        <v>4611</v>
      </c>
      <c r="V208" s="3474">
        <v>0.1</v>
      </c>
      <c r="W208" s="3475">
        <v>36.32</v>
      </c>
      <c r="X208" s="3473">
        <v>363200</v>
      </c>
      <c r="Y208" s="3441">
        <v>2003</v>
      </c>
      <c r="Z208" s="3441">
        <v>2</v>
      </c>
      <c r="AA208" s="3441">
        <v>21</v>
      </c>
      <c r="AB208" s="3485">
        <v>2015</v>
      </c>
      <c r="AC208" s="3453" t="s">
        <v>4102</v>
      </c>
      <c r="AE208" s="3456" t="s">
        <v>3663</v>
      </c>
      <c r="AF208" s="3470" t="s">
        <v>3587</v>
      </c>
      <c r="AG208" s="3470" t="s">
        <v>3466</v>
      </c>
      <c r="AI208" s="3470" t="s">
        <v>3679</v>
      </c>
      <c r="AJ208" s="3478">
        <v>37833</v>
      </c>
      <c r="AK208" s="3548">
        <v>2</v>
      </c>
      <c r="AL208" s="3495">
        <v>67641700</v>
      </c>
      <c r="AN208" s="3480" t="s">
        <v>3482</v>
      </c>
      <c r="AO208" s="3441" t="s">
        <v>5296</v>
      </c>
      <c r="AP208" s="3456" t="s">
        <v>3476</v>
      </c>
      <c r="AQ208" s="3456" t="s">
        <v>3571</v>
      </c>
      <c r="AV208" s="3519"/>
      <c r="AW208" s="3470" t="s">
        <v>3572</v>
      </c>
      <c r="AX208" s="3470" t="s">
        <v>2420</v>
      </c>
      <c r="AY208" s="3495">
        <v>261134</v>
      </c>
      <c r="AZ208" s="3470" t="s">
        <v>4076</v>
      </c>
      <c r="BA208" s="3470" t="s">
        <v>4104</v>
      </c>
      <c r="BB208" s="3470" t="s">
        <v>4190</v>
      </c>
      <c r="BC208" s="3470" t="s">
        <v>4083</v>
      </c>
      <c r="BD208" s="3470" t="s">
        <v>2420</v>
      </c>
      <c r="BE208" s="3470">
        <v>68152860</v>
      </c>
      <c r="BF208" s="3520">
        <v>2.8</v>
      </c>
      <c r="BG208" s="3478">
        <v>37641</v>
      </c>
      <c r="BH208" s="3470" t="s">
        <v>4191</v>
      </c>
      <c r="BI208" s="3441" t="s">
        <v>3476</v>
      </c>
      <c r="BJ208" s="3484">
        <v>37671</v>
      </c>
      <c r="BK208" s="3478"/>
      <c r="BL208" s="3441" t="s">
        <v>3670</v>
      </c>
      <c r="BM208" s="3441"/>
      <c r="BN208" s="3441"/>
      <c r="BO208" s="3441"/>
      <c r="BP208" s="3441"/>
      <c r="BQ208" s="3441"/>
      <c r="BR208" s="3441"/>
    </row>
    <row r="209" spans="1:73" s="3470" customFormat="1" ht="12" hidden="1">
      <c r="A209" s="3470" t="s">
        <v>5297</v>
      </c>
      <c r="B209" s="3470" t="s">
        <v>5298</v>
      </c>
      <c r="C209" s="3454" t="s">
        <v>5299</v>
      </c>
      <c r="D209" s="3470">
        <v>13501175427</v>
      </c>
      <c r="E209" s="3470" t="s">
        <v>2736</v>
      </c>
      <c r="F209" s="3470" t="s">
        <v>4099</v>
      </c>
      <c r="G209" s="3470" t="s">
        <v>2420</v>
      </c>
      <c r="H209" s="3470" t="s">
        <v>4547</v>
      </c>
      <c r="I209" s="3453" t="s">
        <v>4938</v>
      </c>
      <c r="J209" s="3453" t="s">
        <v>4855</v>
      </c>
      <c r="K209" s="3470" t="s">
        <v>4175</v>
      </c>
      <c r="L209" s="3495">
        <v>107.41</v>
      </c>
      <c r="M209" s="3495">
        <v>2</v>
      </c>
      <c r="N209" s="3470" t="s">
        <v>3778</v>
      </c>
      <c r="O209" s="3495">
        <v>95.57</v>
      </c>
      <c r="P209" s="3470" t="s">
        <v>3452</v>
      </c>
      <c r="Q209" s="3457">
        <v>567124.79999999993</v>
      </c>
      <c r="R209" s="3470">
        <v>5280</v>
      </c>
      <c r="S209" s="3472">
        <v>56.12</v>
      </c>
      <c r="T209" s="3527">
        <v>561200</v>
      </c>
      <c r="U209" s="3470">
        <v>5225</v>
      </c>
      <c r="V209" s="3474">
        <v>0.1</v>
      </c>
      <c r="W209" s="3475">
        <v>50.5</v>
      </c>
      <c r="X209" s="3473">
        <v>505000</v>
      </c>
      <c r="Y209" s="3441">
        <v>2003</v>
      </c>
      <c r="Z209" s="3441">
        <v>2</v>
      </c>
      <c r="AA209" s="3441">
        <v>21</v>
      </c>
      <c r="AB209" s="3485">
        <v>2805</v>
      </c>
      <c r="AC209" s="3453" t="s">
        <v>4241</v>
      </c>
      <c r="AE209" s="3456" t="s">
        <v>3663</v>
      </c>
      <c r="AF209" s="3470" t="s">
        <v>3587</v>
      </c>
      <c r="AG209" s="3470" t="s">
        <v>3466</v>
      </c>
      <c r="AI209" s="3470" t="s">
        <v>3679</v>
      </c>
      <c r="AJ209" s="3478">
        <v>37833</v>
      </c>
      <c r="AK209" s="3548">
        <v>2</v>
      </c>
      <c r="AL209" s="3495">
        <v>67641700</v>
      </c>
      <c r="AN209" s="3480" t="s">
        <v>4210</v>
      </c>
      <c r="AO209" s="3441" t="s">
        <v>5300</v>
      </c>
      <c r="AP209" s="3456" t="s">
        <v>3476</v>
      </c>
      <c r="AQ209" s="3456" t="s">
        <v>3571</v>
      </c>
      <c r="AV209" s="3519"/>
      <c r="AW209" s="3470" t="s">
        <v>3572</v>
      </c>
      <c r="AX209" s="3470" t="s">
        <v>3588</v>
      </c>
      <c r="AY209" s="3495">
        <v>261129</v>
      </c>
      <c r="AZ209" s="3470" t="s">
        <v>4175</v>
      </c>
      <c r="BA209" s="3470" t="s">
        <v>4161</v>
      </c>
      <c r="BB209" s="3470" t="s">
        <v>4945</v>
      </c>
      <c r="BC209" s="3470" t="s">
        <v>4106</v>
      </c>
      <c r="BD209" s="3470" t="s">
        <v>2420</v>
      </c>
      <c r="BE209" s="3470">
        <v>68152860</v>
      </c>
      <c r="BF209" s="3520">
        <v>2.8</v>
      </c>
      <c r="BG209" s="3478">
        <v>37641</v>
      </c>
      <c r="BH209" s="3470" t="s">
        <v>4163</v>
      </c>
      <c r="BI209" s="3441" t="s">
        <v>3476</v>
      </c>
      <c r="BJ209" s="3484">
        <v>37671</v>
      </c>
      <c r="BK209" s="3478"/>
      <c r="BL209" s="3441" t="s">
        <v>3670</v>
      </c>
      <c r="BM209" s="3441"/>
      <c r="BN209" s="3441"/>
      <c r="BO209" s="3441"/>
      <c r="BP209" s="3441"/>
      <c r="BQ209" s="3441"/>
      <c r="BR209" s="3441"/>
    </row>
    <row r="210" spans="1:73" s="3470" customFormat="1" ht="12" hidden="1">
      <c r="A210" s="3470" t="s">
        <v>5301</v>
      </c>
      <c r="B210" s="3470" t="s">
        <v>5302</v>
      </c>
      <c r="C210" s="3481" t="s">
        <v>5303</v>
      </c>
      <c r="D210" s="3470">
        <v>13910218830</v>
      </c>
      <c r="E210" s="3470" t="s">
        <v>3558</v>
      </c>
      <c r="F210" s="3470" t="s">
        <v>3613</v>
      </c>
      <c r="H210" s="3453" t="s">
        <v>5304</v>
      </c>
      <c r="I210" s="3453" t="s">
        <v>4019</v>
      </c>
      <c r="J210" s="3453" t="s">
        <v>4042</v>
      </c>
      <c r="K210" s="3470" t="s">
        <v>3968</v>
      </c>
      <c r="L210" s="3495">
        <v>129.27000000000001</v>
      </c>
      <c r="M210" s="3495">
        <v>3</v>
      </c>
      <c r="N210" s="3470" t="s">
        <v>4003</v>
      </c>
      <c r="O210" s="3495">
        <v>117.87</v>
      </c>
      <c r="P210" s="3470" t="s">
        <v>3452</v>
      </c>
      <c r="Q210" s="3457">
        <v>575016.22860000003</v>
      </c>
      <c r="R210" s="3470">
        <v>4448.18</v>
      </c>
      <c r="S210" s="3472">
        <v>56.91</v>
      </c>
      <c r="T210" s="3473">
        <v>569100</v>
      </c>
      <c r="U210" s="3470">
        <v>4403</v>
      </c>
      <c r="V210" s="3474">
        <v>0.1</v>
      </c>
      <c r="W210" s="3475">
        <v>51.21</v>
      </c>
      <c r="X210" s="3473">
        <v>512100</v>
      </c>
      <c r="Y210" s="3441">
        <v>2003</v>
      </c>
      <c r="Z210" s="3441">
        <v>1</v>
      </c>
      <c r="AA210" s="3470">
        <v>22</v>
      </c>
      <c r="AB210" s="3485">
        <v>2845</v>
      </c>
      <c r="AC210" s="3470" t="s">
        <v>4922</v>
      </c>
      <c r="AE210" s="3441" t="s">
        <v>3663</v>
      </c>
      <c r="AF210" s="3453" t="s">
        <v>3728</v>
      </c>
      <c r="AG210" s="3470" t="s">
        <v>3466</v>
      </c>
      <c r="AI210" s="3470" t="s">
        <v>3711</v>
      </c>
      <c r="AJ210" s="3478">
        <v>37894</v>
      </c>
      <c r="AK210" s="3500">
        <v>1</v>
      </c>
      <c r="AL210" s="3441">
        <v>67641700</v>
      </c>
      <c r="AN210" s="3456" t="s">
        <v>4427</v>
      </c>
      <c r="AO210" s="3470" t="s">
        <v>3588</v>
      </c>
      <c r="AP210" s="3441" t="s">
        <v>3476</v>
      </c>
      <c r="AQ210" s="3456" t="s">
        <v>3571</v>
      </c>
      <c r="AV210" s="3519"/>
      <c r="AW210" s="3470" t="s">
        <v>3572</v>
      </c>
      <c r="AX210" s="3470" t="s">
        <v>2511</v>
      </c>
      <c r="AY210" s="3495">
        <v>252141</v>
      </c>
      <c r="AZ210" s="3470" t="s">
        <v>3968</v>
      </c>
      <c r="BA210" s="3470" t="s">
        <v>3971</v>
      </c>
      <c r="BB210" s="3470" t="s">
        <v>3972</v>
      </c>
      <c r="BC210" s="3470" t="s">
        <v>3973</v>
      </c>
      <c r="BD210" s="3470">
        <v>100096</v>
      </c>
      <c r="BE210" s="3470">
        <v>82919961</v>
      </c>
      <c r="BF210" s="3520">
        <v>2.9</v>
      </c>
      <c r="BG210" s="3478">
        <v>37612</v>
      </c>
      <c r="BI210" s="3470" t="s">
        <v>3476</v>
      </c>
      <c r="BJ210" s="3478">
        <v>37641</v>
      </c>
      <c r="BK210" s="3478"/>
      <c r="BL210" s="3441" t="s">
        <v>3670</v>
      </c>
      <c r="BM210" s="3441"/>
      <c r="BN210" s="3441"/>
      <c r="BO210" s="3441"/>
      <c r="BP210" s="3441"/>
      <c r="BQ210" s="3441"/>
      <c r="BR210" s="3441"/>
    </row>
    <row r="211" spans="1:73" s="3470" customFormat="1" ht="12" hidden="1">
      <c r="A211" s="3470" t="s">
        <v>5305</v>
      </c>
      <c r="B211" s="3470" t="s">
        <v>5306</v>
      </c>
      <c r="C211" s="3481" t="s">
        <v>5307</v>
      </c>
      <c r="D211" s="3470">
        <v>82707028</v>
      </c>
      <c r="E211" s="3470" t="s">
        <v>3558</v>
      </c>
      <c r="F211" s="3470" t="s">
        <v>3613</v>
      </c>
      <c r="H211" s="3453" t="s">
        <v>4316</v>
      </c>
      <c r="I211" s="3453" t="s">
        <v>3676</v>
      </c>
      <c r="J211" s="3453" t="s">
        <v>4075</v>
      </c>
      <c r="K211" s="3470" t="s">
        <v>3968</v>
      </c>
      <c r="L211" s="3495">
        <v>129.27000000000001</v>
      </c>
      <c r="M211" s="3495">
        <v>4</v>
      </c>
      <c r="N211" s="3470" t="s">
        <v>4003</v>
      </c>
      <c r="O211" s="3495">
        <v>117.87</v>
      </c>
      <c r="P211" s="3470" t="s">
        <v>3452</v>
      </c>
      <c r="Q211" s="3457">
        <v>556013.53860000009</v>
      </c>
      <c r="R211" s="3470">
        <v>4301.18</v>
      </c>
      <c r="S211" s="3472">
        <v>55.03</v>
      </c>
      <c r="T211" s="3473">
        <v>550300</v>
      </c>
      <c r="U211" s="3470">
        <v>4257</v>
      </c>
      <c r="V211" s="3474">
        <v>0.1</v>
      </c>
      <c r="W211" s="3475">
        <v>49.52</v>
      </c>
      <c r="X211" s="3473">
        <v>495200.00000000006</v>
      </c>
      <c r="Y211" s="3441">
        <v>2003</v>
      </c>
      <c r="Z211" s="3441">
        <v>1</v>
      </c>
      <c r="AA211" s="3470">
        <v>22</v>
      </c>
      <c r="AB211" s="3485">
        <v>2750</v>
      </c>
      <c r="AC211" s="3470" t="s">
        <v>4922</v>
      </c>
      <c r="AE211" s="3441" t="s">
        <v>3663</v>
      </c>
      <c r="AF211" s="3453" t="s">
        <v>3728</v>
      </c>
      <c r="AG211" s="3470" t="s">
        <v>3466</v>
      </c>
      <c r="AI211" s="3470" t="s">
        <v>4834</v>
      </c>
      <c r="AJ211" s="3478">
        <v>37894</v>
      </c>
      <c r="AK211" s="3500">
        <v>1</v>
      </c>
      <c r="AL211" s="3441">
        <v>67641700</v>
      </c>
      <c r="AN211" s="3456" t="s">
        <v>3484</v>
      </c>
      <c r="AO211" s="3470" t="s">
        <v>3588</v>
      </c>
      <c r="AP211" s="3441" t="s">
        <v>3476</v>
      </c>
      <c r="AQ211" s="3456" t="s">
        <v>3571</v>
      </c>
      <c r="AV211" s="3519"/>
      <c r="AW211" s="3470" t="s">
        <v>3572</v>
      </c>
      <c r="AX211" s="3470" t="s">
        <v>2511</v>
      </c>
      <c r="AY211" s="3495">
        <v>252157</v>
      </c>
      <c r="AZ211" s="3470" t="s">
        <v>3968</v>
      </c>
      <c r="BA211" s="3470" t="s">
        <v>3971</v>
      </c>
      <c r="BB211" s="3470" t="s">
        <v>3972</v>
      </c>
      <c r="BC211" s="3470" t="s">
        <v>3973</v>
      </c>
      <c r="BD211" s="3470">
        <v>100096</v>
      </c>
      <c r="BE211" s="3470">
        <v>82919961</v>
      </c>
      <c r="BF211" s="3520">
        <v>2.9</v>
      </c>
      <c r="BG211" s="3478">
        <v>37609</v>
      </c>
      <c r="BI211" s="3470" t="s">
        <v>3476</v>
      </c>
      <c r="BJ211" s="3478">
        <v>37642</v>
      </c>
      <c r="BK211" s="3478"/>
      <c r="BL211" s="3441" t="s">
        <v>3670</v>
      </c>
      <c r="BM211" s="3441"/>
      <c r="BN211" s="3441"/>
      <c r="BO211" s="3441"/>
      <c r="BP211" s="3441"/>
      <c r="BQ211" s="3441"/>
      <c r="BR211" s="3441"/>
    </row>
    <row r="212" spans="1:73" s="3441" customFormat="1" ht="12" hidden="1">
      <c r="A212" s="3485" t="s">
        <v>5308</v>
      </c>
      <c r="B212" s="3470" t="s">
        <v>5309</v>
      </c>
      <c r="C212" s="3481" t="s">
        <v>5310</v>
      </c>
      <c r="D212" s="3481" t="s">
        <v>5311</v>
      </c>
      <c r="E212" s="3470" t="s">
        <v>3763</v>
      </c>
      <c r="F212" s="3528" t="s">
        <v>3628</v>
      </c>
      <c r="G212" s="3470"/>
      <c r="H212" s="3470" t="s">
        <v>3629</v>
      </c>
      <c r="I212" s="3470" t="s">
        <v>3676</v>
      </c>
      <c r="J212" s="3481" t="s">
        <v>4101</v>
      </c>
      <c r="K212" s="3470" t="s">
        <v>3647</v>
      </c>
      <c r="L212" s="3470">
        <v>113.18</v>
      </c>
      <c r="M212" s="3470">
        <v>2</v>
      </c>
      <c r="N212" s="3470" t="s">
        <v>4043</v>
      </c>
      <c r="O212" s="3470">
        <v>91.76</v>
      </c>
      <c r="P212" s="3470" t="s">
        <v>3452</v>
      </c>
      <c r="Q212" s="3457">
        <v>675684.60000000009</v>
      </c>
      <c r="R212" s="3470">
        <v>5970</v>
      </c>
      <c r="S212" s="3472">
        <v>66.91</v>
      </c>
      <c r="T212" s="3527">
        <v>669100</v>
      </c>
      <c r="U212" s="3470">
        <v>5912</v>
      </c>
      <c r="V212" s="3474">
        <v>0.1</v>
      </c>
      <c r="W212" s="3475">
        <v>60.21</v>
      </c>
      <c r="X212" s="3494">
        <v>602100</v>
      </c>
      <c r="Y212" s="3441">
        <v>2003</v>
      </c>
      <c r="Z212" s="3441">
        <v>3</v>
      </c>
      <c r="AA212" s="3441">
        <v>3</v>
      </c>
      <c r="AB212" s="3485">
        <v>3345</v>
      </c>
      <c r="AC212" s="3470" t="s">
        <v>4922</v>
      </c>
      <c r="AD212" s="3485"/>
      <c r="AE212" s="3441" t="s">
        <v>4914</v>
      </c>
      <c r="AF212" s="3470" t="s">
        <v>3587</v>
      </c>
      <c r="AG212" s="3522" t="s">
        <v>3454</v>
      </c>
      <c r="AH212" s="3485"/>
      <c r="AI212" s="3456" t="s">
        <v>3711</v>
      </c>
      <c r="AJ212" s="3523">
        <v>37965</v>
      </c>
      <c r="AK212" s="3462" t="s">
        <v>4210</v>
      </c>
      <c r="AL212" s="3515">
        <v>67641700</v>
      </c>
      <c r="AN212" s="3441" t="s">
        <v>3635</v>
      </c>
      <c r="AO212" s="3524" t="s">
        <v>5312</v>
      </c>
      <c r="AP212" s="3456" t="s">
        <v>3476</v>
      </c>
      <c r="AQ212" s="3469" t="s">
        <v>3571</v>
      </c>
      <c r="AW212" s="3441" t="s">
        <v>3548</v>
      </c>
      <c r="AX212" s="3484" t="s">
        <v>4046</v>
      </c>
      <c r="AY212" s="3524" t="s">
        <v>5313</v>
      </c>
      <c r="AZ212" s="3470" t="s">
        <v>3631</v>
      </c>
      <c r="BA212" s="3441" t="s">
        <v>4048</v>
      </c>
      <c r="BB212" s="3524" t="s">
        <v>3997</v>
      </c>
      <c r="BC212" s="3441" t="s">
        <v>4339</v>
      </c>
      <c r="BD212" s="3525">
        <v>100088</v>
      </c>
      <c r="BE212" s="3441">
        <v>82058259</v>
      </c>
      <c r="BF212" s="3526">
        <v>2.9</v>
      </c>
      <c r="BG212" s="3518">
        <v>37631</v>
      </c>
      <c r="BI212" s="3486" t="s">
        <v>3896</v>
      </c>
      <c r="BJ212" s="3484">
        <v>37660</v>
      </c>
      <c r="BK212" s="3484">
        <v>37679</v>
      </c>
      <c r="BL212" s="3441" t="s">
        <v>3670</v>
      </c>
      <c r="BS212" s="3470"/>
      <c r="BT212" s="3470"/>
      <c r="BU212" s="3470"/>
    </row>
    <row r="213" spans="1:73" s="3470" customFormat="1" ht="12" hidden="1">
      <c r="A213" s="3470" t="s">
        <v>5314</v>
      </c>
      <c r="B213" s="3470" t="s">
        <v>5315</v>
      </c>
      <c r="C213" s="3481" t="s">
        <v>5316</v>
      </c>
      <c r="D213" s="3470">
        <v>13911081151</v>
      </c>
      <c r="E213" s="3470" t="s">
        <v>3558</v>
      </c>
      <c r="F213" s="3470" t="s">
        <v>3559</v>
      </c>
      <c r="H213" s="3453" t="s">
        <v>5317</v>
      </c>
      <c r="I213" s="3453" t="s">
        <v>4019</v>
      </c>
      <c r="J213" s="3453" t="s">
        <v>5318</v>
      </c>
      <c r="K213" s="3470" t="s">
        <v>3563</v>
      </c>
      <c r="L213" s="3495">
        <v>57.09</v>
      </c>
      <c r="M213" s="3495">
        <v>8</v>
      </c>
      <c r="N213" s="3470" t="s">
        <v>4616</v>
      </c>
      <c r="O213" s="3495">
        <v>46.25</v>
      </c>
      <c r="P213" s="3470" t="s">
        <v>3452</v>
      </c>
      <c r="Q213" s="3457">
        <v>262385.64</v>
      </c>
      <c r="R213" s="3470">
        <v>4596</v>
      </c>
      <c r="S213" s="3472">
        <v>25.98</v>
      </c>
      <c r="T213" s="3473">
        <v>259800</v>
      </c>
      <c r="U213" s="3470">
        <v>4551</v>
      </c>
      <c r="V213" s="3474">
        <v>0.1</v>
      </c>
      <c r="W213" s="3475">
        <v>23.38</v>
      </c>
      <c r="X213" s="3476">
        <v>233800</v>
      </c>
      <c r="Y213" s="3441">
        <v>2003</v>
      </c>
      <c r="Z213" s="3441">
        <v>1</v>
      </c>
      <c r="AA213" s="3470">
        <v>23</v>
      </c>
      <c r="AB213" s="3477">
        <v>1295</v>
      </c>
      <c r="AC213" s="3470" t="s">
        <v>3565</v>
      </c>
      <c r="AE213" s="3456" t="s">
        <v>3663</v>
      </c>
      <c r="AF213" s="3453" t="s">
        <v>3728</v>
      </c>
      <c r="AG213" s="3470" t="s">
        <v>3466</v>
      </c>
      <c r="AH213" s="3470" t="s">
        <v>3568</v>
      </c>
      <c r="AI213" s="3470" t="s">
        <v>3679</v>
      </c>
      <c r="AJ213" s="3478">
        <v>37894</v>
      </c>
      <c r="AK213" s="3479" t="s">
        <v>3570</v>
      </c>
      <c r="AL213" s="3495">
        <v>67641700</v>
      </c>
      <c r="AM213" s="3470" t="s">
        <v>3568</v>
      </c>
      <c r="AN213" s="3480" t="s">
        <v>3484</v>
      </c>
      <c r="AO213" s="3470" t="s">
        <v>3568</v>
      </c>
      <c r="AP213" s="3456" t="s">
        <v>3476</v>
      </c>
      <c r="AQ213" s="3456" t="s">
        <v>3571</v>
      </c>
      <c r="AV213" s="3519"/>
      <c r="AW213" s="3470" t="s">
        <v>3572</v>
      </c>
      <c r="AX213" s="3470" t="s">
        <v>2511</v>
      </c>
      <c r="AY213" s="3495">
        <v>226834</v>
      </c>
      <c r="AZ213" s="3470" t="s">
        <v>3563</v>
      </c>
      <c r="BA213" s="3470" t="s">
        <v>3574</v>
      </c>
      <c r="BB213" s="3470">
        <v>1101021053367</v>
      </c>
      <c r="BC213" s="3470" t="s">
        <v>3576</v>
      </c>
      <c r="BD213" s="3470">
        <v>100037</v>
      </c>
      <c r="BE213" s="3470">
        <v>84050046</v>
      </c>
      <c r="BF213" s="3520">
        <v>2.8</v>
      </c>
      <c r="BG213" s="3478">
        <v>37617</v>
      </c>
      <c r="BI213" s="3441" t="s">
        <v>3700</v>
      </c>
      <c r="BJ213" s="3478">
        <v>37638</v>
      </c>
      <c r="BK213" s="3478">
        <v>37631</v>
      </c>
      <c r="BL213" s="3441" t="s">
        <v>3670</v>
      </c>
      <c r="BM213" s="3441"/>
      <c r="BN213" s="3441"/>
      <c r="BO213" s="3441"/>
      <c r="BP213" s="3441"/>
      <c r="BQ213" s="3441"/>
      <c r="BR213" s="3441"/>
    </row>
    <row r="214" spans="1:73" s="3470" customFormat="1" ht="12" hidden="1">
      <c r="A214" s="3470" t="s">
        <v>5319</v>
      </c>
      <c r="B214" s="3470" t="s">
        <v>5320</v>
      </c>
      <c r="C214" s="3481" t="s">
        <v>5321</v>
      </c>
      <c r="D214" s="3470">
        <v>13661196488</v>
      </c>
      <c r="E214" s="3470" t="s">
        <v>3558</v>
      </c>
      <c r="F214" s="3470" t="s">
        <v>3613</v>
      </c>
      <c r="H214" s="3453" t="s">
        <v>5322</v>
      </c>
      <c r="I214" s="3453" t="s">
        <v>3726</v>
      </c>
      <c r="J214" s="3453" t="s">
        <v>3479</v>
      </c>
      <c r="K214" s="3470" t="s">
        <v>3968</v>
      </c>
      <c r="L214" s="3495">
        <v>149.88</v>
      </c>
      <c r="M214" s="3495">
        <v>1</v>
      </c>
      <c r="N214" s="3470" t="s">
        <v>4003</v>
      </c>
      <c r="O214" s="3495">
        <v>137.54</v>
      </c>
      <c r="P214" s="3470" t="s">
        <v>3452</v>
      </c>
      <c r="Q214" s="3457">
        <v>660176.43599999999</v>
      </c>
      <c r="R214" s="3470">
        <v>4404.7</v>
      </c>
      <c r="S214" s="3472">
        <v>65.34</v>
      </c>
      <c r="T214" s="3473">
        <v>653400</v>
      </c>
      <c r="U214" s="3470">
        <v>4360</v>
      </c>
      <c r="V214" s="3474">
        <v>0.1</v>
      </c>
      <c r="W214" s="3475">
        <v>58.8</v>
      </c>
      <c r="X214" s="3473">
        <v>588000</v>
      </c>
      <c r="Y214" s="3441">
        <v>2003</v>
      </c>
      <c r="Z214" s="3441">
        <v>1</v>
      </c>
      <c r="AA214" s="3470">
        <v>23</v>
      </c>
      <c r="AB214" s="3485">
        <v>3265</v>
      </c>
      <c r="AC214" s="3470" t="s">
        <v>5116</v>
      </c>
      <c r="AE214" s="3441" t="s">
        <v>3663</v>
      </c>
      <c r="AF214" s="3453" t="s">
        <v>3728</v>
      </c>
      <c r="AG214" s="3470" t="s">
        <v>3466</v>
      </c>
      <c r="AI214" s="3470" t="s">
        <v>4834</v>
      </c>
      <c r="AJ214" s="3478">
        <v>37894</v>
      </c>
      <c r="AK214" s="3500">
        <v>1</v>
      </c>
      <c r="AL214" s="3441">
        <v>67641700</v>
      </c>
      <c r="AN214" s="3456" t="s">
        <v>3484</v>
      </c>
      <c r="AO214" s="3470" t="s">
        <v>2420</v>
      </c>
      <c r="AP214" s="3441" t="s">
        <v>3476</v>
      </c>
      <c r="AQ214" s="3456" t="s">
        <v>3571</v>
      </c>
      <c r="AV214" s="3519"/>
      <c r="AW214" s="3470" t="s">
        <v>3572</v>
      </c>
      <c r="AX214" s="3470" t="s">
        <v>2511</v>
      </c>
      <c r="AY214" s="3495">
        <v>252197</v>
      </c>
      <c r="AZ214" s="3470" t="s">
        <v>3968</v>
      </c>
      <c r="BA214" s="3470" t="s">
        <v>3971</v>
      </c>
      <c r="BB214" s="3470" t="s">
        <v>3972</v>
      </c>
      <c r="BC214" s="3470" t="s">
        <v>3973</v>
      </c>
      <c r="BD214" s="3470">
        <v>100096</v>
      </c>
      <c r="BE214" s="3470">
        <v>82919961</v>
      </c>
      <c r="BF214" s="3520">
        <v>2.9</v>
      </c>
      <c r="BG214" s="3478">
        <v>37625</v>
      </c>
      <c r="BI214" s="3470" t="s">
        <v>3476</v>
      </c>
      <c r="BJ214" s="3478">
        <v>37643</v>
      </c>
      <c r="BK214" s="3478"/>
      <c r="BL214" s="3441" t="s">
        <v>3670</v>
      </c>
      <c r="BM214" s="3441"/>
      <c r="BN214" s="3441"/>
      <c r="BO214" s="3441"/>
      <c r="BP214" s="3441"/>
      <c r="BQ214" s="3441"/>
      <c r="BR214" s="3441"/>
    </row>
    <row r="215" spans="1:73" s="3470" customFormat="1" ht="12">
      <c r="A215" s="3470" t="s">
        <v>5323</v>
      </c>
      <c r="B215" s="3470" t="s">
        <v>5324</v>
      </c>
      <c r="C215" s="3481" t="s">
        <v>5325</v>
      </c>
      <c r="D215" s="3470">
        <v>13601293538</v>
      </c>
      <c r="E215" s="3470" t="s">
        <v>3558</v>
      </c>
      <c r="F215" s="3687" t="s">
        <v>11669</v>
      </c>
      <c r="H215" s="3470" t="s">
        <v>4346</v>
      </c>
      <c r="I215" s="3470" t="s">
        <v>5326</v>
      </c>
      <c r="J215" s="3470" t="s">
        <v>5327</v>
      </c>
      <c r="K215" s="3470" t="s">
        <v>5328</v>
      </c>
      <c r="L215" s="3470">
        <v>148.80000000000001</v>
      </c>
      <c r="M215" s="3470">
        <v>16</v>
      </c>
      <c r="N215" s="3470" t="s">
        <v>3488</v>
      </c>
      <c r="O215" s="3470">
        <v>123.5</v>
      </c>
      <c r="P215" s="3470" t="s">
        <v>3452</v>
      </c>
      <c r="Q215" s="3457">
        <v>1020000.1920000002</v>
      </c>
      <c r="R215" s="3470">
        <v>6854.84</v>
      </c>
      <c r="S215" s="3472">
        <v>101.15</v>
      </c>
      <c r="T215" s="3473">
        <v>1011500</v>
      </c>
      <c r="U215" s="3470">
        <v>6798</v>
      </c>
      <c r="V215" s="3474">
        <v>0.1</v>
      </c>
      <c r="W215" s="3475">
        <v>91.03</v>
      </c>
      <c r="X215" s="3476">
        <v>910300</v>
      </c>
      <c r="Y215" s="3470">
        <v>2003</v>
      </c>
      <c r="Z215" s="3470">
        <v>1</v>
      </c>
      <c r="AA215" s="3470">
        <v>24</v>
      </c>
      <c r="AB215" s="3477">
        <v>5025</v>
      </c>
      <c r="AC215" s="3470" t="s">
        <v>4674</v>
      </c>
      <c r="AE215" s="3470" t="s">
        <v>3663</v>
      </c>
      <c r="AF215" s="3470" t="s">
        <v>4032</v>
      </c>
      <c r="AG215" s="3470" t="s">
        <v>3466</v>
      </c>
      <c r="AH215" s="3470" t="s">
        <v>3568</v>
      </c>
      <c r="AI215" s="3470" t="s">
        <v>3679</v>
      </c>
      <c r="AJ215" s="3478">
        <v>37708</v>
      </c>
      <c r="AK215" s="3500">
        <v>1</v>
      </c>
      <c r="AL215" s="3470">
        <v>67641700</v>
      </c>
      <c r="AN215" s="3497" t="s">
        <v>3484</v>
      </c>
      <c r="AP215" s="3470" t="s">
        <v>3476</v>
      </c>
      <c r="AQ215" s="3470" t="s">
        <v>3571</v>
      </c>
      <c r="AU215" s="3470" t="s">
        <v>3568</v>
      </c>
      <c r="AW215" s="3470" t="s">
        <v>3572</v>
      </c>
      <c r="AX215" s="3470" t="s">
        <v>2511</v>
      </c>
      <c r="AY215" s="3481" t="s">
        <v>5329</v>
      </c>
      <c r="AZ215" s="3470" t="s">
        <v>5328</v>
      </c>
      <c r="BA215" s="3470" t="s">
        <v>5330</v>
      </c>
      <c r="BB215" s="3481">
        <v>1100001137671</v>
      </c>
      <c r="BC215" s="3470" t="s">
        <v>5331</v>
      </c>
      <c r="BD215" s="3482">
        <v>100036</v>
      </c>
      <c r="BE215" s="3470">
        <v>88219818</v>
      </c>
      <c r="BF215" s="3483">
        <v>2.9</v>
      </c>
      <c r="BG215" s="3478">
        <v>37606</v>
      </c>
      <c r="BI215" s="3441" t="s">
        <v>3476</v>
      </c>
      <c r="BJ215" s="3478">
        <v>37271</v>
      </c>
      <c r="BK215" s="3478"/>
      <c r="BL215" s="3441" t="s">
        <v>3594</v>
      </c>
      <c r="BM215" s="3441"/>
      <c r="BN215" s="3441"/>
      <c r="BO215" s="3441"/>
      <c r="BP215" s="3441"/>
      <c r="BQ215" s="3441"/>
      <c r="BR215" s="3441"/>
    </row>
    <row r="216" spans="1:73" s="3441" customFormat="1" ht="12" hidden="1">
      <c r="A216" s="3485" t="s">
        <v>5332</v>
      </c>
      <c r="B216" s="3470" t="s">
        <v>5333</v>
      </c>
      <c r="C216" s="3481" t="s">
        <v>5334</v>
      </c>
      <c r="D216" s="3481">
        <v>13671209960</v>
      </c>
      <c r="E216" s="3470" t="s">
        <v>3558</v>
      </c>
      <c r="F216" s="3521" t="s">
        <v>5335</v>
      </c>
      <c r="G216" s="3470"/>
      <c r="H216" s="3470" t="s">
        <v>5336</v>
      </c>
      <c r="I216" s="3470"/>
      <c r="J216" s="3481" t="s">
        <v>5337</v>
      </c>
      <c r="K216" s="3470" t="s">
        <v>5338</v>
      </c>
      <c r="L216" s="3470">
        <v>98.32</v>
      </c>
      <c r="M216" s="3470">
        <v>6</v>
      </c>
      <c r="N216" s="3470" t="s">
        <v>4030</v>
      </c>
      <c r="O216" s="3470">
        <v>81.099999999999994</v>
      </c>
      <c r="P216" s="3470" t="s">
        <v>3452</v>
      </c>
      <c r="Q216" s="3457">
        <v>354935.2</v>
      </c>
      <c r="R216" s="3470">
        <v>3610</v>
      </c>
      <c r="S216" s="3472">
        <v>35.090000000000003</v>
      </c>
      <c r="T216" s="3527">
        <v>350900</v>
      </c>
      <c r="U216" s="3470">
        <v>3569</v>
      </c>
      <c r="V216" s="3474">
        <v>0.1</v>
      </c>
      <c r="W216" s="3475">
        <v>31.58</v>
      </c>
      <c r="X216" s="3473">
        <v>315800</v>
      </c>
      <c r="Y216" s="3441">
        <v>2003</v>
      </c>
      <c r="Z216" s="3441">
        <v>2</v>
      </c>
      <c r="AA216" s="3441">
        <v>27</v>
      </c>
      <c r="AB216" s="3485">
        <v>1400</v>
      </c>
      <c r="AC216" s="3470" t="s">
        <v>3603</v>
      </c>
      <c r="AD216" s="3485"/>
      <c r="AE216" s="3441" t="s">
        <v>3663</v>
      </c>
      <c r="AF216" s="3470" t="s">
        <v>5339</v>
      </c>
      <c r="AG216" s="3522" t="s">
        <v>3466</v>
      </c>
      <c r="AH216" s="3485"/>
      <c r="AI216" s="3470" t="s">
        <v>3679</v>
      </c>
      <c r="AJ216" s="3523">
        <v>38138</v>
      </c>
      <c r="AK216" s="3479">
        <v>2</v>
      </c>
      <c r="AL216" s="3441">
        <v>67641700</v>
      </c>
      <c r="AN216" s="3441" t="s">
        <v>3680</v>
      </c>
      <c r="AO216" s="3441" t="s">
        <v>5340</v>
      </c>
      <c r="AP216" s="3441" t="s">
        <v>3476</v>
      </c>
      <c r="AQ216" s="3441" t="s">
        <v>3571</v>
      </c>
      <c r="AV216" s="3441" t="s">
        <v>3568</v>
      </c>
      <c r="AW216" s="3441" t="s">
        <v>3572</v>
      </c>
      <c r="AY216" s="3524" t="s">
        <v>5341</v>
      </c>
      <c r="AZ216" s="3441" t="s">
        <v>5338</v>
      </c>
      <c r="BA216" s="3441" t="s">
        <v>5342</v>
      </c>
      <c r="BB216" s="3524" t="s">
        <v>5343</v>
      </c>
      <c r="BC216" s="3441" t="s">
        <v>5344</v>
      </c>
      <c r="BD216" s="3525">
        <v>102488</v>
      </c>
      <c r="BE216" s="3441">
        <v>63023627</v>
      </c>
      <c r="BF216" s="3526">
        <v>2.8</v>
      </c>
      <c r="BG216" s="3518">
        <v>37635</v>
      </c>
      <c r="BH216" s="3441" t="s">
        <v>4681</v>
      </c>
      <c r="BI216" s="3441" t="s">
        <v>3700</v>
      </c>
      <c r="BJ216" s="3484">
        <v>37673</v>
      </c>
      <c r="BK216" s="3484"/>
      <c r="BL216" s="3470" t="s">
        <v>3670</v>
      </c>
      <c r="BS216" s="3470"/>
      <c r="BT216" s="3470"/>
      <c r="BU216" s="3470"/>
    </row>
    <row r="217" spans="1:73" s="3441" customFormat="1" ht="12" hidden="1">
      <c r="A217" s="3470" t="s">
        <v>5345</v>
      </c>
      <c r="B217" s="3470" t="s">
        <v>5346</v>
      </c>
      <c r="C217" s="3481" t="s">
        <v>5347</v>
      </c>
      <c r="D217" s="3481" t="s">
        <v>5348</v>
      </c>
      <c r="E217" s="3470" t="s">
        <v>2736</v>
      </c>
      <c r="F217" s="3528" t="s">
        <v>3808</v>
      </c>
      <c r="G217" s="3470"/>
      <c r="H217" s="3470" t="s">
        <v>3764</v>
      </c>
      <c r="I217" s="3470"/>
      <c r="J217" s="3481" t="s">
        <v>5349</v>
      </c>
      <c r="K217" s="3470" t="s">
        <v>3751</v>
      </c>
      <c r="L217" s="3470">
        <v>150.79</v>
      </c>
      <c r="M217" s="3470">
        <v>10</v>
      </c>
      <c r="N217" s="3470" t="s">
        <v>5350</v>
      </c>
      <c r="O217" s="3470">
        <v>122.24</v>
      </c>
      <c r="P217" s="3470" t="s">
        <v>3452</v>
      </c>
      <c r="Q217" s="3457">
        <v>630302.19999999995</v>
      </c>
      <c r="R217" s="3470">
        <v>4180</v>
      </c>
      <c r="S217" s="3472">
        <v>62.27</v>
      </c>
      <c r="T217" s="3527">
        <v>622700</v>
      </c>
      <c r="U217" s="3470">
        <v>4130</v>
      </c>
      <c r="V217" s="3474">
        <v>0.1</v>
      </c>
      <c r="W217" s="3475">
        <v>56.04</v>
      </c>
      <c r="X217" s="3476">
        <v>560400</v>
      </c>
      <c r="Y217" s="3441">
        <v>2003</v>
      </c>
      <c r="Z217" s="3441">
        <v>2</v>
      </c>
      <c r="AA217" s="3441">
        <v>14</v>
      </c>
      <c r="AB217" s="3477">
        <v>2490</v>
      </c>
      <c r="AC217" s="3470" t="s">
        <v>3634</v>
      </c>
      <c r="AD217" s="3485"/>
      <c r="AE217" s="3441" t="s">
        <v>3663</v>
      </c>
      <c r="AF217" s="3470" t="s">
        <v>3799</v>
      </c>
      <c r="AG217" s="3522" t="s">
        <v>3466</v>
      </c>
      <c r="AH217" s="3485" t="s">
        <v>3568</v>
      </c>
      <c r="AI217" s="3470" t="s">
        <v>3679</v>
      </c>
      <c r="AJ217" s="3523">
        <v>38138</v>
      </c>
      <c r="AK217" s="3500">
        <v>2</v>
      </c>
      <c r="AL217" s="3441">
        <v>67641700</v>
      </c>
      <c r="AN217" s="3480" t="s">
        <v>3468</v>
      </c>
      <c r="AO217" s="3441" t="s">
        <v>5351</v>
      </c>
      <c r="AP217" s="3441" t="s">
        <v>3476</v>
      </c>
      <c r="AQ217" s="3441" t="s">
        <v>3571</v>
      </c>
      <c r="AV217" s="3441" t="s">
        <v>3568</v>
      </c>
      <c r="AW217" s="3470" t="s">
        <v>3572</v>
      </c>
      <c r="AY217" s="3441">
        <v>263926</v>
      </c>
      <c r="AZ217" s="3470" t="s">
        <v>3751</v>
      </c>
      <c r="BA217" s="3441" t="s">
        <v>3781</v>
      </c>
      <c r="BB217" s="3441" t="s">
        <v>3803</v>
      </c>
      <c r="BC217" s="3524" t="s">
        <v>3782</v>
      </c>
      <c r="BD217" s="3441">
        <v>102488</v>
      </c>
      <c r="BE217" s="3525">
        <v>63023627</v>
      </c>
      <c r="BF217" s="3520">
        <v>2.8</v>
      </c>
      <c r="BG217" s="3518">
        <v>37643</v>
      </c>
      <c r="BH217" s="3518"/>
      <c r="BI217" s="3441" t="s">
        <v>3700</v>
      </c>
      <c r="BJ217" s="3484">
        <v>37664</v>
      </c>
      <c r="BK217" s="3518"/>
      <c r="BL217" s="3441" t="s">
        <v>3594</v>
      </c>
      <c r="BS217" s="3470"/>
      <c r="BT217" s="3470"/>
      <c r="BU217" s="3470"/>
    </row>
    <row r="218" spans="1:73" s="3441" customFormat="1" ht="12" hidden="1">
      <c r="A218" s="3485" t="s">
        <v>5352</v>
      </c>
      <c r="B218" s="3470" t="s">
        <v>5353</v>
      </c>
      <c r="C218" s="3481" t="s">
        <v>5354</v>
      </c>
      <c r="D218" s="3481" t="s">
        <v>5355</v>
      </c>
      <c r="E218" s="3470" t="s">
        <v>3538</v>
      </c>
      <c r="F218" s="3470" t="s">
        <v>3823</v>
      </c>
      <c r="G218" s="3470"/>
      <c r="H218" s="3470" t="s">
        <v>3749</v>
      </c>
      <c r="I218" s="3470"/>
      <c r="J218" s="3481" t="s">
        <v>5356</v>
      </c>
      <c r="K218" s="3470" t="s">
        <v>3751</v>
      </c>
      <c r="L218" s="3470">
        <v>108.37</v>
      </c>
      <c r="M218" s="3470">
        <v>13</v>
      </c>
      <c r="N218" s="3470" t="s">
        <v>3778</v>
      </c>
      <c r="O218" s="3470">
        <v>89.39</v>
      </c>
      <c r="P218" s="3470" t="s">
        <v>3452</v>
      </c>
      <c r="Q218" s="3457">
        <v>421559.30000000005</v>
      </c>
      <c r="R218" s="3470">
        <v>3890</v>
      </c>
      <c r="S218" s="3472">
        <v>41.7</v>
      </c>
      <c r="T218" s="3527">
        <v>417000</v>
      </c>
      <c r="U218" s="3470">
        <v>3848</v>
      </c>
      <c r="V218" s="3474">
        <v>0.1</v>
      </c>
      <c r="W218" s="3475">
        <v>37.53</v>
      </c>
      <c r="X218" s="3494">
        <v>375300</v>
      </c>
      <c r="Y218" s="3441">
        <v>2003</v>
      </c>
      <c r="Z218" s="3441">
        <v>2</v>
      </c>
      <c r="AA218" s="3470">
        <v>14</v>
      </c>
      <c r="AB218" s="3477">
        <v>1665</v>
      </c>
      <c r="AC218" s="3470" t="s">
        <v>3634</v>
      </c>
      <c r="AD218" s="3485"/>
      <c r="AE218" s="3441" t="s">
        <v>3663</v>
      </c>
      <c r="AF218" s="3470" t="s">
        <v>3799</v>
      </c>
      <c r="AG218" s="3522" t="s">
        <v>3466</v>
      </c>
      <c r="AH218" s="3485"/>
      <c r="AI218" s="3470" t="s">
        <v>3679</v>
      </c>
      <c r="AJ218" s="3523">
        <v>38138</v>
      </c>
      <c r="AK218" s="3500">
        <v>2</v>
      </c>
      <c r="AL218" s="3441">
        <v>67641700</v>
      </c>
      <c r="AN218" s="3441" t="s">
        <v>3468</v>
      </c>
      <c r="AO218" s="3470" t="s">
        <v>5357</v>
      </c>
      <c r="AP218" s="3441" t="s">
        <v>3476</v>
      </c>
      <c r="AQ218" s="3441" t="s">
        <v>3571</v>
      </c>
      <c r="AV218" s="3441" t="s">
        <v>3568</v>
      </c>
      <c r="AW218" s="3441" t="s">
        <v>3572</v>
      </c>
      <c r="AY218" s="3524" t="s">
        <v>5358</v>
      </c>
      <c r="AZ218" s="3441" t="s">
        <v>3793</v>
      </c>
      <c r="BA218" s="3441" t="s">
        <v>3781</v>
      </c>
      <c r="BB218" s="3524" t="s">
        <v>3771</v>
      </c>
      <c r="BC218" s="3441" t="s">
        <v>3772</v>
      </c>
      <c r="BD218" s="3525">
        <v>102483</v>
      </c>
      <c r="BE218" s="3441">
        <v>63023627</v>
      </c>
      <c r="BF218" s="3526">
        <v>2.8</v>
      </c>
      <c r="BG218" s="3518">
        <v>37641</v>
      </c>
      <c r="BH218" s="3470" t="s">
        <v>3783</v>
      </c>
      <c r="BI218" s="3441" t="s">
        <v>3476</v>
      </c>
      <c r="BJ218" s="3518">
        <v>37662</v>
      </c>
      <c r="BK218" s="3484"/>
      <c r="BL218" s="3441" t="s">
        <v>3670</v>
      </c>
      <c r="BS218" s="3470"/>
      <c r="BT218" s="3470"/>
      <c r="BU218" s="3470"/>
    </row>
    <row r="219" spans="1:73" s="3441" customFormat="1" ht="12" hidden="1">
      <c r="A219" s="3485" t="s">
        <v>5359</v>
      </c>
      <c r="B219" s="3470" t="s">
        <v>5360</v>
      </c>
      <c r="C219" s="3481" t="s">
        <v>5361</v>
      </c>
      <c r="D219" s="3481" t="s">
        <v>5362</v>
      </c>
      <c r="E219" s="3470" t="s">
        <v>2736</v>
      </c>
      <c r="F219" s="3470" t="s">
        <v>3748</v>
      </c>
      <c r="G219" s="3470"/>
      <c r="H219" s="3470" t="s">
        <v>3837</v>
      </c>
      <c r="I219" s="3470"/>
      <c r="J219" s="3481" t="s">
        <v>5363</v>
      </c>
      <c r="K219" s="3470" t="s">
        <v>3766</v>
      </c>
      <c r="L219" s="3470">
        <v>114.55</v>
      </c>
      <c r="M219" s="3470">
        <v>18</v>
      </c>
      <c r="N219" s="3470" t="s">
        <v>3872</v>
      </c>
      <c r="O219" s="3470">
        <v>92.86</v>
      </c>
      <c r="P219" s="3470" t="s">
        <v>3452</v>
      </c>
      <c r="Q219" s="3457">
        <v>493710.5</v>
      </c>
      <c r="R219" s="3470">
        <v>4310</v>
      </c>
      <c r="S219" s="3472">
        <v>48.79</v>
      </c>
      <c r="T219" s="3527">
        <v>487900</v>
      </c>
      <c r="U219" s="3470">
        <v>4260</v>
      </c>
      <c r="V219" s="3474">
        <v>0.1</v>
      </c>
      <c r="W219" s="3475">
        <v>43.91</v>
      </c>
      <c r="X219" s="3494">
        <v>439099.99999999994</v>
      </c>
      <c r="Y219" s="3441">
        <v>2003</v>
      </c>
      <c r="Z219" s="3441">
        <v>2</v>
      </c>
      <c r="AA219" s="3470">
        <v>17</v>
      </c>
      <c r="AB219" s="3477">
        <v>1950</v>
      </c>
      <c r="AC219" s="3470" t="s">
        <v>3798</v>
      </c>
      <c r="AD219" s="3485"/>
      <c r="AE219" s="3441" t="s">
        <v>3663</v>
      </c>
      <c r="AF219" s="3470" t="s">
        <v>3799</v>
      </c>
      <c r="AG219" s="3522" t="s">
        <v>3466</v>
      </c>
      <c r="AH219" s="3485"/>
      <c r="AI219" s="3470" t="s">
        <v>3679</v>
      </c>
      <c r="AJ219" s="3523">
        <v>38138</v>
      </c>
      <c r="AK219" s="3500">
        <v>2</v>
      </c>
      <c r="AL219" s="3441">
        <v>67641700</v>
      </c>
      <c r="AN219" s="3441" t="s">
        <v>3482</v>
      </c>
      <c r="AO219" s="3470" t="s">
        <v>5364</v>
      </c>
      <c r="AP219" s="3441" t="s">
        <v>3476</v>
      </c>
      <c r="AQ219" s="3441" t="s">
        <v>3571</v>
      </c>
      <c r="AV219" s="3441" t="s">
        <v>3568</v>
      </c>
      <c r="AW219" s="3441" t="s">
        <v>3572</v>
      </c>
      <c r="AY219" s="3524" t="s">
        <v>5365</v>
      </c>
      <c r="AZ219" s="3441" t="s">
        <v>3751</v>
      </c>
      <c r="BA219" s="3441" t="s">
        <v>3770</v>
      </c>
      <c r="BB219" s="3524" t="s">
        <v>3771</v>
      </c>
      <c r="BC219" s="3441" t="s">
        <v>3772</v>
      </c>
      <c r="BD219" s="3525">
        <v>102483</v>
      </c>
      <c r="BE219" s="3441">
        <v>63023627</v>
      </c>
      <c r="BF219" s="3526">
        <v>2.8</v>
      </c>
      <c r="BG219" s="3518">
        <v>37641</v>
      </c>
      <c r="BH219" s="3470" t="s">
        <v>3758</v>
      </c>
      <c r="BI219" s="3441" t="s">
        <v>3476</v>
      </c>
      <c r="BJ219" s="3518">
        <v>37666</v>
      </c>
      <c r="BK219" s="3484"/>
      <c r="BL219" s="3441" t="s">
        <v>3670</v>
      </c>
      <c r="BS219" s="3470"/>
      <c r="BT219" s="3470"/>
      <c r="BU219" s="3470"/>
    </row>
    <row r="220" spans="1:73" s="3441" customFormat="1" ht="12" hidden="1">
      <c r="A220" s="3485" t="s">
        <v>5366</v>
      </c>
      <c r="B220" s="3470" t="s">
        <v>5367</v>
      </c>
      <c r="C220" s="3481" t="s">
        <v>5368</v>
      </c>
      <c r="D220" s="3481" t="s">
        <v>5369</v>
      </c>
      <c r="E220" s="3470" t="s">
        <v>2736</v>
      </c>
      <c r="F220" s="3470" t="s">
        <v>3748</v>
      </c>
      <c r="G220" s="3470"/>
      <c r="H220" s="3470" t="s">
        <v>3837</v>
      </c>
      <c r="I220" s="3470"/>
      <c r="J220" s="3481" t="s">
        <v>5370</v>
      </c>
      <c r="K220" s="3470" t="s">
        <v>3766</v>
      </c>
      <c r="L220" s="3470">
        <v>150.79</v>
      </c>
      <c r="M220" s="3470">
        <v>16</v>
      </c>
      <c r="N220" s="3470" t="s">
        <v>3816</v>
      </c>
      <c r="O220" s="3470">
        <v>122.24</v>
      </c>
      <c r="P220" s="3470" t="s">
        <v>3452</v>
      </c>
      <c r="Q220" s="3457">
        <v>639349.6</v>
      </c>
      <c r="R220" s="3470">
        <v>4240</v>
      </c>
      <c r="S220" s="3472">
        <v>63.18</v>
      </c>
      <c r="T220" s="3527">
        <v>631800</v>
      </c>
      <c r="U220" s="3470">
        <v>4190</v>
      </c>
      <c r="V220" s="3474">
        <v>0.1</v>
      </c>
      <c r="W220" s="3475">
        <v>56.86</v>
      </c>
      <c r="X220" s="3494">
        <v>568600</v>
      </c>
      <c r="Y220" s="3441">
        <v>2003</v>
      </c>
      <c r="Z220" s="3441">
        <v>2</v>
      </c>
      <c r="AA220" s="3470">
        <v>17</v>
      </c>
      <c r="AB220" s="3477">
        <v>2525</v>
      </c>
      <c r="AC220" s="3470" t="s">
        <v>3798</v>
      </c>
      <c r="AD220" s="3485"/>
      <c r="AE220" s="3441" t="s">
        <v>3663</v>
      </c>
      <c r="AF220" s="3470" t="s">
        <v>3752</v>
      </c>
      <c r="AG220" s="3522" t="s">
        <v>3466</v>
      </c>
      <c r="AH220" s="3485"/>
      <c r="AI220" s="3470" t="s">
        <v>3679</v>
      </c>
      <c r="AJ220" s="3523">
        <v>38138</v>
      </c>
      <c r="AK220" s="3500">
        <v>2</v>
      </c>
      <c r="AL220" s="3441">
        <v>67641700</v>
      </c>
      <c r="AN220" s="3441" t="s">
        <v>3649</v>
      </c>
      <c r="AO220" s="3470" t="s">
        <v>5371</v>
      </c>
      <c r="AP220" s="3441" t="s">
        <v>3476</v>
      </c>
      <c r="AQ220" s="3441" t="s">
        <v>3571</v>
      </c>
      <c r="AV220" s="3441" t="s">
        <v>3568</v>
      </c>
      <c r="AW220" s="3441" t="s">
        <v>3572</v>
      </c>
      <c r="AY220" s="3524" t="s">
        <v>5372</v>
      </c>
      <c r="AZ220" s="3441" t="s">
        <v>3751</v>
      </c>
      <c r="BA220" s="3441" t="s">
        <v>3770</v>
      </c>
      <c r="BB220" s="3524" t="s">
        <v>3756</v>
      </c>
      <c r="BC220" s="3441" t="s">
        <v>3757</v>
      </c>
      <c r="BD220" s="3525">
        <v>102483</v>
      </c>
      <c r="BE220" s="3441">
        <v>63023627</v>
      </c>
      <c r="BF220" s="3526">
        <v>2.8</v>
      </c>
      <c r="BG220" s="3518">
        <v>37643</v>
      </c>
      <c r="BH220" s="3470" t="s">
        <v>3783</v>
      </c>
      <c r="BI220" s="3441" t="s">
        <v>3476</v>
      </c>
      <c r="BJ220" s="3518">
        <v>37666</v>
      </c>
      <c r="BK220" s="3484"/>
      <c r="BL220" s="3441" t="s">
        <v>3670</v>
      </c>
      <c r="BS220" s="3470"/>
      <c r="BT220" s="3470"/>
      <c r="BU220" s="3470"/>
    </row>
    <row r="221" spans="1:73" s="3441" customFormat="1" ht="12" hidden="1">
      <c r="A221" s="3485" t="s">
        <v>5373</v>
      </c>
      <c r="B221" s="3470" t="s">
        <v>5374</v>
      </c>
      <c r="C221" s="3481" t="s">
        <v>5375</v>
      </c>
      <c r="D221" s="3481" t="s">
        <v>5376</v>
      </c>
      <c r="E221" s="3470" t="s">
        <v>3538</v>
      </c>
      <c r="F221" s="3470" t="s">
        <v>3748</v>
      </c>
      <c r="G221" s="3470"/>
      <c r="H221" s="3470" t="s">
        <v>3837</v>
      </c>
      <c r="I221" s="3470"/>
      <c r="J221" s="3481" t="s">
        <v>5377</v>
      </c>
      <c r="K221" s="3470" t="s">
        <v>3793</v>
      </c>
      <c r="L221" s="3470">
        <v>64.98</v>
      </c>
      <c r="M221" s="3470">
        <v>20</v>
      </c>
      <c r="N221" s="3470" t="s">
        <v>3790</v>
      </c>
      <c r="O221" s="3470">
        <v>52.68</v>
      </c>
      <c r="P221" s="3470" t="s">
        <v>3452</v>
      </c>
      <c r="Q221" s="3457">
        <v>233928</v>
      </c>
      <c r="R221" s="3470">
        <v>3600</v>
      </c>
      <c r="S221" s="3472">
        <v>23.09</v>
      </c>
      <c r="T221" s="3527">
        <v>230900</v>
      </c>
      <c r="U221" s="3470">
        <v>3554</v>
      </c>
      <c r="V221" s="3474">
        <v>0.1</v>
      </c>
      <c r="W221" s="3475">
        <v>20.78</v>
      </c>
      <c r="X221" s="3494">
        <v>207800</v>
      </c>
      <c r="Y221" s="3441">
        <v>2003</v>
      </c>
      <c r="Z221" s="3441">
        <v>2</v>
      </c>
      <c r="AA221" s="3470">
        <v>17</v>
      </c>
      <c r="AB221" s="3477">
        <v>920</v>
      </c>
      <c r="AC221" s="3470" t="s">
        <v>3648</v>
      </c>
      <c r="AD221" s="3485"/>
      <c r="AE221" s="3441" t="s">
        <v>3663</v>
      </c>
      <c r="AF221" s="3470" t="s">
        <v>3810</v>
      </c>
      <c r="AG221" s="3522" t="s">
        <v>3466</v>
      </c>
      <c r="AH221" s="3485"/>
      <c r="AI221" s="3470" t="s">
        <v>3679</v>
      </c>
      <c r="AJ221" s="3523">
        <v>38138</v>
      </c>
      <c r="AK221" s="3500">
        <v>2</v>
      </c>
      <c r="AL221" s="3441">
        <v>67641700</v>
      </c>
      <c r="AN221" s="3441" t="s">
        <v>3649</v>
      </c>
      <c r="AO221" s="3470" t="s">
        <v>5378</v>
      </c>
      <c r="AP221" s="3441" t="s">
        <v>3476</v>
      </c>
      <c r="AQ221" s="3441" t="s">
        <v>3571</v>
      </c>
      <c r="AV221" s="3441" t="s">
        <v>3568</v>
      </c>
      <c r="AW221" s="3441" t="s">
        <v>3572</v>
      </c>
      <c r="AY221" s="3524" t="s">
        <v>5379</v>
      </c>
      <c r="AZ221" s="3441" t="s">
        <v>3766</v>
      </c>
      <c r="BA221" s="3441" t="s">
        <v>3755</v>
      </c>
      <c r="BB221" s="3524" t="s">
        <v>3756</v>
      </c>
      <c r="BC221" s="3441" t="s">
        <v>3772</v>
      </c>
      <c r="BD221" s="3525">
        <v>102483</v>
      </c>
      <c r="BE221" s="3441">
        <v>63023627</v>
      </c>
      <c r="BF221" s="3526">
        <v>2.8</v>
      </c>
      <c r="BG221" s="3518">
        <v>37641</v>
      </c>
      <c r="BH221" s="3470" t="s">
        <v>3758</v>
      </c>
      <c r="BI221" s="3441" t="s">
        <v>3476</v>
      </c>
      <c r="BJ221" s="3518">
        <v>37666</v>
      </c>
      <c r="BK221" s="3484"/>
      <c r="BL221" s="3441" t="s">
        <v>3670</v>
      </c>
      <c r="BS221" s="3470"/>
      <c r="BT221" s="3470"/>
      <c r="BU221" s="3470"/>
    </row>
    <row r="222" spans="1:73" s="3441" customFormat="1" ht="12" hidden="1">
      <c r="A222" s="3485" t="s">
        <v>5380</v>
      </c>
      <c r="B222" s="3470" t="s">
        <v>5381</v>
      </c>
      <c r="C222" s="3481" t="s">
        <v>5382</v>
      </c>
      <c r="D222" s="3481" t="s">
        <v>5383</v>
      </c>
      <c r="E222" s="3470" t="s">
        <v>2736</v>
      </c>
      <c r="F222" s="3470" t="s">
        <v>3808</v>
      </c>
      <c r="G222" s="3470"/>
      <c r="H222" s="3470" t="s">
        <v>3837</v>
      </c>
      <c r="I222" s="3470"/>
      <c r="J222" s="3481" t="s">
        <v>4485</v>
      </c>
      <c r="K222" s="3470" t="s">
        <v>3751</v>
      </c>
      <c r="L222" s="3470">
        <v>64.98</v>
      </c>
      <c r="M222" s="3470">
        <v>9</v>
      </c>
      <c r="N222" s="3470" t="s">
        <v>3584</v>
      </c>
      <c r="O222" s="3470">
        <v>52.68</v>
      </c>
      <c r="P222" s="3470" t="s">
        <v>3452</v>
      </c>
      <c r="Q222" s="3457">
        <v>225480.6</v>
      </c>
      <c r="R222" s="3470">
        <v>3470</v>
      </c>
      <c r="S222" s="3472">
        <v>22.24</v>
      </c>
      <c r="T222" s="3527">
        <v>222399.99999999997</v>
      </c>
      <c r="U222" s="3470">
        <v>3424</v>
      </c>
      <c r="V222" s="3474">
        <v>0.1</v>
      </c>
      <c r="W222" s="3475">
        <v>20.010000000000002</v>
      </c>
      <c r="X222" s="3494">
        <v>200100.00000000003</v>
      </c>
      <c r="Y222" s="3441">
        <v>2003</v>
      </c>
      <c r="Z222" s="3441">
        <v>2</v>
      </c>
      <c r="AA222" s="3470">
        <v>17</v>
      </c>
      <c r="AB222" s="3477">
        <v>885</v>
      </c>
      <c r="AC222" s="3470" t="s">
        <v>3798</v>
      </c>
      <c r="AD222" s="3485"/>
      <c r="AE222" s="3441" t="s">
        <v>3663</v>
      </c>
      <c r="AF222" s="3470" t="s">
        <v>3752</v>
      </c>
      <c r="AG222" s="3522" t="s">
        <v>3466</v>
      </c>
      <c r="AH222" s="3485"/>
      <c r="AI222" s="3470" t="s">
        <v>3679</v>
      </c>
      <c r="AJ222" s="3523">
        <v>38138</v>
      </c>
      <c r="AK222" s="3500">
        <v>2</v>
      </c>
      <c r="AL222" s="3441">
        <v>67641700</v>
      </c>
      <c r="AN222" s="3441" t="s">
        <v>3482</v>
      </c>
      <c r="AO222" s="3470" t="s">
        <v>5384</v>
      </c>
      <c r="AP222" s="3441" t="s">
        <v>3476</v>
      </c>
      <c r="AQ222" s="3441" t="s">
        <v>3571</v>
      </c>
      <c r="AV222" s="3441" t="s">
        <v>3568</v>
      </c>
      <c r="AW222" s="3441" t="s">
        <v>3572</v>
      </c>
      <c r="AY222" s="3524" t="s">
        <v>5385</v>
      </c>
      <c r="AZ222" s="3441" t="s">
        <v>3751</v>
      </c>
      <c r="BA222" s="3441" t="s">
        <v>3781</v>
      </c>
      <c r="BB222" s="3524" t="s">
        <v>3771</v>
      </c>
      <c r="BC222" s="3441" t="s">
        <v>3772</v>
      </c>
      <c r="BD222" s="3525">
        <v>102483</v>
      </c>
      <c r="BE222" s="3441">
        <v>63023627</v>
      </c>
      <c r="BF222" s="3526">
        <v>2.8</v>
      </c>
      <c r="BG222" s="3518">
        <v>37638</v>
      </c>
      <c r="BH222" s="3470" t="s">
        <v>3437</v>
      </c>
      <c r="BI222" s="3441" t="s">
        <v>3476</v>
      </c>
      <c r="BJ222" s="3518">
        <v>37666</v>
      </c>
      <c r="BK222" s="3484"/>
      <c r="BL222" s="3441" t="s">
        <v>3670</v>
      </c>
      <c r="BS222" s="3470"/>
      <c r="BT222" s="3470"/>
      <c r="BU222" s="3470"/>
    </row>
    <row r="223" spans="1:73" s="3441" customFormat="1" ht="12" hidden="1">
      <c r="A223" s="3485" t="s">
        <v>5386</v>
      </c>
      <c r="B223" s="3470" t="s">
        <v>5387</v>
      </c>
      <c r="C223" s="3481" t="s">
        <v>5388</v>
      </c>
      <c r="D223" s="3481" t="s">
        <v>5389</v>
      </c>
      <c r="E223" s="3470" t="s">
        <v>3763</v>
      </c>
      <c r="F223" s="3470" t="s">
        <v>3808</v>
      </c>
      <c r="G223" s="3470"/>
      <c r="H223" s="3470" t="s">
        <v>3749</v>
      </c>
      <c r="I223" s="3470"/>
      <c r="J223" s="3481" t="s">
        <v>5390</v>
      </c>
      <c r="K223" s="3470" t="s">
        <v>3751</v>
      </c>
      <c r="L223" s="3470">
        <v>98.32</v>
      </c>
      <c r="M223" s="3470">
        <v>19</v>
      </c>
      <c r="N223" s="3470" t="s">
        <v>3451</v>
      </c>
      <c r="O223" s="3470">
        <v>81.099999999999994</v>
      </c>
      <c r="P223" s="3470" t="s">
        <v>3452</v>
      </c>
      <c r="Q223" s="3457">
        <v>370666.39999999997</v>
      </c>
      <c r="R223" s="3470">
        <v>3770</v>
      </c>
      <c r="S223" s="3472">
        <v>36.6</v>
      </c>
      <c r="T223" s="3527">
        <v>366000</v>
      </c>
      <c r="U223" s="3470">
        <v>3723</v>
      </c>
      <c r="V223" s="3474">
        <v>0.1</v>
      </c>
      <c r="W223" s="3475">
        <v>32.94</v>
      </c>
      <c r="X223" s="3494">
        <v>329400</v>
      </c>
      <c r="Y223" s="3441">
        <v>2003</v>
      </c>
      <c r="Z223" s="3441">
        <v>2</v>
      </c>
      <c r="AA223" s="3470">
        <v>17</v>
      </c>
      <c r="AB223" s="3477">
        <v>1460</v>
      </c>
      <c r="AC223" s="3470" t="s">
        <v>3634</v>
      </c>
      <c r="AD223" s="3485"/>
      <c r="AE223" s="3441" t="s">
        <v>3663</v>
      </c>
      <c r="AF223" s="3470" t="s">
        <v>3752</v>
      </c>
      <c r="AG223" s="3522" t="s">
        <v>3466</v>
      </c>
      <c r="AH223" s="3485"/>
      <c r="AI223" s="3470" t="s">
        <v>3679</v>
      </c>
      <c r="AJ223" s="3523">
        <v>38138</v>
      </c>
      <c r="AK223" s="3500">
        <v>2</v>
      </c>
      <c r="AL223" s="3441">
        <v>67641700</v>
      </c>
      <c r="AN223" s="3441" t="s">
        <v>3482</v>
      </c>
      <c r="AO223" s="3470" t="s">
        <v>5391</v>
      </c>
      <c r="AP223" s="3441" t="s">
        <v>3476</v>
      </c>
      <c r="AQ223" s="3441" t="s">
        <v>3571</v>
      </c>
      <c r="AV223" s="3441" t="s">
        <v>3568</v>
      </c>
      <c r="AW223" s="3441" t="s">
        <v>3572</v>
      </c>
      <c r="AY223" s="3524" t="s">
        <v>5392</v>
      </c>
      <c r="AZ223" s="3441" t="s">
        <v>3751</v>
      </c>
      <c r="BA223" s="3441" t="s">
        <v>3770</v>
      </c>
      <c r="BB223" s="3524" t="s">
        <v>3771</v>
      </c>
      <c r="BC223" s="3441" t="s">
        <v>3782</v>
      </c>
      <c r="BD223" s="3525">
        <v>102483</v>
      </c>
      <c r="BE223" s="3441">
        <v>63023627</v>
      </c>
      <c r="BF223" s="3526">
        <v>2.8</v>
      </c>
      <c r="BG223" s="3518">
        <v>37642</v>
      </c>
      <c r="BH223" s="3470" t="s">
        <v>3437</v>
      </c>
      <c r="BI223" s="3441" t="s">
        <v>3476</v>
      </c>
      <c r="BJ223" s="3518">
        <v>37666</v>
      </c>
      <c r="BK223" s="3484"/>
      <c r="BL223" s="3441" t="s">
        <v>3670</v>
      </c>
      <c r="BS223" s="3470"/>
      <c r="BT223" s="3470"/>
      <c r="BU223" s="3470"/>
    </row>
    <row r="224" spans="1:73" s="3470" customFormat="1" ht="12" hidden="1">
      <c r="A224" s="3470" t="s">
        <v>5393</v>
      </c>
      <c r="B224" s="3470" t="s">
        <v>5394</v>
      </c>
      <c r="C224" s="3481" t="s">
        <v>5395</v>
      </c>
      <c r="D224" s="3470">
        <v>62484224</v>
      </c>
      <c r="E224" s="3470" t="s">
        <v>2736</v>
      </c>
      <c r="F224" s="3470" t="s">
        <v>3748</v>
      </c>
      <c r="H224" s="3470" t="s">
        <v>3879</v>
      </c>
      <c r="J224" s="3470" t="s">
        <v>5396</v>
      </c>
      <c r="K224" s="3470" t="s">
        <v>3751</v>
      </c>
      <c r="L224" s="3470">
        <v>108.37</v>
      </c>
      <c r="M224" s="3470">
        <v>15</v>
      </c>
      <c r="N224" s="3470" t="s">
        <v>3778</v>
      </c>
      <c r="O224" s="3470">
        <v>89.39</v>
      </c>
      <c r="P224" s="3470" t="s">
        <v>3452</v>
      </c>
      <c r="Q224" s="3457">
        <v>423726.7</v>
      </c>
      <c r="R224" s="3470">
        <v>3910</v>
      </c>
      <c r="S224" s="3472">
        <v>41.85</v>
      </c>
      <c r="T224" s="3527">
        <v>418500</v>
      </c>
      <c r="U224" s="3470">
        <v>3862</v>
      </c>
      <c r="V224" s="3474">
        <v>0.1</v>
      </c>
      <c r="W224" s="3475">
        <v>37.659999999999997</v>
      </c>
      <c r="X224" s="3494">
        <v>376599.99999999994</v>
      </c>
      <c r="Y224" s="3441">
        <v>2003</v>
      </c>
      <c r="Z224" s="3441">
        <v>2</v>
      </c>
      <c r="AA224" s="3470">
        <v>14</v>
      </c>
      <c r="AB224" s="3477">
        <v>1670</v>
      </c>
      <c r="AC224" s="3470" t="s">
        <v>3798</v>
      </c>
      <c r="AE224" s="3470" t="s">
        <v>3663</v>
      </c>
      <c r="AF224" s="3470" t="s">
        <v>3752</v>
      </c>
      <c r="AG224" s="3470" t="s">
        <v>3466</v>
      </c>
      <c r="AI224" s="3470" t="s">
        <v>3679</v>
      </c>
      <c r="AJ224" s="3478">
        <v>38138</v>
      </c>
      <c r="AK224" s="3500">
        <v>2</v>
      </c>
      <c r="AL224" s="3470">
        <v>67641700</v>
      </c>
      <c r="AN224" s="3441" t="s">
        <v>3791</v>
      </c>
      <c r="AO224" s="3470" t="s">
        <v>5397</v>
      </c>
      <c r="AP224" s="3470" t="s">
        <v>3476</v>
      </c>
      <c r="AQ224" s="3470" t="s">
        <v>3571</v>
      </c>
      <c r="AV224" s="3470" t="s">
        <v>3568</v>
      </c>
      <c r="AW224" s="3470" t="s">
        <v>3572</v>
      </c>
      <c r="AY224" s="3481" t="s">
        <v>5398</v>
      </c>
      <c r="AZ224" s="3470" t="s">
        <v>3751</v>
      </c>
      <c r="BA224" s="3470" t="s">
        <v>3781</v>
      </c>
      <c r="BB224" s="3481" t="s">
        <v>3771</v>
      </c>
      <c r="BC224" s="3470" t="s">
        <v>3772</v>
      </c>
      <c r="BD224" s="3482">
        <v>102488</v>
      </c>
      <c r="BE224" s="3470">
        <v>63023627</v>
      </c>
      <c r="BF224" s="3483">
        <v>2.8</v>
      </c>
      <c r="BG224" s="3478">
        <v>37643</v>
      </c>
      <c r="BH224" s="3470" t="s">
        <v>3783</v>
      </c>
      <c r="BI224" s="3441" t="s">
        <v>3476</v>
      </c>
      <c r="BJ224" s="3518">
        <v>37664</v>
      </c>
      <c r="BK224" s="3478"/>
      <c r="BL224" s="3441" t="s">
        <v>3670</v>
      </c>
      <c r="BM224" s="3441"/>
      <c r="BN224" s="3441"/>
      <c r="BO224" s="3441"/>
      <c r="BP224" s="3441"/>
      <c r="BQ224" s="3441"/>
      <c r="BR224" s="3441"/>
    </row>
    <row r="225" spans="1:253" s="3470" customFormat="1" ht="12" hidden="1">
      <c r="A225" s="3485" t="s">
        <v>5399</v>
      </c>
      <c r="B225" s="3470" t="s">
        <v>5400</v>
      </c>
      <c r="C225" s="3481" t="s">
        <v>5401</v>
      </c>
      <c r="D225" s="3470">
        <v>13683527615</v>
      </c>
      <c r="E225" s="3470" t="s">
        <v>3763</v>
      </c>
      <c r="F225" s="3470" t="s">
        <v>3748</v>
      </c>
      <c r="H225" s="3470" t="s">
        <v>3837</v>
      </c>
      <c r="J225" s="3470" t="s">
        <v>5402</v>
      </c>
      <c r="K225" s="3470" t="s">
        <v>3751</v>
      </c>
      <c r="L225" s="3470">
        <v>140.69999999999999</v>
      </c>
      <c r="M225" s="3470">
        <v>14</v>
      </c>
      <c r="N225" s="3470" t="s">
        <v>3488</v>
      </c>
      <c r="O225" s="3470">
        <v>114.06</v>
      </c>
      <c r="P225" s="3470" t="s">
        <v>3452</v>
      </c>
      <c r="Q225" s="3457">
        <v>548730</v>
      </c>
      <c r="R225" s="3470">
        <v>3900</v>
      </c>
      <c r="S225" s="3472">
        <v>54.19</v>
      </c>
      <c r="T225" s="3527">
        <v>541900</v>
      </c>
      <c r="U225" s="3470">
        <v>3852</v>
      </c>
      <c r="V225" s="3474">
        <v>0.1</v>
      </c>
      <c r="W225" s="3475">
        <v>48.77</v>
      </c>
      <c r="X225" s="3494">
        <v>487700.00000000006</v>
      </c>
      <c r="Y225" s="3441">
        <v>2003</v>
      </c>
      <c r="Z225" s="3441">
        <v>2</v>
      </c>
      <c r="AA225" s="3470">
        <v>19</v>
      </c>
      <c r="AB225" s="3477">
        <v>2165</v>
      </c>
      <c r="AC225" s="3470" t="s">
        <v>3634</v>
      </c>
      <c r="AE225" s="3470" t="s">
        <v>3663</v>
      </c>
      <c r="AF225" s="3470" t="s">
        <v>3799</v>
      </c>
      <c r="AG225" s="3470" t="s">
        <v>3466</v>
      </c>
      <c r="AI225" s="3470" t="s">
        <v>3679</v>
      </c>
      <c r="AJ225" s="3478">
        <v>38138</v>
      </c>
      <c r="AK225" s="3500">
        <v>2</v>
      </c>
      <c r="AL225" s="3470">
        <v>67641700</v>
      </c>
      <c r="AN225" s="3441" t="s">
        <v>4210</v>
      </c>
      <c r="AO225" s="3470" t="s">
        <v>5403</v>
      </c>
      <c r="AP225" s="3470" t="s">
        <v>3476</v>
      </c>
      <c r="AQ225" s="3470" t="s">
        <v>3571</v>
      </c>
      <c r="AV225" s="3470" t="s">
        <v>3568</v>
      </c>
      <c r="AW225" s="3470" t="s">
        <v>3572</v>
      </c>
      <c r="AY225" s="3481" t="s">
        <v>5404</v>
      </c>
      <c r="AZ225" s="3470" t="s">
        <v>3751</v>
      </c>
      <c r="BA225" s="3470" t="s">
        <v>3755</v>
      </c>
      <c r="BB225" s="3481" t="s">
        <v>3756</v>
      </c>
      <c r="BC225" s="3470" t="s">
        <v>3757</v>
      </c>
      <c r="BD225" s="3482">
        <v>102488</v>
      </c>
      <c r="BE225" s="3470">
        <v>63023627</v>
      </c>
      <c r="BF225" s="3483">
        <v>2.8</v>
      </c>
      <c r="BG225" s="3478">
        <v>37640</v>
      </c>
      <c r="BH225" s="3470" t="s">
        <v>3437</v>
      </c>
      <c r="BI225" s="3441" t="s">
        <v>3476</v>
      </c>
      <c r="BJ225" s="3518">
        <v>37665</v>
      </c>
      <c r="BK225" s="3478"/>
      <c r="BL225" s="3441" t="s">
        <v>3670</v>
      </c>
      <c r="BM225" s="3441"/>
      <c r="BN225" s="3441"/>
      <c r="BO225" s="3441"/>
      <c r="BP225" s="3441"/>
      <c r="BQ225" s="3441"/>
      <c r="BR225" s="3441"/>
    </row>
    <row r="226" spans="1:253" s="3441" customFormat="1" ht="12" hidden="1">
      <c r="A226" s="3470" t="s">
        <v>5405</v>
      </c>
      <c r="B226" s="3470" t="s">
        <v>5406</v>
      </c>
      <c r="C226" s="3481" t="s">
        <v>5407</v>
      </c>
      <c r="D226" s="3481" t="s">
        <v>5408</v>
      </c>
      <c r="E226" s="3470" t="s">
        <v>3558</v>
      </c>
      <c r="F226" s="3528" t="s">
        <v>3951</v>
      </c>
      <c r="G226" s="3470"/>
      <c r="H226" s="3470" t="s">
        <v>5409</v>
      </c>
      <c r="I226" s="3470" t="s">
        <v>4441</v>
      </c>
      <c r="J226" s="3481" t="s">
        <v>5410</v>
      </c>
      <c r="K226" s="3470" t="s">
        <v>3955</v>
      </c>
      <c r="L226" s="3470">
        <v>96.94</v>
      </c>
      <c r="M226" s="3470">
        <v>11</v>
      </c>
      <c r="N226" s="3470" t="s">
        <v>4871</v>
      </c>
      <c r="O226" s="3470">
        <v>80.23</v>
      </c>
      <c r="P226" s="3470" t="s">
        <v>3452</v>
      </c>
      <c r="Q226" s="3457">
        <v>440805.56799999997</v>
      </c>
      <c r="R226" s="3470">
        <v>4547.2</v>
      </c>
      <c r="S226" s="3472">
        <v>43.65</v>
      </c>
      <c r="T226" s="3473">
        <v>436500</v>
      </c>
      <c r="U226" s="3470">
        <v>4503</v>
      </c>
      <c r="V226" s="3474">
        <v>0.1</v>
      </c>
      <c r="W226" s="3475">
        <v>39.28</v>
      </c>
      <c r="X226" s="3476">
        <v>392800</v>
      </c>
      <c r="Y226" s="3441">
        <v>2003</v>
      </c>
      <c r="Z226" s="3441">
        <v>1</v>
      </c>
      <c r="AA226" s="3441">
        <v>27</v>
      </c>
      <c r="AB226" s="3477">
        <v>2180</v>
      </c>
      <c r="AC226" s="3470" t="s">
        <v>3693</v>
      </c>
      <c r="AD226" s="3485"/>
      <c r="AE226" s="3441" t="s">
        <v>3663</v>
      </c>
      <c r="AF226" s="3470" t="s">
        <v>3604</v>
      </c>
      <c r="AG226" s="3522" t="s">
        <v>3466</v>
      </c>
      <c r="AH226" s="3485"/>
      <c r="AI226" s="3470" t="s">
        <v>3679</v>
      </c>
      <c r="AJ226" s="3523">
        <v>37711</v>
      </c>
      <c r="AK226" s="3548">
        <v>1</v>
      </c>
      <c r="AL226" s="3441" t="s">
        <v>3957</v>
      </c>
      <c r="AN226" s="3441" t="s">
        <v>3487</v>
      </c>
      <c r="AP226" s="3441" t="s">
        <v>3476</v>
      </c>
      <c r="AQ226" s="3441" t="s">
        <v>3571</v>
      </c>
      <c r="AV226" s="3441" t="s">
        <v>3568</v>
      </c>
      <c r="AW226" s="3441" t="s">
        <v>3572</v>
      </c>
      <c r="AX226" s="3441" t="s">
        <v>2511</v>
      </c>
      <c r="AY226" s="3524" t="s">
        <v>5411</v>
      </c>
      <c r="AZ226" s="3441" t="s">
        <v>3955</v>
      </c>
      <c r="BA226" s="3441" t="s">
        <v>3959</v>
      </c>
      <c r="BB226" s="3524" t="s">
        <v>3960</v>
      </c>
      <c r="BC226" s="3441" t="s">
        <v>3961</v>
      </c>
      <c r="BD226" s="3525">
        <v>102100</v>
      </c>
      <c r="BE226" s="3441">
        <v>62998398</v>
      </c>
      <c r="BF226" s="3526">
        <v>2.8</v>
      </c>
      <c r="BG226" s="3518">
        <v>37631</v>
      </c>
      <c r="BI226" s="3441" t="s">
        <v>3476</v>
      </c>
      <c r="BJ226" s="3478">
        <v>37645</v>
      </c>
      <c r="BK226" s="3484"/>
      <c r="BL226" s="3470" t="s">
        <v>3670</v>
      </c>
      <c r="BS226" s="3470"/>
      <c r="BT226" s="3470"/>
      <c r="BU226" s="3470"/>
    </row>
    <row r="227" spans="1:253" s="3441" customFormat="1" ht="12" hidden="1">
      <c r="A227" s="3485" t="s">
        <v>5412</v>
      </c>
      <c r="B227" s="3470" t="s">
        <v>5413</v>
      </c>
      <c r="C227" s="3481" t="s">
        <v>5414</v>
      </c>
      <c r="D227" s="3481">
        <v>13501249739</v>
      </c>
      <c r="E227" s="3470" t="s">
        <v>3558</v>
      </c>
      <c r="F227" s="3521" t="s">
        <v>4403</v>
      </c>
      <c r="G227" s="3470" t="s">
        <v>3568</v>
      </c>
      <c r="H227" s="3470" t="s">
        <v>4949</v>
      </c>
      <c r="I227" s="3470" t="s">
        <v>5012</v>
      </c>
      <c r="J227" s="3481" t="s">
        <v>5003</v>
      </c>
      <c r="K227" s="3470" t="s">
        <v>4406</v>
      </c>
      <c r="L227" s="3470">
        <v>129.74</v>
      </c>
      <c r="M227" s="3470">
        <v>6</v>
      </c>
      <c r="N227" s="3470" t="s">
        <v>4003</v>
      </c>
      <c r="O227" s="3470">
        <v>116.38</v>
      </c>
      <c r="P227" s="3470" t="s">
        <v>3452</v>
      </c>
      <c r="Q227" s="3457">
        <v>594209.19999999995</v>
      </c>
      <c r="R227" s="3470">
        <v>4580</v>
      </c>
      <c r="S227" s="3472">
        <v>58.82</v>
      </c>
      <c r="T227" s="3527">
        <v>588200</v>
      </c>
      <c r="U227" s="3470">
        <v>4534</v>
      </c>
      <c r="V227" s="3474">
        <v>0.1</v>
      </c>
      <c r="W227" s="3475">
        <v>52.93</v>
      </c>
      <c r="X227" s="3473">
        <v>529300</v>
      </c>
      <c r="Y227" s="3441">
        <v>2003</v>
      </c>
      <c r="Z227" s="3441">
        <v>2</v>
      </c>
      <c r="AA227" s="3441">
        <v>28</v>
      </c>
      <c r="AB227" s="3485">
        <v>2940</v>
      </c>
      <c r="AC227" s="3470" t="s">
        <v>4407</v>
      </c>
      <c r="AD227" s="3485"/>
      <c r="AE227" s="3441" t="s">
        <v>3663</v>
      </c>
      <c r="AF227" s="3470" t="s">
        <v>3728</v>
      </c>
      <c r="AG227" s="3522" t="s">
        <v>3466</v>
      </c>
      <c r="AH227" s="3485"/>
      <c r="AI227" s="3470" t="s">
        <v>3679</v>
      </c>
      <c r="AJ227" s="3523">
        <v>37833</v>
      </c>
      <c r="AK227" s="3479">
        <v>2</v>
      </c>
      <c r="AL227" s="3441">
        <v>67641700</v>
      </c>
      <c r="AN227" s="3441" t="s">
        <v>3680</v>
      </c>
      <c r="AO227" s="3441" t="s">
        <v>5415</v>
      </c>
      <c r="AP227" s="3441" t="s">
        <v>3476</v>
      </c>
      <c r="AQ227" s="3441" t="s">
        <v>3571</v>
      </c>
      <c r="AW227" s="3441" t="s">
        <v>3572</v>
      </c>
      <c r="AX227" s="3441" t="s">
        <v>3568</v>
      </c>
      <c r="AY227" s="3524">
        <v>261132</v>
      </c>
      <c r="AZ227" s="3441" t="s">
        <v>4406</v>
      </c>
      <c r="BA227" s="3441" t="s">
        <v>4409</v>
      </c>
      <c r="BB227" s="3524" t="s">
        <v>4410</v>
      </c>
      <c r="BC227" s="3441" t="s">
        <v>4411</v>
      </c>
      <c r="BD227" s="3525" t="s">
        <v>3568</v>
      </c>
      <c r="BE227" s="3441">
        <v>68152860</v>
      </c>
      <c r="BF227" s="3526">
        <v>2.8</v>
      </c>
      <c r="BG227" s="3518">
        <v>37632</v>
      </c>
      <c r="BH227" s="3441" t="s">
        <v>4412</v>
      </c>
      <c r="BI227" s="3441" t="s">
        <v>3476</v>
      </c>
      <c r="BJ227" s="3484">
        <v>37678</v>
      </c>
      <c r="BK227" s="3484"/>
      <c r="BL227" s="3470" t="s">
        <v>3670</v>
      </c>
      <c r="BS227" s="3470"/>
      <c r="BT227" s="3470"/>
      <c r="BU227" s="3470"/>
    </row>
    <row r="228" spans="1:253" s="3470" customFormat="1" ht="12" hidden="1">
      <c r="A228" s="3470" t="s">
        <v>5416</v>
      </c>
      <c r="B228" s="3470" t="s">
        <v>5417</v>
      </c>
      <c r="C228" s="3454" t="s">
        <v>5418</v>
      </c>
      <c r="D228" s="3470">
        <v>13611274712</v>
      </c>
      <c r="E228" s="3470" t="s">
        <v>3763</v>
      </c>
      <c r="F228" s="3470" t="s">
        <v>4072</v>
      </c>
      <c r="G228" s="3470" t="s">
        <v>2420</v>
      </c>
      <c r="H228" s="3470" t="s">
        <v>5419</v>
      </c>
      <c r="I228" s="3453" t="s">
        <v>4548</v>
      </c>
      <c r="J228" s="3453" t="s">
        <v>4325</v>
      </c>
      <c r="K228" s="3470" t="s">
        <v>4076</v>
      </c>
      <c r="L228" s="3495">
        <v>107.41</v>
      </c>
      <c r="M228" s="3495">
        <v>5</v>
      </c>
      <c r="N228" s="3470" t="s">
        <v>3872</v>
      </c>
      <c r="O228" s="3495">
        <v>95.57</v>
      </c>
      <c r="P228" s="3470" t="s">
        <v>3452</v>
      </c>
      <c r="Q228" s="3457">
        <v>556383.79999999993</v>
      </c>
      <c r="R228" s="3470">
        <v>5180</v>
      </c>
      <c r="S228" s="3472">
        <v>55.07</v>
      </c>
      <c r="T228" s="3527">
        <v>550700</v>
      </c>
      <c r="U228" s="3470">
        <v>5128</v>
      </c>
      <c r="V228" s="3474">
        <v>0.1</v>
      </c>
      <c r="W228" s="3475">
        <v>49.56</v>
      </c>
      <c r="X228" s="3473">
        <v>495600</v>
      </c>
      <c r="Y228" s="3441">
        <v>2003</v>
      </c>
      <c r="Z228" s="3441">
        <v>2</v>
      </c>
      <c r="AA228" s="3441">
        <v>21</v>
      </c>
      <c r="AB228" s="3485">
        <v>2750</v>
      </c>
      <c r="AC228" s="3453" t="s">
        <v>4102</v>
      </c>
      <c r="AE228" s="3456" t="s">
        <v>3663</v>
      </c>
      <c r="AF228" s="3470" t="s">
        <v>3587</v>
      </c>
      <c r="AG228" s="3470" t="s">
        <v>3466</v>
      </c>
      <c r="AI228" s="3470" t="s">
        <v>3679</v>
      </c>
      <c r="AJ228" s="3478">
        <v>37833</v>
      </c>
      <c r="AK228" s="3548">
        <v>2</v>
      </c>
      <c r="AL228" s="3495">
        <v>67641700</v>
      </c>
      <c r="AN228" s="3480" t="s">
        <v>3482</v>
      </c>
      <c r="AO228" s="3441" t="s">
        <v>5420</v>
      </c>
      <c r="AP228" s="3456" t="s">
        <v>3476</v>
      </c>
      <c r="AQ228" s="3456" t="s">
        <v>3571</v>
      </c>
      <c r="AV228" s="3519"/>
      <c r="AW228" s="3470" t="s">
        <v>3572</v>
      </c>
      <c r="AX228" s="3470" t="s">
        <v>2420</v>
      </c>
      <c r="AY228" s="3495">
        <v>261174</v>
      </c>
      <c r="AZ228" s="3470" t="s">
        <v>4076</v>
      </c>
      <c r="BA228" s="3470" t="s">
        <v>4161</v>
      </c>
      <c r="BB228" s="3470" t="s">
        <v>4162</v>
      </c>
      <c r="BC228" s="3470" t="s">
        <v>4179</v>
      </c>
      <c r="BD228" s="3470" t="s">
        <v>3715</v>
      </c>
      <c r="BE228" s="3470">
        <v>68152860</v>
      </c>
      <c r="BF228" s="3520">
        <v>2.8</v>
      </c>
      <c r="BG228" s="3478">
        <v>37644</v>
      </c>
      <c r="BH228" s="3470" t="s">
        <v>4163</v>
      </c>
      <c r="BI228" s="3441" t="s">
        <v>3476</v>
      </c>
      <c r="BJ228" s="3484">
        <v>37671</v>
      </c>
      <c r="BK228" s="3478"/>
      <c r="BL228" s="3441" t="s">
        <v>3670</v>
      </c>
      <c r="BM228" s="3441"/>
      <c r="BN228" s="3441"/>
      <c r="BO228" s="3441"/>
      <c r="BP228" s="3441"/>
      <c r="BQ228" s="3441"/>
      <c r="BR228" s="3441"/>
    </row>
    <row r="229" spans="1:253" s="3470" customFormat="1" ht="12" hidden="1">
      <c r="A229" s="3470" t="s">
        <v>5421</v>
      </c>
      <c r="B229" s="3470" t="s">
        <v>5422</v>
      </c>
      <c r="C229" s="3454" t="s">
        <v>5423</v>
      </c>
      <c r="D229" s="3470">
        <v>13641320432</v>
      </c>
      <c r="E229" s="3470" t="s">
        <v>2736</v>
      </c>
      <c r="F229" s="3470" t="s">
        <v>4099</v>
      </c>
      <c r="G229" s="3470" t="s">
        <v>2420</v>
      </c>
      <c r="H229" s="3470" t="s">
        <v>4216</v>
      </c>
      <c r="I229" s="3453" t="s">
        <v>4927</v>
      </c>
      <c r="J229" s="3453" t="s">
        <v>3465</v>
      </c>
      <c r="K229" s="3470" t="s">
        <v>4080</v>
      </c>
      <c r="L229" s="3495">
        <v>106.07</v>
      </c>
      <c r="M229" s="3495">
        <v>6</v>
      </c>
      <c r="N229" s="3470" t="s">
        <v>3543</v>
      </c>
      <c r="O229" s="3495">
        <v>94.39</v>
      </c>
      <c r="P229" s="3470" t="s">
        <v>3452</v>
      </c>
      <c r="Q229" s="3457">
        <v>513378.8</v>
      </c>
      <c r="R229" s="3470">
        <v>4840</v>
      </c>
      <c r="S229" s="3472">
        <v>50.8</v>
      </c>
      <c r="T229" s="3527">
        <v>508000</v>
      </c>
      <c r="U229" s="3470">
        <v>4790</v>
      </c>
      <c r="V229" s="3474">
        <v>0.1</v>
      </c>
      <c r="W229" s="3475">
        <v>45.72</v>
      </c>
      <c r="X229" s="3473">
        <v>457200</v>
      </c>
      <c r="Y229" s="3441">
        <v>2003</v>
      </c>
      <c r="Z229" s="3441">
        <v>3</v>
      </c>
      <c r="AA229" s="3441">
        <v>4</v>
      </c>
      <c r="AB229" s="3485">
        <v>2540</v>
      </c>
      <c r="AC229" s="3453" t="s">
        <v>4078</v>
      </c>
      <c r="AE229" s="3456" t="s">
        <v>3663</v>
      </c>
      <c r="AF229" s="3470" t="s">
        <v>4152</v>
      </c>
      <c r="AG229" s="3470" t="s">
        <v>3466</v>
      </c>
      <c r="AI229" s="3470" t="s">
        <v>3679</v>
      </c>
      <c r="AJ229" s="3478">
        <v>37833</v>
      </c>
      <c r="AK229" s="3548">
        <v>3</v>
      </c>
      <c r="AL229" s="3495">
        <v>67641700</v>
      </c>
      <c r="AN229" s="3469" t="s">
        <v>3635</v>
      </c>
      <c r="AO229" s="3441" t="s">
        <v>5424</v>
      </c>
      <c r="AP229" s="3456" t="s">
        <v>3476</v>
      </c>
      <c r="AQ229" s="3456" t="s">
        <v>3571</v>
      </c>
      <c r="AV229" s="3519"/>
      <c r="AW229" s="3470" t="s">
        <v>3572</v>
      </c>
      <c r="AX229" s="3470" t="s">
        <v>2420</v>
      </c>
      <c r="AY229" s="3495">
        <v>261160</v>
      </c>
      <c r="AZ229" s="3470" t="s">
        <v>4076</v>
      </c>
      <c r="BA229" s="3470" t="s">
        <v>4104</v>
      </c>
      <c r="BB229" s="3470" t="s">
        <v>4190</v>
      </c>
      <c r="BC229" s="3470" t="s">
        <v>4083</v>
      </c>
      <c r="BD229" s="3470" t="s">
        <v>2420</v>
      </c>
      <c r="BE229" s="3470">
        <v>68152860</v>
      </c>
      <c r="BF229" s="3520">
        <v>2.8</v>
      </c>
      <c r="BG229" s="3478">
        <v>37644</v>
      </c>
      <c r="BH229" s="3470" t="s">
        <v>4163</v>
      </c>
      <c r="BI229" s="3441" t="s">
        <v>3475</v>
      </c>
      <c r="BJ229" s="3478">
        <v>37680</v>
      </c>
      <c r="BK229" s="3478"/>
      <c r="BL229" s="3441" t="s">
        <v>3670</v>
      </c>
      <c r="BM229" s="3441"/>
      <c r="BN229" s="3441"/>
      <c r="BO229" s="3441"/>
      <c r="BP229" s="3441"/>
      <c r="BQ229" s="3441"/>
      <c r="BR229" s="3441"/>
    </row>
    <row r="230" spans="1:253" s="3470" customFormat="1" ht="12" hidden="1">
      <c r="A230" s="3470" t="s">
        <v>5425</v>
      </c>
      <c r="B230" s="3470" t="s">
        <v>5426</v>
      </c>
      <c r="C230" s="3481" t="s">
        <v>5427</v>
      </c>
      <c r="D230" s="3470">
        <v>13801281600</v>
      </c>
      <c r="E230" s="3470" t="s">
        <v>3558</v>
      </c>
      <c r="F230" s="3470" t="s">
        <v>5428</v>
      </c>
      <c r="H230" s="3470" t="s">
        <v>5429</v>
      </c>
      <c r="I230" s="3470" t="s">
        <v>5430</v>
      </c>
      <c r="J230" s="3470" t="s">
        <v>5431</v>
      </c>
      <c r="K230" s="3470" t="s">
        <v>5432</v>
      </c>
      <c r="L230" s="3470">
        <v>142.83000000000001</v>
      </c>
      <c r="M230" s="3470">
        <v>23</v>
      </c>
      <c r="N230" s="3470" t="s">
        <v>3969</v>
      </c>
      <c r="O230" s="3470">
        <v>121.27</v>
      </c>
      <c r="P230" s="3470" t="s">
        <v>3452</v>
      </c>
      <c r="Q230" s="3457">
        <v>729999.84510000015</v>
      </c>
      <c r="R230" s="3470">
        <v>5110.97</v>
      </c>
      <c r="S230" s="3472">
        <v>72.27</v>
      </c>
      <c r="T230" s="3473">
        <v>722700</v>
      </c>
      <c r="U230" s="3470">
        <v>5060</v>
      </c>
      <c r="V230" s="3474">
        <v>0.1</v>
      </c>
      <c r="W230" s="3475">
        <v>65.040000000000006</v>
      </c>
      <c r="X230" s="3494">
        <v>650400.00000000012</v>
      </c>
      <c r="Y230" s="3470">
        <v>2003</v>
      </c>
      <c r="Z230" s="3470">
        <v>1</v>
      </c>
      <c r="AA230" s="3470">
        <v>29</v>
      </c>
      <c r="AB230" s="3477">
        <v>3610</v>
      </c>
      <c r="AC230" s="3470" t="s">
        <v>5433</v>
      </c>
      <c r="AE230" s="3470" t="s">
        <v>3663</v>
      </c>
      <c r="AF230" s="3470" t="s">
        <v>4032</v>
      </c>
      <c r="AG230" s="3470" t="s">
        <v>3466</v>
      </c>
      <c r="AH230" s="3470" t="s">
        <v>3568</v>
      </c>
      <c r="AI230" s="3470" t="s">
        <v>3679</v>
      </c>
      <c r="AJ230" s="3523">
        <v>37772</v>
      </c>
      <c r="AK230" s="3470" t="s">
        <v>3619</v>
      </c>
      <c r="AL230" s="3470">
        <v>67641700</v>
      </c>
      <c r="AN230" s="3470" t="s">
        <v>4824</v>
      </c>
      <c r="AP230" s="3470" t="s">
        <v>3476</v>
      </c>
      <c r="AQ230" s="3470" t="s">
        <v>3571</v>
      </c>
      <c r="AR230" s="3470" t="s">
        <v>3568</v>
      </c>
      <c r="AS230" s="3470" t="s">
        <v>3568</v>
      </c>
      <c r="AT230" s="3470" t="s">
        <v>3568</v>
      </c>
      <c r="AW230" s="3470" t="s">
        <v>3572</v>
      </c>
      <c r="AX230" s="3470" t="s">
        <v>2511</v>
      </c>
      <c r="AY230" s="3481" t="s">
        <v>5434</v>
      </c>
      <c r="AZ230" s="3470" t="s">
        <v>5432</v>
      </c>
      <c r="BA230" s="3470" t="s">
        <v>5435</v>
      </c>
      <c r="BB230" s="3481">
        <v>1101082131202</v>
      </c>
      <c r="BC230" s="3470" t="s">
        <v>5436</v>
      </c>
      <c r="BD230" s="3482">
        <v>102400</v>
      </c>
      <c r="BE230" s="3470">
        <v>62842753</v>
      </c>
      <c r="BF230" s="3483">
        <v>2.8</v>
      </c>
      <c r="BG230" s="3478">
        <v>37576</v>
      </c>
      <c r="BI230" s="3441" t="s">
        <v>3700</v>
      </c>
      <c r="BJ230" s="3508">
        <v>37643</v>
      </c>
      <c r="BK230" s="3508"/>
      <c r="BM230" s="3441"/>
      <c r="BN230" s="3441"/>
      <c r="BO230" s="3441"/>
      <c r="BP230" s="3441"/>
      <c r="BQ230" s="3441"/>
      <c r="BR230" s="3441"/>
    </row>
    <row r="231" spans="1:253" s="3470" customFormat="1" ht="12" hidden="1">
      <c r="A231" s="3470" t="s">
        <v>5437</v>
      </c>
      <c r="B231" s="3470" t="s">
        <v>5438</v>
      </c>
      <c r="C231" s="3481" t="s">
        <v>5439</v>
      </c>
      <c r="D231" s="3470">
        <v>13911314682</v>
      </c>
      <c r="E231" s="3470" t="s">
        <v>3558</v>
      </c>
      <c r="F231" s="3470" t="s">
        <v>3559</v>
      </c>
      <c r="H231" s="3453" t="s">
        <v>3675</v>
      </c>
      <c r="I231" s="3453" t="s">
        <v>5440</v>
      </c>
      <c r="J231" s="3453" t="s">
        <v>5441</v>
      </c>
      <c r="K231" s="3470" t="s">
        <v>3563</v>
      </c>
      <c r="L231" s="3495">
        <v>71.52</v>
      </c>
      <c r="M231" s="3495">
        <v>8</v>
      </c>
      <c r="N231" s="3470" t="s">
        <v>3584</v>
      </c>
      <c r="O231" s="3495">
        <v>57.94</v>
      </c>
      <c r="P231" s="3470" t="s">
        <v>3452</v>
      </c>
      <c r="Q231" s="3457">
        <v>327561.59999999998</v>
      </c>
      <c r="R231" s="3470">
        <v>4580</v>
      </c>
      <c r="S231" s="3472">
        <v>32.39</v>
      </c>
      <c r="T231" s="3473">
        <v>323900</v>
      </c>
      <c r="U231" s="3470">
        <v>4530</v>
      </c>
      <c r="V231" s="3474">
        <v>0.1</v>
      </c>
      <c r="W231" s="3475">
        <v>29.15</v>
      </c>
      <c r="X231" s="3476">
        <v>291500</v>
      </c>
      <c r="Y231" s="3441">
        <v>2003</v>
      </c>
      <c r="Z231" s="3441">
        <v>1</v>
      </c>
      <c r="AA231" s="3470">
        <v>30</v>
      </c>
      <c r="AB231" s="3477">
        <v>1615</v>
      </c>
      <c r="AC231" s="3470" t="s">
        <v>3710</v>
      </c>
      <c r="AE231" s="3456" t="s">
        <v>3663</v>
      </c>
      <c r="AF231" s="3453" t="s">
        <v>3728</v>
      </c>
      <c r="AG231" s="3470" t="s">
        <v>3466</v>
      </c>
      <c r="AH231" s="3470" t="s">
        <v>3568</v>
      </c>
      <c r="AI231" s="3470" t="s">
        <v>3679</v>
      </c>
      <c r="AJ231" s="3478">
        <v>37894</v>
      </c>
      <c r="AK231" s="3479" t="s">
        <v>3570</v>
      </c>
      <c r="AL231" s="3495">
        <v>67641700</v>
      </c>
      <c r="AM231" s="3470" t="s">
        <v>3568</v>
      </c>
      <c r="AN231" s="3480" t="s">
        <v>4427</v>
      </c>
      <c r="AO231" s="3470" t="s">
        <v>3568</v>
      </c>
      <c r="AP231" s="3456" t="s">
        <v>3476</v>
      </c>
      <c r="AQ231" s="3456" t="s">
        <v>3571</v>
      </c>
      <c r="AV231" s="3519"/>
      <c r="AW231" s="3470" t="s">
        <v>3572</v>
      </c>
      <c r="AX231" s="3470" t="s">
        <v>2511</v>
      </c>
      <c r="AY231" s="3495">
        <v>226862</v>
      </c>
      <c r="AZ231" s="3470" t="s">
        <v>3563</v>
      </c>
      <c r="BA231" s="3470" t="s">
        <v>3574</v>
      </c>
      <c r="BB231" s="3470">
        <v>1101021053367</v>
      </c>
      <c r="BC231" s="3470" t="s">
        <v>3576</v>
      </c>
      <c r="BD231" s="3470">
        <v>100037</v>
      </c>
      <c r="BE231" s="3470">
        <v>84050046</v>
      </c>
      <c r="BF231" s="3520">
        <v>2.8</v>
      </c>
      <c r="BG231" s="3478">
        <v>37583</v>
      </c>
      <c r="BI231" s="3441" t="s">
        <v>3700</v>
      </c>
      <c r="BJ231" s="3478">
        <v>37650</v>
      </c>
      <c r="BK231" s="3478">
        <v>37608</v>
      </c>
      <c r="BL231" s="3441" t="s">
        <v>3670</v>
      </c>
      <c r="BM231" s="3441"/>
      <c r="BN231" s="3441"/>
      <c r="BO231" s="3441"/>
      <c r="BP231" s="3441"/>
      <c r="BQ231" s="3441"/>
      <c r="BR231" s="3441"/>
    </row>
    <row r="232" spans="1:253" s="3565" customFormat="1" hidden="1">
      <c r="A232" s="3453" t="s">
        <v>5442</v>
      </c>
      <c r="B232" s="3470" t="s">
        <v>5443</v>
      </c>
      <c r="C232" s="3481" t="s">
        <v>5444</v>
      </c>
      <c r="D232" s="3481" t="s">
        <v>5445</v>
      </c>
      <c r="E232" s="3470" t="s">
        <v>3558</v>
      </c>
      <c r="F232" s="3470" t="s">
        <v>4403</v>
      </c>
      <c r="G232" s="3470" t="s">
        <v>3568</v>
      </c>
      <c r="H232" s="3470" t="s">
        <v>5446</v>
      </c>
      <c r="I232" s="3470" t="s">
        <v>4100</v>
      </c>
      <c r="J232" s="3481" t="s">
        <v>3474</v>
      </c>
      <c r="K232" s="3470" t="s">
        <v>4406</v>
      </c>
      <c r="L232" s="3470">
        <v>129.58000000000001</v>
      </c>
      <c r="M232" s="3470">
        <v>5</v>
      </c>
      <c r="N232" s="3470" t="s">
        <v>3632</v>
      </c>
      <c r="O232" s="3470">
        <v>116.01</v>
      </c>
      <c r="P232" s="3470" t="s">
        <v>3452</v>
      </c>
      <c r="Q232" s="3457">
        <v>624575.6</v>
      </c>
      <c r="R232" s="3470">
        <v>4820</v>
      </c>
      <c r="S232" s="3472">
        <v>61.8</v>
      </c>
      <c r="T232" s="3527">
        <v>618000</v>
      </c>
      <c r="U232" s="3470">
        <v>4770</v>
      </c>
      <c r="V232" s="3474">
        <v>0.1</v>
      </c>
      <c r="W232" s="3475">
        <v>55.62</v>
      </c>
      <c r="X232" s="3473">
        <v>556200</v>
      </c>
      <c r="Y232" s="3441">
        <v>2003</v>
      </c>
      <c r="Z232" s="3441">
        <v>4</v>
      </c>
      <c r="AA232" s="3441">
        <v>4</v>
      </c>
      <c r="AB232" s="3477">
        <v>3090</v>
      </c>
      <c r="AC232" s="3470" t="s">
        <v>3710</v>
      </c>
      <c r="AD232" s="3485"/>
      <c r="AE232" s="3441" t="s">
        <v>3663</v>
      </c>
      <c r="AF232" s="3470" t="s">
        <v>3728</v>
      </c>
      <c r="AG232" s="3522" t="s">
        <v>3466</v>
      </c>
      <c r="AH232" s="3485"/>
      <c r="AI232" s="3470" t="s">
        <v>3679</v>
      </c>
      <c r="AJ232" s="3523">
        <v>37833</v>
      </c>
      <c r="AK232" s="3548">
        <v>4</v>
      </c>
      <c r="AL232" s="3441">
        <v>67641700</v>
      </c>
      <c r="AM232" s="3441"/>
      <c r="AN232" s="3456" t="s">
        <v>3456</v>
      </c>
      <c r="AO232" s="3470" t="s">
        <v>5447</v>
      </c>
      <c r="AP232" s="3441" t="s">
        <v>3476</v>
      </c>
      <c r="AQ232" s="3441" t="s">
        <v>3571</v>
      </c>
      <c r="AR232" s="3441"/>
      <c r="AS232" s="3441"/>
      <c r="AT232" s="3441"/>
      <c r="AU232" s="3441"/>
      <c r="AV232" s="3441"/>
      <c r="AW232" s="3441" t="s">
        <v>3572</v>
      </c>
      <c r="AX232" s="3441" t="s">
        <v>3568</v>
      </c>
      <c r="AY232" s="3524" t="s">
        <v>5448</v>
      </c>
      <c r="AZ232" s="3441" t="s">
        <v>4406</v>
      </c>
      <c r="BA232" s="3441" t="s">
        <v>4409</v>
      </c>
      <c r="BB232" s="3524" t="s">
        <v>4410</v>
      </c>
      <c r="BC232" s="3441" t="s">
        <v>4411</v>
      </c>
      <c r="BD232" s="3525" t="s">
        <v>3568</v>
      </c>
      <c r="BE232" s="3441">
        <v>68152860</v>
      </c>
      <c r="BF232" s="3526">
        <v>2.8</v>
      </c>
      <c r="BG232" s="3518">
        <v>37645</v>
      </c>
      <c r="BH232" s="3441" t="s">
        <v>4412</v>
      </c>
      <c r="BI232" s="3470" t="s">
        <v>3476</v>
      </c>
      <c r="BJ232" s="3484">
        <v>37714</v>
      </c>
      <c r="BK232" s="3484"/>
      <c r="BL232" s="3470" t="s">
        <v>3670</v>
      </c>
      <c r="BM232" s="3441"/>
      <c r="BN232" s="3441"/>
      <c r="BO232" s="3441"/>
      <c r="BP232" s="3441"/>
      <c r="BQ232" s="3441"/>
      <c r="BR232" s="3441"/>
      <c r="BS232" s="3470"/>
      <c r="BT232" s="3470"/>
      <c r="BU232" s="3470"/>
      <c r="BV232" s="3441"/>
      <c r="BW232" s="3441"/>
      <c r="BX232" s="3441"/>
      <c r="BY232" s="3441"/>
      <c r="BZ232" s="3441"/>
      <c r="CA232" s="3441"/>
      <c r="CB232" s="3441"/>
      <c r="CC232" s="3441"/>
      <c r="CD232" s="3441"/>
      <c r="CE232" s="3441"/>
      <c r="CF232" s="3441"/>
      <c r="CG232" s="3441"/>
      <c r="CH232" s="3441"/>
      <c r="CI232" s="3441"/>
      <c r="CJ232" s="3441"/>
      <c r="CK232" s="3441"/>
      <c r="CL232" s="3441"/>
      <c r="CM232" s="3441"/>
      <c r="CN232" s="3441"/>
      <c r="CO232" s="3441"/>
      <c r="CP232" s="3441"/>
      <c r="CQ232" s="3441"/>
      <c r="CR232" s="3441"/>
      <c r="CS232" s="3441"/>
      <c r="CT232" s="3441"/>
      <c r="CU232" s="3441"/>
      <c r="CV232" s="3441"/>
      <c r="CW232" s="3441"/>
      <c r="CX232" s="3441"/>
      <c r="CY232" s="3441"/>
      <c r="CZ232" s="3441"/>
      <c r="DA232" s="3441"/>
      <c r="DB232" s="3441"/>
      <c r="DC232" s="3441"/>
      <c r="DD232" s="3441"/>
      <c r="DE232" s="3441"/>
      <c r="DF232" s="3441"/>
      <c r="DG232" s="3441"/>
      <c r="DH232" s="3441"/>
      <c r="DI232" s="3441"/>
      <c r="DJ232" s="3441"/>
      <c r="DK232" s="3441"/>
      <c r="DL232" s="3441"/>
      <c r="DM232" s="3441"/>
      <c r="DN232" s="3441"/>
      <c r="DO232" s="3441"/>
      <c r="DP232" s="3441"/>
      <c r="DQ232" s="3441"/>
      <c r="DR232" s="3441"/>
      <c r="DS232" s="3441"/>
      <c r="DT232" s="3441"/>
      <c r="DU232" s="3441"/>
      <c r="DV232" s="3441"/>
      <c r="DW232" s="3441"/>
      <c r="DX232" s="3441"/>
      <c r="DY232" s="3441"/>
      <c r="DZ232" s="3441"/>
      <c r="EA232" s="3441"/>
      <c r="EB232" s="3441"/>
      <c r="EC232" s="3441"/>
      <c r="ED232" s="3441"/>
      <c r="EE232" s="3441"/>
      <c r="EF232" s="3441"/>
      <c r="EG232" s="3441"/>
      <c r="EH232" s="3441"/>
      <c r="EI232" s="3441"/>
      <c r="EJ232" s="3441"/>
      <c r="EK232" s="3441"/>
      <c r="EL232" s="3441"/>
      <c r="EM232" s="3441"/>
      <c r="EN232" s="3441"/>
      <c r="EO232" s="3441"/>
      <c r="EP232" s="3441"/>
      <c r="EQ232" s="3441"/>
      <c r="ER232" s="3441"/>
      <c r="ES232" s="3441"/>
      <c r="ET232" s="3441"/>
      <c r="EU232" s="3441"/>
      <c r="EV232" s="3441"/>
      <c r="EW232" s="3441"/>
      <c r="EX232" s="3441"/>
      <c r="EY232" s="3441"/>
      <c r="EZ232" s="3441"/>
      <c r="FA232" s="3441"/>
      <c r="FB232" s="3441"/>
      <c r="FC232" s="3441"/>
      <c r="FD232" s="3441"/>
      <c r="FE232" s="3441"/>
      <c r="FF232" s="3441"/>
      <c r="FG232" s="3441"/>
      <c r="FH232" s="3441"/>
      <c r="FI232" s="3441"/>
      <c r="FJ232" s="3441"/>
      <c r="FK232" s="3441"/>
      <c r="FL232" s="3441"/>
      <c r="FM232" s="3441"/>
      <c r="FN232" s="3441"/>
      <c r="FO232" s="3441"/>
      <c r="FP232" s="3441"/>
      <c r="FQ232" s="3441"/>
      <c r="FR232" s="3441"/>
      <c r="FS232" s="3441"/>
      <c r="FT232" s="3441"/>
      <c r="FU232" s="3441"/>
      <c r="FV232" s="3441"/>
      <c r="FW232" s="3441"/>
      <c r="FX232" s="3441"/>
      <c r="FY232" s="3441"/>
      <c r="FZ232" s="3441"/>
      <c r="GA232" s="3441"/>
      <c r="GB232" s="3441"/>
      <c r="GC232" s="3441"/>
      <c r="GD232" s="3441"/>
      <c r="GE232" s="3441"/>
      <c r="GF232" s="3441"/>
      <c r="GG232" s="3441"/>
      <c r="GH232" s="3441"/>
      <c r="GI232" s="3441"/>
      <c r="GJ232" s="3441"/>
      <c r="GK232" s="3441"/>
      <c r="GL232" s="3441"/>
      <c r="GM232" s="3441"/>
      <c r="GN232" s="3441"/>
      <c r="GO232" s="3441"/>
      <c r="GP232" s="3441"/>
      <c r="GQ232" s="3441"/>
      <c r="GR232" s="3441"/>
      <c r="GS232" s="3441"/>
      <c r="GT232" s="3441"/>
      <c r="GU232" s="3441"/>
      <c r="GV232" s="3441"/>
      <c r="GW232" s="3441"/>
      <c r="GX232" s="3441"/>
      <c r="GY232" s="3441"/>
      <c r="GZ232" s="3441"/>
      <c r="HA232" s="3441"/>
      <c r="HB232" s="3441"/>
      <c r="HC232" s="3441"/>
      <c r="HD232" s="3441"/>
      <c r="HE232" s="3441"/>
      <c r="HF232" s="3441"/>
      <c r="HG232" s="3441"/>
      <c r="HH232" s="3441"/>
      <c r="HI232" s="3441"/>
      <c r="HJ232" s="3441"/>
      <c r="HK232" s="3441"/>
      <c r="HL232" s="3441"/>
      <c r="HM232" s="3441"/>
      <c r="HN232" s="3441"/>
      <c r="HO232" s="3441"/>
      <c r="HP232" s="3441"/>
      <c r="HQ232" s="3441"/>
      <c r="HR232" s="3441"/>
      <c r="HS232" s="3441"/>
      <c r="HT232" s="3441"/>
      <c r="HU232" s="3441"/>
      <c r="HV232" s="3441"/>
      <c r="HW232" s="3441"/>
      <c r="HX232" s="3441"/>
      <c r="HY232" s="3441"/>
      <c r="HZ232" s="3441"/>
      <c r="IA232" s="3441"/>
      <c r="IB232" s="3441"/>
      <c r="IC232" s="3441"/>
      <c r="ID232" s="3441"/>
      <c r="IE232" s="3441"/>
      <c r="IF232" s="3441"/>
      <c r="IG232" s="3441"/>
      <c r="IH232" s="3441"/>
      <c r="II232" s="3441"/>
      <c r="IJ232" s="3441"/>
      <c r="IK232" s="3441"/>
      <c r="IL232" s="3441"/>
      <c r="IM232" s="3441"/>
      <c r="IN232" s="3441"/>
      <c r="IO232" s="3441"/>
      <c r="IP232" s="3441"/>
      <c r="IQ232" s="3441"/>
      <c r="IR232" s="3441"/>
      <c r="IS232" s="3441"/>
    </row>
    <row r="233" spans="1:253" s="3470" customFormat="1" ht="12" hidden="1">
      <c r="A233" s="3470" t="s">
        <v>5449</v>
      </c>
      <c r="B233" s="3470" t="s">
        <v>5450</v>
      </c>
      <c r="C233" s="3454" t="s">
        <v>5451</v>
      </c>
      <c r="D233" s="3470">
        <v>13621159913</v>
      </c>
      <c r="E233" s="3470" t="s">
        <v>2736</v>
      </c>
      <c r="F233" s="3470" t="s">
        <v>4072</v>
      </c>
      <c r="G233" s="3470" t="s">
        <v>3588</v>
      </c>
      <c r="H233" s="3470" t="s">
        <v>4547</v>
      </c>
      <c r="I233" s="3453" t="s">
        <v>4100</v>
      </c>
      <c r="J233" s="3453" t="s">
        <v>5452</v>
      </c>
      <c r="K233" s="3470" t="s">
        <v>4076</v>
      </c>
      <c r="L233" s="3495">
        <v>107.41</v>
      </c>
      <c r="M233" s="3495">
        <v>4</v>
      </c>
      <c r="N233" s="3470" t="s">
        <v>3994</v>
      </c>
      <c r="O233" s="3495">
        <v>95.57</v>
      </c>
      <c r="P233" s="3470" t="s">
        <v>3452</v>
      </c>
      <c r="Q233" s="3457">
        <v>367124.15769999998</v>
      </c>
      <c r="R233" s="3470">
        <v>3417.97</v>
      </c>
      <c r="S233" s="3472">
        <v>36.43</v>
      </c>
      <c r="T233" s="3527">
        <v>364300</v>
      </c>
      <c r="U233" s="3470">
        <v>3392</v>
      </c>
      <c r="V233" s="3474">
        <v>0.1</v>
      </c>
      <c r="W233" s="3475">
        <v>32.78</v>
      </c>
      <c r="X233" s="3473">
        <v>327800</v>
      </c>
      <c r="Y233" s="3441">
        <v>2003</v>
      </c>
      <c r="Z233" s="3441">
        <v>3</v>
      </c>
      <c r="AA233" s="3441">
        <v>3</v>
      </c>
      <c r="AB233" s="3485">
        <v>1820</v>
      </c>
      <c r="AC233" s="3453" t="s">
        <v>3544</v>
      </c>
      <c r="AE233" s="3456" t="s">
        <v>3663</v>
      </c>
      <c r="AF233" s="3470" t="s">
        <v>4152</v>
      </c>
      <c r="AG233" s="3470" t="s">
        <v>3466</v>
      </c>
      <c r="AI233" s="3470" t="s">
        <v>3679</v>
      </c>
      <c r="AJ233" s="3478">
        <v>37833</v>
      </c>
      <c r="AK233" s="3548">
        <v>3</v>
      </c>
      <c r="AL233" s="3495">
        <v>67641700</v>
      </c>
      <c r="AN233" s="3469" t="s">
        <v>3635</v>
      </c>
      <c r="AO233" s="3441" t="s">
        <v>5453</v>
      </c>
      <c r="AP233" s="3456" t="s">
        <v>3476</v>
      </c>
      <c r="AQ233" s="3456" t="s">
        <v>3571</v>
      </c>
      <c r="AV233" s="3519"/>
      <c r="AW233" s="3470" t="s">
        <v>3572</v>
      </c>
      <c r="AX233" s="3470" t="s">
        <v>3715</v>
      </c>
      <c r="AY233" s="3495">
        <v>261210</v>
      </c>
      <c r="AZ233" s="3470" t="s">
        <v>4175</v>
      </c>
      <c r="BA233" s="3470" t="s">
        <v>4104</v>
      </c>
      <c r="BB233" s="3470" t="s">
        <v>4190</v>
      </c>
      <c r="BC233" s="3470" t="s">
        <v>4106</v>
      </c>
      <c r="BD233" s="3470" t="s">
        <v>2420</v>
      </c>
      <c r="BE233" s="3470">
        <v>68152860</v>
      </c>
      <c r="BF233" s="3520">
        <v>2.8</v>
      </c>
      <c r="BG233" s="3478">
        <v>37647</v>
      </c>
      <c r="BH233" s="3470" t="s">
        <v>4466</v>
      </c>
      <c r="BI233" s="3441" t="s">
        <v>4849</v>
      </c>
      <c r="BJ233" s="3478">
        <v>37680</v>
      </c>
      <c r="BK233" s="3478"/>
      <c r="BL233" s="3441" t="s">
        <v>3670</v>
      </c>
      <c r="BM233" s="3441"/>
      <c r="BN233" s="3441"/>
      <c r="BO233" s="3441"/>
      <c r="BP233" s="3441"/>
      <c r="BQ233" s="3441"/>
      <c r="BR233" s="3441"/>
    </row>
    <row r="234" spans="1:253" s="3470" customFormat="1" ht="12" hidden="1">
      <c r="A234" s="3470" t="s">
        <v>5454</v>
      </c>
      <c r="B234" s="3470" t="s">
        <v>5455</v>
      </c>
      <c r="C234" s="3471" t="s">
        <v>5456</v>
      </c>
      <c r="D234" s="3471">
        <v>13601302822</v>
      </c>
      <c r="E234" s="3470" t="s">
        <v>3763</v>
      </c>
      <c r="F234" s="3470" t="s">
        <v>3823</v>
      </c>
      <c r="H234" s="3470" t="s">
        <v>3749</v>
      </c>
      <c r="J234" s="3470" t="s">
        <v>4335</v>
      </c>
      <c r="K234" s="3470" t="s">
        <v>3751</v>
      </c>
      <c r="L234" s="3470">
        <v>109.38</v>
      </c>
      <c r="M234" s="3470">
        <v>10</v>
      </c>
      <c r="N234" s="3470" t="s">
        <v>3778</v>
      </c>
      <c r="O234" s="3470">
        <v>90.22</v>
      </c>
      <c r="P234" s="3470" t="s">
        <v>3452</v>
      </c>
      <c r="Q234" s="3457">
        <v>370798.2</v>
      </c>
      <c r="R234" s="3470">
        <v>3390</v>
      </c>
      <c r="S234" s="3472">
        <v>36.64</v>
      </c>
      <c r="T234" s="3527">
        <v>366400</v>
      </c>
      <c r="U234" s="3470">
        <v>3350</v>
      </c>
      <c r="V234" s="3474">
        <v>0.1</v>
      </c>
      <c r="W234" s="3475">
        <v>32.97</v>
      </c>
      <c r="X234" s="3494">
        <v>329700</v>
      </c>
      <c r="Y234" s="3441">
        <v>2003</v>
      </c>
      <c r="Z234" s="3441">
        <v>2</v>
      </c>
      <c r="AA234" s="3470">
        <v>14</v>
      </c>
      <c r="AB234" s="3477">
        <v>1465</v>
      </c>
      <c r="AC234" s="3470" t="s">
        <v>3634</v>
      </c>
      <c r="AE234" s="3470" t="s">
        <v>3663</v>
      </c>
      <c r="AF234" s="3470" t="s">
        <v>3810</v>
      </c>
      <c r="AG234" s="3470" t="s">
        <v>3466</v>
      </c>
      <c r="AI234" s="3470" t="s">
        <v>3679</v>
      </c>
      <c r="AJ234" s="3478">
        <v>38138</v>
      </c>
      <c r="AK234" s="3500">
        <v>2</v>
      </c>
      <c r="AL234" s="3470">
        <v>67641700</v>
      </c>
      <c r="AN234" s="3441" t="s">
        <v>3468</v>
      </c>
      <c r="AO234" s="3470" t="s">
        <v>5457</v>
      </c>
      <c r="AP234" s="3470" t="s">
        <v>3476</v>
      </c>
      <c r="AQ234" s="3470" t="s">
        <v>3571</v>
      </c>
      <c r="AV234" s="3470" t="s">
        <v>3568</v>
      </c>
      <c r="AW234" s="3470" t="s">
        <v>3572</v>
      </c>
      <c r="AY234" s="3481" t="s">
        <v>5458</v>
      </c>
      <c r="AZ234" s="3470" t="s">
        <v>3751</v>
      </c>
      <c r="BA234" s="3470" t="s">
        <v>3770</v>
      </c>
      <c r="BB234" s="3481" t="s">
        <v>3771</v>
      </c>
      <c r="BC234" s="3470" t="s">
        <v>3782</v>
      </c>
      <c r="BD234" s="3482">
        <v>102488</v>
      </c>
      <c r="BE234" s="3470">
        <v>63023627</v>
      </c>
      <c r="BF234" s="3483">
        <v>2.8</v>
      </c>
      <c r="BG234" s="3478">
        <v>37640</v>
      </c>
      <c r="BH234" s="3470" t="s">
        <v>3437</v>
      </c>
      <c r="BI234" s="3441" t="s">
        <v>3476</v>
      </c>
      <c r="BJ234" s="3518">
        <v>37664</v>
      </c>
      <c r="BK234" s="3478"/>
      <c r="BL234" s="3441" t="s">
        <v>3670</v>
      </c>
      <c r="BM234" s="3441"/>
      <c r="BN234" s="3441"/>
      <c r="BO234" s="3441"/>
      <c r="BP234" s="3441"/>
      <c r="BQ234" s="3441"/>
      <c r="BR234" s="3441"/>
    </row>
    <row r="235" spans="1:253" s="3470" customFormat="1" ht="12" hidden="1">
      <c r="A235" s="3470" t="s">
        <v>5459</v>
      </c>
      <c r="B235" s="3470" t="s">
        <v>5460</v>
      </c>
      <c r="C235" s="3481" t="s">
        <v>5461</v>
      </c>
      <c r="D235" s="3470">
        <v>13611266663</v>
      </c>
      <c r="E235" s="3470" t="s">
        <v>3558</v>
      </c>
      <c r="F235" s="3470" t="s">
        <v>3559</v>
      </c>
      <c r="H235" s="3453" t="s">
        <v>5462</v>
      </c>
      <c r="I235" s="3453" t="s">
        <v>4614</v>
      </c>
      <c r="J235" s="3453" t="s">
        <v>4978</v>
      </c>
      <c r="K235" s="3470" t="s">
        <v>3563</v>
      </c>
      <c r="L235" s="3495">
        <v>128.61000000000001</v>
      </c>
      <c r="M235" s="3495">
        <v>5</v>
      </c>
      <c r="N235" s="3470" t="s">
        <v>3969</v>
      </c>
      <c r="O235" s="3495">
        <v>103.19</v>
      </c>
      <c r="P235" s="3470" t="s">
        <v>3452</v>
      </c>
      <c r="Q235" s="3457">
        <v>585435.29220000014</v>
      </c>
      <c r="R235" s="3470">
        <v>4552.0200000000004</v>
      </c>
      <c r="S235" s="3472">
        <v>57.91</v>
      </c>
      <c r="T235" s="3527">
        <v>579100</v>
      </c>
      <c r="U235" s="3470">
        <v>4503</v>
      </c>
      <c r="V235" s="3474">
        <v>0.1</v>
      </c>
      <c r="W235" s="3475">
        <v>52.11</v>
      </c>
      <c r="X235" s="3476">
        <v>521100</v>
      </c>
      <c r="Y235" s="3441">
        <v>2003</v>
      </c>
      <c r="Z235" s="3441">
        <v>2</v>
      </c>
      <c r="AA235" s="3470">
        <v>11</v>
      </c>
      <c r="AB235" s="3477">
        <v>2895</v>
      </c>
      <c r="AC235" s="3470" t="s">
        <v>5463</v>
      </c>
      <c r="AE235" s="3456" t="s">
        <v>3663</v>
      </c>
      <c r="AF235" s="3453" t="s">
        <v>4295</v>
      </c>
      <c r="AG235" s="3470" t="s">
        <v>3466</v>
      </c>
      <c r="AH235" s="3470" t="s">
        <v>3568</v>
      </c>
      <c r="AI235" s="3470" t="s">
        <v>3679</v>
      </c>
      <c r="AJ235" s="3478">
        <v>37864</v>
      </c>
      <c r="AK235" s="3500">
        <v>2</v>
      </c>
      <c r="AL235" s="3495">
        <v>67641700</v>
      </c>
      <c r="AM235" s="3470" t="s">
        <v>3568</v>
      </c>
      <c r="AN235" s="3480" t="s">
        <v>3695</v>
      </c>
      <c r="AO235" s="3470" t="s">
        <v>3568</v>
      </c>
      <c r="AP235" s="3456" t="s">
        <v>3476</v>
      </c>
      <c r="AQ235" s="3456" t="s">
        <v>3571</v>
      </c>
      <c r="AV235" s="3519"/>
      <c r="AW235" s="3470" t="s">
        <v>3572</v>
      </c>
      <c r="AX235" s="3470" t="s">
        <v>2511</v>
      </c>
      <c r="AY235" s="3495">
        <v>250135</v>
      </c>
      <c r="AZ235" s="3470" t="s">
        <v>3563</v>
      </c>
      <c r="BA235" s="3470" t="s">
        <v>3574</v>
      </c>
      <c r="BB235" s="3470">
        <v>1101021053367</v>
      </c>
      <c r="BC235" s="3470" t="s">
        <v>3576</v>
      </c>
      <c r="BD235" s="3470">
        <v>100037</v>
      </c>
      <c r="BE235" s="3470">
        <v>84050046</v>
      </c>
      <c r="BF235" s="3520">
        <v>2.8</v>
      </c>
      <c r="BG235" s="3478">
        <v>37637</v>
      </c>
      <c r="BI235" s="3470" t="s">
        <v>3476</v>
      </c>
      <c r="BJ235" s="3478">
        <v>37649</v>
      </c>
      <c r="BK235" s="3478">
        <v>37648</v>
      </c>
      <c r="BL235" s="3470" t="s">
        <v>3670</v>
      </c>
      <c r="BM235" s="3441"/>
      <c r="BN235" s="3441"/>
      <c r="BO235" s="3441"/>
      <c r="BP235" s="3441"/>
      <c r="BQ235" s="3441"/>
      <c r="BR235" s="3441"/>
    </row>
    <row r="236" spans="1:253" s="3605" customFormat="1" ht="12" hidden="1">
      <c r="A236" s="3470" t="s">
        <v>5464</v>
      </c>
      <c r="B236" s="3470" t="s">
        <v>5465</v>
      </c>
      <c r="C236" s="3454" t="s">
        <v>5466</v>
      </c>
      <c r="D236" s="3470">
        <v>13661064807</v>
      </c>
      <c r="E236" s="3470" t="s">
        <v>2736</v>
      </c>
      <c r="F236" s="3470" t="s">
        <v>4072</v>
      </c>
      <c r="G236" s="3470" t="s">
        <v>3715</v>
      </c>
      <c r="H236" s="3470" t="s">
        <v>4994</v>
      </c>
      <c r="I236" s="3453" t="s">
        <v>4236</v>
      </c>
      <c r="J236" s="3453" t="s">
        <v>4012</v>
      </c>
      <c r="K236" s="3470" t="s">
        <v>4175</v>
      </c>
      <c r="L236" s="3495">
        <v>129.24</v>
      </c>
      <c r="M236" s="3495">
        <v>2</v>
      </c>
      <c r="N236" s="3470" t="s">
        <v>4336</v>
      </c>
      <c r="O236" s="3495">
        <v>115.94</v>
      </c>
      <c r="P236" s="3470" t="s">
        <v>3452</v>
      </c>
      <c r="Q236" s="3457">
        <v>628106.4</v>
      </c>
      <c r="R236" s="3470">
        <v>4860</v>
      </c>
      <c r="S236" s="3472">
        <v>62.21</v>
      </c>
      <c r="T236" s="3527">
        <v>622100</v>
      </c>
      <c r="U236" s="3470">
        <v>4814</v>
      </c>
      <c r="V236" s="3474">
        <v>0.1</v>
      </c>
      <c r="W236" s="3475">
        <v>55.98</v>
      </c>
      <c r="X236" s="3473">
        <v>559800</v>
      </c>
      <c r="Y236" s="3441">
        <v>2003</v>
      </c>
      <c r="Z236" s="3441">
        <v>2</v>
      </c>
      <c r="AA236" s="3441">
        <v>13</v>
      </c>
      <c r="AB236" s="3485">
        <v>3110</v>
      </c>
      <c r="AC236" s="3453" t="s">
        <v>4078</v>
      </c>
      <c r="AD236" s="3470"/>
      <c r="AE236" s="3456" t="s">
        <v>3663</v>
      </c>
      <c r="AF236" s="3470" t="s">
        <v>3587</v>
      </c>
      <c r="AG236" s="3470" t="s">
        <v>3466</v>
      </c>
      <c r="AH236" s="3470"/>
      <c r="AI236" s="3470" t="s">
        <v>3679</v>
      </c>
      <c r="AJ236" s="3478">
        <v>37833</v>
      </c>
      <c r="AK236" s="3548">
        <v>2</v>
      </c>
      <c r="AL236" s="3495">
        <v>67641700</v>
      </c>
      <c r="AM236" s="3470"/>
      <c r="AN236" s="3480" t="s">
        <v>3695</v>
      </c>
      <c r="AO236" s="3441" t="s">
        <v>5467</v>
      </c>
      <c r="AP236" s="3456" t="s">
        <v>3476</v>
      </c>
      <c r="AQ236" s="3456" t="s">
        <v>3571</v>
      </c>
      <c r="AR236" s="3470"/>
      <c r="AS236" s="3470"/>
      <c r="AT236" s="3470"/>
      <c r="AU236" s="3470"/>
      <c r="AV236" s="3519"/>
      <c r="AW236" s="3470" t="s">
        <v>3572</v>
      </c>
      <c r="AX236" s="3470" t="s">
        <v>3588</v>
      </c>
      <c r="AY236" s="3495">
        <v>261012</v>
      </c>
      <c r="AZ236" s="3470" t="s">
        <v>4076</v>
      </c>
      <c r="BA236" s="3470" t="s">
        <v>4161</v>
      </c>
      <c r="BB236" s="3470" t="s">
        <v>4945</v>
      </c>
      <c r="BC236" s="3470" t="s">
        <v>4083</v>
      </c>
      <c r="BD236" s="3470" t="s">
        <v>3715</v>
      </c>
      <c r="BE236" s="3470">
        <v>68152860</v>
      </c>
      <c r="BF236" s="3520">
        <v>2.8</v>
      </c>
      <c r="BG236" s="3478">
        <v>37619</v>
      </c>
      <c r="BH236" s="3470" t="s">
        <v>4191</v>
      </c>
      <c r="BI236" s="3441" t="s">
        <v>3476</v>
      </c>
      <c r="BJ236" s="3478">
        <v>37663</v>
      </c>
      <c r="BK236" s="3478"/>
      <c r="BL236" s="3441" t="s">
        <v>3670</v>
      </c>
      <c r="BM236" s="3441"/>
      <c r="BN236" s="3441"/>
      <c r="BO236" s="3441"/>
      <c r="BP236" s="3441"/>
      <c r="BQ236" s="3441"/>
      <c r="BR236" s="3441"/>
      <c r="BS236" s="3470"/>
      <c r="BT236" s="3470"/>
      <c r="BU236" s="3470"/>
    </row>
    <row r="237" spans="1:253" s="3605" customFormat="1" ht="12" hidden="1">
      <c r="A237" s="3470" t="s">
        <v>5468</v>
      </c>
      <c r="B237" s="3470" t="s">
        <v>5469</v>
      </c>
      <c r="C237" s="3616">
        <v>110107600121001</v>
      </c>
      <c r="D237" s="3456">
        <v>13901252128</v>
      </c>
      <c r="E237" s="3470" t="s">
        <v>3763</v>
      </c>
      <c r="F237" s="3470" t="s">
        <v>5470</v>
      </c>
      <c r="G237" s="3470"/>
      <c r="H237" s="3453" t="s">
        <v>5471</v>
      </c>
      <c r="I237" s="3453" t="s">
        <v>3464</v>
      </c>
      <c r="J237" s="3453" t="s">
        <v>5472</v>
      </c>
      <c r="K237" s="3470"/>
      <c r="L237" s="3495">
        <v>123.92</v>
      </c>
      <c r="M237" s="3495">
        <v>6</v>
      </c>
      <c r="N237" s="3453" t="s">
        <v>3632</v>
      </c>
      <c r="O237" s="3495"/>
      <c r="P237" s="3453" t="s">
        <v>4879</v>
      </c>
      <c r="Q237" s="3457">
        <v>371760</v>
      </c>
      <c r="R237" s="3495">
        <v>3000</v>
      </c>
      <c r="S237" s="3472">
        <v>36.630000000000003</v>
      </c>
      <c r="T237" s="3527">
        <v>366300</v>
      </c>
      <c r="U237" s="3495">
        <v>2956</v>
      </c>
      <c r="V237" s="3512">
        <v>0.1</v>
      </c>
      <c r="W237" s="3475">
        <v>32.96</v>
      </c>
      <c r="X237" s="3473">
        <v>329600</v>
      </c>
      <c r="Y237" s="3495">
        <v>2003</v>
      </c>
      <c r="Z237" s="3495">
        <v>2</v>
      </c>
      <c r="AA237" s="3495">
        <v>10</v>
      </c>
      <c r="AB237" s="3477">
        <v>1830</v>
      </c>
      <c r="AC237" s="3470" t="s">
        <v>5473</v>
      </c>
      <c r="AD237" s="3470"/>
      <c r="AE237" s="3456" t="s">
        <v>3663</v>
      </c>
      <c r="AF237" s="3453" t="s">
        <v>3493</v>
      </c>
      <c r="AG237" s="3470" t="s">
        <v>3466</v>
      </c>
      <c r="AH237" s="3470"/>
      <c r="AI237" s="3456" t="s">
        <v>3679</v>
      </c>
      <c r="AJ237" s="3478"/>
      <c r="AK237" s="3470" t="s">
        <v>3468</v>
      </c>
      <c r="AL237" s="3495">
        <v>67641700</v>
      </c>
      <c r="AM237" s="3470"/>
      <c r="AN237" s="3456" t="s">
        <v>3456</v>
      </c>
      <c r="AO237" s="3470"/>
      <c r="AP237" s="3456" t="s">
        <v>3665</v>
      </c>
      <c r="AQ237" s="3456" t="s">
        <v>3571</v>
      </c>
      <c r="AR237" s="3470"/>
      <c r="AS237" s="3470"/>
      <c r="AT237" s="3470"/>
      <c r="AU237" s="3470"/>
      <c r="AV237" s="3495"/>
      <c r="AW237" s="3470" t="s">
        <v>3494</v>
      </c>
      <c r="AX237" s="3470"/>
      <c r="AY237" s="3495"/>
      <c r="AZ237" s="3470" t="s">
        <v>5474</v>
      </c>
      <c r="BA237" s="3470" t="s">
        <v>5475</v>
      </c>
      <c r="BB237" s="3470">
        <v>1100001088540</v>
      </c>
      <c r="BC237" s="3470"/>
      <c r="BD237" s="3470">
        <v>100011</v>
      </c>
      <c r="BE237" s="3470">
        <v>64263637</v>
      </c>
      <c r="BF237" s="3520"/>
      <c r="BG237" s="3478">
        <v>37347</v>
      </c>
      <c r="BH237" s="3470"/>
      <c r="BI237" s="3441" t="s">
        <v>3665</v>
      </c>
      <c r="BJ237" s="3478">
        <v>37636</v>
      </c>
      <c r="BK237" s="3470"/>
      <c r="BL237" s="3470"/>
      <c r="BM237" s="3441"/>
      <c r="BN237" s="3441"/>
      <c r="BO237" s="3441"/>
      <c r="BP237" s="3441"/>
      <c r="BQ237" s="3441"/>
      <c r="BR237" s="3441"/>
      <c r="BS237" s="3470"/>
      <c r="BT237" s="3470"/>
      <c r="BU237" s="3470"/>
    </row>
    <row r="238" spans="1:253" s="3604" customFormat="1" ht="12" hidden="1">
      <c r="A238" s="3485" t="s">
        <v>5476</v>
      </c>
      <c r="B238" s="3470" t="s">
        <v>5477</v>
      </c>
      <c r="C238" s="3481" t="s">
        <v>5478</v>
      </c>
      <c r="D238" s="3481" t="s">
        <v>5479</v>
      </c>
      <c r="E238" s="3470" t="s">
        <v>3558</v>
      </c>
      <c r="F238" s="3521" t="s">
        <v>3733</v>
      </c>
      <c r="G238" s="3470"/>
      <c r="H238" s="3470" t="s">
        <v>3734</v>
      </c>
      <c r="I238" s="3470" t="s">
        <v>3561</v>
      </c>
      <c r="J238" s="3481" t="s">
        <v>5480</v>
      </c>
      <c r="K238" s="3470" t="s">
        <v>3737</v>
      </c>
      <c r="L238" s="3470">
        <v>115.72</v>
      </c>
      <c r="M238" s="3470">
        <v>9</v>
      </c>
      <c r="N238" s="3470" t="s">
        <v>3738</v>
      </c>
      <c r="O238" s="3470">
        <v>91.76</v>
      </c>
      <c r="P238" s="3470" t="s">
        <v>3452</v>
      </c>
      <c r="Q238" s="3457">
        <v>601744</v>
      </c>
      <c r="R238" s="3470">
        <v>5200</v>
      </c>
      <c r="S238" s="3472">
        <v>59.57</v>
      </c>
      <c r="T238" s="3527">
        <v>595700</v>
      </c>
      <c r="U238" s="3470">
        <v>5148</v>
      </c>
      <c r="V238" s="3474">
        <v>0.1</v>
      </c>
      <c r="W238" s="3475">
        <v>53.61</v>
      </c>
      <c r="X238" s="3473">
        <v>536100</v>
      </c>
      <c r="Y238" s="3441">
        <v>2003</v>
      </c>
      <c r="Z238" s="3441">
        <v>2</v>
      </c>
      <c r="AA238" s="3441">
        <v>21</v>
      </c>
      <c r="AB238" s="3485">
        <v>2975</v>
      </c>
      <c r="AC238" s="3470" t="s">
        <v>4674</v>
      </c>
      <c r="AD238" s="3485"/>
      <c r="AE238" s="3441" t="s">
        <v>3663</v>
      </c>
      <c r="AF238" s="3470" t="s">
        <v>3728</v>
      </c>
      <c r="AG238" s="3522" t="s">
        <v>3466</v>
      </c>
      <c r="AH238" s="3485"/>
      <c r="AI238" s="3470" t="s">
        <v>3679</v>
      </c>
      <c r="AJ238" s="3523">
        <v>38027</v>
      </c>
      <c r="AK238" s="3479">
        <v>2</v>
      </c>
      <c r="AL238" s="3441">
        <v>67641700</v>
      </c>
      <c r="AM238" s="3441"/>
      <c r="AN238" s="3441" t="s">
        <v>3739</v>
      </c>
      <c r="AO238" s="3441"/>
      <c r="AP238" s="3441" t="s">
        <v>3476</v>
      </c>
      <c r="AQ238" s="3441" t="s">
        <v>3571</v>
      </c>
      <c r="AR238" s="3441"/>
      <c r="AS238" s="3441"/>
      <c r="AT238" s="3441"/>
      <c r="AU238" s="3441"/>
      <c r="AV238" s="3441"/>
      <c r="AW238" s="3441" t="s">
        <v>3572</v>
      </c>
      <c r="AX238" s="3441" t="s">
        <v>2511</v>
      </c>
      <c r="AY238" s="3524" t="s">
        <v>5481</v>
      </c>
      <c r="AZ238" s="3441" t="s">
        <v>3737</v>
      </c>
      <c r="BA238" s="3441" t="s">
        <v>3742</v>
      </c>
      <c r="BB238" s="3524" t="s">
        <v>3743</v>
      </c>
      <c r="BC238" s="3441" t="s">
        <v>3744</v>
      </c>
      <c r="BD238" s="3525">
        <v>100088</v>
      </c>
      <c r="BE238" s="3441">
        <v>82058259</v>
      </c>
      <c r="BF238" s="3526">
        <v>2.9</v>
      </c>
      <c r="BG238" s="3518">
        <v>37566</v>
      </c>
      <c r="BH238" s="3441"/>
      <c r="BI238" s="3441" t="s">
        <v>3476</v>
      </c>
      <c r="BJ238" s="3484">
        <v>37661</v>
      </c>
      <c r="BK238" s="3484">
        <v>37667</v>
      </c>
      <c r="BL238" s="3470" t="s">
        <v>3670</v>
      </c>
      <c r="BM238" s="3441"/>
      <c r="BN238" s="3441"/>
      <c r="BO238" s="3441"/>
      <c r="BP238" s="3441"/>
      <c r="BQ238" s="3441"/>
      <c r="BR238" s="3441"/>
      <c r="BS238" s="3470"/>
      <c r="BT238" s="3470"/>
      <c r="BU238" s="3470"/>
    </row>
    <row r="239" spans="1:253" s="3605" customFormat="1" ht="12" hidden="1">
      <c r="A239" s="3470" t="s">
        <v>5482</v>
      </c>
      <c r="B239" s="3470" t="s">
        <v>5483</v>
      </c>
      <c r="C239" s="3481" t="s">
        <v>5484</v>
      </c>
      <c r="D239" s="3470" t="s">
        <v>5485</v>
      </c>
      <c r="E239" s="3470" t="s">
        <v>2736</v>
      </c>
      <c r="F239" s="3470" t="s">
        <v>4345</v>
      </c>
      <c r="G239" s="3470"/>
      <c r="H239" s="3470" t="s">
        <v>5486</v>
      </c>
      <c r="I239" s="3470" t="s">
        <v>4041</v>
      </c>
      <c r="J239" s="3470" t="s">
        <v>3993</v>
      </c>
      <c r="K239" s="3470" t="s">
        <v>5487</v>
      </c>
      <c r="L239" s="3470">
        <v>89.89</v>
      </c>
      <c r="M239" s="3470">
        <v>11</v>
      </c>
      <c r="N239" s="3470" t="s">
        <v>3451</v>
      </c>
      <c r="O239" s="3470">
        <v>76.88</v>
      </c>
      <c r="P239" s="3470" t="s">
        <v>3452</v>
      </c>
      <c r="Q239" s="3457">
        <v>440461</v>
      </c>
      <c r="R239" s="3470">
        <v>4900</v>
      </c>
      <c r="S239" s="3472">
        <v>43.59</v>
      </c>
      <c r="T239" s="3527">
        <v>435900.00000000006</v>
      </c>
      <c r="U239" s="3470">
        <v>4850</v>
      </c>
      <c r="V239" s="3474">
        <v>0.1</v>
      </c>
      <c r="W239" s="3475">
        <v>39.229999999999997</v>
      </c>
      <c r="X239" s="3473">
        <v>392299.99999999994</v>
      </c>
      <c r="Y239" s="3441">
        <v>2003</v>
      </c>
      <c r="Z239" s="3441">
        <v>2</v>
      </c>
      <c r="AA239" s="3441">
        <v>17</v>
      </c>
      <c r="AB239" s="3485">
        <v>2175</v>
      </c>
      <c r="AC239" s="3470" t="s">
        <v>3544</v>
      </c>
      <c r="AD239" s="3470"/>
      <c r="AE239" s="3470" t="s">
        <v>2156</v>
      </c>
      <c r="AF239" s="3470" t="s">
        <v>4551</v>
      </c>
      <c r="AG239" s="3470" t="s">
        <v>3605</v>
      </c>
      <c r="AH239" s="3470"/>
      <c r="AI239" s="3470" t="s">
        <v>3553</v>
      </c>
      <c r="AJ239" s="3478">
        <v>37790</v>
      </c>
      <c r="AK239" s="3500">
        <v>2</v>
      </c>
      <c r="AL239" s="3470">
        <v>67641700</v>
      </c>
      <c r="AM239" s="3470"/>
      <c r="AN239" s="3480" t="s">
        <v>3739</v>
      </c>
      <c r="AO239" s="3470"/>
      <c r="AP239" s="3470" t="s">
        <v>3922</v>
      </c>
      <c r="AQ239" s="3470" t="s">
        <v>3457</v>
      </c>
      <c r="AR239" s="3470"/>
      <c r="AS239" s="3470"/>
      <c r="AT239" s="3470"/>
      <c r="AU239" s="3470"/>
      <c r="AV239" s="3470" t="s">
        <v>3715</v>
      </c>
      <c r="AW239" s="3470" t="s">
        <v>3458</v>
      </c>
      <c r="AX239" s="3470" t="s">
        <v>4046</v>
      </c>
      <c r="AY239" s="3481" t="s">
        <v>5488</v>
      </c>
      <c r="AZ239" s="3470" t="s">
        <v>4347</v>
      </c>
      <c r="BA239" s="3470" t="s">
        <v>4523</v>
      </c>
      <c r="BB239" s="3481" t="s">
        <v>4350</v>
      </c>
      <c r="BC239" s="3470" t="s">
        <v>4351</v>
      </c>
      <c r="BD239" s="3482">
        <v>100010</v>
      </c>
      <c r="BE239" s="3470">
        <v>65233356</v>
      </c>
      <c r="BF239" s="3483">
        <v>2.7</v>
      </c>
      <c r="BG239" s="3478">
        <v>37646</v>
      </c>
      <c r="BH239" s="3470"/>
      <c r="BI239" s="3470" t="s">
        <v>3475</v>
      </c>
      <c r="BJ239" s="3518">
        <v>37663</v>
      </c>
      <c r="BK239" s="3478"/>
      <c r="BL239" s="3441" t="s">
        <v>5489</v>
      </c>
      <c r="BM239" s="3441"/>
      <c r="BN239" s="3441"/>
      <c r="BO239" s="3441"/>
      <c r="BP239" s="3441"/>
      <c r="BQ239" s="3441"/>
      <c r="BR239" s="3441"/>
      <c r="BS239" s="3470"/>
      <c r="BT239" s="3470"/>
      <c r="BU239" s="3470"/>
    </row>
    <row r="240" spans="1:253" s="3605" customFormat="1" ht="12" hidden="1">
      <c r="A240" s="3470" t="s">
        <v>5490</v>
      </c>
      <c r="B240" s="3470" t="s">
        <v>5491</v>
      </c>
      <c r="C240" s="3481" t="s">
        <v>5492</v>
      </c>
      <c r="D240" s="3470">
        <v>13681231574</v>
      </c>
      <c r="E240" s="3470" t="s">
        <v>3558</v>
      </c>
      <c r="F240" s="3470" t="s">
        <v>3559</v>
      </c>
      <c r="G240" s="3470"/>
      <c r="H240" s="3453" t="s">
        <v>3581</v>
      </c>
      <c r="I240" s="3453" t="s">
        <v>3464</v>
      </c>
      <c r="J240" s="3453" t="s">
        <v>5493</v>
      </c>
      <c r="K240" s="3470" t="s">
        <v>3563</v>
      </c>
      <c r="L240" s="3495">
        <v>62.81</v>
      </c>
      <c r="M240" s="3495">
        <v>13</v>
      </c>
      <c r="N240" s="3470" t="s">
        <v>3489</v>
      </c>
      <c r="O240" s="3495">
        <v>50.89</v>
      </c>
      <c r="P240" s="3470" t="s">
        <v>3452</v>
      </c>
      <c r="Q240" s="3457">
        <v>306890.28810000001</v>
      </c>
      <c r="R240" s="3470">
        <v>4886.01</v>
      </c>
      <c r="S240" s="3472">
        <v>30.37</v>
      </c>
      <c r="T240" s="3527">
        <v>303700</v>
      </c>
      <c r="U240" s="3470">
        <v>4836</v>
      </c>
      <c r="V240" s="3474">
        <v>0.1</v>
      </c>
      <c r="W240" s="3475">
        <v>27.33</v>
      </c>
      <c r="X240" s="3476">
        <v>273300</v>
      </c>
      <c r="Y240" s="3441">
        <v>2003</v>
      </c>
      <c r="Z240" s="3441">
        <v>2</v>
      </c>
      <c r="AA240" s="3470">
        <v>13</v>
      </c>
      <c r="AB240" s="3477">
        <v>1515</v>
      </c>
      <c r="AC240" s="3470" t="s">
        <v>3648</v>
      </c>
      <c r="AD240" s="3470"/>
      <c r="AE240" s="3456" t="s">
        <v>3663</v>
      </c>
      <c r="AF240" s="3453" t="s">
        <v>3728</v>
      </c>
      <c r="AG240" s="3470" t="s">
        <v>3466</v>
      </c>
      <c r="AH240" s="3470" t="s">
        <v>3568</v>
      </c>
      <c r="AI240" s="3470" t="s">
        <v>3679</v>
      </c>
      <c r="AJ240" s="3478">
        <v>37894</v>
      </c>
      <c r="AK240" s="3479" t="s">
        <v>3468</v>
      </c>
      <c r="AL240" s="3495">
        <v>67641700</v>
      </c>
      <c r="AM240" s="3470" t="s">
        <v>3568</v>
      </c>
      <c r="AN240" s="3480" t="s">
        <v>3468</v>
      </c>
      <c r="AO240" s="3470" t="s">
        <v>3568</v>
      </c>
      <c r="AP240" s="3456" t="s">
        <v>3476</v>
      </c>
      <c r="AQ240" s="3456" t="s">
        <v>3571</v>
      </c>
      <c r="AR240" s="3470"/>
      <c r="AS240" s="3470"/>
      <c r="AT240" s="3470"/>
      <c r="AU240" s="3470"/>
      <c r="AV240" s="3519"/>
      <c r="AW240" s="3470" t="s">
        <v>3572</v>
      </c>
      <c r="AX240" s="3470" t="s">
        <v>2511</v>
      </c>
      <c r="AY240" s="3495">
        <v>226850</v>
      </c>
      <c r="AZ240" s="3470" t="s">
        <v>3563</v>
      </c>
      <c r="BA240" s="3470" t="s">
        <v>3574</v>
      </c>
      <c r="BB240" s="3470">
        <v>1101021053367</v>
      </c>
      <c r="BC240" s="3470" t="s">
        <v>3576</v>
      </c>
      <c r="BD240" s="3470">
        <v>100037</v>
      </c>
      <c r="BE240" s="3470">
        <v>84050046</v>
      </c>
      <c r="BF240" s="3520">
        <v>2.8</v>
      </c>
      <c r="BG240" s="3478">
        <v>37612</v>
      </c>
      <c r="BH240" s="3470"/>
      <c r="BI240" s="3441" t="s">
        <v>3700</v>
      </c>
      <c r="BJ240" s="3478">
        <v>37663</v>
      </c>
      <c r="BK240" s="3478">
        <v>37648</v>
      </c>
      <c r="BL240" s="3441" t="s">
        <v>3670</v>
      </c>
      <c r="BM240" s="3441"/>
      <c r="BN240" s="3441"/>
      <c r="BO240" s="3441"/>
      <c r="BP240" s="3441"/>
      <c r="BQ240" s="3441"/>
      <c r="BR240" s="3441"/>
      <c r="BS240" s="3470"/>
      <c r="BT240" s="3470"/>
      <c r="BU240" s="3470"/>
    </row>
    <row r="241" spans="1:253" s="3604" customFormat="1" ht="12" hidden="1">
      <c r="A241" s="3485" t="s">
        <v>5494</v>
      </c>
      <c r="B241" s="3470" t="s">
        <v>5495</v>
      </c>
      <c r="C241" s="3481" t="s">
        <v>5496</v>
      </c>
      <c r="D241" s="3481">
        <v>13601249899</v>
      </c>
      <c r="E241" s="3470" t="s">
        <v>3558</v>
      </c>
      <c r="F241" s="3521" t="s">
        <v>5497</v>
      </c>
      <c r="G241" s="3470"/>
      <c r="H241" s="3470" t="s">
        <v>5498</v>
      </c>
      <c r="I241" s="3470" t="s">
        <v>5499</v>
      </c>
      <c r="J241" s="3481"/>
      <c r="K241" s="3470" t="s">
        <v>5500</v>
      </c>
      <c r="L241" s="3470">
        <v>135.9</v>
      </c>
      <c r="M241" s="3470">
        <v>17</v>
      </c>
      <c r="N241" s="3470" t="s">
        <v>4003</v>
      </c>
      <c r="O241" s="3470">
        <v>114.83</v>
      </c>
      <c r="P241" s="3470" t="s">
        <v>3452</v>
      </c>
      <c r="Q241" s="3457">
        <v>914351.50800000003</v>
      </c>
      <c r="R241" s="3470">
        <v>6728.12</v>
      </c>
      <c r="S241" s="3472">
        <v>90.61</v>
      </c>
      <c r="T241" s="3527">
        <v>906100</v>
      </c>
      <c r="U241" s="3470">
        <v>6668</v>
      </c>
      <c r="V241" s="3474">
        <v>0.1</v>
      </c>
      <c r="W241" s="3475">
        <v>81.540000000000006</v>
      </c>
      <c r="X241" s="3473">
        <v>815400</v>
      </c>
      <c r="Y241" s="3441">
        <v>2003</v>
      </c>
      <c r="Z241" s="3441">
        <v>2</v>
      </c>
      <c r="AA241" s="3441">
        <v>17</v>
      </c>
      <c r="AB241" s="3485">
        <v>4530</v>
      </c>
      <c r="AC241" s="3470" t="s">
        <v>3693</v>
      </c>
      <c r="AD241" s="3485"/>
      <c r="AE241" s="3441" t="s">
        <v>3663</v>
      </c>
      <c r="AF241" s="3470" t="s">
        <v>3493</v>
      </c>
      <c r="AG241" s="3522" t="s">
        <v>3466</v>
      </c>
      <c r="AH241" s="3485"/>
      <c r="AI241" s="3470" t="s">
        <v>3679</v>
      </c>
      <c r="AJ241" s="3523"/>
      <c r="AK241" s="3479" t="s">
        <v>3695</v>
      </c>
      <c r="AL241" s="3441">
        <v>67641700</v>
      </c>
      <c r="AM241" s="3441"/>
      <c r="AN241" s="3441" t="s">
        <v>3739</v>
      </c>
      <c r="AO241" s="3441"/>
      <c r="AP241" s="3441" t="s">
        <v>3476</v>
      </c>
      <c r="AQ241" s="3441" t="s">
        <v>3571</v>
      </c>
      <c r="AR241" s="3441"/>
      <c r="AS241" s="3441"/>
      <c r="AT241" s="3441"/>
      <c r="AU241" s="3441"/>
      <c r="AV241" s="3441"/>
      <c r="AW241" s="3441" t="s">
        <v>3572</v>
      </c>
      <c r="AX241" s="3441" t="s">
        <v>2511</v>
      </c>
      <c r="AY241" s="3524">
        <v>249349</v>
      </c>
      <c r="AZ241" s="3441" t="s">
        <v>5500</v>
      </c>
      <c r="BA241" s="3441" t="s">
        <v>5501</v>
      </c>
      <c r="BB241" s="3524" t="s">
        <v>5502</v>
      </c>
      <c r="BC241" s="3441" t="s">
        <v>5503</v>
      </c>
      <c r="BD241" s="3525">
        <v>100089</v>
      </c>
      <c r="BE241" s="3441">
        <v>88442745</v>
      </c>
      <c r="BF241" s="3526">
        <v>2.8</v>
      </c>
      <c r="BG241" s="3518">
        <v>37639</v>
      </c>
      <c r="BH241" s="3441"/>
      <c r="BI241" s="3441" t="s">
        <v>3700</v>
      </c>
      <c r="BJ241" s="3484">
        <v>37666</v>
      </c>
      <c r="BK241" s="3484"/>
      <c r="BL241" s="3470" t="s">
        <v>3670</v>
      </c>
      <c r="BM241" s="3441"/>
      <c r="BN241" s="3441"/>
      <c r="BO241" s="3441"/>
      <c r="BP241" s="3441"/>
      <c r="BQ241" s="3441"/>
      <c r="BR241" s="3441"/>
      <c r="BS241" s="3470"/>
      <c r="BT241" s="3470"/>
      <c r="BU241" s="3470"/>
    </row>
    <row r="242" spans="1:253" s="3605" customFormat="1" ht="12" hidden="1">
      <c r="A242" s="3470" t="s">
        <v>5504</v>
      </c>
      <c r="B242" s="3470" t="s">
        <v>5505</v>
      </c>
      <c r="C242" s="3454" t="s">
        <v>5506</v>
      </c>
      <c r="D242" s="3470">
        <v>13671307901</v>
      </c>
      <c r="E242" s="3470" t="s">
        <v>2736</v>
      </c>
      <c r="F242" s="3470" t="s">
        <v>4099</v>
      </c>
      <c r="G242" s="3470" t="s">
        <v>2420</v>
      </c>
      <c r="H242" s="3470" t="s">
        <v>4187</v>
      </c>
      <c r="I242" s="3453" t="s">
        <v>4100</v>
      </c>
      <c r="J242" s="3453" t="s">
        <v>3630</v>
      </c>
      <c r="K242" s="3470" t="s">
        <v>4175</v>
      </c>
      <c r="L242" s="3495">
        <v>98.68</v>
      </c>
      <c r="M242" s="3495">
        <v>6</v>
      </c>
      <c r="N242" s="3470" t="s">
        <v>5289</v>
      </c>
      <c r="O242" s="3495">
        <v>87.93</v>
      </c>
      <c r="P242" s="3470" t="s">
        <v>3452</v>
      </c>
      <c r="Q242" s="3457">
        <v>477611.2</v>
      </c>
      <c r="R242" s="3470">
        <v>4840</v>
      </c>
      <c r="S242" s="3472">
        <v>47.26</v>
      </c>
      <c r="T242" s="3527">
        <v>472600</v>
      </c>
      <c r="U242" s="3470">
        <v>4790</v>
      </c>
      <c r="V242" s="3474">
        <v>0.1</v>
      </c>
      <c r="W242" s="3475">
        <v>42.53</v>
      </c>
      <c r="X242" s="3473">
        <v>425300</v>
      </c>
      <c r="Y242" s="3441">
        <v>2003</v>
      </c>
      <c r="Z242" s="3441">
        <v>2</v>
      </c>
      <c r="AA242" s="3441">
        <v>17</v>
      </c>
      <c r="AB242" s="3485">
        <v>2360</v>
      </c>
      <c r="AC242" s="3453" t="s">
        <v>3710</v>
      </c>
      <c r="AD242" s="3470"/>
      <c r="AE242" s="3456" t="s">
        <v>3663</v>
      </c>
      <c r="AF242" s="3470" t="s">
        <v>3587</v>
      </c>
      <c r="AG242" s="3470" t="s">
        <v>3466</v>
      </c>
      <c r="AH242" s="3470"/>
      <c r="AI242" s="3470" t="s">
        <v>3679</v>
      </c>
      <c r="AJ242" s="3478">
        <v>37833</v>
      </c>
      <c r="AK242" s="3548">
        <v>2</v>
      </c>
      <c r="AL242" s="3495">
        <v>67641700</v>
      </c>
      <c r="AM242" s="3470"/>
      <c r="AN242" s="3480" t="s">
        <v>4210</v>
      </c>
      <c r="AO242" s="3441" t="s">
        <v>2420</v>
      </c>
      <c r="AP242" s="3456" t="s">
        <v>3476</v>
      </c>
      <c r="AQ242" s="3456" t="s">
        <v>3571</v>
      </c>
      <c r="AR242" s="3470"/>
      <c r="AS242" s="3470"/>
      <c r="AT242" s="3470"/>
      <c r="AU242" s="3470"/>
      <c r="AV242" s="3519"/>
      <c r="AW242" s="3470" t="s">
        <v>3572</v>
      </c>
      <c r="AX242" s="3470" t="s">
        <v>3715</v>
      </c>
      <c r="AY242" s="3495">
        <v>261060</v>
      </c>
      <c r="AZ242" s="3470" t="s">
        <v>4076</v>
      </c>
      <c r="BA242" s="3470" t="s">
        <v>4104</v>
      </c>
      <c r="BB242" s="3470" t="s">
        <v>4190</v>
      </c>
      <c r="BC242" s="3470" t="s">
        <v>4083</v>
      </c>
      <c r="BD242" s="3470" t="s">
        <v>2420</v>
      </c>
      <c r="BE242" s="3470">
        <v>68152860</v>
      </c>
      <c r="BF242" s="3520">
        <v>2.8</v>
      </c>
      <c r="BG242" s="3478">
        <v>37623</v>
      </c>
      <c r="BH242" s="3470" t="s">
        <v>4163</v>
      </c>
      <c r="BI242" s="3441" t="s">
        <v>3476</v>
      </c>
      <c r="BJ242" s="3518">
        <v>37666</v>
      </c>
      <c r="BK242" s="3478"/>
      <c r="BL242" s="3441" t="s">
        <v>3670</v>
      </c>
      <c r="BM242" s="3441"/>
      <c r="BN242" s="3441"/>
      <c r="BO242" s="3441"/>
      <c r="BP242" s="3441"/>
      <c r="BQ242" s="3441"/>
      <c r="BR242" s="3441"/>
      <c r="BS242" s="3470"/>
      <c r="BT242" s="3470"/>
      <c r="BU242" s="3470"/>
    </row>
    <row r="243" spans="1:253" s="3617" customFormat="1" hidden="1">
      <c r="A243" s="3453" t="s">
        <v>5507</v>
      </c>
      <c r="B243" s="3470" t="s">
        <v>5508</v>
      </c>
      <c r="C243" s="3481" t="s">
        <v>5509</v>
      </c>
      <c r="D243" s="3481" t="s">
        <v>5510</v>
      </c>
      <c r="E243" s="3470" t="s">
        <v>3558</v>
      </c>
      <c r="F243" s="3470" t="s">
        <v>4403</v>
      </c>
      <c r="G243" s="3470" t="s">
        <v>3568</v>
      </c>
      <c r="H243" s="3470" t="s">
        <v>4273</v>
      </c>
      <c r="I243" s="3470" t="s">
        <v>4173</v>
      </c>
      <c r="J243" s="3481" t="s">
        <v>5511</v>
      </c>
      <c r="K243" s="3470" t="s">
        <v>4406</v>
      </c>
      <c r="L243" s="3470">
        <v>128.91999999999999</v>
      </c>
      <c r="M243" s="3470">
        <v>4</v>
      </c>
      <c r="N243" s="3470" t="s">
        <v>4137</v>
      </c>
      <c r="O243" s="3470">
        <v>115.28</v>
      </c>
      <c r="P243" s="3470" t="s">
        <v>3452</v>
      </c>
      <c r="Q243" s="3457">
        <v>630418.80000000005</v>
      </c>
      <c r="R243" s="3470">
        <v>4890</v>
      </c>
      <c r="S243" s="3472">
        <v>62.39</v>
      </c>
      <c r="T243" s="3527">
        <v>623900</v>
      </c>
      <c r="U243" s="3470">
        <v>4840</v>
      </c>
      <c r="V243" s="3474">
        <v>0.1</v>
      </c>
      <c r="W243" s="3475">
        <v>56.15</v>
      </c>
      <c r="X243" s="3473">
        <v>561500</v>
      </c>
      <c r="Y243" s="3441">
        <v>2003</v>
      </c>
      <c r="Z243" s="3441">
        <v>4</v>
      </c>
      <c r="AA243" s="3441">
        <v>3</v>
      </c>
      <c r="AB243" s="3477">
        <v>3115</v>
      </c>
      <c r="AC243" s="3470" t="s">
        <v>4078</v>
      </c>
      <c r="AD243" s="3485"/>
      <c r="AE243" s="3441" t="s">
        <v>3663</v>
      </c>
      <c r="AF243" s="3470" t="s">
        <v>3728</v>
      </c>
      <c r="AG243" s="3522" t="s">
        <v>3466</v>
      </c>
      <c r="AH243" s="3485"/>
      <c r="AI243" s="3470" t="s">
        <v>3679</v>
      </c>
      <c r="AJ243" s="3523">
        <v>37833</v>
      </c>
      <c r="AK243" s="3548">
        <v>4</v>
      </c>
      <c r="AL243" s="3441">
        <v>67641700</v>
      </c>
      <c r="AM243" s="3441"/>
      <c r="AN243" s="3480" t="s">
        <v>3635</v>
      </c>
      <c r="AO243" s="3470" t="s">
        <v>5512</v>
      </c>
      <c r="AP243" s="3441" t="s">
        <v>3713</v>
      </c>
      <c r="AQ243" s="3441" t="s">
        <v>3571</v>
      </c>
      <c r="AR243" s="3441"/>
      <c r="AS243" s="3441"/>
      <c r="AT243" s="3441"/>
      <c r="AU243" s="3441"/>
      <c r="AV243" s="3441"/>
      <c r="AW243" s="3441" t="s">
        <v>3572</v>
      </c>
      <c r="AX243" s="3441" t="s">
        <v>3568</v>
      </c>
      <c r="AY243" s="3524" t="s">
        <v>5513</v>
      </c>
      <c r="AZ243" s="3441" t="s">
        <v>4406</v>
      </c>
      <c r="BA243" s="3441" t="s">
        <v>4409</v>
      </c>
      <c r="BB243" s="3524" t="s">
        <v>4410</v>
      </c>
      <c r="BC243" s="3441" t="s">
        <v>4411</v>
      </c>
      <c r="BD243" s="3525" t="s">
        <v>3568</v>
      </c>
      <c r="BE243" s="3441">
        <v>68152860</v>
      </c>
      <c r="BF243" s="3526">
        <v>2.8</v>
      </c>
      <c r="BG243" s="3518">
        <v>37695</v>
      </c>
      <c r="BH243" s="3441" t="s">
        <v>4412</v>
      </c>
      <c r="BI243" s="3486" t="s">
        <v>3721</v>
      </c>
      <c r="BJ243" s="3484">
        <v>37711</v>
      </c>
      <c r="BK243" s="3484"/>
      <c r="BL243" s="3470" t="s">
        <v>3670</v>
      </c>
      <c r="BM243" s="3441"/>
      <c r="BN243" s="3441"/>
      <c r="BO243" s="3441"/>
      <c r="BP243" s="3441"/>
      <c r="BQ243" s="3441"/>
      <c r="BR243" s="3441"/>
      <c r="BS243" s="3470"/>
      <c r="BT243" s="3470"/>
      <c r="BU243" s="3470"/>
      <c r="BV243" s="3604"/>
      <c r="BW243" s="3604"/>
      <c r="BX243" s="3604"/>
      <c r="BY243" s="3604"/>
      <c r="BZ243" s="3604"/>
      <c r="CA243" s="3604"/>
      <c r="CB243" s="3604"/>
      <c r="CC243" s="3604"/>
      <c r="CD243" s="3604"/>
      <c r="CE243" s="3604"/>
      <c r="CF243" s="3604"/>
      <c r="CG243" s="3604"/>
      <c r="CH243" s="3604"/>
      <c r="CI243" s="3604"/>
      <c r="CJ243" s="3604"/>
      <c r="CK243" s="3604"/>
      <c r="CL243" s="3604"/>
      <c r="CM243" s="3604"/>
      <c r="CN243" s="3604"/>
      <c r="CO243" s="3604"/>
      <c r="CP243" s="3604"/>
      <c r="CQ243" s="3604"/>
      <c r="CR243" s="3604"/>
      <c r="CS243" s="3604"/>
      <c r="CT243" s="3604"/>
      <c r="CU243" s="3604"/>
      <c r="CV243" s="3604"/>
      <c r="CW243" s="3604"/>
      <c r="CX243" s="3604"/>
      <c r="CY243" s="3604"/>
      <c r="CZ243" s="3604"/>
      <c r="DA243" s="3604"/>
      <c r="DB243" s="3604"/>
      <c r="DC243" s="3604"/>
      <c r="DD243" s="3604"/>
      <c r="DE243" s="3604"/>
      <c r="DF243" s="3604"/>
      <c r="DG243" s="3604"/>
      <c r="DH243" s="3604"/>
      <c r="DI243" s="3604"/>
      <c r="DJ243" s="3604"/>
      <c r="DK243" s="3604"/>
      <c r="DL243" s="3604"/>
      <c r="DM243" s="3604"/>
      <c r="DN243" s="3604"/>
      <c r="DO243" s="3604"/>
      <c r="DP243" s="3604"/>
      <c r="DQ243" s="3604"/>
      <c r="DR243" s="3604"/>
      <c r="DS243" s="3604"/>
      <c r="DT243" s="3604"/>
      <c r="DU243" s="3604"/>
      <c r="DV243" s="3604"/>
      <c r="DW243" s="3604"/>
      <c r="DX243" s="3604"/>
      <c r="DY243" s="3604"/>
      <c r="DZ243" s="3604"/>
      <c r="EA243" s="3604"/>
      <c r="EB243" s="3604"/>
      <c r="EC243" s="3604"/>
      <c r="ED243" s="3604"/>
      <c r="EE243" s="3604"/>
      <c r="EF243" s="3604"/>
      <c r="EG243" s="3604"/>
      <c r="EH243" s="3604"/>
      <c r="EI243" s="3604"/>
      <c r="EJ243" s="3604"/>
      <c r="EK243" s="3604"/>
      <c r="EL243" s="3604"/>
      <c r="EM243" s="3604"/>
      <c r="EN243" s="3604"/>
      <c r="EO243" s="3604"/>
      <c r="EP243" s="3604"/>
      <c r="EQ243" s="3604"/>
      <c r="ER243" s="3604"/>
      <c r="ES243" s="3604"/>
      <c r="ET243" s="3604"/>
      <c r="EU243" s="3604"/>
      <c r="EV243" s="3604"/>
      <c r="EW243" s="3604"/>
      <c r="EX243" s="3604"/>
      <c r="EY243" s="3604"/>
      <c r="EZ243" s="3604"/>
      <c r="FA243" s="3604"/>
      <c r="FB243" s="3604"/>
      <c r="FC243" s="3604"/>
      <c r="FD243" s="3604"/>
      <c r="FE243" s="3604"/>
      <c r="FF243" s="3604"/>
      <c r="FG243" s="3604"/>
      <c r="FH243" s="3604"/>
      <c r="FI243" s="3604"/>
      <c r="FJ243" s="3604"/>
      <c r="FK243" s="3604"/>
      <c r="FL243" s="3604"/>
      <c r="FM243" s="3604"/>
      <c r="FN243" s="3604"/>
      <c r="FO243" s="3604"/>
      <c r="FP243" s="3604"/>
      <c r="FQ243" s="3604"/>
      <c r="FR243" s="3604"/>
      <c r="FS243" s="3604"/>
      <c r="FT243" s="3604"/>
      <c r="FU243" s="3604"/>
      <c r="FV243" s="3604"/>
      <c r="FW243" s="3604"/>
      <c r="FX243" s="3604"/>
      <c r="FY243" s="3604"/>
      <c r="FZ243" s="3604"/>
      <c r="GA243" s="3604"/>
      <c r="GB243" s="3604"/>
      <c r="GC243" s="3604"/>
      <c r="GD243" s="3604"/>
      <c r="GE243" s="3604"/>
      <c r="GF243" s="3604"/>
      <c r="GG243" s="3604"/>
      <c r="GH243" s="3604"/>
      <c r="GI243" s="3604"/>
      <c r="GJ243" s="3604"/>
      <c r="GK243" s="3604"/>
      <c r="GL243" s="3604"/>
      <c r="GM243" s="3604"/>
      <c r="GN243" s="3604"/>
      <c r="GO243" s="3604"/>
      <c r="GP243" s="3604"/>
      <c r="GQ243" s="3604"/>
      <c r="GR243" s="3604"/>
      <c r="GS243" s="3604"/>
      <c r="GT243" s="3604"/>
      <c r="GU243" s="3604"/>
      <c r="GV243" s="3604"/>
      <c r="GW243" s="3604"/>
      <c r="GX243" s="3604"/>
      <c r="GY243" s="3604"/>
      <c r="GZ243" s="3604"/>
      <c r="HA243" s="3604"/>
      <c r="HB243" s="3604"/>
      <c r="HC243" s="3604"/>
      <c r="HD243" s="3604"/>
      <c r="HE243" s="3604"/>
      <c r="HF243" s="3604"/>
      <c r="HG243" s="3604"/>
      <c r="HH243" s="3604"/>
      <c r="HI243" s="3604"/>
      <c r="HJ243" s="3604"/>
      <c r="HK243" s="3604"/>
      <c r="HL243" s="3604"/>
      <c r="HM243" s="3604"/>
      <c r="HN243" s="3604"/>
      <c r="HO243" s="3604"/>
      <c r="HP243" s="3604"/>
      <c r="HQ243" s="3604"/>
      <c r="HR243" s="3604"/>
      <c r="HS243" s="3604"/>
      <c r="HT243" s="3604"/>
      <c r="HU243" s="3604"/>
      <c r="HV243" s="3604"/>
      <c r="HW243" s="3604"/>
      <c r="HX243" s="3604"/>
      <c r="HY243" s="3604"/>
      <c r="HZ243" s="3604"/>
      <c r="IA243" s="3604"/>
      <c r="IB243" s="3604"/>
      <c r="IC243" s="3604"/>
      <c r="ID243" s="3604"/>
      <c r="IE243" s="3604"/>
      <c r="IF243" s="3604"/>
      <c r="IG243" s="3604"/>
      <c r="IH243" s="3604"/>
      <c r="II243" s="3604"/>
      <c r="IJ243" s="3604"/>
      <c r="IK243" s="3604"/>
      <c r="IL243" s="3604"/>
      <c r="IM243" s="3604"/>
      <c r="IN243" s="3604"/>
      <c r="IO243" s="3604"/>
      <c r="IP243" s="3604"/>
      <c r="IQ243" s="3604"/>
      <c r="IR243" s="3604"/>
      <c r="IS243" s="3604"/>
    </row>
    <row r="244" spans="1:253" s="3617" customFormat="1" hidden="1">
      <c r="A244" s="3453" t="s">
        <v>5514</v>
      </c>
      <c r="B244" s="3470" t="s">
        <v>5515</v>
      </c>
      <c r="C244" s="3481" t="s">
        <v>5516</v>
      </c>
      <c r="D244" s="3481" t="s">
        <v>5517</v>
      </c>
      <c r="E244" s="3470" t="s">
        <v>3558</v>
      </c>
      <c r="F244" s="3470" t="s">
        <v>4403</v>
      </c>
      <c r="G244" s="3470" t="s">
        <v>3568</v>
      </c>
      <c r="H244" s="3470" t="s">
        <v>4901</v>
      </c>
      <c r="I244" s="3470" t="s">
        <v>5518</v>
      </c>
      <c r="J244" s="3481" t="s">
        <v>3474</v>
      </c>
      <c r="K244" s="3470" t="s">
        <v>4406</v>
      </c>
      <c r="L244" s="3470">
        <v>129.18</v>
      </c>
      <c r="M244" s="3470">
        <v>5</v>
      </c>
      <c r="N244" s="3470" t="s">
        <v>3488</v>
      </c>
      <c r="O244" s="3470">
        <v>115.83</v>
      </c>
      <c r="P244" s="3470" t="s">
        <v>3452</v>
      </c>
      <c r="Q244" s="3457">
        <v>635565.6</v>
      </c>
      <c r="R244" s="3470">
        <v>4920</v>
      </c>
      <c r="S244" s="3472">
        <v>62.91</v>
      </c>
      <c r="T244" s="3527">
        <v>629100</v>
      </c>
      <c r="U244" s="3470">
        <v>4870</v>
      </c>
      <c r="V244" s="3474">
        <v>0.1</v>
      </c>
      <c r="W244" s="3475">
        <v>56.61</v>
      </c>
      <c r="X244" s="3473">
        <v>566100</v>
      </c>
      <c r="Y244" s="3441">
        <v>2003</v>
      </c>
      <c r="Z244" s="3441">
        <v>4</v>
      </c>
      <c r="AA244" s="3441">
        <v>3</v>
      </c>
      <c r="AB244" s="3477">
        <v>3145</v>
      </c>
      <c r="AC244" s="3470" t="s">
        <v>4102</v>
      </c>
      <c r="AD244" s="3485"/>
      <c r="AE244" s="3441" t="s">
        <v>3663</v>
      </c>
      <c r="AF244" s="3470" t="s">
        <v>3728</v>
      </c>
      <c r="AG244" s="3522" t="s">
        <v>3466</v>
      </c>
      <c r="AH244" s="3485"/>
      <c r="AI244" s="3470" t="s">
        <v>3679</v>
      </c>
      <c r="AJ244" s="3523">
        <v>37833</v>
      </c>
      <c r="AK244" s="3548">
        <v>4</v>
      </c>
      <c r="AL244" s="3441">
        <v>67641700</v>
      </c>
      <c r="AM244" s="3441"/>
      <c r="AN244" s="3480" t="s">
        <v>3456</v>
      </c>
      <c r="AO244" s="3470" t="s">
        <v>5519</v>
      </c>
      <c r="AP244" s="3441" t="s">
        <v>3721</v>
      </c>
      <c r="AQ244" s="3441" t="s">
        <v>3571</v>
      </c>
      <c r="AR244" s="3441"/>
      <c r="AS244" s="3441"/>
      <c r="AT244" s="3441"/>
      <c r="AU244" s="3441"/>
      <c r="AV244" s="3441"/>
      <c r="AW244" s="3441" t="s">
        <v>3572</v>
      </c>
      <c r="AX244" s="3441" t="s">
        <v>3568</v>
      </c>
      <c r="AY244" s="3524" t="s">
        <v>5520</v>
      </c>
      <c r="AZ244" s="3441" t="s">
        <v>4406</v>
      </c>
      <c r="BA244" s="3441" t="s">
        <v>4409</v>
      </c>
      <c r="BB244" s="3524" t="s">
        <v>4410</v>
      </c>
      <c r="BC244" s="3441" t="s">
        <v>4411</v>
      </c>
      <c r="BD244" s="3525" t="s">
        <v>3568</v>
      </c>
      <c r="BE244" s="3441">
        <v>68152860</v>
      </c>
      <c r="BF244" s="3526">
        <v>2.8</v>
      </c>
      <c r="BG244" s="3518">
        <v>37650</v>
      </c>
      <c r="BH244" s="3441" t="s">
        <v>4412</v>
      </c>
      <c r="BI244" s="3486" t="s">
        <v>3721</v>
      </c>
      <c r="BJ244" s="3484">
        <v>37711</v>
      </c>
      <c r="BK244" s="3484"/>
      <c r="BL244" s="3470" t="s">
        <v>3670</v>
      </c>
      <c r="BM244" s="3441"/>
      <c r="BN244" s="3441"/>
      <c r="BO244" s="3441"/>
      <c r="BP244" s="3441"/>
      <c r="BQ244" s="3441"/>
      <c r="BR244" s="3441"/>
      <c r="BS244" s="3470"/>
      <c r="BT244" s="3470"/>
      <c r="BU244" s="3470"/>
      <c r="BV244" s="3618"/>
      <c r="BW244" s="3618"/>
      <c r="BX244" s="3618"/>
      <c r="BY244" s="3618"/>
      <c r="BZ244" s="3618"/>
      <c r="CA244" s="3618"/>
      <c r="CB244" s="3618"/>
      <c r="CC244" s="3618"/>
      <c r="CD244" s="3618"/>
      <c r="CE244" s="3618"/>
      <c r="CF244" s="3618"/>
      <c r="CG244" s="3618"/>
      <c r="CH244" s="3618"/>
      <c r="CI244" s="3618"/>
      <c r="CJ244" s="3618"/>
      <c r="CK244" s="3618"/>
      <c r="CL244" s="3618"/>
      <c r="CM244" s="3618"/>
      <c r="CN244" s="3618"/>
      <c r="CO244" s="3618"/>
      <c r="CP244" s="3618"/>
      <c r="CQ244" s="3618"/>
      <c r="CR244" s="3618"/>
      <c r="CS244" s="3618"/>
      <c r="CT244" s="3618"/>
      <c r="CU244" s="3618"/>
      <c r="CV244" s="3618"/>
      <c r="CW244" s="3618"/>
      <c r="CX244" s="3618"/>
      <c r="CY244" s="3618"/>
      <c r="CZ244" s="3618"/>
      <c r="DA244" s="3618"/>
      <c r="DB244" s="3618"/>
      <c r="DC244" s="3618"/>
      <c r="DD244" s="3618"/>
      <c r="DE244" s="3618"/>
      <c r="DF244" s="3618"/>
      <c r="DG244" s="3618"/>
      <c r="DH244" s="3618"/>
      <c r="DI244" s="3618"/>
      <c r="DJ244" s="3618"/>
      <c r="DK244" s="3618"/>
      <c r="DL244" s="3618"/>
      <c r="DM244" s="3618"/>
      <c r="DN244" s="3618"/>
      <c r="DO244" s="3618"/>
      <c r="DP244" s="3618"/>
      <c r="DQ244" s="3618"/>
      <c r="DR244" s="3618"/>
      <c r="DS244" s="3618"/>
      <c r="DT244" s="3618"/>
      <c r="DU244" s="3618"/>
      <c r="DV244" s="3618"/>
      <c r="DW244" s="3618"/>
      <c r="DX244" s="3618"/>
      <c r="DY244" s="3618"/>
      <c r="DZ244" s="3618"/>
      <c r="EA244" s="3618"/>
      <c r="EB244" s="3618"/>
      <c r="EC244" s="3618"/>
      <c r="ED244" s="3618"/>
      <c r="EE244" s="3618"/>
      <c r="EF244" s="3618"/>
      <c r="EG244" s="3618"/>
      <c r="EH244" s="3618"/>
      <c r="EI244" s="3618"/>
      <c r="EJ244" s="3618"/>
      <c r="EK244" s="3618"/>
      <c r="EL244" s="3618"/>
      <c r="EM244" s="3618"/>
      <c r="EN244" s="3618"/>
      <c r="EO244" s="3618"/>
      <c r="EP244" s="3618"/>
      <c r="EQ244" s="3618"/>
      <c r="ER244" s="3618"/>
      <c r="ES244" s="3618"/>
      <c r="ET244" s="3618"/>
      <c r="EU244" s="3618"/>
      <c r="EV244" s="3618"/>
      <c r="EW244" s="3618"/>
      <c r="EX244" s="3618"/>
      <c r="EY244" s="3618"/>
      <c r="EZ244" s="3618"/>
      <c r="FA244" s="3618"/>
      <c r="FB244" s="3618"/>
      <c r="FC244" s="3618"/>
      <c r="FD244" s="3618"/>
      <c r="FE244" s="3618"/>
      <c r="FF244" s="3618"/>
      <c r="FG244" s="3618"/>
      <c r="FH244" s="3618"/>
      <c r="FI244" s="3618"/>
      <c r="FJ244" s="3618"/>
      <c r="FK244" s="3618"/>
      <c r="FL244" s="3618"/>
      <c r="FM244" s="3618"/>
      <c r="FN244" s="3618"/>
      <c r="FO244" s="3618"/>
      <c r="FP244" s="3618"/>
      <c r="FQ244" s="3618"/>
      <c r="FR244" s="3618"/>
      <c r="FS244" s="3618"/>
      <c r="FT244" s="3618"/>
      <c r="FU244" s="3618"/>
      <c r="FV244" s="3618"/>
      <c r="FW244" s="3618"/>
      <c r="FX244" s="3618"/>
      <c r="FY244" s="3618"/>
      <c r="FZ244" s="3618"/>
      <c r="GA244" s="3618"/>
      <c r="GB244" s="3618"/>
      <c r="GC244" s="3618"/>
      <c r="GD244" s="3618"/>
      <c r="GE244" s="3618"/>
      <c r="GF244" s="3618"/>
      <c r="GG244" s="3618"/>
      <c r="GH244" s="3618"/>
      <c r="GI244" s="3618"/>
      <c r="GJ244" s="3618"/>
      <c r="GK244" s="3618"/>
      <c r="GL244" s="3618"/>
      <c r="GM244" s="3618"/>
      <c r="GN244" s="3618"/>
      <c r="GO244" s="3618"/>
      <c r="GP244" s="3618"/>
      <c r="GQ244" s="3618"/>
      <c r="GR244" s="3618"/>
      <c r="GS244" s="3618"/>
      <c r="GT244" s="3618"/>
      <c r="GU244" s="3618"/>
      <c r="GV244" s="3618"/>
      <c r="GW244" s="3618"/>
      <c r="GX244" s="3618"/>
      <c r="GY244" s="3618"/>
      <c r="GZ244" s="3618"/>
      <c r="HA244" s="3618"/>
      <c r="HB244" s="3618"/>
      <c r="HC244" s="3618"/>
      <c r="HD244" s="3618"/>
      <c r="HE244" s="3618"/>
      <c r="HF244" s="3618"/>
      <c r="HG244" s="3618"/>
      <c r="HH244" s="3618"/>
      <c r="HI244" s="3618"/>
      <c r="HJ244" s="3618"/>
      <c r="HK244" s="3618"/>
      <c r="HL244" s="3618"/>
      <c r="HM244" s="3618"/>
      <c r="HN244" s="3618"/>
      <c r="HO244" s="3618"/>
      <c r="HP244" s="3618"/>
      <c r="HQ244" s="3618"/>
      <c r="HR244" s="3618"/>
      <c r="HS244" s="3618"/>
      <c r="HT244" s="3618"/>
      <c r="HU244" s="3618"/>
      <c r="HV244" s="3618"/>
      <c r="HW244" s="3618"/>
      <c r="HX244" s="3618"/>
      <c r="HY244" s="3618"/>
      <c r="HZ244" s="3618"/>
      <c r="IA244" s="3618"/>
      <c r="IB244" s="3618"/>
      <c r="IC244" s="3618"/>
      <c r="ID244" s="3618"/>
      <c r="IE244" s="3618"/>
      <c r="IF244" s="3618"/>
      <c r="IG244" s="3618"/>
      <c r="IH244" s="3618"/>
      <c r="II244" s="3618"/>
      <c r="IJ244" s="3618"/>
      <c r="IK244" s="3618"/>
      <c r="IL244" s="3618"/>
      <c r="IM244" s="3618"/>
      <c r="IN244" s="3618"/>
      <c r="IO244" s="3618"/>
      <c r="IP244" s="3618"/>
      <c r="IQ244" s="3618"/>
      <c r="IR244" s="3618"/>
      <c r="IS244" s="3618"/>
    </row>
    <row r="245" spans="1:253" s="3604" customFormat="1" ht="12" hidden="1">
      <c r="A245" s="3453" t="s">
        <v>5521</v>
      </c>
      <c r="B245" s="3470" t="s">
        <v>5522</v>
      </c>
      <c r="C245" s="3481" t="s">
        <v>5523</v>
      </c>
      <c r="D245" s="3481" t="s">
        <v>5524</v>
      </c>
      <c r="E245" s="3470" t="s">
        <v>3558</v>
      </c>
      <c r="F245" s="3470" t="s">
        <v>4403</v>
      </c>
      <c r="G245" s="3470" t="s">
        <v>3568</v>
      </c>
      <c r="H245" s="3470" t="s">
        <v>5419</v>
      </c>
      <c r="I245" s="3470" t="s">
        <v>4943</v>
      </c>
      <c r="J245" s="3481" t="s">
        <v>4325</v>
      </c>
      <c r="K245" s="3470" t="s">
        <v>4406</v>
      </c>
      <c r="L245" s="3470">
        <v>106.91</v>
      </c>
      <c r="M245" s="3470">
        <v>5</v>
      </c>
      <c r="N245" s="3470" t="s">
        <v>3661</v>
      </c>
      <c r="O245" s="3470">
        <v>95.13</v>
      </c>
      <c r="P245" s="3470" t="s">
        <v>3452</v>
      </c>
      <c r="Q245" s="3457">
        <v>564484.79999999993</v>
      </c>
      <c r="R245" s="3470">
        <v>5280</v>
      </c>
      <c r="S245" s="3472">
        <v>55.91</v>
      </c>
      <c r="T245" s="3527">
        <v>559100</v>
      </c>
      <c r="U245" s="3470">
        <v>5230</v>
      </c>
      <c r="V245" s="3474">
        <v>0.1</v>
      </c>
      <c r="W245" s="3475">
        <v>50.31</v>
      </c>
      <c r="X245" s="3473">
        <v>503100</v>
      </c>
      <c r="Y245" s="3441">
        <v>2003</v>
      </c>
      <c r="Z245" s="3441">
        <v>5</v>
      </c>
      <c r="AA245" s="3470">
        <v>13</v>
      </c>
      <c r="AB245" s="3477">
        <v>2795</v>
      </c>
      <c r="AC245" s="3453" t="s">
        <v>4102</v>
      </c>
      <c r="AD245" s="3485"/>
      <c r="AE245" s="3441" t="s">
        <v>3663</v>
      </c>
      <c r="AF245" s="3470" t="s">
        <v>3728</v>
      </c>
      <c r="AG245" s="3522" t="s">
        <v>3466</v>
      </c>
      <c r="AH245" s="3485"/>
      <c r="AI245" s="3470" t="s">
        <v>3664</v>
      </c>
      <c r="AJ245" s="3523">
        <v>37833</v>
      </c>
      <c r="AK245" s="3548">
        <v>5</v>
      </c>
      <c r="AL245" s="3441">
        <v>67641700</v>
      </c>
      <c r="AM245" s="3441"/>
      <c r="AN245" s="3470" t="s">
        <v>3695</v>
      </c>
      <c r="AO245" s="3470" t="s">
        <v>5525</v>
      </c>
      <c r="AP245" s="3441" t="s">
        <v>3476</v>
      </c>
      <c r="AQ245" s="3441" t="s">
        <v>3571</v>
      </c>
      <c r="AR245" s="3441"/>
      <c r="AS245" s="3441"/>
      <c r="AT245" s="3441"/>
      <c r="AU245" s="3441"/>
      <c r="AV245" s="3441"/>
      <c r="AW245" s="3441" t="s">
        <v>3572</v>
      </c>
      <c r="AX245" s="3441" t="s">
        <v>3568</v>
      </c>
      <c r="AY245" s="3524" t="s">
        <v>5526</v>
      </c>
      <c r="AZ245" s="3441" t="s">
        <v>4406</v>
      </c>
      <c r="BA245" s="3441" t="s">
        <v>4409</v>
      </c>
      <c r="BB245" s="3524" t="s">
        <v>4410</v>
      </c>
      <c r="BC245" s="3441" t="s">
        <v>4411</v>
      </c>
      <c r="BD245" s="3525" t="s">
        <v>3568</v>
      </c>
      <c r="BE245" s="3441">
        <v>68152860</v>
      </c>
      <c r="BF245" s="3526">
        <v>2.8</v>
      </c>
      <c r="BG245" s="3518">
        <v>37644</v>
      </c>
      <c r="BH245" s="3441" t="s">
        <v>4412</v>
      </c>
      <c r="BI245" s="3470" t="s">
        <v>3476</v>
      </c>
      <c r="BJ245" s="3514">
        <v>37733</v>
      </c>
      <c r="BK245" s="3484"/>
      <c r="BL245" s="3470" t="s">
        <v>3670</v>
      </c>
      <c r="BM245" s="3441"/>
      <c r="BN245" s="3441"/>
      <c r="BO245" s="3441"/>
      <c r="BP245" s="3441"/>
      <c r="BQ245" s="3441"/>
      <c r="BR245" s="3441"/>
      <c r="BS245" s="3470"/>
      <c r="BT245" s="3470"/>
      <c r="BU245" s="3470"/>
    </row>
    <row r="246" spans="1:253" s="3617" customFormat="1" hidden="1">
      <c r="A246" s="3453" t="s">
        <v>5527</v>
      </c>
      <c r="B246" s="3470" t="s">
        <v>5528</v>
      </c>
      <c r="C246" s="3481" t="s">
        <v>5529</v>
      </c>
      <c r="D246" s="3481" t="s">
        <v>5530</v>
      </c>
      <c r="E246" s="3470" t="s">
        <v>3558</v>
      </c>
      <c r="F246" s="3470" t="s">
        <v>4403</v>
      </c>
      <c r="G246" s="3470" t="s">
        <v>3568</v>
      </c>
      <c r="H246" s="3470" t="s">
        <v>4465</v>
      </c>
      <c r="I246" s="3470" t="s">
        <v>4548</v>
      </c>
      <c r="J246" s="3481" t="s">
        <v>3871</v>
      </c>
      <c r="K246" s="3470" t="s">
        <v>4406</v>
      </c>
      <c r="L246" s="3470">
        <v>129.18</v>
      </c>
      <c r="M246" s="3470">
        <v>4</v>
      </c>
      <c r="N246" s="3470" t="s">
        <v>3488</v>
      </c>
      <c r="O246" s="3470">
        <v>115.83</v>
      </c>
      <c r="P246" s="3470" t="s">
        <v>3452</v>
      </c>
      <c r="Q246" s="3457">
        <v>648483.6</v>
      </c>
      <c r="R246" s="3470">
        <v>5020</v>
      </c>
      <c r="S246" s="3472">
        <v>64.2</v>
      </c>
      <c r="T246" s="3527">
        <v>642000</v>
      </c>
      <c r="U246" s="3470">
        <v>4970</v>
      </c>
      <c r="V246" s="3474">
        <v>0.1</v>
      </c>
      <c r="W246" s="3475">
        <v>57.78</v>
      </c>
      <c r="X246" s="3473">
        <v>577800</v>
      </c>
      <c r="Y246" s="3441">
        <v>2003</v>
      </c>
      <c r="Z246" s="3441">
        <v>4</v>
      </c>
      <c r="AA246" s="3441">
        <v>3</v>
      </c>
      <c r="AB246" s="3477">
        <v>3210</v>
      </c>
      <c r="AC246" s="3470" t="s">
        <v>4102</v>
      </c>
      <c r="AD246" s="3485"/>
      <c r="AE246" s="3441" t="s">
        <v>3663</v>
      </c>
      <c r="AF246" s="3470" t="s">
        <v>3728</v>
      </c>
      <c r="AG246" s="3522" t="s">
        <v>3466</v>
      </c>
      <c r="AH246" s="3485"/>
      <c r="AI246" s="3470" t="s">
        <v>3679</v>
      </c>
      <c r="AJ246" s="3523">
        <v>37833</v>
      </c>
      <c r="AK246" s="3548">
        <v>4</v>
      </c>
      <c r="AL246" s="3441">
        <v>67641700</v>
      </c>
      <c r="AM246" s="3441"/>
      <c r="AN246" s="3480" t="s">
        <v>3635</v>
      </c>
      <c r="AO246" s="3470" t="s">
        <v>5531</v>
      </c>
      <c r="AP246" s="3441" t="s">
        <v>3896</v>
      </c>
      <c r="AQ246" s="3441" t="s">
        <v>3571</v>
      </c>
      <c r="AR246" s="3441"/>
      <c r="AS246" s="3441"/>
      <c r="AT246" s="3441"/>
      <c r="AU246" s="3441"/>
      <c r="AV246" s="3441"/>
      <c r="AW246" s="3441" t="s">
        <v>3572</v>
      </c>
      <c r="AX246" s="3441" t="s">
        <v>3568</v>
      </c>
      <c r="AY246" s="3524" t="s">
        <v>5532</v>
      </c>
      <c r="AZ246" s="3441" t="s">
        <v>4406</v>
      </c>
      <c r="BA246" s="3441" t="s">
        <v>4409</v>
      </c>
      <c r="BB246" s="3524" t="s">
        <v>4410</v>
      </c>
      <c r="BC246" s="3441" t="s">
        <v>4411</v>
      </c>
      <c r="BD246" s="3525" t="s">
        <v>3568</v>
      </c>
      <c r="BE246" s="3441">
        <v>68152860</v>
      </c>
      <c r="BF246" s="3526">
        <v>2.8</v>
      </c>
      <c r="BG246" s="3518">
        <v>37650</v>
      </c>
      <c r="BH246" s="3441" t="s">
        <v>4412</v>
      </c>
      <c r="BI246" s="3486" t="s">
        <v>3713</v>
      </c>
      <c r="BJ246" s="3484">
        <v>37711</v>
      </c>
      <c r="BK246" s="3484"/>
      <c r="BL246" s="3470" t="s">
        <v>3670</v>
      </c>
      <c r="BM246" s="3441"/>
      <c r="BN246" s="3441"/>
      <c r="BO246" s="3441"/>
      <c r="BP246" s="3441"/>
      <c r="BQ246" s="3441"/>
      <c r="BR246" s="3441"/>
      <c r="BS246" s="3470"/>
      <c r="BT246" s="3470"/>
      <c r="BU246" s="3470"/>
      <c r="BV246" s="3604"/>
      <c r="BW246" s="3604"/>
      <c r="BX246" s="3604"/>
      <c r="BY246" s="3604"/>
      <c r="BZ246" s="3604"/>
      <c r="CA246" s="3604"/>
      <c r="CB246" s="3604"/>
      <c r="CC246" s="3604"/>
      <c r="CD246" s="3604"/>
      <c r="CE246" s="3604"/>
      <c r="CF246" s="3604"/>
      <c r="CG246" s="3604"/>
      <c r="CH246" s="3604"/>
      <c r="CI246" s="3604"/>
      <c r="CJ246" s="3604"/>
      <c r="CK246" s="3604"/>
      <c r="CL246" s="3604"/>
      <c r="CM246" s="3604"/>
      <c r="CN246" s="3604"/>
      <c r="CO246" s="3604"/>
      <c r="CP246" s="3604"/>
      <c r="CQ246" s="3604"/>
      <c r="CR246" s="3604"/>
      <c r="CS246" s="3604"/>
      <c r="CT246" s="3604"/>
      <c r="CU246" s="3604"/>
      <c r="CV246" s="3604"/>
      <c r="CW246" s="3604"/>
      <c r="CX246" s="3604"/>
      <c r="CY246" s="3604"/>
      <c r="CZ246" s="3604"/>
      <c r="DA246" s="3604"/>
      <c r="DB246" s="3604"/>
      <c r="DC246" s="3604"/>
      <c r="DD246" s="3604"/>
      <c r="DE246" s="3604"/>
      <c r="DF246" s="3604"/>
      <c r="DG246" s="3604"/>
      <c r="DH246" s="3604"/>
      <c r="DI246" s="3604"/>
      <c r="DJ246" s="3604"/>
      <c r="DK246" s="3604"/>
      <c r="DL246" s="3604"/>
      <c r="DM246" s="3604"/>
      <c r="DN246" s="3604"/>
      <c r="DO246" s="3604"/>
      <c r="DP246" s="3604"/>
      <c r="DQ246" s="3604"/>
      <c r="DR246" s="3604"/>
      <c r="DS246" s="3604"/>
      <c r="DT246" s="3604"/>
      <c r="DU246" s="3604"/>
      <c r="DV246" s="3604"/>
      <c r="DW246" s="3604"/>
      <c r="DX246" s="3604"/>
      <c r="DY246" s="3604"/>
      <c r="DZ246" s="3604"/>
      <c r="EA246" s="3604"/>
      <c r="EB246" s="3604"/>
      <c r="EC246" s="3604"/>
      <c r="ED246" s="3604"/>
      <c r="EE246" s="3604"/>
      <c r="EF246" s="3604"/>
      <c r="EG246" s="3604"/>
      <c r="EH246" s="3604"/>
      <c r="EI246" s="3604"/>
      <c r="EJ246" s="3604"/>
      <c r="EK246" s="3604"/>
      <c r="EL246" s="3604"/>
      <c r="EM246" s="3604"/>
      <c r="EN246" s="3604"/>
      <c r="EO246" s="3604"/>
      <c r="EP246" s="3604"/>
      <c r="EQ246" s="3604"/>
      <c r="ER246" s="3604"/>
      <c r="ES246" s="3604"/>
      <c r="ET246" s="3604"/>
      <c r="EU246" s="3604"/>
      <c r="EV246" s="3604"/>
      <c r="EW246" s="3604"/>
      <c r="EX246" s="3604"/>
      <c r="EY246" s="3604"/>
      <c r="EZ246" s="3604"/>
      <c r="FA246" s="3604"/>
      <c r="FB246" s="3604"/>
      <c r="FC246" s="3604"/>
      <c r="FD246" s="3604"/>
      <c r="FE246" s="3604"/>
      <c r="FF246" s="3604"/>
      <c r="FG246" s="3604"/>
      <c r="FH246" s="3604"/>
      <c r="FI246" s="3604"/>
      <c r="FJ246" s="3604"/>
      <c r="FK246" s="3604"/>
      <c r="FL246" s="3604"/>
      <c r="FM246" s="3604"/>
      <c r="FN246" s="3604"/>
      <c r="FO246" s="3604"/>
      <c r="FP246" s="3604"/>
      <c r="FQ246" s="3604"/>
      <c r="FR246" s="3604"/>
      <c r="FS246" s="3604"/>
      <c r="FT246" s="3604"/>
      <c r="FU246" s="3604"/>
      <c r="FV246" s="3604"/>
      <c r="FW246" s="3604"/>
      <c r="FX246" s="3604"/>
      <c r="FY246" s="3604"/>
      <c r="FZ246" s="3604"/>
      <c r="GA246" s="3604"/>
      <c r="GB246" s="3604"/>
      <c r="GC246" s="3604"/>
      <c r="GD246" s="3604"/>
      <c r="GE246" s="3604"/>
      <c r="GF246" s="3604"/>
      <c r="GG246" s="3604"/>
      <c r="GH246" s="3604"/>
      <c r="GI246" s="3604"/>
      <c r="GJ246" s="3604"/>
      <c r="GK246" s="3604"/>
      <c r="GL246" s="3604"/>
      <c r="GM246" s="3604"/>
      <c r="GN246" s="3604"/>
      <c r="GO246" s="3604"/>
      <c r="GP246" s="3604"/>
      <c r="GQ246" s="3604"/>
      <c r="GR246" s="3604"/>
      <c r="GS246" s="3604"/>
      <c r="GT246" s="3604"/>
      <c r="GU246" s="3604"/>
      <c r="GV246" s="3604"/>
      <c r="GW246" s="3604"/>
      <c r="GX246" s="3604"/>
      <c r="GY246" s="3604"/>
      <c r="GZ246" s="3604"/>
      <c r="HA246" s="3604"/>
      <c r="HB246" s="3604"/>
      <c r="HC246" s="3604"/>
      <c r="HD246" s="3604"/>
      <c r="HE246" s="3604"/>
      <c r="HF246" s="3604"/>
      <c r="HG246" s="3604"/>
      <c r="HH246" s="3604"/>
      <c r="HI246" s="3604"/>
      <c r="HJ246" s="3604"/>
      <c r="HK246" s="3604"/>
      <c r="HL246" s="3604"/>
      <c r="HM246" s="3604"/>
      <c r="HN246" s="3604"/>
      <c r="HO246" s="3604"/>
      <c r="HP246" s="3604"/>
      <c r="HQ246" s="3604"/>
      <c r="HR246" s="3604"/>
      <c r="HS246" s="3604"/>
      <c r="HT246" s="3604"/>
      <c r="HU246" s="3604"/>
      <c r="HV246" s="3604"/>
      <c r="HW246" s="3604"/>
      <c r="HX246" s="3604"/>
      <c r="HY246" s="3604"/>
      <c r="HZ246" s="3604"/>
      <c r="IA246" s="3604"/>
      <c r="IB246" s="3604"/>
      <c r="IC246" s="3604"/>
      <c r="ID246" s="3604"/>
      <c r="IE246" s="3604"/>
      <c r="IF246" s="3604"/>
      <c r="IG246" s="3604"/>
      <c r="IH246" s="3604"/>
      <c r="II246" s="3604"/>
      <c r="IJ246" s="3604"/>
      <c r="IK246" s="3604"/>
      <c r="IL246" s="3604"/>
      <c r="IM246" s="3604"/>
      <c r="IN246" s="3604"/>
      <c r="IO246" s="3604"/>
      <c r="IP246" s="3604"/>
      <c r="IQ246" s="3604"/>
      <c r="IR246" s="3604"/>
      <c r="IS246" s="3604"/>
    </row>
    <row r="247" spans="1:253" s="3604" customFormat="1" ht="12" hidden="1">
      <c r="A247" s="3485" t="s">
        <v>5533</v>
      </c>
      <c r="B247" s="3470" t="s">
        <v>5534</v>
      </c>
      <c r="C247" s="3481" t="s">
        <v>5535</v>
      </c>
      <c r="D247" s="3481" t="s">
        <v>5536</v>
      </c>
      <c r="E247" s="3470" t="s">
        <v>2736</v>
      </c>
      <c r="F247" s="3528" t="s">
        <v>3990</v>
      </c>
      <c r="G247" s="3470"/>
      <c r="H247" s="3470" t="s">
        <v>5537</v>
      </c>
      <c r="I247" s="3470" t="s">
        <v>4041</v>
      </c>
      <c r="J247" s="3481" t="s">
        <v>3630</v>
      </c>
      <c r="K247" s="3470" t="s">
        <v>3647</v>
      </c>
      <c r="L247" s="3470">
        <v>115.05</v>
      </c>
      <c r="M247" s="3470">
        <v>6</v>
      </c>
      <c r="N247" s="3470" t="s">
        <v>3994</v>
      </c>
      <c r="O247" s="3470">
        <v>91.76</v>
      </c>
      <c r="P247" s="3470" t="s">
        <v>3452</v>
      </c>
      <c r="Q247" s="3457">
        <v>673042.5</v>
      </c>
      <c r="R247" s="3470">
        <v>5850</v>
      </c>
      <c r="S247" s="3472">
        <v>66.64</v>
      </c>
      <c r="T247" s="3527">
        <v>666400</v>
      </c>
      <c r="U247" s="3470">
        <v>5793</v>
      </c>
      <c r="V247" s="3474">
        <v>0.1</v>
      </c>
      <c r="W247" s="3475">
        <v>59.97</v>
      </c>
      <c r="X247" s="3494">
        <v>599700</v>
      </c>
      <c r="Y247" s="3441">
        <v>2003</v>
      </c>
      <c r="Z247" s="3495">
        <v>3</v>
      </c>
      <c r="AA247" s="3495">
        <v>3</v>
      </c>
      <c r="AB247" s="3485">
        <v>3330</v>
      </c>
      <c r="AC247" s="3470" t="s">
        <v>4044</v>
      </c>
      <c r="AD247" s="3485"/>
      <c r="AE247" s="3441" t="s">
        <v>2156</v>
      </c>
      <c r="AF247" s="3470" t="s">
        <v>3587</v>
      </c>
      <c r="AG247" s="3522" t="s">
        <v>3605</v>
      </c>
      <c r="AH247" s="3485"/>
      <c r="AI247" s="3456" t="s">
        <v>4834</v>
      </c>
      <c r="AJ247" s="3523">
        <v>37953</v>
      </c>
      <c r="AK247" s="3500" t="s">
        <v>3482</v>
      </c>
      <c r="AL247" s="3515">
        <v>67641700</v>
      </c>
      <c r="AM247" s="3441"/>
      <c r="AN247" s="3470" t="s">
        <v>3456</v>
      </c>
      <c r="AO247" s="3441" t="s">
        <v>5538</v>
      </c>
      <c r="AP247" s="3456" t="s">
        <v>3476</v>
      </c>
      <c r="AQ247" s="3469" t="s">
        <v>3571</v>
      </c>
      <c r="AR247" s="3441"/>
      <c r="AS247" s="3441"/>
      <c r="AT247" s="3441"/>
      <c r="AU247" s="3441"/>
      <c r="AV247" s="3441"/>
      <c r="AW247" s="3441" t="s">
        <v>3458</v>
      </c>
      <c r="AX247" s="3484" t="s">
        <v>3606</v>
      </c>
      <c r="AY247" s="3524" t="s">
        <v>5539</v>
      </c>
      <c r="AZ247" s="3470" t="s">
        <v>3638</v>
      </c>
      <c r="BA247" s="3441" t="s">
        <v>4327</v>
      </c>
      <c r="BB247" s="3524" t="s">
        <v>3640</v>
      </c>
      <c r="BC247" s="3441" t="s">
        <v>4436</v>
      </c>
      <c r="BD247" s="3525">
        <v>100088</v>
      </c>
      <c r="BE247" s="3441">
        <v>82058259</v>
      </c>
      <c r="BF247" s="3526">
        <v>2.9</v>
      </c>
      <c r="BG247" s="3518">
        <v>37538</v>
      </c>
      <c r="BH247" s="3441"/>
      <c r="BI247" s="3470" t="s">
        <v>3664</v>
      </c>
      <c r="BJ247" s="3518">
        <v>37675</v>
      </c>
      <c r="BK247" s="3484">
        <v>37680</v>
      </c>
      <c r="BL247" s="3470" t="s">
        <v>3670</v>
      </c>
      <c r="BM247" s="3441"/>
      <c r="BN247" s="3441"/>
      <c r="BO247" s="3441"/>
      <c r="BP247" s="3441"/>
      <c r="BQ247" s="3441"/>
      <c r="BR247" s="3441"/>
      <c r="BS247" s="3470"/>
      <c r="BT247" s="3470"/>
      <c r="BU247" s="3470"/>
      <c r="BV247" s="3441"/>
      <c r="BW247" s="3441"/>
      <c r="BX247" s="3441"/>
      <c r="BY247" s="3441"/>
      <c r="BZ247" s="3441"/>
      <c r="CA247" s="3441"/>
      <c r="CB247" s="3441"/>
      <c r="CC247" s="3441"/>
      <c r="CD247" s="3441"/>
      <c r="CE247" s="3441"/>
      <c r="CF247" s="3441"/>
      <c r="CG247" s="3441"/>
      <c r="CH247" s="3441"/>
      <c r="CI247" s="3441"/>
      <c r="CJ247" s="3441"/>
      <c r="CK247" s="3441"/>
      <c r="CL247" s="3441"/>
      <c r="CM247" s="3441"/>
      <c r="CN247" s="3441"/>
      <c r="CO247" s="3441"/>
      <c r="CP247" s="3441"/>
      <c r="CQ247" s="3441"/>
      <c r="CR247" s="3441"/>
      <c r="CS247" s="3441"/>
      <c r="CT247" s="3441"/>
      <c r="CU247" s="3441"/>
      <c r="CV247" s="3441"/>
      <c r="CW247" s="3441"/>
      <c r="CX247" s="3441"/>
      <c r="CY247" s="3441"/>
      <c r="CZ247" s="3441"/>
      <c r="DA247" s="3441"/>
      <c r="DB247" s="3441"/>
      <c r="DC247" s="3441"/>
      <c r="DD247" s="3441"/>
      <c r="DE247" s="3441"/>
      <c r="DF247" s="3441"/>
      <c r="DG247" s="3441"/>
      <c r="DH247" s="3441"/>
      <c r="DI247" s="3441"/>
      <c r="DJ247" s="3441"/>
      <c r="DK247" s="3441"/>
      <c r="DL247" s="3441"/>
      <c r="DM247" s="3441"/>
      <c r="DN247" s="3441"/>
      <c r="DO247" s="3441"/>
      <c r="DP247" s="3441"/>
      <c r="DQ247" s="3441"/>
      <c r="DR247" s="3441"/>
      <c r="DS247" s="3441"/>
      <c r="DT247" s="3441"/>
      <c r="DU247" s="3441"/>
      <c r="DV247" s="3441"/>
      <c r="DW247" s="3441"/>
      <c r="DX247" s="3441"/>
      <c r="DY247" s="3441"/>
      <c r="DZ247" s="3441"/>
      <c r="EA247" s="3441"/>
      <c r="EB247" s="3441"/>
      <c r="EC247" s="3441"/>
      <c r="ED247" s="3441"/>
      <c r="EE247" s="3441"/>
      <c r="EF247" s="3441"/>
      <c r="EG247" s="3441"/>
      <c r="EH247" s="3441"/>
      <c r="EI247" s="3441"/>
      <c r="EJ247" s="3441"/>
      <c r="EK247" s="3441"/>
      <c r="EL247" s="3441"/>
      <c r="EM247" s="3441"/>
      <c r="EN247" s="3441"/>
      <c r="EO247" s="3441"/>
      <c r="EP247" s="3441"/>
      <c r="EQ247" s="3441"/>
      <c r="ER247" s="3441"/>
      <c r="ES247" s="3441"/>
      <c r="ET247" s="3441"/>
      <c r="EU247" s="3441"/>
      <c r="EV247" s="3441"/>
      <c r="EW247" s="3441"/>
      <c r="EX247" s="3441"/>
      <c r="EY247" s="3441"/>
      <c r="EZ247" s="3441"/>
      <c r="FA247" s="3441"/>
      <c r="FB247" s="3441"/>
      <c r="FC247" s="3441"/>
      <c r="FD247" s="3441"/>
      <c r="FE247" s="3441"/>
      <c r="FF247" s="3441"/>
      <c r="FG247" s="3441"/>
      <c r="FH247" s="3441"/>
      <c r="FI247" s="3441"/>
      <c r="FJ247" s="3441"/>
      <c r="FK247" s="3441"/>
      <c r="FL247" s="3441"/>
      <c r="FM247" s="3441"/>
      <c r="FN247" s="3441"/>
      <c r="FO247" s="3441"/>
      <c r="FP247" s="3441"/>
      <c r="FQ247" s="3441"/>
      <c r="FR247" s="3441"/>
      <c r="FS247" s="3441"/>
      <c r="FT247" s="3441"/>
      <c r="FU247" s="3441"/>
      <c r="FV247" s="3441"/>
      <c r="FW247" s="3441"/>
      <c r="FX247" s="3441"/>
      <c r="FY247" s="3441"/>
      <c r="FZ247" s="3441"/>
      <c r="GA247" s="3441"/>
      <c r="GB247" s="3441"/>
      <c r="GC247" s="3441"/>
      <c r="GD247" s="3441"/>
      <c r="GE247" s="3441"/>
      <c r="GF247" s="3441"/>
      <c r="GG247" s="3441"/>
      <c r="GH247" s="3441"/>
      <c r="GI247" s="3441"/>
      <c r="GJ247" s="3441"/>
      <c r="GK247" s="3441"/>
      <c r="GL247" s="3441"/>
      <c r="GM247" s="3441"/>
      <c r="GN247" s="3441"/>
      <c r="GO247" s="3441"/>
      <c r="GP247" s="3441"/>
      <c r="GQ247" s="3441"/>
      <c r="GR247" s="3441"/>
      <c r="GS247" s="3441"/>
      <c r="GT247" s="3441"/>
      <c r="GU247" s="3441"/>
      <c r="GV247" s="3441"/>
      <c r="GW247" s="3441"/>
      <c r="GX247" s="3441"/>
      <c r="GY247" s="3441"/>
      <c r="GZ247" s="3441"/>
      <c r="HA247" s="3441"/>
      <c r="HB247" s="3441"/>
      <c r="HC247" s="3441"/>
      <c r="HD247" s="3441"/>
      <c r="HE247" s="3441"/>
      <c r="HF247" s="3441"/>
      <c r="HG247" s="3441"/>
      <c r="HH247" s="3441"/>
      <c r="HI247" s="3441"/>
      <c r="HJ247" s="3441"/>
      <c r="HK247" s="3441"/>
      <c r="HL247" s="3441"/>
      <c r="HM247" s="3441"/>
      <c r="HN247" s="3441"/>
      <c r="HO247" s="3441"/>
      <c r="HP247" s="3441"/>
      <c r="HQ247" s="3441"/>
      <c r="HR247" s="3441"/>
      <c r="HS247" s="3441"/>
      <c r="HT247" s="3441"/>
      <c r="HU247" s="3441"/>
      <c r="HV247" s="3441"/>
      <c r="HW247" s="3441"/>
      <c r="HX247" s="3441"/>
      <c r="HY247" s="3441"/>
      <c r="HZ247" s="3441"/>
      <c r="IA247" s="3441"/>
      <c r="IB247" s="3441"/>
      <c r="IC247" s="3441"/>
      <c r="ID247" s="3441"/>
      <c r="IE247" s="3441"/>
      <c r="IF247" s="3441"/>
      <c r="IG247" s="3441"/>
      <c r="IH247" s="3441"/>
      <c r="II247" s="3441"/>
      <c r="IJ247" s="3441"/>
      <c r="IK247" s="3441"/>
      <c r="IL247" s="3441"/>
      <c r="IM247" s="3441"/>
      <c r="IN247" s="3441"/>
      <c r="IO247" s="3441"/>
      <c r="IP247" s="3441"/>
      <c r="IQ247" s="3441"/>
      <c r="IR247" s="3441"/>
      <c r="IS247" s="3441"/>
    </row>
    <row r="248" spans="1:253" s="3605" customFormat="1" ht="12" hidden="1">
      <c r="A248" s="3470" t="s">
        <v>5540</v>
      </c>
      <c r="B248" s="3470" t="s">
        <v>5541</v>
      </c>
      <c r="C248" s="3454" t="s">
        <v>5542</v>
      </c>
      <c r="D248" s="3470">
        <v>13701112618</v>
      </c>
      <c r="E248" s="3470" t="s">
        <v>2736</v>
      </c>
      <c r="F248" s="3470" t="s">
        <v>4072</v>
      </c>
      <c r="G248" s="3470" t="s">
        <v>3715</v>
      </c>
      <c r="H248" s="3470" t="s">
        <v>4994</v>
      </c>
      <c r="I248" s="3453" t="s">
        <v>4217</v>
      </c>
      <c r="J248" s="3453" t="s">
        <v>3449</v>
      </c>
      <c r="K248" s="3470" t="s">
        <v>4175</v>
      </c>
      <c r="L248" s="3495">
        <v>70.97</v>
      </c>
      <c r="M248" s="3495">
        <v>4</v>
      </c>
      <c r="N248" s="3486" t="s">
        <v>3489</v>
      </c>
      <c r="O248" s="3495">
        <v>63.66</v>
      </c>
      <c r="P248" s="3470" t="s">
        <v>3452</v>
      </c>
      <c r="Q248" s="3457">
        <v>330720.2</v>
      </c>
      <c r="R248" s="3470">
        <v>4660</v>
      </c>
      <c r="S248" s="3472">
        <v>32.71</v>
      </c>
      <c r="T248" s="3527">
        <v>327100</v>
      </c>
      <c r="U248" s="3470">
        <v>4610</v>
      </c>
      <c r="V248" s="3474">
        <v>0.1</v>
      </c>
      <c r="W248" s="3475">
        <v>29.43</v>
      </c>
      <c r="X248" s="3473">
        <v>294300</v>
      </c>
      <c r="Y248" s="3441">
        <v>2003</v>
      </c>
      <c r="Z248" s="3441">
        <v>2</v>
      </c>
      <c r="AA248" s="3441">
        <v>19</v>
      </c>
      <c r="AB248" s="3485">
        <v>1635</v>
      </c>
      <c r="AC248" s="3453" t="s">
        <v>3710</v>
      </c>
      <c r="AD248" s="3470"/>
      <c r="AE248" s="3456" t="s">
        <v>3663</v>
      </c>
      <c r="AF248" s="3470" t="s">
        <v>3618</v>
      </c>
      <c r="AG248" s="3470" t="s">
        <v>3466</v>
      </c>
      <c r="AH248" s="3470"/>
      <c r="AI248" s="3470" t="s">
        <v>3679</v>
      </c>
      <c r="AJ248" s="3478">
        <v>37833</v>
      </c>
      <c r="AK248" s="3548">
        <v>2</v>
      </c>
      <c r="AL248" s="3495">
        <v>67641700</v>
      </c>
      <c r="AM248" s="3470"/>
      <c r="AN248" s="3480" t="s">
        <v>3482</v>
      </c>
      <c r="AO248" s="3441" t="s">
        <v>3715</v>
      </c>
      <c r="AP248" s="3456" t="s">
        <v>3476</v>
      </c>
      <c r="AQ248" s="3456" t="s">
        <v>3571</v>
      </c>
      <c r="AR248" s="3470"/>
      <c r="AS248" s="3470"/>
      <c r="AT248" s="3470"/>
      <c r="AU248" s="3470"/>
      <c r="AV248" s="3519"/>
      <c r="AW248" s="3470" t="s">
        <v>3572</v>
      </c>
      <c r="AX248" s="3470" t="s">
        <v>3715</v>
      </c>
      <c r="AY248" s="3495">
        <v>261031</v>
      </c>
      <c r="AZ248" s="3470" t="s">
        <v>4175</v>
      </c>
      <c r="BA248" s="3470" t="s">
        <v>4161</v>
      </c>
      <c r="BB248" s="3470" t="s">
        <v>4162</v>
      </c>
      <c r="BC248" s="3470" t="s">
        <v>4106</v>
      </c>
      <c r="BD248" s="3470" t="s">
        <v>3588</v>
      </c>
      <c r="BE248" s="3470">
        <v>68152860</v>
      </c>
      <c r="BF248" s="3520">
        <v>2.8</v>
      </c>
      <c r="BG248" s="3478">
        <v>37627</v>
      </c>
      <c r="BH248" s="3470" t="s">
        <v>4466</v>
      </c>
      <c r="BI248" s="3441" t="s">
        <v>3476</v>
      </c>
      <c r="BJ248" s="3478">
        <v>37670</v>
      </c>
      <c r="BK248" s="3478"/>
      <c r="BL248" s="3441" t="s">
        <v>3670</v>
      </c>
      <c r="BM248" s="3441"/>
      <c r="BN248" s="3441"/>
      <c r="BO248" s="3441"/>
      <c r="BP248" s="3441"/>
      <c r="BQ248" s="3441"/>
      <c r="BR248" s="3441"/>
      <c r="BS248" s="3470"/>
      <c r="BT248" s="3470"/>
      <c r="BU248" s="3470"/>
      <c r="BV248" s="3470"/>
      <c r="BW248" s="3470"/>
      <c r="BX248" s="3470"/>
      <c r="BY248" s="3470"/>
      <c r="BZ248" s="3470"/>
      <c r="CA248" s="3470"/>
      <c r="CB248" s="3470"/>
      <c r="CC248" s="3470"/>
      <c r="CD248" s="3470"/>
      <c r="CE248" s="3470"/>
      <c r="CF248" s="3470"/>
      <c r="CG248" s="3470"/>
      <c r="CH248" s="3470"/>
      <c r="CI248" s="3470"/>
      <c r="CJ248" s="3470"/>
      <c r="CK248" s="3470"/>
      <c r="CL248" s="3470"/>
      <c r="CM248" s="3470"/>
      <c r="CN248" s="3470"/>
      <c r="CO248" s="3470"/>
      <c r="CP248" s="3470"/>
      <c r="CQ248" s="3470"/>
      <c r="CR248" s="3470"/>
      <c r="CS248" s="3470"/>
      <c r="CT248" s="3470"/>
      <c r="CU248" s="3470"/>
      <c r="CV248" s="3470"/>
      <c r="CW248" s="3470"/>
      <c r="CX248" s="3470"/>
      <c r="CY248" s="3470"/>
      <c r="CZ248" s="3470"/>
      <c r="DA248" s="3470"/>
      <c r="DB248" s="3470"/>
      <c r="DC248" s="3470"/>
      <c r="DD248" s="3470"/>
      <c r="DE248" s="3470"/>
      <c r="DF248" s="3470"/>
      <c r="DG248" s="3470"/>
      <c r="DH248" s="3470"/>
      <c r="DI248" s="3470"/>
      <c r="DJ248" s="3470"/>
      <c r="DK248" s="3470"/>
      <c r="DL248" s="3470"/>
      <c r="DM248" s="3470"/>
      <c r="DN248" s="3470"/>
      <c r="DO248" s="3470"/>
      <c r="DP248" s="3470"/>
      <c r="DQ248" s="3470"/>
      <c r="DR248" s="3470"/>
      <c r="DS248" s="3470"/>
      <c r="DT248" s="3470"/>
      <c r="DU248" s="3470"/>
      <c r="DV248" s="3470"/>
      <c r="DW248" s="3470"/>
      <c r="DX248" s="3470"/>
      <c r="DY248" s="3470"/>
      <c r="DZ248" s="3470"/>
      <c r="EA248" s="3470"/>
      <c r="EB248" s="3470"/>
      <c r="EC248" s="3470"/>
      <c r="ED248" s="3470"/>
      <c r="EE248" s="3470"/>
      <c r="EF248" s="3470"/>
      <c r="EG248" s="3470"/>
      <c r="EH248" s="3470"/>
      <c r="EI248" s="3470"/>
      <c r="EJ248" s="3470"/>
      <c r="EK248" s="3470"/>
      <c r="EL248" s="3470"/>
      <c r="EM248" s="3470"/>
      <c r="EN248" s="3470"/>
      <c r="EO248" s="3470"/>
      <c r="EP248" s="3470"/>
      <c r="EQ248" s="3470"/>
      <c r="ER248" s="3470"/>
      <c r="ES248" s="3470"/>
      <c r="ET248" s="3470"/>
      <c r="EU248" s="3470"/>
      <c r="EV248" s="3470"/>
      <c r="EW248" s="3470"/>
      <c r="EX248" s="3470"/>
      <c r="EY248" s="3470"/>
      <c r="EZ248" s="3470"/>
      <c r="FA248" s="3470"/>
      <c r="FB248" s="3470"/>
      <c r="FC248" s="3470"/>
      <c r="FD248" s="3470"/>
      <c r="FE248" s="3470"/>
      <c r="FF248" s="3470"/>
      <c r="FG248" s="3470"/>
      <c r="FH248" s="3470"/>
      <c r="FI248" s="3470"/>
      <c r="FJ248" s="3470"/>
      <c r="FK248" s="3470"/>
      <c r="FL248" s="3470"/>
      <c r="FM248" s="3470"/>
      <c r="FN248" s="3470"/>
      <c r="FO248" s="3470"/>
      <c r="FP248" s="3470"/>
      <c r="FQ248" s="3470"/>
      <c r="FR248" s="3470"/>
      <c r="FS248" s="3470"/>
      <c r="FT248" s="3470"/>
      <c r="FU248" s="3470"/>
      <c r="FV248" s="3470"/>
      <c r="FW248" s="3470"/>
      <c r="FX248" s="3470"/>
      <c r="FY248" s="3470"/>
      <c r="FZ248" s="3470"/>
      <c r="GA248" s="3470"/>
      <c r="GB248" s="3470"/>
      <c r="GC248" s="3470"/>
      <c r="GD248" s="3470"/>
      <c r="GE248" s="3470"/>
      <c r="GF248" s="3470"/>
      <c r="GG248" s="3470"/>
      <c r="GH248" s="3470"/>
      <c r="GI248" s="3470"/>
      <c r="GJ248" s="3470"/>
      <c r="GK248" s="3470"/>
      <c r="GL248" s="3470"/>
      <c r="GM248" s="3470"/>
      <c r="GN248" s="3470"/>
      <c r="GO248" s="3470"/>
      <c r="GP248" s="3470"/>
      <c r="GQ248" s="3470"/>
      <c r="GR248" s="3470"/>
      <c r="GS248" s="3470"/>
      <c r="GT248" s="3470"/>
      <c r="GU248" s="3470"/>
      <c r="GV248" s="3470"/>
      <c r="GW248" s="3470"/>
      <c r="GX248" s="3470"/>
      <c r="GY248" s="3470"/>
      <c r="GZ248" s="3470"/>
      <c r="HA248" s="3470"/>
      <c r="HB248" s="3470"/>
      <c r="HC248" s="3470"/>
      <c r="HD248" s="3470"/>
      <c r="HE248" s="3470"/>
      <c r="HF248" s="3470"/>
      <c r="HG248" s="3470"/>
      <c r="HH248" s="3470"/>
      <c r="HI248" s="3470"/>
      <c r="HJ248" s="3470"/>
      <c r="HK248" s="3470"/>
      <c r="HL248" s="3470"/>
      <c r="HM248" s="3470"/>
      <c r="HN248" s="3470"/>
      <c r="HO248" s="3470"/>
      <c r="HP248" s="3470"/>
      <c r="HQ248" s="3470"/>
      <c r="HR248" s="3470"/>
      <c r="HS248" s="3470"/>
      <c r="HT248" s="3470"/>
      <c r="HU248" s="3470"/>
      <c r="HV248" s="3470"/>
      <c r="HW248" s="3470"/>
      <c r="HX248" s="3470"/>
      <c r="HY248" s="3470"/>
      <c r="HZ248" s="3470"/>
      <c r="IA248" s="3470"/>
      <c r="IB248" s="3470"/>
      <c r="IC248" s="3470"/>
      <c r="ID248" s="3470"/>
      <c r="IE248" s="3470"/>
      <c r="IF248" s="3470"/>
      <c r="IG248" s="3470"/>
      <c r="IH248" s="3470"/>
      <c r="II248" s="3470"/>
      <c r="IJ248" s="3470"/>
      <c r="IK248" s="3470"/>
      <c r="IL248" s="3470"/>
      <c r="IM248" s="3470"/>
      <c r="IN248" s="3470"/>
      <c r="IO248" s="3470"/>
      <c r="IP248" s="3470"/>
      <c r="IQ248" s="3470"/>
      <c r="IR248" s="3470"/>
      <c r="IS248" s="3470"/>
    </row>
    <row r="249" spans="1:253" s="3604" customFormat="1" ht="12" hidden="1">
      <c r="A249" s="3485" t="s">
        <v>5543</v>
      </c>
      <c r="B249" s="3470" t="s">
        <v>5544</v>
      </c>
      <c r="C249" s="3481" t="s">
        <v>5545</v>
      </c>
      <c r="D249" s="3481">
        <v>13701106081</v>
      </c>
      <c r="E249" s="3470" t="s">
        <v>3558</v>
      </c>
      <c r="F249" s="3521" t="s">
        <v>3613</v>
      </c>
      <c r="G249" s="3470"/>
      <c r="H249" s="3470" t="s">
        <v>5546</v>
      </c>
      <c r="I249" s="3470" t="s">
        <v>4019</v>
      </c>
      <c r="J249" s="3481" t="s">
        <v>3980</v>
      </c>
      <c r="K249" s="3470" t="s">
        <v>3968</v>
      </c>
      <c r="L249" s="3470">
        <v>129.18</v>
      </c>
      <c r="M249" s="3470">
        <v>2</v>
      </c>
      <c r="N249" s="3470" t="s">
        <v>5547</v>
      </c>
      <c r="O249" s="3470">
        <v>117.88</v>
      </c>
      <c r="P249" s="3470" t="s">
        <v>3452</v>
      </c>
      <c r="Q249" s="3457">
        <v>567482</v>
      </c>
      <c r="R249" s="3470">
        <v>4392.95</v>
      </c>
      <c r="S249" s="3472">
        <v>56.18</v>
      </c>
      <c r="T249" s="3527">
        <v>561800</v>
      </c>
      <c r="U249" s="3470">
        <v>4349</v>
      </c>
      <c r="V249" s="3474">
        <v>0.1</v>
      </c>
      <c r="W249" s="3475">
        <v>50.56</v>
      </c>
      <c r="X249" s="3473">
        <v>505600</v>
      </c>
      <c r="Y249" s="3441">
        <v>2003</v>
      </c>
      <c r="Z249" s="3441">
        <v>2</v>
      </c>
      <c r="AA249" s="3441">
        <v>20</v>
      </c>
      <c r="AB249" s="3485">
        <v>2805</v>
      </c>
      <c r="AC249" s="3470" t="s">
        <v>5548</v>
      </c>
      <c r="AD249" s="3485"/>
      <c r="AE249" s="3441" t="s">
        <v>3663</v>
      </c>
      <c r="AF249" s="3470" t="s">
        <v>3728</v>
      </c>
      <c r="AG249" s="3522" t="s">
        <v>3466</v>
      </c>
      <c r="AH249" s="3485"/>
      <c r="AI249" s="3470" t="s">
        <v>3679</v>
      </c>
      <c r="AJ249" s="3523">
        <v>37894</v>
      </c>
      <c r="AK249" s="3479">
        <v>2</v>
      </c>
      <c r="AL249" s="3441">
        <v>67641700</v>
      </c>
      <c r="AM249" s="3441"/>
      <c r="AN249" s="3441" t="s">
        <v>3739</v>
      </c>
      <c r="AO249" s="3441" t="s">
        <v>3568</v>
      </c>
      <c r="AP249" s="3441" t="s">
        <v>3476</v>
      </c>
      <c r="AQ249" s="3441" t="s">
        <v>3571</v>
      </c>
      <c r="AR249" s="3441"/>
      <c r="AS249" s="3441"/>
      <c r="AT249" s="3441"/>
      <c r="AU249" s="3441"/>
      <c r="AV249" s="3441"/>
      <c r="AW249" s="3441" t="s">
        <v>3572</v>
      </c>
      <c r="AX249" s="3441" t="s">
        <v>2511</v>
      </c>
      <c r="AY249" s="3524">
        <v>252125</v>
      </c>
      <c r="AZ249" s="3441" t="s">
        <v>3968</v>
      </c>
      <c r="BA249" s="3441" t="s">
        <v>3971</v>
      </c>
      <c r="BB249" s="3524" t="s">
        <v>3972</v>
      </c>
      <c r="BC249" s="3441" t="s">
        <v>3973</v>
      </c>
      <c r="BD249" s="3525">
        <v>100096</v>
      </c>
      <c r="BE249" s="3441">
        <v>82919961</v>
      </c>
      <c r="BF249" s="3526">
        <v>2.9</v>
      </c>
      <c r="BG249" s="3518">
        <v>37612</v>
      </c>
      <c r="BH249" s="3441"/>
      <c r="BI249" s="3441" t="s">
        <v>3700</v>
      </c>
      <c r="BJ249" s="3484">
        <v>37670</v>
      </c>
      <c r="BK249" s="3484"/>
      <c r="BL249" s="3470" t="s">
        <v>3670</v>
      </c>
      <c r="BM249" s="3441"/>
      <c r="BN249" s="3441"/>
      <c r="BO249" s="3441"/>
      <c r="BP249" s="3441"/>
      <c r="BQ249" s="3441"/>
      <c r="BR249" s="3441"/>
      <c r="BS249" s="3470"/>
      <c r="BT249" s="3470"/>
      <c r="BU249" s="3470"/>
      <c r="BV249" s="3441"/>
      <c r="BW249" s="3441"/>
      <c r="BX249" s="3441"/>
    </row>
    <row r="250" spans="1:253" s="3604" customFormat="1" ht="12" hidden="1">
      <c r="A250" s="3485" t="s">
        <v>5549</v>
      </c>
      <c r="B250" s="3470" t="s">
        <v>5550</v>
      </c>
      <c r="C250" s="3481">
        <v>230102700614132</v>
      </c>
      <c r="D250" s="3481">
        <v>13910588022</v>
      </c>
      <c r="E250" s="3470" t="s">
        <v>3558</v>
      </c>
      <c r="F250" s="3521" t="s">
        <v>5551</v>
      </c>
      <c r="G250" s="3470"/>
      <c r="H250" s="3470" t="s">
        <v>5552</v>
      </c>
      <c r="I250" s="3470" t="s">
        <v>5553</v>
      </c>
      <c r="J250" s="3481" t="s">
        <v>5554</v>
      </c>
      <c r="K250" s="3470" t="s">
        <v>5555</v>
      </c>
      <c r="L250" s="3470">
        <v>66.849999999999994</v>
      </c>
      <c r="M250" s="3470">
        <v>16</v>
      </c>
      <c r="N250" s="3470" t="s">
        <v>3564</v>
      </c>
      <c r="O250" s="3470">
        <v>51.9</v>
      </c>
      <c r="P250" s="3470" t="s">
        <v>3452</v>
      </c>
      <c r="Q250" s="3457">
        <v>514745</v>
      </c>
      <c r="R250" s="3470">
        <v>7700</v>
      </c>
      <c r="S250" s="3472">
        <v>51.1</v>
      </c>
      <c r="T250" s="3527">
        <v>511000</v>
      </c>
      <c r="U250" s="3470">
        <v>7644</v>
      </c>
      <c r="V250" s="3474">
        <v>0.1</v>
      </c>
      <c r="W250" s="3475">
        <v>45.99</v>
      </c>
      <c r="X250" s="3473">
        <v>459900</v>
      </c>
      <c r="Y250" s="3441">
        <v>2003</v>
      </c>
      <c r="Z250" s="3441">
        <v>2</v>
      </c>
      <c r="AA250" s="3441">
        <v>27</v>
      </c>
      <c r="AB250" s="3485">
        <v>2555</v>
      </c>
      <c r="AC250" s="3470" t="s">
        <v>3693</v>
      </c>
      <c r="AD250" s="3485"/>
      <c r="AE250" s="3441" t="s">
        <v>3663</v>
      </c>
      <c r="AF250" s="3470" t="s">
        <v>3493</v>
      </c>
      <c r="AG250" s="3522" t="s">
        <v>3466</v>
      </c>
      <c r="AH250" s="3485"/>
      <c r="AI250" s="3470" t="s">
        <v>3679</v>
      </c>
      <c r="AJ250" s="3523">
        <v>37164</v>
      </c>
      <c r="AK250" s="3479">
        <v>2</v>
      </c>
      <c r="AL250" s="3441">
        <v>67641700</v>
      </c>
      <c r="AM250" s="3441"/>
      <c r="AN250" s="3441" t="s">
        <v>3680</v>
      </c>
      <c r="AO250" s="3441" t="s">
        <v>5556</v>
      </c>
      <c r="AP250" s="3441" t="s">
        <v>3476</v>
      </c>
      <c r="AQ250" s="3441" t="s">
        <v>3571</v>
      </c>
      <c r="AR250" s="3441"/>
      <c r="AS250" s="3441"/>
      <c r="AT250" s="3441"/>
      <c r="AU250" s="3441" t="s">
        <v>3568</v>
      </c>
      <c r="AV250" s="3441" t="s">
        <v>3568</v>
      </c>
      <c r="AW250" s="3441" t="s">
        <v>3572</v>
      </c>
      <c r="AX250" s="3441" t="s">
        <v>2511</v>
      </c>
      <c r="AY250" s="3524" t="s">
        <v>5557</v>
      </c>
      <c r="AZ250" s="3441" t="s">
        <v>5555</v>
      </c>
      <c r="BA250" s="3441" t="s">
        <v>5558</v>
      </c>
      <c r="BB250" s="3524"/>
      <c r="BC250" s="3441" t="s">
        <v>5559</v>
      </c>
      <c r="BD250" s="3525">
        <v>100032</v>
      </c>
      <c r="BE250" s="3441">
        <v>66155566</v>
      </c>
      <c r="BF250" s="3526">
        <v>2.7</v>
      </c>
      <c r="BG250" s="3518">
        <v>37061</v>
      </c>
      <c r="BH250" s="3441"/>
      <c r="BI250" s="3441" t="s">
        <v>5021</v>
      </c>
      <c r="BJ250" s="3484">
        <v>37678</v>
      </c>
      <c r="BK250" s="3484"/>
      <c r="BL250" s="3470" t="s">
        <v>3670</v>
      </c>
      <c r="BM250" s="3441"/>
      <c r="BN250" s="3441"/>
      <c r="BO250" s="3441"/>
      <c r="BP250" s="3441"/>
      <c r="BQ250" s="3441"/>
      <c r="BR250" s="3441"/>
      <c r="BS250" s="3470"/>
      <c r="BT250" s="3470"/>
      <c r="BU250" s="3470"/>
      <c r="BV250" s="3441"/>
      <c r="BW250" s="3441"/>
      <c r="BX250" s="3441"/>
    </row>
    <row r="251" spans="1:253" s="3604" customFormat="1" ht="12" hidden="1">
      <c r="A251" s="3485" t="s">
        <v>5560</v>
      </c>
      <c r="B251" s="3470" t="s">
        <v>5561</v>
      </c>
      <c r="C251" s="3481" t="s">
        <v>5562</v>
      </c>
      <c r="D251" s="3481">
        <v>13501396514</v>
      </c>
      <c r="E251" s="3470" t="s">
        <v>3558</v>
      </c>
      <c r="F251" s="3521" t="s">
        <v>3559</v>
      </c>
      <c r="G251" s="3470"/>
      <c r="H251" s="3470" t="s">
        <v>3560</v>
      </c>
      <c r="I251" s="3470" t="s">
        <v>4001</v>
      </c>
      <c r="J251" s="3481" t="s">
        <v>5563</v>
      </c>
      <c r="K251" s="3470" t="s">
        <v>3563</v>
      </c>
      <c r="L251" s="3470">
        <v>71.28</v>
      </c>
      <c r="M251" s="3470">
        <v>7</v>
      </c>
      <c r="N251" s="3470" t="s">
        <v>3564</v>
      </c>
      <c r="O251" s="3470">
        <v>57.75</v>
      </c>
      <c r="P251" s="3470" t="s">
        <v>3452</v>
      </c>
      <c r="Q251" s="3457">
        <v>326177.28000000003</v>
      </c>
      <c r="R251" s="3470">
        <v>4576</v>
      </c>
      <c r="S251" s="3472">
        <v>32.28</v>
      </c>
      <c r="T251" s="3527">
        <v>322800</v>
      </c>
      <c r="U251" s="3470">
        <v>4530</v>
      </c>
      <c r="V251" s="3474">
        <v>0.1</v>
      </c>
      <c r="W251" s="3475">
        <v>29.05</v>
      </c>
      <c r="X251" s="3473">
        <v>290500</v>
      </c>
      <c r="Y251" s="3441">
        <v>2003</v>
      </c>
      <c r="Z251" s="3441">
        <v>2</v>
      </c>
      <c r="AA251" s="3441">
        <v>21</v>
      </c>
      <c r="AB251" s="3485">
        <v>1610</v>
      </c>
      <c r="AC251" s="3470" t="s">
        <v>5564</v>
      </c>
      <c r="AD251" s="3485"/>
      <c r="AE251" s="3441" t="s">
        <v>3663</v>
      </c>
      <c r="AF251" s="3470" t="s">
        <v>3728</v>
      </c>
      <c r="AG251" s="3522" t="s">
        <v>3466</v>
      </c>
      <c r="AH251" s="3485" t="s">
        <v>3568</v>
      </c>
      <c r="AI251" s="3470" t="s">
        <v>3679</v>
      </c>
      <c r="AJ251" s="3523">
        <v>37894</v>
      </c>
      <c r="AK251" s="3479">
        <v>2</v>
      </c>
      <c r="AL251" s="3441">
        <v>67641700</v>
      </c>
      <c r="AM251" s="3441" t="s">
        <v>3568</v>
      </c>
      <c r="AN251" s="3441" t="s">
        <v>3739</v>
      </c>
      <c r="AO251" s="3441" t="s">
        <v>3568</v>
      </c>
      <c r="AP251" s="3441" t="s">
        <v>3476</v>
      </c>
      <c r="AQ251" s="3441" t="s">
        <v>3571</v>
      </c>
      <c r="AR251" s="3441"/>
      <c r="AS251" s="3441"/>
      <c r="AT251" s="3441"/>
      <c r="AU251" s="3441"/>
      <c r="AV251" s="3441"/>
      <c r="AW251" s="3441" t="s">
        <v>3572</v>
      </c>
      <c r="AX251" s="3441" t="s">
        <v>2511</v>
      </c>
      <c r="AY251" s="3524">
        <v>250147</v>
      </c>
      <c r="AZ251" s="3441" t="s">
        <v>3563</v>
      </c>
      <c r="BA251" s="3441" t="s">
        <v>3574</v>
      </c>
      <c r="BB251" s="3524">
        <v>1101021053367</v>
      </c>
      <c r="BC251" s="3441" t="s">
        <v>3576</v>
      </c>
      <c r="BD251" s="3525">
        <v>100037</v>
      </c>
      <c r="BE251" s="3441">
        <v>84050046</v>
      </c>
      <c r="BF251" s="3526">
        <v>2.8</v>
      </c>
      <c r="BG251" s="3518">
        <v>37639</v>
      </c>
      <c r="BH251" s="3441"/>
      <c r="BI251" s="3441" t="s">
        <v>3476</v>
      </c>
      <c r="BJ251" s="3484">
        <v>37672</v>
      </c>
      <c r="BK251" s="3484">
        <v>37670</v>
      </c>
      <c r="BL251" s="3470" t="s">
        <v>3670</v>
      </c>
      <c r="BM251" s="3441"/>
      <c r="BN251" s="3441"/>
      <c r="BO251" s="3441"/>
      <c r="BP251" s="3441"/>
      <c r="BQ251" s="3441"/>
      <c r="BR251" s="3441"/>
      <c r="BS251" s="3470"/>
      <c r="BT251" s="3470"/>
      <c r="BU251" s="3470"/>
    </row>
    <row r="252" spans="1:253" s="3604" customFormat="1" ht="12" hidden="1">
      <c r="A252" s="3485" t="s">
        <v>5565</v>
      </c>
      <c r="B252" s="3470" t="s">
        <v>5566</v>
      </c>
      <c r="C252" s="3481" t="s">
        <v>5567</v>
      </c>
      <c r="D252" s="3481">
        <v>13910036546</v>
      </c>
      <c r="E252" s="3470" t="s">
        <v>3558</v>
      </c>
      <c r="F252" s="3521" t="s">
        <v>3559</v>
      </c>
      <c r="G252" s="3470"/>
      <c r="H252" s="3470" t="s">
        <v>3560</v>
      </c>
      <c r="I252" s="3470" t="s">
        <v>3561</v>
      </c>
      <c r="J252" s="3481" t="s">
        <v>5568</v>
      </c>
      <c r="K252" s="3470" t="s">
        <v>3563</v>
      </c>
      <c r="L252" s="3470">
        <v>85.78</v>
      </c>
      <c r="M252" s="3470">
        <v>11</v>
      </c>
      <c r="N252" s="3470" t="s">
        <v>3564</v>
      </c>
      <c r="O252" s="3470">
        <v>69.5</v>
      </c>
      <c r="P252" s="3470" t="s">
        <v>3452</v>
      </c>
      <c r="Q252" s="3457">
        <v>417404.62219999998</v>
      </c>
      <c r="R252" s="3470">
        <v>4865.99</v>
      </c>
      <c r="S252" s="3472">
        <v>41.31</v>
      </c>
      <c r="T252" s="3527">
        <v>413100</v>
      </c>
      <c r="U252" s="3470">
        <v>4816</v>
      </c>
      <c r="V252" s="3474">
        <v>0.1</v>
      </c>
      <c r="W252" s="3475">
        <v>37.17</v>
      </c>
      <c r="X252" s="3473">
        <v>371700</v>
      </c>
      <c r="Y252" s="3441">
        <v>2003</v>
      </c>
      <c r="Z252" s="3441">
        <v>2</v>
      </c>
      <c r="AA252" s="3441">
        <v>21</v>
      </c>
      <c r="AB252" s="3485">
        <v>2065</v>
      </c>
      <c r="AC252" s="3470" t="s">
        <v>3565</v>
      </c>
      <c r="AD252" s="3485"/>
      <c r="AE252" s="3441" t="s">
        <v>3663</v>
      </c>
      <c r="AF252" s="3470" t="s">
        <v>3728</v>
      </c>
      <c r="AG252" s="3522" t="s">
        <v>3466</v>
      </c>
      <c r="AH252" s="3485" t="s">
        <v>3568</v>
      </c>
      <c r="AI252" s="3470" t="s">
        <v>3679</v>
      </c>
      <c r="AJ252" s="3523">
        <v>37894</v>
      </c>
      <c r="AK252" s="3479">
        <v>2</v>
      </c>
      <c r="AL252" s="3441">
        <v>67641700</v>
      </c>
      <c r="AM252" s="3441" t="s">
        <v>3568</v>
      </c>
      <c r="AN252" s="3441" t="s">
        <v>3739</v>
      </c>
      <c r="AO252" s="3441" t="s">
        <v>3568</v>
      </c>
      <c r="AP252" s="3441" t="s">
        <v>3476</v>
      </c>
      <c r="AQ252" s="3441" t="s">
        <v>3571</v>
      </c>
      <c r="AR252" s="3441"/>
      <c r="AS252" s="3441"/>
      <c r="AT252" s="3441"/>
      <c r="AU252" s="3441"/>
      <c r="AV252" s="3441"/>
      <c r="AW252" s="3441" t="s">
        <v>3572</v>
      </c>
      <c r="AX252" s="3441" t="s">
        <v>2511</v>
      </c>
      <c r="AY252" s="3524">
        <v>250144</v>
      </c>
      <c r="AZ252" s="3441" t="s">
        <v>3563</v>
      </c>
      <c r="BA252" s="3441" t="s">
        <v>3574</v>
      </c>
      <c r="BB252" s="3524">
        <v>1101021053367</v>
      </c>
      <c r="BC252" s="3441" t="s">
        <v>3576</v>
      </c>
      <c r="BD252" s="3525">
        <v>100037</v>
      </c>
      <c r="BE252" s="3441">
        <v>84050046</v>
      </c>
      <c r="BF252" s="3526">
        <v>2.8</v>
      </c>
      <c r="BG252" s="3518">
        <v>37621</v>
      </c>
      <c r="BH252" s="3441"/>
      <c r="BI252" s="3441" t="s">
        <v>3476</v>
      </c>
      <c r="BJ252" s="3484">
        <v>37671</v>
      </c>
      <c r="BK252" s="3484">
        <v>37670</v>
      </c>
      <c r="BL252" s="3470" t="s">
        <v>3670</v>
      </c>
      <c r="BM252" s="3441"/>
      <c r="BN252" s="3441"/>
      <c r="BO252" s="3441"/>
      <c r="BP252" s="3441"/>
      <c r="BQ252" s="3441"/>
      <c r="BR252" s="3441"/>
      <c r="BS252" s="3470"/>
      <c r="BT252" s="3470"/>
      <c r="BU252" s="3470"/>
    </row>
    <row r="253" spans="1:253" s="3604" customFormat="1" ht="12" hidden="1">
      <c r="A253" s="3485" t="s">
        <v>5569</v>
      </c>
      <c r="B253" s="3470" t="s">
        <v>5570</v>
      </c>
      <c r="C253" s="3481" t="s">
        <v>5571</v>
      </c>
      <c r="D253" s="3481">
        <v>13910531471</v>
      </c>
      <c r="E253" s="3470" t="s">
        <v>3558</v>
      </c>
      <c r="F253" s="3521" t="s">
        <v>3559</v>
      </c>
      <c r="G253" s="3470"/>
      <c r="H253" s="3470" t="s">
        <v>3560</v>
      </c>
      <c r="I253" s="3470" t="s">
        <v>4309</v>
      </c>
      <c r="J253" s="3481" t="s">
        <v>5572</v>
      </c>
      <c r="K253" s="3470" t="s">
        <v>3563</v>
      </c>
      <c r="L253" s="3470">
        <v>45.95</v>
      </c>
      <c r="M253" s="3470">
        <v>4</v>
      </c>
      <c r="N253" s="3470" t="s">
        <v>3692</v>
      </c>
      <c r="O253" s="3470">
        <v>37.229999999999997</v>
      </c>
      <c r="P253" s="3470" t="s">
        <v>3452</v>
      </c>
      <c r="Q253" s="3457">
        <v>215690.21900000004</v>
      </c>
      <c r="R253" s="3470">
        <v>4694.0200000000004</v>
      </c>
      <c r="S253" s="3472">
        <v>21.34</v>
      </c>
      <c r="T253" s="3527">
        <v>213400</v>
      </c>
      <c r="U253" s="3470">
        <v>4645</v>
      </c>
      <c r="V253" s="3474">
        <v>0.1</v>
      </c>
      <c r="W253" s="3475">
        <v>19.2</v>
      </c>
      <c r="X253" s="3473">
        <v>192000</v>
      </c>
      <c r="Y253" s="3441">
        <v>2003</v>
      </c>
      <c r="Z253" s="3441">
        <v>2</v>
      </c>
      <c r="AA253" s="3441">
        <v>24</v>
      </c>
      <c r="AB253" s="3485">
        <v>1065</v>
      </c>
      <c r="AC253" s="3470" t="s">
        <v>3693</v>
      </c>
      <c r="AD253" s="3485"/>
      <c r="AE253" s="3441" t="s">
        <v>3663</v>
      </c>
      <c r="AF253" s="3470" t="s">
        <v>3728</v>
      </c>
      <c r="AG253" s="3522" t="s">
        <v>3466</v>
      </c>
      <c r="AH253" s="3485" t="s">
        <v>3568</v>
      </c>
      <c r="AI253" s="3470" t="s">
        <v>3679</v>
      </c>
      <c r="AJ253" s="3523">
        <v>37894</v>
      </c>
      <c r="AK253" s="3479">
        <v>2</v>
      </c>
      <c r="AL253" s="3441">
        <v>67641700</v>
      </c>
      <c r="AM253" s="3441" t="s">
        <v>3568</v>
      </c>
      <c r="AN253" s="3441" t="s">
        <v>3680</v>
      </c>
      <c r="AO253" s="3441" t="s">
        <v>3568</v>
      </c>
      <c r="AP253" s="3441" t="s">
        <v>3476</v>
      </c>
      <c r="AQ253" s="3441" t="s">
        <v>3571</v>
      </c>
      <c r="AR253" s="3441"/>
      <c r="AS253" s="3441"/>
      <c r="AT253" s="3441"/>
      <c r="AU253" s="3441"/>
      <c r="AV253" s="3441"/>
      <c r="AW253" s="3441" t="s">
        <v>3572</v>
      </c>
      <c r="AX253" s="3441" t="s">
        <v>2511</v>
      </c>
      <c r="AY253" s="3524">
        <v>250133</v>
      </c>
      <c r="AZ253" s="3441" t="s">
        <v>3563</v>
      </c>
      <c r="BA253" s="3441" t="s">
        <v>3574</v>
      </c>
      <c r="BB253" s="3524">
        <v>1101021053367</v>
      </c>
      <c r="BC253" s="3441" t="s">
        <v>3576</v>
      </c>
      <c r="BD253" s="3525">
        <v>100037</v>
      </c>
      <c r="BE253" s="3441">
        <v>84050046</v>
      </c>
      <c r="BF253" s="3526">
        <v>2.8</v>
      </c>
      <c r="BG253" s="3518">
        <v>37632</v>
      </c>
      <c r="BH253" s="3441"/>
      <c r="BI253" s="3441" t="s">
        <v>3700</v>
      </c>
      <c r="BJ253" s="3484">
        <v>37673</v>
      </c>
      <c r="BK253" s="3484">
        <v>37670</v>
      </c>
      <c r="BL253" s="3470" t="s">
        <v>3670</v>
      </c>
      <c r="BM253" s="3441"/>
      <c r="BN253" s="3441"/>
      <c r="BO253" s="3441"/>
      <c r="BP253" s="3441"/>
      <c r="BQ253" s="3441"/>
      <c r="BR253" s="3441"/>
      <c r="BS253" s="3470"/>
      <c r="BT253" s="3470"/>
      <c r="BU253" s="3470"/>
    </row>
    <row r="254" spans="1:253" s="3617" customFormat="1" hidden="1">
      <c r="A254" s="3453" t="s">
        <v>5573</v>
      </c>
      <c r="B254" s="3470" t="s">
        <v>5574</v>
      </c>
      <c r="C254" s="3481" t="s">
        <v>5575</v>
      </c>
      <c r="D254" s="3481" t="s">
        <v>5576</v>
      </c>
      <c r="E254" s="3470" t="s">
        <v>3558</v>
      </c>
      <c r="F254" s="3470" t="s">
        <v>4403</v>
      </c>
      <c r="G254" s="3470" t="s">
        <v>3568</v>
      </c>
      <c r="H254" s="3470" t="s">
        <v>5294</v>
      </c>
      <c r="I254" s="3470" t="s">
        <v>4927</v>
      </c>
      <c r="J254" s="3481" t="s">
        <v>3479</v>
      </c>
      <c r="K254" s="3470" t="s">
        <v>4406</v>
      </c>
      <c r="L254" s="3470">
        <v>129.09</v>
      </c>
      <c r="M254" s="3470">
        <v>1</v>
      </c>
      <c r="N254" s="3470" t="s">
        <v>3632</v>
      </c>
      <c r="O254" s="3470">
        <v>115.57</v>
      </c>
      <c r="P254" s="3470" t="s">
        <v>3452</v>
      </c>
      <c r="Q254" s="3457">
        <v>611886.6</v>
      </c>
      <c r="R254" s="3470">
        <v>4740</v>
      </c>
      <c r="S254" s="3472">
        <v>60.56</v>
      </c>
      <c r="T254" s="3527">
        <v>605600</v>
      </c>
      <c r="U254" s="3470">
        <v>4692</v>
      </c>
      <c r="V254" s="3474">
        <v>0.1</v>
      </c>
      <c r="W254" s="3475">
        <v>54.5</v>
      </c>
      <c r="X254" s="3473">
        <v>545000</v>
      </c>
      <c r="Y254" s="3441">
        <v>2003</v>
      </c>
      <c r="Z254" s="3441">
        <v>4</v>
      </c>
      <c r="AA254" s="3441">
        <v>10</v>
      </c>
      <c r="AB254" s="3477">
        <v>3025</v>
      </c>
      <c r="AC254" s="3470" t="s">
        <v>5577</v>
      </c>
      <c r="AD254" s="3485"/>
      <c r="AE254" s="3441" t="s">
        <v>3663</v>
      </c>
      <c r="AF254" s="3470" t="s">
        <v>3728</v>
      </c>
      <c r="AG254" s="3522" t="s">
        <v>3466</v>
      </c>
      <c r="AH254" s="3485"/>
      <c r="AI254" s="3470" t="s">
        <v>3679</v>
      </c>
      <c r="AJ254" s="3523">
        <v>37833</v>
      </c>
      <c r="AK254" s="3548">
        <v>4</v>
      </c>
      <c r="AL254" s="3441">
        <v>67641700</v>
      </c>
      <c r="AM254" s="3441"/>
      <c r="AN254" s="3469" t="s">
        <v>3468</v>
      </c>
      <c r="AO254" s="3470" t="s">
        <v>5578</v>
      </c>
      <c r="AP254" s="3441" t="s">
        <v>3476</v>
      </c>
      <c r="AQ254" s="3441" t="s">
        <v>3571</v>
      </c>
      <c r="AR254" s="3441"/>
      <c r="AS254" s="3441"/>
      <c r="AT254" s="3441"/>
      <c r="AU254" s="3441"/>
      <c r="AV254" s="3441"/>
      <c r="AW254" s="3441" t="s">
        <v>3572</v>
      </c>
      <c r="AX254" s="3441" t="s">
        <v>3568</v>
      </c>
      <c r="AY254" s="3524" t="s">
        <v>5579</v>
      </c>
      <c r="AZ254" s="3441" t="s">
        <v>4406</v>
      </c>
      <c r="BA254" s="3441" t="s">
        <v>4409</v>
      </c>
      <c r="BB254" s="3524" t="s">
        <v>4410</v>
      </c>
      <c r="BC254" s="3441" t="s">
        <v>4411</v>
      </c>
      <c r="BD254" s="3525" t="s">
        <v>3568</v>
      </c>
      <c r="BE254" s="3441">
        <v>68152860</v>
      </c>
      <c r="BF254" s="3526">
        <v>2.8</v>
      </c>
      <c r="BG254" s="3518">
        <v>37670</v>
      </c>
      <c r="BH254" s="3441" t="s">
        <v>4412</v>
      </c>
      <c r="BI254" s="3470" t="s">
        <v>3476</v>
      </c>
      <c r="BJ254" s="3514">
        <v>37720</v>
      </c>
      <c r="BK254" s="3484"/>
      <c r="BL254" s="3470" t="s">
        <v>3670</v>
      </c>
      <c r="BM254" s="3441"/>
      <c r="BN254" s="3441"/>
      <c r="BO254" s="3441"/>
      <c r="BP254" s="3441"/>
      <c r="BQ254" s="3441"/>
      <c r="BR254" s="3441"/>
      <c r="BS254" s="3470"/>
      <c r="BT254" s="3470"/>
      <c r="BU254" s="3470"/>
      <c r="BV254" s="3604"/>
      <c r="BW254" s="3604"/>
      <c r="BX254" s="3604"/>
      <c r="BY254" s="3604"/>
      <c r="BZ254" s="3604"/>
      <c r="CA254" s="3604"/>
      <c r="CB254" s="3604"/>
      <c r="CC254" s="3604"/>
      <c r="CD254" s="3604"/>
      <c r="CE254" s="3604"/>
      <c r="CF254" s="3604"/>
      <c r="CG254" s="3604"/>
      <c r="CH254" s="3604"/>
      <c r="CI254" s="3604"/>
      <c r="CJ254" s="3604"/>
      <c r="CK254" s="3604"/>
      <c r="CL254" s="3604"/>
      <c r="CM254" s="3604"/>
      <c r="CN254" s="3604"/>
      <c r="CO254" s="3604"/>
      <c r="CP254" s="3604"/>
      <c r="CQ254" s="3604"/>
      <c r="CR254" s="3604"/>
      <c r="CS254" s="3604"/>
      <c r="CT254" s="3604"/>
      <c r="CU254" s="3604"/>
      <c r="CV254" s="3604"/>
      <c r="CW254" s="3604"/>
      <c r="CX254" s="3604"/>
      <c r="CY254" s="3604"/>
      <c r="CZ254" s="3604"/>
      <c r="DA254" s="3604"/>
      <c r="DB254" s="3604"/>
      <c r="DC254" s="3604"/>
      <c r="DD254" s="3604"/>
      <c r="DE254" s="3604"/>
      <c r="DF254" s="3604"/>
      <c r="DG254" s="3604"/>
      <c r="DH254" s="3604"/>
      <c r="DI254" s="3604"/>
      <c r="DJ254" s="3604"/>
      <c r="DK254" s="3604"/>
      <c r="DL254" s="3604"/>
      <c r="DM254" s="3604"/>
      <c r="DN254" s="3604"/>
      <c r="DO254" s="3604"/>
      <c r="DP254" s="3604"/>
      <c r="DQ254" s="3604"/>
      <c r="DR254" s="3604"/>
      <c r="DS254" s="3604"/>
      <c r="DT254" s="3604"/>
      <c r="DU254" s="3604"/>
      <c r="DV254" s="3604"/>
      <c r="DW254" s="3604"/>
      <c r="DX254" s="3604"/>
      <c r="DY254" s="3604"/>
      <c r="DZ254" s="3604"/>
      <c r="EA254" s="3604"/>
      <c r="EB254" s="3604"/>
      <c r="EC254" s="3604"/>
      <c r="ED254" s="3604"/>
      <c r="EE254" s="3604"/>
      <c r="EF254" s="3604"/>
      <c r="EG254" s="3604"/>
      <c r="EH254" s="3604"/>
      <c r="EI254" s="3604"/>
      <c r="EJ254" s="3604"/>
      <c r="EK254" s="3604"/>
      <c r="EL254" s="3604"/>
      <c r="EM254" s="3604"/>
      <c r="EN254" s="3604"/>
      <c r="EO254" s="3604"/>
      <c r="EP254" s="3604"/>
      <c r="EQ254" s="3604"/>
      <c r="ER254" s="3604"/>
      <c r="ES254" s="3604"/>
      <c r="ET254" s="3604"/>
      <c r="EU254" s="3604"/>
      <c r="EV254" s="3604"/>
      <c r="EW254" s="3604"/>
      <c r="EX254" s="3604"/>
      <c r="EY254" s="3604"/>
      <c r="EZ254" s="3604"/>
      <c r="FA254" s="3604"/>
      <c r="FB254" s="3604"/>
      <c r="FC254" s="3604"/>
      <c r="FD254" s="3604"/>
      <c r="FE254" s="3604"/>
      <c r="FF254" s="3604"/>
      <c r="FG254" s="3604"/>
      <c r="FH254" s="3604"/>
      <c r="FI254" s="3604"/>
      <c r="FJ254" s="3604"/>
      <c r="FK254" s="3604"/>
      <c r="FL254" s="3604"/>
      <c r="FM254" s="3604"/>
      <c r="FN254" s="3604"/>
      <c r="FO254" s="3604"/>
      <c r="FP254" s="3604"/>
      <c r="FQ254" s="3604"/>
      <c r="FR254" s="3604"/>
      <c r="FS254" s="3604"/>
      <c r="FT254" s="3604"/>
      <c r="FU254" s="3604"/>
      <c r="FV254" s="3604"/>
      <c r="FW254" s="3604"/>
      <c r="FX254" s="3604"/>
      <c r="FY254" s="3604"/>
      <c r="FZ254" s="3604"/>
      <c r="GA254" s="3604"/>
      <c r="GB254" s="3604"/>
      <c r="GC254" s="3604"/>
      <c r="GD254" s="3604"/>
      <c r="GE254" s="3604"/>
      <c r="GF254" s="3604"/>
      <c r="GG254" s="3604"/>
      <c r="GH254" s="3604"/>
      <c r="GI254" s="3604"/>
      <c r="GJ254" s="3604"/>
      <c r="GK254" s="3604"/>
      <c r="GL254" s="3604"/>
      <c r="GM254" s="3604"/>
      <c r="GN254" s="3604"/>
      <c r="GO254" s="3604"/>
      <c r="GP254" s="3604"/>
      <c r="GQ254" s="3604"/>
      <c r="GR254" s="3604"/>
      <c r="GS254" s="3604"/>
      <c r="GT254" s="3604"/>
      <c r="GU254" s="3604"/>
      <c r="GV254" s="3604"/>
      <c r="GW254" s="3604"/>
      <c r="GX254" s="3604"/>
      <c r="GY254" s="3604"/>
      <c r="GZ254" s="3604"/>
      <c r="HA254" s="3604"/>
      <c r="HB254" s="3604"/>
      <c r="HC254" s="3604"/>
      <c r="HD254" s="3604"/>
      <c r="HE254" s="3604"/>
      <c r="HF254" s="3604"/>
      <c r="HG254" s="3604"/>
      <c r="HH254" s="3604"/>
      <c r="HI254" s="3604"/>
      <c r="HJ254" s="3604"/>
      <c r="HK254" s="3604"/>
      <c r="HL254" s="3604"/>
      <c r="HM254" s="3604"/>
      <c r="HN254" s="3604"/>
      <c r="HO254" s="3604"/>
      <c r="HP254" s="3604"/>
      <c r="HQ254" s="3604"/>
      <c r="HR254" s="3604"/>
      <c r="HS254" s="3604"/>
      <c r="HT254" s="3604"/>
      <c r="HU254" s="3604"/>
      <c r="HV254" s="3604"/>
      <c r="HW254" s="3604"/>
      <c r="HX254" s="3604"/>
      <c r="HY254" s="3604"/>
      <c r="HZ254" s="3604"/>
      <c r="IA254" s="3604"/>
      <c r="IB254" s="3604"/>
      <c r="IC254" s="3604"/>
      <c r="ID254" s="3604"/>
      <c r="IE254" s="3604"/>
      <c r="IF254" s="3604"/>
      <c r="IG254" s="3604"/>
      <c r="IH254" s="3604"/>
      <c r="II254" s="3604"/>
      <c r="IJ254" s="3604"/>
      <c r="IK254" s="3604"/>
      <c r="IL254" s="3604"/>
      <c r="IM254" s="3604"/>
      <c r="IN254" s="3604"/>
      <c r="IO254" s="3604"/>
      <c r="IP254" s="3604"/>
      <c r="IQ254" s="3604"/>
      <c r="IR254" s="3604"/>
      <c r="IS254" s="3604"/>
    </row>
    <row r="255" spans="1:253" s="3605" customFormat="1" ht="12" hidden="1">
      <c r="A255" s="3470" t="s">
        <v>5580</v>
      </c>
      <c r="B255" s="3470" t="s">
        <v>5581</v>
      </c>
      <c r="C255" s="3454" t="s">
        <v>5582</v>
      </c>
      <c r="D255" s="3470">
        <v>13311132541</v>
      </c>
      <c r="E255" s="3470" t="s">
        <v>3538</v>
      </c>
      <c r="F255" s="3470" t="s">
        <v>5583</v>
      </c>
      <c r="G255" s="3470" t="s">
        <v>3715</v>
      </c>
      <c r="H255" s="3470" t="s">
        <v>4471</v>
      </c>
      <c r="I255" s="3453" t="s">
        <v>3676</v>
      </c>
      <c r="J255" s="3453" t="s">
        <v>3474</v>
      </c>
      <c r="K255" s="3470" t="s">
        <v>5584</v>
      </c>
      <c r="L255" s="3495">
        <v>117.1</v>
      </c>
      <c r="M255" s="3495">
        <v>5</v>
      </c>
      <c r="N255" s="3470" t="s">
        <v>3969</v>
      </c>
      <c r="O255" s="3495">
        <v>105.92</v>
      </c>
      <c r="P255" s="3470" t="s">
        <v>3452</v>
      </c>
      <c r="Q255" s="3457">
        <v>450835</v>
      </c>
      <c r="R255" s="3470">
        <v>3850</v>
      </c>
      <c r="S255" s="3472">
        <v>44.57</v>
      </c>
      <c r="T255" s="3527">
        <v>445700</v>
      </c>
      <c r="U255" s="3470">
        <v>3807</v>
      </c>
      <c r="V255" s="3474">
        <v>0.1</v>
      </c>
      <c r="W255" s="3475">
        <v>40.11</v>
      </c>
      <c r="X255" s="3473">
        <v>401100</v>
      </c>
      <c r="Y255" s="3441">
        <v>2003</v>
      </c>
      <c r="Z255" s="3441">
        <v>3</v>
      </c>
      <c r="AA255" s="3441">
        <v>5</v>
      </c>
      <c r="AB255" s="3485">
        <v>2225</v>
      </c>
      <c r="AC255" s="3453" t="s">
        <v>4922</v>
      </c>
      <c r="AD255" s="3470"/>
      <c r="AE255" s="3456" t="s">
        <v>3663</v>
      </c>
      <c r="AF255" s="3470" t="s">
        <v>3810</v>
      </c>
      <c r="AG255" s="3470" t="s">
        <v>3466</v>
      </c>
      <c r="AH255" s="3470"/>
      <c r="AI255" s="3470" t="s">
        <v>3679</v>
      </c>
      <c r="AJ255" s="3478">
        <v>38108</v>
      </c>
      <c r="AK255" s="3548">
        <v>3</v>
      </c>
      <c r="AL255" s="3495">
        <v>67641700</v>
      </c>
      <c r="AM255" s="3470"/>
      <c r="AN255" s="3469" t="s">
        <v>3456</v>
      </c>
      <c r="AO255" s="3441" t="s">
        <v>5585</v>
      </c>
      <c r="AP255" s="3456" t="s">
        <v>3476</v>
      </c>
      <c r="AQ255" s="3456" t="s">
        <v>3571</v>
      </c>
      <c r="AR255" s="3470"/>
      <c r="AS255" s="3470"/>
      <c r="AT255" s="3470"/>
      <c r="AU255" s="3470"/>
      <c r="AV255" s="3519"/>
      <c r="AW255" s="3470" t="s">
        <v>3572</v>
      </c>
      <c r="AX255" s="3470" t="s">
        <v>3588</v>
      </c>
      <c r="AY255" s="3495">
        <v>267586</v>
      </c>
      <c r="AZ255" s="3470" t="s">
        <v>5586</v>
      </c>
      <c r="BA255" s="3470" t="s">
        <v>5587</v>
      </c>
      <c r="BB255" s="3619">
        <v>1102281326100</v>
      </c>
      <c r="BC255" s="3470" t="s">
        <v>5588</v>
      </c>
      <c r="BD255" s="3470">
        <v>100055</v>
      </c>
      <c r="BE255" s="3470">
        <v>82951881</v>
      </c>
      <c r="BF255" s="3520">
        <v>2.8</v>
      </c>
      <c r="BG255" s="3478">
        <v>37671</v>
      </c>
      <c r="BH255" s="3470"/>
      <c r="BI255" s="3441" t="s">
        <v>3475</v>
      </c>
      <c r="BJ255" s="3484">
        <v>37684</v>
      </c>
      <c r="BK255" s="3478"/>
      <c r="BL255" s="3441" t="s">
        <v>3670</v>
      </c>
      <c r="BM255" s="3441"/>
      <c r="BN255" s="3441"/>
      <c r="BO255" s="3441"/>
      <c r="BP255" s="3441"/>
      <c r="BQ255" s="3441"/>
      <c r="BR255" s="3441"/>
      <c r="BS255" s="3470"/>
      <c r="BT255" s="3470"/>
      <c r="BU255" s="3470"/>
    </row>
    <row r="256" spans="1:253" s="3605" customFormat="1" ht="12" hidden="1">
      <c r="A256" s="3470" t="s">
        <v>5589</v>
      </c>
      <c r="B256" s="3470" t="s">
        <v>5590</v>
      </c>
      <c r="C256" s="3454" t="s">
        <v>5591</v>
      </c>
      <c r="D256" s="3470">
        <v>13701178471</v>
      </c>
      <c r="E256" s="3470" t="s">
        <v>3763</v>
      </c>
      <c r="F256" s="3470" t="s">
        <v>5592</v>
      </c>
      <c r="G256" s="3470" t="s">
        <v>2420</v>
      </c>
      <c r="H256" s="3470" t="s">
        <v>5593</v>
      </c>
      <c r="I256" s="3453" t="s">
        <v>3464</v>
      </c>
      <c r="J256" s="3453" t="s">
        <v>4174</v>
      </c>
      <c r="K256" s="3470" t="s">
        <v>5584</v>
      </c>
      <c r="L256" s="3495">
        <v>90.69</v>
      </c>
      <c r="M256" s="3495">
        <v>2</v>
      </c>
      <c r="N256" s="3453" t="s">
        <v>3709</v>
      </c>
      <c r="O256" s="3495">
        <v>80.64</v>
      </c>
      <c r="P256" s="3470" t="s">
        <v>3452</v>
      </c>
      <c r="Q256" s="3457">
        <v>326484</v>
      </c>
      <c r="R256" s="3470">
        <v>3600</v>
      </c>
      <c r="S256" s="3472">
        <v>32.229999999999997</v>
      </c>
      <c r="T256" s="3527">
        <v>322300</v>
      </c>
      <c r="U256" s="3470">
        <v>3554</v>
      </c>
      <c r="V256" s="3474">
        <v>0.1</v>
      </c>
      <c r="W256" s="3475">
        <v>29</v>
      </c>
      <c r="X256" s="3473">
        <v>290000</v>
      </c>
      <c r="Y256" s="3441">
        <v>2003</v>
      </c>
      <c r="Z256" s="3441">
        <v>3</v>
      </c>
      <c r="AA256" s="3441">
        <v>12</v>
      </c>
      <c r="AB256" s="3485">
        <v>1610</v>
      </c>
      <c r="AC256" s="3453" t="s">
        <v>4013</v>
      </c>
      <c r="AD256" s="3470"/>
      <c r="AE256" s="3456" t="s">
        <v>3663</v>
      </c>
      <c r="AF256" s="3470" t="s">
        <v>3799</v>
      </c>
      <c r="AG256" s="3470" t="s">
        <v>3466</v>
      </c>
      <c r="AH256" s="3470"/>
      <c r="AI256" s="3470" t="s">
        <v>3679</v>
      </c>
      <c r="AJ256" s="3478">
        <v>38108</v>
      </c>
      <c r="AK256" s="3548">
        <v>3</v>
      </c>
      <c r="AL256" s="3495">
        <v>67641700</v>
      </c>
      <c r="AM256" s="3470"/>
      <c r="AN256" s="3456" t="s">
        <v>3800</v>
      </c>
      <c r="AO256" s="3441" t="s">
        <v>5594</v>
      </c>
      <c r="AP256" s="3456" t="s">
        <v>3476</v>
      </c>
      <c r="AQ256" s="3456" t="s">
        <v>3571</v>
      </c>
      <c r="AR256" s="3470"/>
      <c r="AS256" s="3470"/>
      <c r="AT256" s="3470"/>
      <c r="AU256" s="3470"/>
      <c r="AV256" s="3519"/>
      <c r="AW256" s="3470" t="s">
        <v>3572</v>
      </c>
      <c r="AX256" s="3470" t="s">
        <v>2420</v>
      </c>
      <c r="AY256" s="3495">
        <v>267593</v>
      </c>
      <c r="AZ256" s="3470" t="s">
        <v>5586</v>
      </c>
      <c r="BA256" s="3470" t="s">
        <v>5595</v>
      </c>
      <c r="BB256" s="3619">
        <v>1102281326100</v>
      </c>
      <c r="BC256" s="3470" t="s">
        <v>5596</v>
      </c>
      <c r="BD256" s="3470">
        <v>100055</v>
      </c>
      <c r="BE256" s="3470">
        <v>82951881</v>
      </c>
      <c r="BF256" s="3520">
        <v>2.8</v>
      </c>
      <c r="BG256" s="3478">
        <v>37664</v>
      </c>
      <c r="BH256" s="3470"/>
      <c r="BI256" s="3441" t="s">
        <v>3475</v>
      </c>
      <c r="BJ256" s="3478">
        <v>37690</v>
      </c>
      <c r="BK256" s="3478"/>
      <c r="BL256" s="3441" t="s">
        <v>3670</v>
      </c>
      <c r="BM256" s="3441"/>
      <c r="BN256" s="3441"/>
      <c r="BO256" s="3441"/>
      <c r="BP256" s="3441"/>
      <c r="BQ256" s="3441"/>
      <c r="BR256" s="3441"/>
      <c r="BS256" s="3470"/>
      <c r="BT256" s="3470"/>
      <c r="BU256" s="3470"/>
    </row>
    <row r="257" spans="1:253" s="3605" customFormat="1" ht="12" hidden="1">
      <c r="A257" s="3470" t="s">
        <v>5597</v>
      </c>
      <c r="B257" s="3470" t="s">
        <v>5598</v>
      </c>
      <c r="C257" s="3454" t="s">
        <v>5599</v>
      </c>
      <c r="D257" s="3470">
        <v>13701141276</v>
      </c>
      <c r="E257" s="3470" t="s">
        <v>2736</v>
      </c>
      <c r="F257" s="3470" t="s">
        <v>5592</v>
      </c>
      <c r="G257" s="3470" t="s">
        <v>2420</v>
      </c>
      <c r="H257" s="3470" t="s">
        <v>5600</v>
      </c>
      <c r="I257" s="3453" t="s">
        <v>3676</v>
      </c>
      <c r="J257" s="3453" t="s">
        <v>4498</v>
      </c>
      <c r="K257" s="3470" t="s">
        <v>5601</v>
      </c>
      <c r="L257" s="3495">
        <v>122.2</v>
      </c>
      <c r="M257" s="3495">
        <v>5</v>
      </c>
      <c r="N257" s="3470" t="s">
        <v>3632</v>
      </c>
      <c r="O257" s="3495">
        <v>111.4</v>
      </c>
      <c r="P257" s="3470" t="s">
        <v>3452</v>
      </c>
      <c r="Q257" s="3457">
        <v>465765.3</v>
      </c>
      <c r="R257" s="3470">
        <v>3811.5</v>
      </c>
      <c r="S257" s="3472">
        <v>46.05</v>
      </c>
      <c r="T257" s="3527">
        <v>460500</v>
      </c>
      <c r="U257" s="3470">
        <v>3769</v>
      </c>
      <c r="V257" s="3474">
        <v>0.1</v>
      </c>
      <c r="W257" s="3475">
        <v>41.44</v>
      </c>
      <c r="X257" s="3473">
        <v>414400</v>
      </c>
      <c r="Y257" s="3441">
        <v>2003</v>
      </c>
      <c r="Z257" s="3441">
        <v>3</v>
      </c>
      <c r="AA257" s="3441">
        <v>6</v>
      </c>
      <c r="AB257" s="3485">
        <v>2300</v>
      </c>
      <c r="AC257" s="3453" t="s">
        <v>3634</v>
      </c>
      <c r="AD257" s="3470"/>
      <c r="AE257" s="3456" t="s">
        <v>3663</v>
      </c>
      <c r="AF257" s="3470" t="s">
        <v>3810</v>
      </c>
      <c r="AG257" s="3470" t="s">
        <v>3466</v>
      </c>
      <c r="AH257" s="3470"/>
      <c r="AI257" s="3470" t="s">
        <v>3679</v>
      </c>
      <c r="AJ257" s="3478">
        <v>38108</v>
      </c>
      <c r="AK257" s="3548">
        <v>3</v>
      </c>
      <c r="AL257" s="3495">
        <v>67641700</v>
      </c>
      <c r="AM257" s="3470"/>
      <c r="AN257" s="3469" t="s">
        <v>3456</v>
      </c>
      <c r="AO257" s="3441" t="s">
        <v>5602</v>
      </c>
      <c r="AP257" s="3456" t="s">
        <v>3476</v>
      </c>
      <c r="AQ257" s="3456" t="s">
        <v>3571</v>
      </c>
      <c r="AR257" s="3470"/>
      <c r="AS257" s="3470"/>
      <c r="AT257" s="3470"/>
      <c r="AU257" s="3470"/>
      <c r="AV257" s="3519"/>
      <c r="AW257" s="3470" t="s">
        <v>3572</v>
      </c>
      <c r="AX257" s="3470"/>
      <c r="AY257" s="3495">
        <v>267600</v>
      </c>
      <c r="AZ257" s="3470" t="s">
        <v>5584</v>
      </c>
      <c r="BA257" s="3470" t="s">
        <v>5603</v>
      </c>
      <c r="BB257" s="3619">
        <v>1102281326100</v>
      </c>
      <c r="BC257" s="3470" t="s">
        <v>5604</v>
      </c>
      <c r="BD257" s="3470">
        <v>100055</v>
      </c>
      <c r="BE257" s="3470">
        <v>82951881</v>
      </c>
      <c r="BF257" s="3520">
        <v>2.8</v>
      </c>
      <c r="BG257" s="3478">
        <v>37664</v>
      </c>
      <c r="BH257" s="3470"/>
      <c r="BI257" s="3470" t="s">
        <v>5021</v>
      </c>
      <c r="BJ257" s="3484">
        <v>37680</v>
      </c>
      <c r="BK257" s="3478"/>
      <c r="BL257" s="3441" t="s">
        <v>3670</v>
      </c>
      <c r="BM257" s="3441"/>
      <c r="BN257" s="3441"/>
      <c r="BO257" s="3441"/>
      <c r="BP257" s="3441"/>
      <c r="BQ257" s="3441"/>
      <c r="BR257" s="3441"/>
      <c r="BS257" s="3470"/>
      <c r="BT257" s="3470"/>
      <c r="BU257" s="3470"/>
    </row>
    <row r="258" spans="1:253" s="3605" customFormat="1" ht="12" hidden="1">
      <c r="A258" s="3470" t="s">
        <v>5605</v>
      </c>
      <c r="B258" s="3470" t="s">
        <v>5606</v>
      </c>
      <c r="C258" s="3454" t="s">
        <v>5607</v>
      </c>
      <c r="D258" s="3470">
        <v>13601145081</v>
      </c>
      <c r="E258" s="3470" t="s">
        <v>3538</v>
      </c>
      <c r="F258" s="3470" t="s">
        <v>5592</v>
      </c>
      <c r="G258" s="3470" t="s">
        <v>3588</v>
      </c>
      <c r="H258" s="3470" t="s">
        <v>5608</v>
      </c>
      <c r="I258" s="3453" t="s">
        <v>4441</v>
      </c>
      <c r="J258" s="3453" t="s">
        <v>5609</v>
      </c>
      <c r="K258" s="3470" t="s">
        <v>5601</v>
      </c>
      <c r="L258" s="3495">
        <v>98.22</v>
      </c>
      <c r="M258" s="3495">
        <v>12</v>
      </c>
      <c r="N258" s="3453" t="s">
        <v>3709</v>
      </c>
      <c r="O258" s="3495">
        <v>83.29</v>
      </c>
      <c r="P258" s="3470" t="s">
        <v>3452</v>
      </c>
      <c r="Q258" s="3457">
        <v>402702</v>
      </c>
      <c r="R258" s="3470">
        <v>4100</v>
      </c>
      <c r="S258" s="3472">
        <v>39.82</v>
      </c>
      <c r="T258" s="3527">
        <v>398200</v>
      </c>
      <c r="U258" s="3470">
        <v>4055</v>
      </c>
      <c r="V258" s="3474">
        <v>0.1</v>
      </c>
      <c r="W258" s="3475">
        <v>35.83</v>
      </c>
      <c r="X258" s="3473">
        <v>358300</v>
      </c>
      <c r="Y258" s="3441">
        <v>2003</v>
      </c>
      <c r="Z258" s="3441">
        <v>3</v>
      </c>
      <c r="AA258" s="3441">
        <v>3</v>
      </c>
      <c r="AB258" s="3485">
        <v>1990</v>
      </c>
      <c r="AC258" s="3453" t="s">
        <v>4922</v>
      </c>
      <c r="AD258" s="3470"/>
      <c r="AE258" s="3456" t="s">
        <v>3663</v>
      </c>
      <c r="AF258" s="3470" t="s">
        <v>3810</v>
      </c>
      <c r="AG258" s="3470" t="s">
        <v>3466</v>
      </c>
      <c r="AH258" s="3470"/>
      <c r="AI258" s="3470" t="s">
        <v>3679</v>
      </c>
      <c r="AJ258" s="3478">
        <v>38108</v>
      </c>
      <c r="AK258" s="3548">
        <v>3</v>
      </c>
      <c r="AL258" s="3495">
        <v>67641700</v>
      </c>
      <c r="AM258" s="3470"/>
      <c r="AN258" s="3469" t="s">
        <v>3619</v>
      </c>
      <c r="AO258" s="3441" t="s">
        <v>5610</v>
      </c>
      <c r="AP258" s="3456" t="s">
        <v>3476</v>
      </c>
      <c r="AQ258" s="3456" t="s">
        <v>3571</v>
      </c>
      <c r="AR258" s="3470"/>
      <c r="AS258" s="3470"/>
      <c r="AT258" s="3470"/>
      <c r="AU258" s="3470"/>
      <c r="AV258" s="3519"/>
      <c r="AW258" s="3470" t="s">
        <v>3572</v>
      </c>
      <c r="AX258" s="3470" t="s">
        <v>2420</v>
      </c>
      <c r="AY258" s="3495">
        <v>267591</v>
      </c>
      <c r="AZ258" s="3470" t="s">
        <v>5601</v>
      </c>
      <c r="BA258" s="3470" t="s">
        <v>5595</v>
      </c>
      <c r="BB258" s="3619">
        <v>1102281326100</v>
      </c>
      <c r="BC258" s="3470" t="s">
        <v>5588</v>
      </c>
      <c r="BD258" s="3470">
        <v>100055</v>
      </c>
      <c r="BE258" s="3470">
        <v>82951881</v>
      </c>
      <c r="BF258" s="3520">
        <v>2.8</v>
      </c>
      <c r="BG258" s="3478">
        <v>37667</v>
      </c>
      <c r="BH258" s="3470"/>
      <c r="BI258" s="3441" t="s">
        <v>3664</v>
      </c>
      <c r="BJ258" s="3478">
        <v>37680</v>
      </c>
      <c r="BK258" s="3478"/>
      <c r="BL258" s="3441" t="s">
        <v>3670</v>
      </c>
      <c r="BM258" s="3441"/>
      <c r="BN258" s="3441"/>
      <c r="BO258" s="3441"/>
      <c r="BP258" s="3441"/>
      <c r="BQ258" s="3441"/>
      <c r="BR258" s="3441"/>
      <c r="BS258" s="3470"/>
      <c r="BT258" s="3470"/>
      <c r="BU258" s="3470"/>
    </row>
    <row r="259" spans="1:253" s="3604" customFormat="1" ht="12" hidden="1">
      <c r="A259" s="3485" t="s">
        <v>5611</v>
      </c>
      <c r="B259" s="3470" t="s">
        <v>5612</v>
      </c>
      <c r="C259" s="3481" t="s">
        <v>5613</v>
      </c>
      <c r="D259" s="3481">
        <v>68763052</v>
      </c>
      <c r="E259" s="3470" t="s">
        <v>3558</v>
      </c>
      <c r="F259" s="3521" t="s">
        <v>4403</v>
      </c>
      <c r="G259" s="3470" t="s">
        <v>3568</v>
      </c>
      <c r="H259" s="3470" t="s">
        <v>4949</v>
      </c>
      <c r="I259" s="3470" t="s">
        <v>4983</v>
      </c>
      <c r="J259" s="3481" t="s">
        <v>5019</v>
      </c>
      <c r="K259" s="3470" t="s">
        <v>4406</v>
      </c>
      <c r="L259" s="3470">
        <v>129.74</v>
      </c>
      <c r="M259" s="3470">
        <v>1</v>
      </c>
      <c r="N259" s="3470" t="s">
        <v>4003</v>
      </c>
      <c r="O259" s="3470">
        <v>116.38</v>
      </c>
      <c r="P259" s="3470" t="s">
        <v>3452</v>
      </c>
      <c r="Q259" s="3457">
        <v>607183.19999999995</v>
      </c>
      <c r="R259" s="3470">
        <v>4680</v>
      </c>
      <c r="S259" s="3472">
        <v>60.06</v>
      </c>
      <c r="T259" s="3527">
        <v>600600</v>
      </c>
      <c r="U259" s="3470">
        <v>4630</v>
      </c>
      <c r="V259" s="3474">
        <v>0.1</v>
      </c>
      <c r="W259" s="3475">
        <v>54.05</v>
      </c>
      <c r="X259" s="3473">
        <v>540500</v>
      </c>
      <c r="Y259" s="3441">
        <v>2003</v>
      </c>
      <c r="Z259" s="3441">
        <v>2</v>
      </c>
      <c r="AA259" s="3441">
        <v>25</v>
      </c>
      <c r="AB259" s="3485">
        <v>3000</v>
      </c>
      <c r="AC259" s="3470" t="s">
        <v>4407</v>
      </c>
      <c r="AD259" s="3485"/>
      <c r="AE259" s="3441" t="s">
        <v>3663</v>
      </c>
      <c r="AF259" s="3470" t="s">
        <v>3728</v>
      </c>
      <c r="AG259" s="3522" t="s">
        <v>3466</v>
      </c>
      <c r="AH259" s="3485"/>
      <c r="AI259" s="3470" t="s">
        <v>3679</v>
      </c>
      <c r="AJ259" s="3523">
        <v>37833</v>
      </c>
      <c r="AK259" s="3479">
        <v>2</v>
      </c>
      <c r="AL259" s="3441">
        <v>67641700</v>
      </c>
      <c r="AM259" s="3441"/>
      <c r="AN259" s="3441" t="s">
        <v>3680</v>
      </c>
      <c r="AO259" s="3441" t="s">
        <v>3568</v>
      </c>
      <c r="AP259" s="3441" t="s">
        <v>3476</v>
      </c>
      <c r="AQ259" s="3441" t="s">
        <v>3571</v>
      </c>
      <c r="AR259" s="3441"/>
      <c r="AS259" s="3441"/>
      <c r="AT259" s="3441"/>
      <c r="AU259" s="3441"/>
      <c r="AV259" s="3441"/>
      <c r="AW259" s="3441" t="s">
        <v>3572</v>
      </c>
      <c r="AX259" s="3441" t="s">
        <v>3568</v>
      </c>
      <c r="AY259" s="3524">
        <v>261108</v>
      </c>
      <c r="AZ259" s="3441" t="s">
        <v>4406</v>
      </c>
      <c r="BA259" s="3441" t="s">
        <v>4409</v>
      </c>
      <c r="BB259" s="3524" t="s">
        <v>4410</v>
      </c>
      <c r="BC259" s="3441" t="s">
        <v>4411</v>
      </c>
      <c r="BD259" s="3525" t="s">
        <v>3568</v>
      </c>
      <c r="BE259" s="3441">
        <v>68152860</v>
      </c>
      <c r="BF259" s="3526">
        <v>2.8</v>
      </c>
      <c r="BG259" s="3518">
        <v>37635</v>
      </c>
      <c r="BH259" s="3441" t="s">
        <v>4412</v>
      </c>
      <c r="BI259" s="3441" t="s">
        <v>3700</v>
      </c>
      <c r="BJ259" s="3484">
        <v>37676</v>
      </c>
      <c r="BK259" s="3484"/>
      <c r="BL259" s="3470" t="s">
        <v>3670</v>
      </c>
      <c r="BM259" s="3441"/>
      <c r="BN259" s="3441"/>
      <c r="BO259" s="3441"/>
      <c r="BP259" s="3441"/>
      <c r="BQ259" s="3441"/>
      <c r="BR259" s="3441"/>
      <c r="BS259" s="3470"/>
      <c r="BT259" s="3470"/>
      <c r="BU259" s="3470"/>
      <c r="BV259" s="3441"/>
      <c r="BW259" s="3441"/>
      <c r="BX259" s="3441"/>
      <c r="BY259" s="3441"/>
      <c r="BZ259" s="3441"/>
      <c r="CA259" s="3441"/>
      <c r="CB259" s="3441"/>
      <c r="CC259" s="3441"/>
      <c r="CD259" s="3441"/>
      <c r="CE259" s="3441"/>
      <c r="CF259" s="3441"/>
      <c r="CG259" s="3441"/>
      <c r="CH259" s="3441"/>
      <c r="CI259" s="3441"/>
      <c r="CJ259" s="3441"/>
      <c r="CK259" s="3441"/>
      <c r="CL259" s="3441"/>
      <c r="CM259" s="3441"/>
      <c r="CN259" s="3441"/>
      <c r="CO259" s="3441"/>
      <c r="CP259" s="3441"/>
      <c r="CQ259" s="3441"/>
      <c r="CR259" s="3441"/>
      <c r="CS259" s="3441"/>
      <c r="CT259" s="3441"/>
      <c r="CU259" s="3441"/>
      <c r="CV259" s="3441"/>
      <c r="CW259" s="3441"/>
      <c r="CX259" s="3441"/>
      <c r="CY259" s="3441"/>
      <c r="CZ259" s="3441"/>
      <c r="DA259" s="3441"/>
      <c r="DB259" s="3441"/>
      <c r="DC259" s="3441"/>
      <c r="DD259" s="3441"/>
      <c r="DE259" s="3441"/>
      <c r="DF259" s="3441"/>
      <c r="DG259" s="3441"/>
      <c r="DH259" s="3441"/>
      <c r="DI259" s="3441"/>
      <c r="DJ259" s="3441"/>
      <c r="DK259" s="3441"/>
      <c r="DL259" s="3441"/>
      <c r="DM259" s="3441"/>
      <c r="DN259" s="3441"/>
      <c r="DO259" s="3441"/>
      <c r="DP259" s="3441"/>
      <c r="DQ259" s="3441"/>
      <c r="DR259" s="3441"/>
      <c r="DS259" s="3441"/>
      <c r="DT259" s="3441"/>
      <c r="DU259" s="3441"/>
      <c r="DV259" s="3441"/>
      <c r="DW259" s="3441"/>
      <c r="DX259" s="3441"/>
      <c r="DY259" s="3441"/>
      <c r="DZ259" s="3441"/>
      <c r="EA259" s="3441"/>
      <c r="EB259" s="3441"/>
      <c r="EC259" s="3441"/>
      <c r="ED259" s="3441"/>
      <c r="EE259" s="3441"/>
      <c r="EF259" s="3441"/>
      <c r="EG259" s="3441"/>
      <c r="EH259" s="3441"/>
      <c r="EI259" s="3441"/>
      <c r="EJ259" s="3441"/>
      <c r="EK259" s="3441"/>
      <c r="EL259" s="3441"/>
      <c r="EM259" s="3441"/>
      <c r="EN259" s="3441"/>
      <c r="EO259" s="3441"/>
      <c r="EP259" s="3441"/>
      <c r="EQ259" s="3441"/>
      <c r="ER259" s="3441"/>
      <c r="ES259" s="3441"/>
      <c r="ET259" s="3441"/>
      <c r="EU259" s="3441"/>
      <c r="EV259" s="3441"/>
      <c r="EW259" s="3441"/>
      <c r="EX259" s="3441"/>
      <c r="EY259" s="3441"/>
      <c r="EZ259" s="3441"/>
      <c r="FA259" s="3441"/>
      <c r="FB259" s="3441"/>
      <c r="FC259" s="3441"/>
      <c r="FD259" s="3441"/>
      <c r="FE259" s="3441"/>
      <c r="FF259" s="3441"/>
      <c r="FG259" s="3441"/>
      <c r="FH259" s="3441"/>
      <c r="FI259" s="3441"/>
      <c r="FJ259" s="3441"/>
      <c r="FK259" s="3441"/>
      <c r="FL259" s="3441"/>
      <c r="FM259" s="3441"/>
      <c r="FN259" s="3441"/>
      <c r="FO259" s="3441"/>
      <c r="FP259" s="3441"/>
      <c r="FQ259" s="3441"/>
      <c r="FR259" s="3441"/>
      <c r="FS259" s="3441"/>
      <c r="FT259" s="3441"/>
      <c r="FU259" s="3441"/>
      <c r="FV259" s="3441"/>
      <c r="FW259" s="3441"/>
      <c r="FX259" s="3441"/>
      <c r="FY259" s="3441"/>
      <c r="FZ259" s="3441"/>
      <c r="GA259" s="3441"/>
      <c r="GB259" s="3441"/>
      <c r="GC259" s="3441"/>
      <c r="GD259" s="3441"/>
      <c r="GE259" s="3441"/>
      <c r="GF259" s="3441"/>
      <c r="GG259" s="3441"/>
      <c r="GH259" s="3441"/>
      <c r="GI259" s="3441"/>
      <c r="GJ259" s="3441"/>
      <c r="GK259" s="3441"/>
      <c r="GL259" s="3441"/>
      <c r="GM259" s="3441"/>
      <c r="GN259" s="3441"/>
      <c r="GO259" s="3441"/>
      <c r="GP259" s="3441"/>
      <c r="GQ259" s="3441"/>
      <c r="GR259" s="3441"/>
      <c r="GS259" s="3441"/>
      <c r="GT259" s="3441"/>
      <c r="GU259" s="3441"/>
      <c r="GV259" s="3441"/>
      <c r="GW259" s="3441"/>
      <c r="GX259" s="3441"/>
      <c r="GY259" s="3441"/>
      <c r="GZ259" s="3441"/>
      <c r="HA259" s="3441"/>
      <c r="HB259" s="3441"/>
      <c r="HC259" s="3441"/>
      <c r="HD259" s="3441"/>
      <c r="HE259" s="3441"/>
      <c r="HF259" s="3441"/>
      <c r="HG259" s="3441"/>
      <c r="HH259" s="3441"/>
      <c r="HI259" s="3441"/>
      <c r="HJ259" s="3441"/>
      <c r="HK259" s="3441"/>
      <c r="HL259" s="3441"/>
      <c r="HM259" s="3441"/>
      <c r="HN259" s="3441"/>
      <c r="HO259" s="3441"/>
      <c r="HP259" s="3441"/>
      <c r="HQ259" s="3441"/>
      <c r="HR259" s="3441"/>
      <c r="HS259" s="3441"/>
      <c r="HT259" s="3441"/>
      <c r="HU259" s="3441"/>
      <c r="HV259" s="3441"/>
      <c r="HW259" s="3441"/>
      <c r="HX259" s="3441"/>
      <c r="HY259" s="3441"/>
      <c r="HZ259" s="3441"/>
      <c r="IA259" s="3441"/>
      <c r="IB259" s="3441"/>
      <c r="IC259" s="3441"/>
      <c r="ID259" s="3441"/>
      <c r="IE259" s="3441"/>
      <c r="IF259" s="3441"/>
      <c r="IG259" s="3441"/>
      <c r="IH259" s="3441"/>
      <c r="II259" s="3441"/>
      <c r="IJ259" s="3441"/>
      <c r="IK259" s="3441"/>
      <c r="IL259" s="3441"/>
      <c r="IM259" s="3441"/>
      <c r="IN259" s="3441"/>
      <c r="IO259" s="3441"/>
      <c r="IP259" s="3441"/>
      <c r="IQ259" s="3441"/>
      <c r="IR259" s="3441"/>
      <c r="IS259" s="3441"/>
    </row>
    <row r="260" spans="1:253" s="3604" customFormat="1" ht="12" hidden="1">
      <c r="A260" s="3485" t="s">
        <v>5614</v>
      </c>
      <c r="B260" s="3470" t="s">
        <v>5615</v>
      </c>
      <c r="C260" s="3481" t="s">
        <v>5616</v>
      </c>
      <c r="D260" s="3481">
        <v>13671286020</v>
      </c>
      <c r="E260" s="3470" t="s">
        <v>3558</v>
      </c>
      <c r="F260" s="3521" t="s">
        <v>5617</v>
      </c>
      <c r="G260" s="3470" t="s">
        <v>5618</v>
      </c>
      <c r="H260" s="3470" t="s">
        <v>4876</v>
      </c>
      <c r="I260" s="3470" t="s">
        <v>5066</v>
      </c>
      <c r="J260" s="3481" t="s">
        <v>5619</v>
      </c>
      <c r="K260" s="3470" t="s">
        <v>5620</v>
      </c>
      <c r="L260" s="3470">
        <v>156.76</v>
      </c>
      <c r="M260" s="3470">
        <v>7</v>
      </c>
      <c r="N260" s="3470" t="s">
        <v>4003</v>
      </c>
      <c r="O260" s="3470">
        <v>129.52000000000001</v>
      </c>
      <c r="P260" s="3470" t="s">
        <v>3452</v>
      </c>
      <c r="Q260" s="3457">
        <v>989884.53399999987</v>
      </c>
      <c r="R260" s="3470">
        <v>6314.65</v>
      </c>
      <c r="S260" s="3472">
        <v>98.06</v>
      </c>
      <c r="T260" s="3527">
        <v>980600</v>
      </c>
      <c r="U260" s="3470">
        <v>6256</v>
      </c>
      <c r="V260" s="3474">
        <v>0.1</v>
      </c>
      <c r="W260" s="3475">
        <v>88.25</v>
      </c>
      <c r="X260" s="3473">
        <v>882500</v>
      </c>
      <c r="Y260" s="3441">
        <v>2003</v>
      </c>
      <c r="Z260" s="3441">
        <v>2</v>
      </c>
      <c r="AA260" s="3441">
        <v>27</v>
      </c>
      <c r="AB260" s="3485">
        <v>4900</v>
      </c>
      <c r="AC260" s="3470" t="s">
        <v>5621</v>
      </c>
      <c r="AD260" s="3485"/>
      <c r="AE260" s="3441" t="s">
        <v>3663</v>
      </c>
      <c r="AF260" s="3470" t="s">
        <v>4200</v>
      </c>
      <c r="AG260" s="3522" t="s">
        <v>3466</v>
      </c>
      <c r="AH260" s="3485"/>
      <c r="AI260" s="3470" t="s">
        <v>3679</v>
      </c>
      <c r="AJ260" s="3523">
        <v>37652</v>
      </c>
      <c r="AK260" s="3479">
        <v>2</v>
      </c>
      <c r="AL260" s="3441">
        <v>67641700</v>
      </c>
      <c r="AM260" s="3441"/>
      <c r="AN260" s="3441" t="s">
        <v>3680</v>
      </c>
      <c r="AO260" s="3441"/>
      <c r="AP260" s="3441" t="s">
        <v>3476</v>
      </c>
      <c r="AQ260" s="3441" t="s">
        <v>3571</v>
      </c>
      <c r="AR260" s="3441"/>
      <c r="AS260" s="3441"/>
      <c r="AT260" s="3441"/>
      <c r="AU260" s="3441"/>
      <c r="AV260" s="3441"/>
      <c r="AW260" s="3441" t="s">
        <v>3572</v>
      </c>
      <c r="AX260" s="3441" t="s">
        <v>2511</v>
      </c>
      <c r="AY260" s="3524" t="s">
        <v>5622</v>
      </c>
      <c r="AZ260" s="3441" t="s">
        <v>5620</v>
      </c>
      <c r="BA260" s="3441" t="s">
        <v>5623</v>
      </c>
      <c r="BB260" s="3524">
        <v>1100001502073</v>
      </c>
      <c r="BC260" s="3441" t="s">
        <v>5624</v>
      </c>
      <c r="BD260" s="3525">
        <v>100011</v>
      </c>
      <c r="BE260" s="3441">
        <v>64262674</v>
      </c>
      <c r="BF260" s="3526">
        <v>2.85</v>
      </c>
      <c r="BG260" s="3518">
        <v>37624</v>
      </c>
      <c r="BH260" s="3441"/>
      <c r="BI260" s="3441" t="s">
        <v>5021</v>
      </c>
      <c r="BJ260" s="3484">
        <v>37677</v>
      </c>
      <c r="BK260" s="3484"/>
      <c r="BL260" s="3470" t="s">
        <v>3670</v>
      </c>
      <c r="BM260" s="3441"/>
      <c r="BN260" s="3441"/>
      <c r="BO260" s="3441"/>
      <c r="BP260" s="3441"/>
      <c r="BQ260" s="3441"/>
      <c r="BR260" s="3441"/>
      <c r="BS260" s="3470"/>
      <c r="BT260" s="3470"/>
      <c r="BU260" s="3470"/>
      <c r="BV260" s="3441"/>
      <c r="BW260" s="3441"/>
      <c r="BX260" s="3441"/>
      <c r="BY260" s="3441"/>
      <c r="BZ260" s="3441"/>
      <c r="CA260" s="3441"/>
      <c r="CB260" s="3441"/>
      <c r="CC260" s="3441"/>
      <c r="CD260" s="3441"/>
      <c r="CE260" s="3441"/>
      <c r="CF260" s="3441"/>
      <c r="CG260" s="3441"/>
      <c r="CH260" s="3441"/>
      <c r="CI260" s="3441"/>
      <c r="CJ260" s="3441"/>
      <c r="CK260" s="3441"/>
      <c r="CL260" s="3441"/>
      <c r="CM260" s="3441"/>
      <c r="CN260" s="3441"/>
      <c r="CO260" s="3441"/>
      <c r="CP260" s="3441"/>
      <c r="CQ260" s="3441"/>
      <c r="CR260" s="3441"/>
      <c r="CS260" s="3441"/>
      <c r="CT260" s="3441"/>
      <c r="CU260" s="3441"/>
      <c r="CV260" s="3441"/>
      <c r="CW260" s="3441"/>
      <c r="CX260" s="3441"/>
      <c r="CY260" s="3441"/>
      <c r="CZ260" s="3441"/>
      <c r="DA260" s="3441"/>
      <c r="DB260" s="3441"/>
      <c r="DC260" s="3441"/>
      <c r="DD260" s="3441"/>
      <c r="DE260" s="3441"/>
      <c r="DF260" s="3441"/>
      <c r="DG260" s="3441"/>
      <c r="DH260" s="3441"/>
      <c r="DI260" s="3441"/>
      <c r="DJ260" s="3441"/>
      <c r="DK260" s="3441"/>
      <c r="DL260" s="3441"/>
      <c r="DM260" s="3441"/>
      <c r="DN260" s="3441"/>
      <c r="DO260" s="3441"/>
      <c r="DP260" s="3441"/>
      <c r="DQ260" s="3441"/>
      <c r="DR260" s="3441"/>
      <c r="DS260" s="3441"/>
      <c r="DT260" s="3441"/>
      <c r="DU260" s="3441"/>
      <c r="DV260" s="3441"/>
      <c r="DW260" s="3441"/>
      <c r="DX260" s="3441"/>
      <c r="DY260" s="3441"/>
      <c r="DZ260" s="3441"/>
      <c r="EA260" s="3441"/>
      <c r="EB260" s="3441"/>
      <c r="EC260" s="3441"/>
      <c r="ED260" s="3441"/>
      <c r="EE260" s="3441"/>
      <c r="EF260" s="3441"/>
      <c r="EG260" s="3441"/>
      <c r="EH260" s="3441"/>
      <c r="EI260" s="3441"/>
      <c r="EJ260" s="3441"/>
      <c r="EK260" s="3441"/>
      <c r="EL260" s="3441"/>
      <c r="EM260" s="3441"/>
      <c r="EN260" s="3441"/>
      <c r="EO260" s="3441"/>
      <c r="EP260" s="3441"/>
      <c r="EQ260" s="3441"/>
      <c r="ER260" s="3441"/>
      <c r="ES260" s="3441"/>
      <c r="ET260" s="3441"/>
      <c r="EU260" s="3441"/>
      <c r="EV260" s="3441"/>
      <c r="EW260" s="3441"/>
      <c r="EX260" s="3441"/>
      <c r="EY260" s="3441"/>
      <c r="EZ260" s="3441"/>
      <c r="FA260" s="3441"/>
      <c r="FB260" s="3441"/>
      <c r="FC260" s="3441"/>
      <c r="FD260" s="3441"/>
      <c r="FE260" s="3441"/>
      <c r="FF260" s="3441"/>
      <c r="FG260" s="3441"/>
      <c r="FH260" s="3441"/>
      <c r="FI260" s="3441"/>
      <c r="FJ260" s="3441"/>
      <c r="FK260" s="3441"/>
      <c r="FL260" s="3441"/>
      <c r="FM260" s="3441"/>
      <c r="FN260" s="3441"/>
      <c r="FO260" s="3441"/>
      <c r="FP260" s="3441"/>
      <c r="FQ260" s="3441"/>
      <c r="FR260" s="3441"/>
      <c r="FS260" s="3441"/>
      <c r="FT260" s="3441"/>
      <c r="FU260" s="3441"/>
      <c r="FV260" s="3441"/>
      <c r="FW260" s="3441"/>
      <c r="FX260" s="3441"/>
      <c r="FY260" s="3441"/>
      <c r="FZ260" s="3441"/>
      <c r="GA260" s="3441"/>
      <c r="GB260" s="3441"/>
      <c r="GC260" s="3441"/>
      <c r="GD260" s="3441"/>
      <c r="GE260" s="3441"/>
      <c r="GF260" s="3441"/>
      <c r="GG260" s="3441"/>
      <c r="GH260" s="3441"/>
      <c r="GI260" s="3441"/>
      <c r="GJ260" s="3441"/>
      <c r="GK260" s="3441"/>
      <c r="GL260" s="3441"/>
      <c r="GM260" s="3441"/>
      <c r="GN260" s="3441"/>
      <c r="GO260" s="3441"/>
      <c r="GP260" s="3441"/>
      <c r="GQ260" s="3441"/>
      <c r="GR260" s="3441"/>
      <c r="GS260" s="3441"/>
      <c r="GT260" s="3441"/>
      <c r="GU260" s="3441"/>
      <c r="GV260" s="3441"/>
      <c r="GW260" s="3441"/>
      <c r="GX260" s="3441"/>
      <c r="GY260" s="3441"/>
      <c r="GZ260" s="3441"/>
      <c r="HA260" s="3441"/>
      <c r="HB260" s="3441"/>
      <c r="HC260" s="3441"/>
      <c r="HD260" s="3441"/>
      <c r="HE260" s="3441"/>
      <c r="HF260" s="3441"/>
      <c r="HG260" s="3441"/>
      <c r="HH260" s="3441"/>
      <c r="HI260" s="3441"/>
      <c r="HJ260" s="3441"/>
      <c r="HK260" s="3441"/>
      <c r="HL260" s="3441"/>
      <c r="HM260" s="3441"/>
      <c r="HN260" s="3441"/>
      <c r="HO260" s="3441"/>
      <c r="HP260" s="3441"/>
      <c r="HQ260" s="3441"/>
      <c r="HR260" s="3441"/>
      <c r="HS260" s="3441"/>
      <c r="HT260" s="3441"/>
      <c r="HU260" s="3441"/>
      <c r="HV260" s="3441"/>
      <c r="HW260" s="3441"/>
      <c r="HX260" s="3441"/>
      <c r="HY260" s="3441"/>
      <c r="HZ260" s="3441"/>
      <c r="IA260" s="3441"/>
      <c r="IB260" s="3441"/>
      <c r="IC260" s="3441"/>
      <c r="ID260" s="3441"/>
      <c r="IE260" s="3441"/>
      <c r="IF260" s="3441"/>
      <c r="IG260" s="3441"/>
      <c r="IH260" s="3441"/>
      <c r="II260" s="3441"/>
      <c r="IJ260" s="3441"/>
      <c r="IK260" s="3441"/>
      <c r="IL260" s="3441"/>
      <c r="IM260" s="3441"/>
      <c r="IN260" s="3441"/>
      <c r="IO260" s="3441"/>
      <c r="IP260" s="3441"/>
      <c r="IQ260" s="3441"/>
      <c r="IR260" s="3441"/>
      <c r="IS260" s="3441"/>
    </row>
    <row r="261" spans="1:253" s="3604" customFormat="1" ht="12" hidden="1">
      <c r="A261" s="3485" t="s">
        <v>5625</v>
      </c>
      <c r="B261" s="3470" t="s">
        <v>5626</v>
      </c>
      <c r="C261" s="3481">
        <v>610113691124213</v>
      </c>
      <c r="D261" s="3481">
        <v>13901183457</v>
      </c>
      <c r="E261" s="3470" t="s">
        <v>3558</v>
      </c>
      <c r="F261" s="3521" t="s">
        <v>5627</v>
      </c>
      <c r="G261" s="3470"/>
      <c r="H261" s="3470" t="s">
        <v>5628</v>
      </c>
      <c r="I261" s="3470" t="s">
        <v>4019</v>
      </c>
      <c r="J261" s="3481" t="s">
        <v>5629</v>
      </c>
      <c r="K261" s="3470" t="s">
        <v>5630</v>
      </c>
      <c r="L261" s="3470">
        <v>193.64</v>
      </c>
      <c r="M261" s="3470" t="s">
        <v>5631</v>
      </c>
      <c r="N261" s="3470" t="s">
        <v>5632</v>
      </c>
      <c r="O261" s="3470">
        <v>180.51</v>
      </c>
      <c r="P261" s="3470" t="s">
        <v>4222</v>
      </c>
      <c r="Q261" s="3457">
        <v>1138603.2</v>
      </c>
      <c r="R261" s="3470">
        <v>5880</v>
      </c>
      <c r="S261" s="3472">
        <v>112.85</v>
      </c>
      <c r="T261" s="3527">
        <v>1128500</v>
      </c>
      <c r="U261" s="3470">
        <v>5828</v>
      </c>
      <c r="V261" s="3474">
        <v>0.1</v>
      </c>
      <c r="W261" s="3475">
        <v>101.56</v>
      </c>
      <c r="X261" s="3473">
        <v>1015600</v>
      </c>
      <c r="Y261" s="3441">
        <v>2003</v>
      </c>
      <c r="Z261" s="3441">
        <v>2</v>
      </c>
      <c r="AA261" s="3441">
        <v>26</v>
      </c>
      <c r="AB261" s="3485">
        <v>5320</v>
      </c>
      <c r="AC261" s="3470" t="s">
        <v>3693</v>
      </c>
      <c r="AD261" s="3485"/>
      <c r="AE261" s="3441" t="s">
        <v>3663</v>
      </c>
      <c r="AF261" s="3470" t="s">
        <v>3728</v>
      </c>
      <c r="AG261" s="3522" t="s">
        <v>3466</v>
      </c>
      <c r="AH261" s="3485"/>
      <c r="AI261" s="3470" t="s">
        <v>3679</v>
      </c>
      <c r="AJ261" s="3523">
        <v>37802</v>
      </c>
      <c r="AK261" s="3479">
        <v>2</v>
      </c>
      <c r="AL261" s="3441">
        <v>67641700</v>
      </c>
      <c r="AM261" s="3441"/>
      <c r="AN261" s="3441" t="s">
        <v>3680</v>
      </c>
      <c r="AO261" s="3441"/>
      <c r="AP261" s="3441" t="s">
        <v>3476</v>
      </c>
      <c r="AQ261" s="3441" t="s">
        <v>3571</v>
      </c>
      <c r="AR261" s="3441"/>
      <c r="AS261" s="3441"/>
      <c r="AT261" s="3441"/>
      <c r="AU261" s="3441"/>
      <c r="AV261" s="3441"/>
      <c r="AW261" s="3441" t="s">
        <v>3572</v>
      </c>
      <c r="AX261" s="3441" t="s">
        <v>2511</v>
      </c>
      <c r="AY261" s="3524" t="s">
        <v>5633</v>
      </c>
      <c r="AZ261" s="3441" t="s">
        <v>5630</v>
      </c>
      <c r="BA261" s="3441" t="s">
        <v>5634</v>
      </c>
      <c r="BB261" s="3524" t="s">
        <v>5635</v>
      </c>
      <c r="BC261" s="3441" t="s">
        <v>5636</v>
      </c>
      <c r="BD261" s="3525">
        <v>100400</v>
      </c>
      <c r="BE261" s="3441">
        <v>62534140</v>
      </c>
      <c r="BF261" s="3526">
        <v>2.9</v>
      </c>
      <c r="BG261" s="3518">
        <v>37571</v>
      </c>
      <c r="BH261" s="3441" t="s">
        <v>3568</v>
      </c>
      <c r="BI261" s="3441" t="s">
        <v>3700</v>
      </c>
      <c r="BJ261" s="3484">
        <v>37664</v>
      </c>
      <c r="BK261" s="3484"/>
      <c r="BL261" s="3470" t="s">
        <v>3670</v>
      </c>
      <c r="BM261" s="3441"/>
      <c r="BN261" s="3441"/>
      <c r="BO261" s="3441"/>
      <c r="BP261" s="3441"/>
      <c r="BQ261" s="3441"/>
      <c r="BR261" s="3441"/>
      <c r="BS261" s="3470"/>
      <c r="BT261" s="3470"/>
      <c r="BU261" s="3470"/>
      <c r="BV261" s="3441"/>
      <c r="BW261" s="3441"/>
      <c r="BX261" s="3441"/>
      <c r="BY261" s="3441"/>
      <c r="BZ261" s="3441"/>
      <c r="CA261" s="3441"/>
      <c r="CB261" s="3441"/>
      <c r="CC261" s="3441"/>
      <c r="CD261" s="3441"/>
      <c r="CE261" s="3441"/>
      <c r="CF261" s="3441"/>
      <c r="CG261" s="3441"/>
      <c r="CH261" s="3441"/>
      <c r="CI261" s="3441"/>
      <c r="CJ261" s="3441"/>
      <c r="CK261" s="3441"/>
      <c r="CL261" s="3441"/>
      <c r="CM261" s="3441"/>
      <c r="CN261" s="3441"/>
      <c r="CO261" s="3441"/>
      <c r="CP261" s="3441"/>
      <c r="CQ261" s="3441"/>
      <c r="CR261" s="3441"/>
      <c r="CS261" s="3441"/>
      <c r="CT261" s="3441"/>
      <c r="CU261" s="3441"/>
      <c r="CV261" s="3441"/>
      <c r="CW261" s="3441"/>
      <c r="CX261" s="3441"/>
      <c r="CY261" s="3441"/>
      <c r="CZ261" s="3441"/>
      <c r="DA261" s="3441"/>
      <c r="DB261" s="3441"/>
      <c r="DC261" s="3441"/>
      <c r="DD261" s="3441"/>
      <c r="DE261" s="3441"/>
      <c r="DF261" s="3441"/>
      <c r="DG261" s="3441"/>
      <c r="DH261" s="3441"/>
      <c r="DI261" s="3441"/>
      <c r="DJ261" s="3441"/>
      <c r="DK261" s="3441"/>
      <c r="DL261" s="3441"/>
      <c r="DM261" s="3441"/>
      <c r="DN261" s="3441"/>
      <c r="DO261" s="3441"/>
      <c r="DP261" s="3441"/>
      <c r="DQ261" s="3441"/>
      <c r="DR261" s="3441"/>
      <c r="DS261" s="3441"/>
      <c r="DT261" s="3441"/>
      <c r="DU261" s="3441"/>
      <c r="DV261" s="3441"/>
      <c r="DW261" s="3441"/>
      <c r="DX261" s="3441"/>
      <c r="DY261" s="3441"/>
      <c r="DZ261" s="3441"/>
      <c r="EA261" s="3441"/>
      <c r="EB261" s="3441"/>
      <c r="EC261" s="3441"/>
      <c r="ED261" s="3441"/>
      <c r="EE261" s="3441"/>
      <c r="EF261" s="3441"/>
      <c r="EG261" s="3441"/>
      <c r="EH261" s="3441"/>
      <c r="EI261" s="3441"/>
      <c r="EJ261" s="3441"/>
      <c r="EK261" s="3441"/>
      <c r="EL261" s="3441"/>
      <c r="EM261" s="3441"/>
      <c r="EN261" s="3441"/>
      <c r="EO261" s="3441"/>
      <c r="EP261" s="3441"/>
      <c r="EQ261" s="3441"/>
      <c r="ER261" s="3441"/>
      <c r="ES261" s="3441"/>
      <c r="ET261" s="3441"/>
      <c r="EU261" s="3441"/>
      <c r="EV261" s="3441"/>
      <c r="EW261" s="3441"/>
      <c r="EX261" s="3441"/>
      <c r="EY261" s="3441"/>
      <c r="EZ261" s="3441"/>
      <c r="FA261" s="3441"/>
      <c r="FB261" s="3441"/>
      <c r="FC261" s="3441"/>
      <c r="FD261" s="3441"/>
      <c r="FE261" s="3441"/>
      <c r="FF261" s="3441"/>
      <c r="FG261" s="3441"/>
      <c r="FH261" s="3441"/>
      <c r="FI261" s="3441"/>
      <c r="FJ261" s="3441"/>
      <c r="FK261" s="3441"/>
      <c r="FL261" s="3441"/>
      <c r="FM261" s="3441"/>
      <c r="FN261" s="3441"/>
      <c r="FO261" s="3441"/>
      <c r="FP261" s="3441"/>
      <c r="FQ261" s="3441"/>
      <c r="FR261" s="3441"/>
      <c r="FS261" s="3441"/>
      <c r="FT261" s="3441"/>
      <c r="FU261" s="3441"/>
      <c r="FV261" s="3441"/>
      <c r="FW261" s="3441"/>
      <c r="FX261" s="3441"/>
      <c r="FY261" s="3441"/>
      <c r="FZ261" s="3441"/>
      <c r="GA261" s="3441"/>
      <c r="GB261" s="3441"/>
      <c r="GC261" s="3441"/>
      <c r="GD261" s="3441"/>
      <c r="GE261" s="3441"/>
      <c r="GF261" s="3441"/>
      <c r="GG261" s="3441"/>
      <c r="GH261" s="3441"/>
      <c r="GI261" s="3441"/>
      <c r="GJ261" s="3441"/>
      <c r="GK261" s="3441"/>
      <c r="GL261" s="3441"/>
      <c r="GM261" s="3441"/>
      <c r="GN261" s="3441"/>
      <c r="GO261" s="3441"/>
      <c r="GP261" s="3441"/>
      <c r="GQ261" s="3441"/>
      <c r="GR261" s="3441"/>
      <c r="GS261" s="3441"/>
      <c r="GT261" s="3441"/>
      <c r="GU261" s="3441"/>
      <c r="GV261" s="3441"/>
      <c r="GW261" s="3441"/>
      <c r="GX261" s="3441"/>
      <c r="GY261" s="3441"/>
      <c r="GZ261" s="3441"/>
      <c r="HA261" s="3441"/>
      <c r="HB261" s="3441"/>
      <c r="HC261" s="3441"/>
      <c r="HD261" s="3441"/>
      <c r="HE261" s="3441"/>
      <c r="HF261" s="3441"/>
      <c r="HG261" s="3441"/>
      <c r="HH261" s="3441"/>
      <c r="HI261" s="3441"/>
      <c r="HJ261" s="3441"/>
      <c r="HK261" s="3441"/>
      <c r="HL261" s="3441"/>
      <c r="HM261" s="3441"/>
      <c r="HN261" s="3441"/>
      <c r="HO261" s="3441"/>
      <c r="HP261" s="3441"/>
      <c r="HQ261" s="3441"/>
      <c r="HR261" s="3441"/>
      <c r="HS261" s="3441"/>
      <c r="HT261" s="3441"/>
      <c r="HU261" s="3441"/>
      <c r="HV261" s="3441"/>
      <c r="HW261" s="3441"/>
      <c r="HX261" s="3441"/>
      <c r="HY261" s="3441"/>
      <c r="HZ261" s="3441"/>
      <c r="IA261" s="3441"/>
      <c r="IB261" s="3441"/>
      <c r="IC261" s="3441"/>
      <c r="ID261" s="3441"/>
      <c r="IE261" s="3441"/>
      <c r="IF261" s="3441"/>
      <c r="IG261" s="3441"/>
      <c r="IH261" s="3441"/>
      <c r="II261" s="3441"/>
      <c r="IJ261" s="3441"/>
      <c r="IK261" s="3441"/>
      <c r="IL261" s="3441"/>
      <c r="IM261" s="3441"/>
      <c r="IN261" s="3441"/>
      <c r="IO261" s="3441"/>
      <c r="IP261" s="3441"/>
      <c r="IQ261" s="3441"/>
      <c r="IR261" s="3441"/>
      <c r="IS261" s="3441"/>
    </row>
    <row r="262" spans="1:253" s="3604" customFormat="1" ht="12" hidden="1">
      <c r="A262" s="3485" t="s">
        <v>5637</v>
      </c>
      <c r="B262" s="3470" t="s">
        <v>5638</v>
      </c>
      <c r="C262" s="3481" t="s">
        <v>5639</v>
      </c>
      <c r="D262" s="3481" t="s">
        <v>5640</v>
      </c>
      <c r="E262" s="3470" t="s">
        <v>2736</v>
      </c>
      <c r="F262" s="3528" t="s">
        <v>3628</v>
      </c>
      <c r="G262" s="3470"/>
      <c r="H262" s="3470" t="s">
        <v>3629</v>
      </c>
      <c r="I262" s="3470" t="s">
        <v>4854</v>
      </c>
      <c r="J262" s="3481" t="s">
        <v>4921</v>
      </c>
      <c r="K262" s="3470" t="s">
        <v>3647</v>
      </c>
      <c r="L262" s="3470">
        <v>113.18</v>
      </c>
      <c r="M262" s="3470">
        <v>5</v>
      </c>
      <c r="N262" s="3470" t="s">
        <v>3661</v>
      </c>
      <c r="O262" s="3470">
        <v>91.76</v>
      </c>
      <c r="P262" s="3470" t="s">
        <v>3452</v>
      </c>
      <c r="Q262" s="3457">
        <v>694925.20000000007</v>
      </c>
      <c r="R262" s="3470">
        <v>6140</v>
      </c>
      <c r="S262" s="3472">
        <v>68.8</v>
      </c>
      <c r="T262" s="3527">
        <v>688000</v>
      </c>
      <c r="U262" s="3470">
        <v>6079</v>
      </c>
      <c r="V262" s="3474">
        <v>0.1</v>
      </c>
      <c r="W262" s="3475">
        <v>61.92</v>
      </c>
      <c r="X262" s="3476">
        <v>619200</v>
      </c>
      <c r="Y262" s="3441">
        <v>2003</v>
      </c>
      <c r="Z262" s="3441">
        <v>3</v>
      </c>
      <c r="AA262" s="3441">
        <v>3</v>
      </c>
      <c r="AB262" s="3477">
        <v>3440</v>
      </c>
      <c r="AC262" s="3470" t="s">
        <v>4922</v>
      </c>
      <c r="AD262" s="3485"/>
      <c r="AE262" s="3441" t="s">
        <v>3547</v>
      </c>
      <c r="AF262" s="3470" t="s">
        <v>3587</v>
      </c>
      <c r="AG262" s="3522" t="s">
        <v>3454</v>
      </c>
      <c r="AH262" s="3485"/>
      <c r="AI262" s="3456" t="s">
        <v>3711</v>
      </c>
      <c r="AJ262" s="3523">
        <v>37965</v>
      </c>
      <c r="AK262" s="3500" t="s">
        <v>3649</v>
      </c>
      <c r="AL262" s="3515">
        <v>67641700</v>
      </c>
      <c r="AM262" s="3441"/>
      <c r="AN262" s="3441" t="s">
        <v>3619</v>
      </c>
      <c r="AO262" s="3441"/>
      <c r="AP262" s="3456" t="s">
        <v>3476</v>
      </c>
      <c r="AQ262" s="3469" t="s">
        <v>3571</v>
      </c>
      <c r="AR262" s="3441"/>
      <c r="AS262" s="3441"/>
      <c r="AT262" s="3441"/>
      <c r="AU262" s="3441"/>
      <c r="AV262" s="3441"/>
      <c r="AW262" s="3441" t="s">
        <v>4064</v>
      </c>
      <c r="AX262" s="3484" t="s">
        <v>3606</v>
      </c>
      <c r="AY262" s="3524" t="s">
        <v>5641</v>
      </c>
      <c r="AZ262" s="3470" t="s">
        <v>3631</v>
      </c>
      <c r="BA262" s="3441" t="s">
        <v>4327</v>
      </c>
      <c r="BB262" s="3524" t="s">
        <v>3640</v>
      </c>
      <c r="BC262" s="3441" t="s">
        <v>4049</v>
      </c>
      <c r="BD262" s="3525">
        <v>100088</v>
      </c>
      <c r="BE262" s="3441">
        <v>82058259</v>
      </c>
      <c r="BF262" s="3526">
        <v>2.9</v>
      </c>
      <c r="BG262" s="3518">
        <v>37648</v>
      </c>
      <c r="BH262" s="3441"/>
      <c r="BI262" s="3486" t="s">
        <v>3721</v>
      </c>
      <c r="BJ262" s="3518">
        <v>37678</v>
      </c>
      <c r="BK262" s="3484">
        <v>37679</v>
      </c>
      <c r="BL262" s="3441" t="s">
        <v>3670</v>
      </c>
      <c r="BM262" s="3441"/>
      <c r="BN262" s="3441"/>
      <c r="BO262" s="3441"/>
      <c r="BP262" s="3441"/>
      <c r="BQ262" s="3441"/>
      <c r="BR262" s="3441"/>
      <c r="BS262" s="3470"/>
      <c r="BT262" s="3470"/>
      <c r="BU262" s="3470"/>
      <c r="BV262" s="3441"/>
      <c r="BW262" s="3441"/>
      <c r="BX262" s="3441"/>
      <c r="BY262" s="3441"/>
      <c r="BZ262" s="3441"/>
      <c r="CA262" s="3441"/>
      <c r="CB262" s="3441"/>
      <c r="CC262" s="3441"/>
      <c r="CD262" s="3441"/>
      <c r="CE262" s="3441"/>
      <c r="CF262" s="3441"/>
      <c r="CG262" s="3441"/>
      <c r="CH262" s="3441"/>
      <c r="CI262" s="3441"/>
      <c r="CJ262" s="3441"/>
      <c r="CK262" s="3441"/>
      <c r="CL262" s="3441"/>
      <c r="CM262" s="3441"/>
      <c r="CN262" s="3441"/>
      <c r="CO262" s="3441"/>
      <c r="CP262" s="3441"/>
      <c r="CQ262" s="3441"/>
      <c r="CR262" s="3441"/>
      <c r="CS262" s="3441"/>
      <c r="CT262" s="3441"/>
      <c r="CU262" s="3441"/>
      <c r="CV262" s="3441"/>
      <c r="CW262" s="3441"/>
      <c r="CX262" s="3441"/>
      <c r="CY262" s="3441"/>
      <c r="CZ262" s="3441"/>
      <c r="DA262" s="3441"/>
      <c r="DB262" s="3441"/>
      <c r="DC262" s="3441"/>
      <c r="DD262" s="3441"/>
      <c r="DE262" s="3441"/>
      <c r="DF262" s="3441"/>
      <c r="DG262" s="3441"/>
      <c r="DH262" s="3441"/>
      <c r="DI262" s="3441"/>
      <c r="DJ262" s="3441"/>
      <c r="DK262" s="3441"/>
      <c r="DL262" s="3441"/>
      <c r="DM262" s="3441"/>
      <c r="DN262" s="3441"/>
      <c r="DO262" s="3441"/>
      <c r="DP262" s="3441"/>
      <c r="DQ262" s="3441"/>
      <c r="DR262" s="3441"/>
      <c r="DS262" s="3441"/>
      <c r="DT262" s="3441"/>
      <c r="DU262" s="3441"/>
      <c r="DV262" s="3441"/>
      <c r="DW262" s="3441"/>
      <c r="DX262" s="3441"/>
      <c r="DY262" s="3441"/>
      <c r="DZ262" s="3441"/>
      <c r="EA262" s="3441"/>
      <c r="EB262" s="3441"/>
      <c r="EC262" s="3441"/>
      <c r="ED262" s="3441"/>
      <c r="EE262" s="3441"/>
      <c r="EF262" s="3441"/>
      <c r="EG262" s="3441"/>
      <c r="EH262" s="3441"/>
      <c r="EI262" s="3441"/>
      <c r="EJ262" s="3441"/>
      <c r="EK262" s="3441"/>
      <c r="EL262" s="3441"/>
      <c r="EM262" s="3441"/>
      <c r="EN262" s="3441"/>
      <c r="EO262" s="3441"/>
      <c r="EP262" s="3441"/>
      <c r="EQ262" s="3441"/>
      <c r="ER262" s="3441"/>
      <c r="ES262" s="3441"/>
      <c r="ET262" s="3441"/>
      <c r="EU262" s="3441"/>
      <c r="EV262" s="3441"/>
      <c r="EW262" s="3441"/>
      <c r="EX262" s="3441"/>
      <c r="EY262" s="3441"/>
      <c r="EZ262" s="3441"/>
      <c r="FA262" s="3441"/>
      <c r="FB262" s="3441"/>
      <c r="FC262" s="3441"/>
      <c r="FD262" s="3441"/>
      <c r="FE262" s="3441"/>
      <c r="FF262" s="3441"/>
      <c r="FG262" s="3441"/>
      <c r="FH262" s="3441"/>
      <c r="FI262" s="3441"/>
      <c r="FJ262" s="3441"/>
      <c r="FK262" s="3441"/>
      <c r="FL262" s="3441"/>
      <c r="FM262" s="3441"/>
      <c r="FN262" s="3441"/>
      <c r="FO262" s="3441"/>
      <c r="FP262" s="3441"/>
      <c r="FQ262" s="3441"/>
      <c r="FR262" s="3441"/>
      <c r="FS262" s="3441"/>
      <c r="FT262" s="3441"/>
      <c r="FU262" s="3441"/>
      <c r="FV262" s="3441"/>
      <c r="FW262" s="3441"/>
      <c r="FX262" s="3441"/>
      <c r="FY262" s="3441"/>
      <c r="FZ262" s="3441"/>
      <c r="GA262" s="3441"/>
      <c r="GB262" s="3441"/>
      <c r="GC262" s="3441"/>
      <c r="GD262" s="3441"/>
      <c r="GE262" s="3441"/>
      <c r="GF262" s="3441"/>
      <c r="GG262" s="3441"/>
      <c r="GH262" s="3441"/>
      <c r="GI262" s="3441"/>
      <c r="GJ262" s="3441"/>
      <c r="GK262" s="3441"/>
      <c r="GL262" s="3441"/>
      <c r="GM262" s="3441"/>
      <c r="GN262" s="3441"/>
      <c r="GO262" s="3441"/>
      <c r="GP262" s="3441"/>
      <c r="GQ262" s="3441"/>
      <c r="GR262" s="3441"/>
      <c r="GS262" s="3441"/>
      <c r="GT262" s="3441"/>
      <c r="GU262" s="3441"/>
      <c r="GV262" s="3441"/>
      <c r="GW262" s="3441"/>
      <c r="GX262" s="3441"/>
      <c r="GY262" s="3441"/>
      <c r="GZ262" s="3441"/>
      <c r="HA262" s="3441"/>
      <c r="HB262" s="3441"/>
      <c r="HC262" s="3441"/>
      <c r="HD262" s="3441"/>
      <c r="HE262" s="3441"/>
      <c r="HF262" s="3441"/>
      <c r="HG262" s="3441"/>
      <c r="HH262" s="3441"/>
      <c r="HI262" s="3441"/>
      <c r="HJ262" s="3441"/>
      <c r="HK262" s="3441"/>
      <c r="HL262" s="3441"/>
      <c r="HM262" s="3441"/>
      <c r="HN262" s="3441"/>
      <c r="HO262" s="3441"/>
      <c r="HP262" s="3441"/>
      <c r="HQ262" s="3441"/>
      <c r="HR262" s="3441"/>
      <c r="HS262" s="3441"/>
      <c r="HT262" s="3441"/>
      <c r="HU262" s="3441"/>
      <c r="HV262" s="3441"/>
      <c r="HW262" s="3441"/>
      <c r="HX262" s="3441"/>
      <c r="HY262" s="3441"/>
      <c r="HZ262" s="3441"/>
      <c r="IA262" s="3441"/>
      <c r="IB262" s="3441"/>
      <c r="IC262" s="3441"/>
      <c r="ID262" s="3441"/>
      <c r="IE262" s="3441"/>
      <c r="IF262" s="3441"/>
      <c r="IG262" s="3441"/>
      <c r="IH262" s="3441"/>
      <c r="II262" s="3441"/>
      <c r="IJ262" s="3441"/>
      <c r="IK262" s="3441"/>
      <c r="IL262" s="3441"/>
      <c r="IM262" s="3441"/>
      <c r="IN262" s="3441"/>
      <c r="IO262" s="3441"/>
      <c r="IP262" s="3441"/>
      <c r="IQ262" s="3441"/>
      <c r="IR262" s="3441"/>
      <c r="IS262" s="3441"/>
    </row>
    <row r="263" spans="1:253" s="3604" customFormat="1" ht="13.2" hidden="1">
      <c r="A263" s="3453" t="s">
        <v>5642</v>
      </c>
      <c r="B263" s="3542" t="s">
        <v>5643</v>
      </c>
      <c r="C263" s="3481" t="s">
        <v>5644</v>
      </c>
      <c r="D263" s="3543" t="s">
        <v>5645</v>
      </c>
      <c r="E263" s="3542" t="s">
        <v>3763</v>
      </c>
      <c r="F263" s="3542" t="s">
        <v>5200</v>
      </c>
      <c r="G263" s="3485"/>
      <c r="H263" s="3485" t="s">
        <v>5304</v>
      </c>
      <c r="I263" s="3485" t="s">
        <v>5646</v>
      </c>
      <c r="J263" s="3543" t="s">
        <v>5647</v>
      </c>
      <c r="K263" s="3485" t="s">
        <v>4091</v>
      </c>
      <c r="L263" s="3477">
        <v>97.56</v>
      </c>
      <c r="M263" s="3477">
        <v>4</v>
      </c>
      <c r="N263" s="3453" t="s">
        <v>3709</v>
      </c>
      <c r="O263" s="3485">
        <v>77.25</v>
      </c>
      <c r="P263" s="3470" t="s">
        <v>3452</v>
      </c>
      <c r="Q263" s="3457">
        <v>653008.10399999993</v>
      </c>
      <c r="R263" s="3470">
        <v>6693.4</v>
      </c>
      <c r="S263" s="3472">
        <v>64.7</v>
      </c>
      <c r="T263" s="3527">
        <v>647000</v>
      </c>
      <c r="U263" s="3470">
        <v>6632</v>
      </c>
      <c r="V263" s="3474">
        <v>0.1</v>
      </c>
      <c r="W263" s="3475">
        <v>58.23</v>
      </c>
      <c r="X263" s="3473">
        <v>582300</v>
      </c>
      <c r="Y263" s="3441">
        <v>2003</v>
      </c>
      <c r="Z263" s="3441">
        <v>2</v>
      </c>
      <c r="AA263" s="3441">
        <v>28</v>
      </c>
      <c r="AB263" s="3485">
        <v>3235</v>
      </c>
      <c r="AC263" s="3485" t="s">
        <v>3544</v>
      </c>
      <c r="AD263" s="3485"/>
      <c r="AE263" s="3456" t="s">
        <v>4914</v>
      </c>
      <c r="AF263" s="3490" t="s">
        <v>3587</v>
      </c>
      <c r="AG263" s="3485" t="s">
        <v>3546</v>
      </c>
      <c r="AH263" s="3485"/>
      <c r="AI263" s="3561" t="s">
        <v>4834</v>
      </c>
      <c r="AJ263" s="3539">
        <v>37863</v>
      </c>
      <c r="AK263" s="3500">
        <v>2</v>
      </c>
      <c r="AL263" s="3515">
        <v>67641700</v>
      </c>
      <c r="AM263" s="3441"/>
      <c r="AN263" s="3470" t="s">
        <v>3680</v>
      </c>
      <c r="AO263" s="3441" t="s">
        <v>2420</v>
      </c>
      <c r="AP263" s="3502" t="s">
        <v>3475</v>
      </c>
      <c r="AQ263" s="3470" t="s">
        <v>3457</v>
      </c>
      <c r="AR263" s="3441"/>
      <c r="AS263" s="3441"/>
      <c r="AT263" s="3441"/>
      <c r="AU263" s="3463"/>
      <c r="AV263" s="3518"/>
      <c r="AW263" s="3470" t="s">
        <v>3458</v>
      </c>
      <c r="AX263" s="3441" t="s">
        <v>3606</v>
      </c>
      <c r="AY263" s="3536" t="s">
        <v>5648</v>
      </c>
      <c r="AZ263" s="3485" t="s">
        <v>4154</v>
      </c>
      <c r="BA263" s="3463" t="s">
        <v>4093</v>
      </c>
      <c r="BB263" s="3466">
        <v>1102272096110</v>
      </c>
      <c r="BC263" s="3463" t="s">
        <v>5649</v>
      </c>
      <c r="BD263" s="3537">
        <v>100044</v>
      </c>
      <c r="BE263" s="3441">
        <v>62251419</v>
      </c>
      <c r="BF263" s="3544">
        <v>2.8</v>
      </c>
      <c r="BG263" s="3518">
        <v>37634</v>
      </c>
      <c r="BH263" s="3441"/>
      <c r="BI263" s="3441" t="s">
        <v>3475</v>
      </c>
      <c r="BJ263" s="3478">
        <v>37679</v>
      </c>
      <c r="BK263" s="3441"/>
      <c r="BL263" s="3441" t="s">
        <v>3623</v>
      </c>
      <c r="BM263" s="3441"/>
      <c r="BN263" s="3441"/>
      <c r="BO263" s="3441"/>
      <c r="BP263" s="3441"/>
      <c r="BQ263" s="3441"/>
      <c r="BR263" s="3441"/>
      <c r="BS263" s="3470"/>
      <c r="BT263" s="3470"/>
      <c r="BU263" s="3470"/>
      <c r="BV263" s="3441"/>
      <c r="BW263" s="3441"/>
      <c r="BX263" s="3441"/>
      <c r="BY263" s="3441"/>
      <c r="BZ263" s="3441"/>
      <c r="CA263" s="3441"/>
      <c r="CB263" s="3441"/>
      <c r="CC263" s="3441"/>
      <c r="CD263" s="3441"/>
      <c r="CE263" s="3441"/>
      <c r="CF263" s="3441"/>
      <c r="CG263" s="3441"/>
      <c r="CH263" s="3441"/>
      <c r="CI263" s="3441"/>
      <c r="CJ263" s="3441"/>
      <c r="CK263" s="3441"/>
      <c r="CL263" s="3441"/>
      <c r="CM263" s="3441"/>
      <c r="CN263" s="3441"/>
      <c r="CO263" s="3441"/>
      <c r="CP263" s="3441"/>
      <c r="CQ263" s="3441"/>
      <c r="CR263" s="3441"/>
      <c r="CS263" s="3441"/>
      <c r="CT263" s="3441"/>
      <c r="CU263" s="3441"/>
      <c r="CV263" s="3441"/>
      <c r="CW263" s="3441"/>
      <c r="CX263" s="3441"/>
      <c r="CY263" s="3441"/>
      <c r="CZ263" s="3441"/>
      <c r="DA263" s="3441"/>
      <c r="DB263" s="3441"/>
      <c r="DC263" s="3441"/>
      <c r="DD263" s="3441"/>
      <c r="DE263" s="3441"/>
      <c r="DF263" s="3441"/>
      <c r="DG263" s="3441"/>
      <c r="DH263" s="3441"/>
      <c r="DI263" s="3441"/>
      <c r="DJ263" s="3441"/>
      <c r="DK263" s="3441"/>
      <c r="DL263" s="3441"/>
      <c r="DM263" s="3441"/>
      <c r="DN263" s="3441"/>
      <c r="DO263" s="3441"/>
      <c r="DP263" s="3441"/>
      <c r="DQ263" s="3441"/>
      <c r="DR263" s="3441"/>
      <c r="DS263" s="3441"/>
      <c r="DT263" s="3441"/>
      <c r="DU263" s="3441"/>
      <c r="DV263" s="3441"/>
      <c r="DW263" s="3441"/>
      <c r="DX263" s="3441"/>
      <c r="DY263" s="3441"/>
      <c r="DZ263" s="3441"/>
      <c r="EA263" s="3441"/>
      <c r="EB263" s="3441"/>
      <c r="EC263" s="3441"/>
      <c r="ED263" s="3441"/>
      <c r="EE263" s="3441"/>
      <c r="EF263" s="3441"/>
      <c r="EG263" s="3441"/>
      <c r="EH263" s="3441"/>
      <c r="EI263" s="3441"/>
      <c r="EJ263" s="3441"/>
      <c r="EK263" s="3441"/>
      <c r="EL263" s="3441"/>
      <c r="EM263" s="3441"/>
      <c r="EN263" s="3441"/>
      <c r="EO263" s="3441"/>
      <c r="EP263" s="3441"/>
      <c r="EQ263" s="3441"/>
      <c r="ER263" s="3441"/>
      <c r="ES263" s="3441"/>
      <c r="ET263" s="3441"/>
      <c r="EU263" s="3441"/>
      <c r="EV263" s="3441"/>
      <c r="EW263" s="3441"/>
      <c r="EX263" s="3441"/>
      <c r="EY263" s="3441"/>
      <c r="EZ263" s="3441"/>
      <c r="FA263" s="3441"/>
      <c r="FB263" s="3441"/>
      <c r="FC263" s="3441"/>
      <c r="FD263" s="3441"/>
      <c r="FE263" s="3441"/>
      <c r="FF263" s="3441"/>
      <c r="FG263" s="3441"/>
      <c r="FH263" s="3441"/>
      <c r="FI263" s="3441"/>
      <c r="FJ263" s="3441"/>
      <c r="FK263" s="3441"/>
      <c r="FL263" s="3441"/>
      <c r="FM263" s="3441"/>
      <c r="FN263" s="3441"/>
      <c r="FO263" s="3441"/>
      <c r="FP263" s="3441"/>
      <c r="FQ263" s="3441"/>
      <c r="FR263" s="3441"/>
      <c r="FS263" s="3441"/>
      <c r="FT263" s="3441"/>
      <c r="FU263" s="3441"/>
      <c r="FV263" s="3441"/>
      <c r="FW263" s="3441"/>
      <c r="FX263" s="3441"/>
      <c r="FY263" s="3441"/>
      <c r="FZ263" s="3441"/>
      <c r="GA263" s="3441"/>
      <c r="GB263" s="3441"/>
      <c r="GC263" s="3441"/>
      <c r="GD263" s="3441"/>
      <c r="GE263" s="3441"/>
      <c r="GF263" s="3441"/>
      <c r="GG263" s="3441"/>
      <c r="GH263" s="3441"/>
      <c r="GI263" s="3441"/>
      <c r="GJ263" s="3441"/>
      <c r="GK263" s="3441"/>
      <c r="GL263" s="3441"/>
      <c r="GM263" s="3441"/>
      <c r="GN263" s="3441"/>
      <c r="GO263" s="3441"/>
      <c r="GP263" s="3441"/>
      <c r="GQ263" s="3441"/>
      <c r="GR263" s="3441"/>
      <c r="GS263" s="3441"/>
      <c r="GT263" s="3441"/>
      <c r="GU263" s="3441"/>
      <c r="GV263" s="3441"/>
      <c r="GW263" s="3441"/>
      <c r="GX263" s="3441"/>
      <c r="GY263" s="3441"/>
      <c r="GZ263" s="3441"/>
      <c r="HA263" s="3441"/>
      <c r="HB263" s="3441"/>
      <c r="HC263" s="3441"/>
      <c r="HD263" s="3441"/>
      <c r="HE263" s="3441"/>
      <c r="HF263" s="3441"/>
      <c r="HG263" s="3441"/>
      <c r="HH263" s="3441"/>
      <c r="HI263" s="3441"/>
      <c r="HJ263" s="3441"/>
      <c r="HK263" s="3441"/>
      <c r="HL263" s="3441"/>
      <c r="HM263" s="3441"/>
      <c r="HN263" s="3441"/>
      <c r="HO263" s="3441"/>
      <c r="HP263" s="3441"/>
      <c r="HQ263" s="3441"/>
      <c r="HR263" s="3441"/>
      <c r="HS263" s="3441"/>
      <c r="HT263" s="3441"/>
      <c r="HU263" s="3441"/>
      <c r="HV263" s="3441"/>
      <c r="HW263" s="3441"/>
      <c r="HX263" s="3441"/>
      <c r="HY263" s="3441"/>
      <c r="HZ263" s="3441"/>
      <c r="IA263" s="3441"/>
      <c r="IB263" s="3441"/>
      <c r="IC263" s="3441"/>
      <c r="ID263" s="3441"/>
      <c r="IE263" s="3441"/>
      <c r="IF263" s="3441"/>
      <c r="IG263" s="3441"/>
      <c r="IH263" s="3441"/>
      <c r="II263" s="3441"/>
      <c r="IJ263" s="3441"/>
      <c r="IK263" s="3441"/>
      <c r="IL263" s="3441"/>
      <c r="IM263" s="3441"/>
      <c r="IN263" s="3441"/>
      <c r="IO263" s="3441"/>
      <c r="IP263" s="3441"/>
      <c r="IQ263" s="3441"/>
      <c r="IR263" s="3441"/>
      <c r="IS263" s="3441"/>
    </row>
    <row r="264" spans="1:253" s="3604" customFormat="1" ht="12" hidden="1">
      <c r="A264" s="3470" t="s">
        <v>5650</v>
      </c>
      <c r="B264" s="3470" t="s">
        <v>5651</v>
      </c>
      <c r="C264" s="3481" t="s">
        <v>5652</v>
      </c>
      <c r="D264" s="3481" t="s">
        <v>5653</v>
      </c>
      <c r="E264" s="3470" t="s">
        <v>3558</v>
      </c>
      <c r="F264" s="3528" t="s">
        <v>3951</v>
      </c>
      <c r="G264" s="3470"/>
      <c r="H264" s="3470" t="s">
        <v>3952</v>
      </c>
      <c r="I264" s="3470" t="s">
        <v>5654</v>
      </c>
      <c r="J264" s="3481" t="s">
        <v>5655</v>
      </c>
      <c r="K264" s="3470" t="s">
        <v>3955</v>
      </c>
      <c r="L264" s="3470">
        <v>103.28</v>
      </c>
      <c r="M264" s="3470">
        <v>2</v>
      </c>
      <c r="N264" s="3453" t="s">
        <v>3543</v>
      </c>
      <c r="O264" s="3470">
        <v>92.51</v>
      </c>
      <c r="P264" s="3470" t="s">
        <v>3452</v>
      </c>
      <c r="Q264" s="3457">
        <v>463499.984</v>
      </c>
      <c r="R264" s="3470">
        <v>4487.8</v>
      </c>
      <c r="S264" s="3472">
        <v>45.87</v>
      </c>
      <c r="T264" s="3527">
        <v>458700</v>
      </c>
      <c r="U264" s="3470">
        <v>4442</v>
      </c>
      <c r="V264" s="3474">
        <v>0.1</v>
      </c>
      <c r="W264" s="3475">
        <v>41.28</v>
      </c>
      <c r="X264" s="3476">
        <v>412800</v>
      </c>
      <c r="Y264" s="3441">
        <v>2003</v>
      </c>
      <c r="Z264" s="3441">
        <v>2</v>
      </c>
      <c r="AA264" s="3495">
        <v>28</v>
      </c>
      <c r="AB264" s="3477">
        <v>2290</v>
      </c>
      <c r="AC264" s="3470" t="s">
        <v>3585</v>
      </c>
      <c r="AD264" s="3485"/>
      <c r="AE264" s="3441" t="s">
        <v>3663</v>
      </c>
      <c r="AF264" s="3470" t="s">
        <v>3604</v>
      </c>
      <c r="AG264" s="3522" t="s">
        <v>3466</v>
      </c>
      <c r="AH264" s="3485"/>
      <c r="AI264" s="3470" t="s">
        <v>3679</v>
      </c>
      <c r="AJ264" s="3523">
        <v>37711</v>
      </c>
      <c r="AK264" s="3548">
        <v>2</v>
      </c>
      <c r="AL264" s="3441" t="s">
        <v>3957</v>
      </c>
      <c r="AM264" s="3441"/>
      <c r="AN264" s="3470" t="s">
        <v>3484</v>
      </c>
      <c r="AO264" s="3441"/>
      <c r="AP264" s="3441" t="s">
        <v>3476</v>
      </c>
      <c r="AQ264" s="3441" t="s">
        <v>3571</v>
      </c>
      <c r="AR264" s="3441"/>
      <c r="AS264" s="3441"/>
      <c r="AT264" s="3441"/>
      <c r="AU264" s="3441"/>
      <c r="AV264" s="3441" t="s">
        <v>3568</v>
      </c>
      <c r="AW264" s="3441" t="s">
        <v>3572</v>
      </c>
      <c r="AX264" s="3441" t="s">
        <v>2511</v>
      </c>
      <c r="AY264" s="3524" t="s">
        <v>5656</v>
      </c>
      <c r="AZ264" s="3441" t="s">
        <v>3955</v>
      </c>
      <c r="BA264" s="3441" t="s">
        <v>3959</v>
      </c>
      <c r="BB264" s="3524" t="s">
        <v>3960</v>
      </c>
      <c r="BC264" s="3441" t="s">
        <v>3961</v>
      </c>
      <c r="BD264" s="3525">
        <v>102100</v>
      </c>
      <c r="BE264" s="3441">
        <v>62998398</v>
      </c>
      <c r="BF264" s="3526">
        <v>2.8</v>
      </c>
      <c r="BG264" s="3518">
        <v>37660</v>
      </c>
      <c r="BH264" s="3441"/>
      <c r="BI264" s="3441" t="s">
        <v>3664</v>
      </c>
      <c r="BJ264" s="3478">
        <v>37679</v>
      </c>
      <c r="BK264" s="3484"/>
      <c r="BL264" s="3470" t="s">
        <v>3670</v>
      </c>
      <c r="BM264" s="3441"/>
      <c r="BN264" s="3441"/>
      <c r="BO264" s="3441"/>
      <c r="BP264" s="3441"/>
      <c r="BQ264" s="3441"/>
      <c r="BR264" s="3441"/>
      <c r="BS264" s="3470"/>
      <c r="BT264" s="3470"/>
      <c r="BU264" s="3470"/>
      <c r="BV264" s="3441"/>
      <c r="BW264" s="3441"/>
      <c r="BX264" s="3441"/>
      <c r="BY264" s="3441"/>
      <c r="BZ264" s="3441"/>
      <c r="CA264" s="3441"/>
      <c r="CB264" s="3441"/>
      <c r="CC264" s="3441"/>
      <c r="CD264" s="3441"/>
      <c r="CE264" s="3441"/>
      <c r="CF264" s="3441"/>
      <c r="CG264" s="3441"/>
      <c r="CH264" s="3441"/>
      <c r="CI264" s="3441"/>
      <c r="CJ264" s="3441"/>
      <c r="CK264" s="3441"/>
      <c r="CL264" s="3441"/>
      <c r="CM264" s="3441"/>
      <c r="CN264" s="3441"/>
      <c r="CO264" s="3441"/>
      <c r="CP264" s="3441"/>
      <c r="CQ264" s="3441"/>
      <c r="CR264" s="3441"/>
      <c r="CS264" s="3441"/>
      <c r="CT264" s="3441"/>
      <c r="CU264" s="3441"/>
      <c r="CV264" s="3441"/>
      <c r="CW264" s="3441"/>
      <c r="CX264" s="3441"/>
      <c r="CY264" s="3441"/>
      <c r="CZ264" s="3441"/>
      <c r="DA264" s="3441"/>
      <c r="DB264" s="3441"/>
      <c r="DC264" s="3441"/>
      <c r="DD264" s="3441"/>
      <c r="DE264" s="3441"/>
      <c r="DF264" s="3441"/>
      <c r="DG264" s="3441"/>
      <c r="DH264" s="3441"/>
      <c r="DI264" s="3441"/>
      <c r="DJ264" s="3441"/>
      <c r="DK264" s="3441"/>
      <c r="DL264" s="3441"/>
      <c r="DM264" s="3441"/>
      <c r="DN264" s="3441"/>
      <c r="DO264" s="3441"/>
      <c r="DP264" s="3441"/>
      <c r="DQ264" s="3441"/>
      <c r="DR264" s="3441"/>
      <c r="DS264" s="3441"/>
      <c r="DT264" s="3441"/>
      <c r="DU264" s="3441"/>
      <c r="DV264" s="3441"/>
      <c r="DW264" s="3441"/>
      <c r="DX264" s="3441"/>
      <c r="DY264" s="3441"/>
      <c r="DZ264" s="3441"/>
      <c r="EA264" s="3441"/>
      <c r="EB264" s="3441"/>
      <c r="EC264" s="3441"/>
      <c r="ED264" s="3441"/>
      <c r="EE264" s="3441"/>
      <c r="EF264" s="3441"/>
      <c r="EG264" s="3441"/>
      <c r="EH264" s="3441"/>
      <c r="EI264" s="3441"/>
      <c r="EJ264" s="3441"/>
      <c r="EK264" s="3441"/>
      <c r="EL264" s="3441"/>
      <c r="EM264" s="3441"/>
      <c r="EN264" s="3441"/>
      <c r="EO264" s="3441"/>
      <c r="EP264" s="3441"/>
      <c r="EQ264" s="3441"/>
      <c r="ER264" s="3441"/>
      <c r="ES264" s="3441"/>
      <c r="ET264" s="3441"/>
      <c r="EU264" s="3441"/>
      <c r="EV264" s="3441"/>
      <c r="EW264" s="3441"/>
      <c r="EX264" s="3441"/>
      <c r="EY264" s="3441"/>
      <c r="EZ264" s="3441"/>
      <c r="FA264" s="3441"/>
      <c r="FB264" s="3441"/>
      <c r="FC264" s="3441"/>
      <c r="FD264" s="3441"/>
      <c r="FE264" s="3441"/>
      <c r="FF264" s="3441"/>
      <c r="FG264" s="3441"/>
      <c r="FH264" s="3441"/>
      <c r="FI264" s="3441"/>
      <c r="FJ264" s="3441"/>
      <c r="FK264" s="3441"/>
      <c r="FL264" s="3441"/>
      <c r="FM264" s="3441"/>
      <c r="FN264" s="3441"/>
      <c r="FO264" s="3441"/>
      <c r="FP264" s="3441"/>
      <c r="FQ264" s="3441"/>
      <c r="FR264" s="3441"/>
      <c r="FS264" s="3441"/>
      <c r="FT264" s="3441"/>
      <c r="FU264" s="3441"/>
      <c r="FV264" s="3441"/>
      <c r="FW264" s="3441"/>
      <c r="FX264" s="3441"/>
      <c r="FY264" s="3441"/>
      <c r="FZ264" s="3441"/>
      <c r="GA264" s="3441"/>
      <c r="GB264" s="3441"/>
      <c r="GC264" s="3441"/>
      <c r="GD264" s="3441"/>
      <c r="GE264" s="3441"/>
      <c r="GF264" s="3441"/>
      <c r="GG264" s="3441"/>
      <c r="GH264" s="3441"/>
      <c r="GI264" s="3441"/>
      <c r="GJ264" s="3441"/>
      <c r="GK264" s="3441"/>
      <c r="GL264" s="3441"/>
      <c r="GM264" s="3441"/>
      <c r="GN264" s="3441"/>
      <c r="GO264" s="3441"/>
      <c r="GP264" s="3441"/>
      <c r="GQ264" s="3441"/>
      <c r="GR264" s="3441"/>
      <c r="GS264" s="3441"/>
      <c r="GT264" s="3441"/>
      <c r="GU264" s="3441"/>
      <c r="GV264" s="3441"/>
      <c r="GW264" s="3441"/>
      <c r="GX264" s="3441"/>
      <c r="GY264" s="3441"/>
      <c r="GZ264" s="3441"/>
      <c r="HA264" s="3441"/>
      <c r="HB264" s="3441"/>
      <c r="HC264" s="3441"/>
      <c r="HD264" s="3441"/>
      <c r="HE264" s="3441"/>
      <c r="HF264" s="3441"/>
      <c r="HG264" s="3441"/>
      <c r="HH264" s="3441"/>
      <c r="HI264" s="3441"/>
      <c r="HJ264" s="3441"/>
      <c r="HK264" s="3441"/>
      <c r="HL264" s="3441"/>
      <c r="HM264" s="3441"/>
      <c r="HN264" s="3441"/>
      <c r="HO264" s="3441"/>
      <c r="HP264" s="3441"/>
      <c r="HQ264" s="3441"/>
      <c r="HR264" s="3441"/>
      <c r="HS264" s="3441"/>
      <c r="HT264" s="3441"/>
      <c r="HU264" s="3441"/>
      <c r="HV264" s="3441"/>
      <c r="HW264" s="3441"/>
      <c r="HX264" s="3441"/>
      <c r="HY264" s="3441"/>
      <c r="HZ264" s="3441"/>
      <c r="IA264" s="3441"/>
      <c r="IB264" s="3441"/>
      <c r="IC264" s="3441"/>
      <c r="ID264" s="3441"/>
      <c r="IE264" s="3441"/>
      <c r="IF264" s="3441"/>
      <c r="IG264" s="3441"/>
      <c r="IH264" s="3441"/>
      <c r="II264" s="3441"/>
      <c r="IJ264" s="3441"/>
      <c r="IK264" s="3441"/>
      <c r="IL264" s="3441"/>
      <c r="IM264" s="3441"/>
      <c r="IN264" s="3441"/>
      <c r="IO264" s="3441"/>
      <c r="IP264" s="3441"/>
      <c r="IQ264" s="3441"/>
      <c r="IR264" s="3441"/>
      <c r="IS264" s="3441"/>
    </row>
    <row r="265" spans="1:253" s="3604" customFormat="1" ht="12" hidden="1">
      <c r="A265" s="3470" t="s">
        <v>5657</v>
      </c>
      <c r="B265" s="3470" t="s">
        <v>5658</v>
      </c>
      <c r="C265" s="3481" t="s">
        <v>5659</v>
      </c>
      <c r="D265" s="3481" t="s">
        <v>5660</v>
      </c>
      <c r="E265" s="3470" t="s">
        <v>3558</v>
      </c>
      <c r="F265" s="3528" t="s">
        <v>5661</v>
      </c>
      <c r="G265" s="3470"/>
      <c r="H265" s="3470" t="s">
        <v>5662</v>
      </c>
      <c r="I265" s="3470" t="s">
        <v>5663</v>
      </c>
      <c r="J265" s="3481" t="s">
        <v>3894</v>
      </c>
      <c r="K265" s="3470" t="s">
        <v>5664</v>
      </c>
      <c r="L265" s="3470">
        <v>86.3</v>
      </c>
      <c r="M265" s="3470">
        <v>13</v>
      </c>
      <c r="N265" s="3453" t="s">
        <v>3543</v>
      </c>
      <c r="O265" s="3470">
        <v>67.33</v>
      </c>
      <c r="P265" s="3470" t="s">
        <v>3452</v>
      </c>
      <c r="Q265" s="3457">
        <v>364013.39999999997</v>
      </c>
      <c r="R265" s="3470">
        <v>4218</v>
      </c>
      <c r="S265" s="3472">
        <v>36.03</v>
      </c>
      <c r="T265" s="3527">
        <v>360300</v>
      </c>
      <c r="U265" s="3470">
        <v>4175</v>
      </c>
      <c r="V265" s="3474">
        <v>0.1</v>
      </c>
      <c r="W265" s="3475">
        <v>32.42</v>
      </c>
      <c r="X265" s="3476">
        <v>324200</v>
      </c>
      <c r="Y265" s="3495">
        <v>2003</v>
      </c>
      <c r="Z265" s="3495">
        <v>2</v>
      </c>
      <c r="AA265" s="3495">
        <v>28</v>
      </c>
      <c r="AB265" s="3477">
        <v>1800</v>
      </c>
      <c r="AC265" s="3470" t="s">
        <v>3710</v>
      </c>
      <c r="AD265" s="3485"/>
      <c r="AE265" s="3469" t="s">
        <v>3663</v>
      </c>
      <c r="AF265" s="3470" t="s">
        <v>4063</v>
      </c>
      <c r="AG265" s="3522" t="s">
        <v>3466</v>
      </c>
      <c r="AH265" s="3485"/>
      <c r="AI265" s="3456" t="s">
        <v>3679</v>
      </c>
      <c r="AJ265" s="3523">
        <v>37725</v>
      </c>
      <c r="AK265" s="3500">
        <v>2</v>
      </c>
      <c r="AL265" s="3441">
        <v>67641700</v>
      </c>
      <c r="AM265" s="3441"/>
      <c r="AN265" s="3470" t="s">
        <v>3768</v>
      </c>
      <c r="AO265" s="3441"/>
      <c r="AP265" s="3441" t="s">
        <v>3476</v>
      </c>
      <c r="AQ265" s="3441" t="s">
        <v>3571</v>
      </c>
      <c r="AR265" s="3441"/>
      <c r="AS265" s="3441"/>
      <c r="AT265" s="3441"/>
      <c r="AU265" s="3441"/>
      <c r="AV265" s="3441"/>
      <c r="AW265" s="3470" t="s">
        <v>3572</v>
      </c>
      <c r="AX265" s="3441" t="s">
        <v>2511</v>
      </c>
      <c r="AY265" s="3441">
        <v>132079</v>
      </c>
      <c r="AZ265" s="3524" t="s">
        <v>5665</v>
      </c>
      <c r="BA265" s="3441" t="s">
        <v>5666</v>
      </c>
      <c r="BB265" s="3620">
        <v>1101081434031</v>
      </c>
      <c r="BC265" s="3524" t="s">
        <v>5667</v>
      </c>
      <c r="BD265" s="3441">
        <v>100094</v>
      </c>
      <c r="BE265" s="3525">
        <v>62962485</v>
      </c>
      <c r="BF265" s="3441">
        <v>2.7</v>
      </c>
      <c r="BG265" s="3478">
        <v>37666</v>
      </c>
      <c r="BH265" s="3518"/>
      <c r="BI265" s="3441" t="s">
        <v>4955</v>
      </c>
      <c r="BJ265" s="3478">
        <v>37679</v>
      </c>
      <c r="BK265" s="3518"/>
      <c r="BL265" s="3441" t="s">
        <v>3623</v>
      </c>
      <c r="BM265" s="3441"/>
      <c r="BN265" s="3441"/>
      <c r="BO265" s="3441"/>
      <c r="BP265" s="3441"/>
      <c r="BQ265" s="3441"/>
      <c r="BR265" s="3441"/>
      <c r="BS265" s="3470"/>
      <c r="BT265" s="3470"/>
      <c r="BU265" s="3470"/>
      <c r="BV265" s="3441"/>
      <c r="BW265" s="3441"/>
      <c r="BX265" s="3441"/>
      <c r="BY265" s="3441"/>
      <c r="BZ265" s="3441"/>
      <c r="CA265" s="3441"/>
      <c r="CB265" s="3441"/>
      <c r="CC265" s="3441"/>
      <c r="CD265" s="3441"/>
      <c r="CE265" s="3441"/>
      <c r="CF265" s="3441"/>
      <c r="CG265" s="3441"/>
      <c r="CH265" s="3441"/>
      <c r="CI265" s="3441"/>
      <c r="CJ265" s="3441"/>
      <c r="CK265" s="3441"/>
      <c r="CL265" s="3441"/>
      <c r="CM265" s="3441"/>
      <c r="CN265" s="3441"/>
      <c r="CO265" s="3441"/>
      <c r="CP265" s="3441"/>
      <c r="CQ265" s="3441"/>
      <c r="CR265" s="3441"/>
      <c r="CS265" s="3441"/>
      <c r="CT265" s="3441"/>
      <c r="CU265" s="3441"/>
      <c r="CV265" s="3441"/>
      <c r="CW265" s="3441"/>
      <c r="CX265" s="3441"/>
      <c r="CY265" s="3441"/>
      <c r="CZ265" s="3441"/>
      <c r="DA265" s="3441"/>
      <c r="DB265" s="3441"/>
      <c r="DC265" s="3441"/>
      <c r="DD265" s="3441"/>
      <c r="DE265" s="3441"/>
      <c r="DF265" s="3441"/>
      <c r="DG265" s="3441"/>
      <c r="DH265" s="3441"/>
      <c r="DI265" s="3441"/>
      <c r="DJ265" s="3441"/>
      <c r="DK265" s="3441"/>
      <c r="DL265" s="3441"/>
      <c r="DM265" s="3441"/>
      <c r="DN265" s="3441"/>
      <c r="DO265" s="3441"/>
      <c r="DP265" s="3441"/>
      <c r="DQ265" s="3441"/>
      <c r="DR265" s="3441"/>
      <c r="DS265" s="3441"/>
      <c r="DT265" s="3441"/>
      <c r="DU265" s="3441"/>
      <c r="DV265" s="3441"/>
      <c r="DW265" s="3441"/>
      <c r="DX265" s="3441"/>
      <c r="DY265" s="3441"/>
      <c r="DZ265" s="3441"/>
      <c r="EA265" s="3441"/>
      <c r="EB265" s="3441"/>
      <c r="EC265" s="3441"/>
      <c r="ED265" s="3441"/>
      <c r="EE265" s="3441"/>
      <c r="EF265" s="3441"/>
      <c r="EG265" s="3441"/>
      <c r="EH265" s="3441"/>
      <c r="EI265" s="3441"/>
      <c r="EJ265" s="3441"/>
      <c r="EK265" s="3441"/>
      <c r="EL265" s="3441"/>
      <c r="EM265" s="3441"/>
      <c r="EN265" s="3441"/>
      <c r="EO265" s="3441"/>
      <c r="EP265" s="3441"/>
      <c r="EQ265" s="3441"/>
      <c r="ER265" s="3441"/>
      <c r="ES265" s="3441"/>
      <c r="ET265" s="3441"/>
      <c r="EU265" s="3441"/>
      <c r="EV265" s="3441"/>
      <c r="EW265" s="3441"/>
      <c r="EX265" s="3441"/>
      <c r="EY265" s="3441"/>
      <c r="EZ265" s="3441"/>
      <c r="FA265" s="3441"/>
      <c r="FB265" s="3441"/>
      <c r="FC265" s="3441"/>
      <c r="FD265" s="3441"/>
      <c r="FE265" s="3441"/>
      <c r="FF265" s="3441"/>
      <c r="FG265" s="3441"/>
      <c r="FH265" s="3441"/>
      <c r="FI265" s="3441"/>
      <c r="FJ265" s="3441"/>
      <c r="FK265" s="3441"/>
      <c r="FL265" s="3441"/>
      <c r="FM265" s="3441"/>
      <c r="FN265" s="3441"/>
      <c r="FO265" s="3441"/>
      <c r="FP265" s="3441"/>
      <c r="FQ265" s="3441"/>
      <c r="FR265" s="3441"/>
      <c r="FS265" s="3441"/>
      <c r="FT265" s="3441"/>
      <c r="FU265" s="3441"/>
      <c r="FV265" s="3441"/>
      <c r="FW265" s="3441"/>
      <c r="FX265" s="3441"/>
      <c r="FY265" s="3441"/>
      <c r="FZ265" s="3441"/>
      <c r="GA265" s="3441"/>
      <c r="GB265" s="3441"/>
      <c r="GC265" s="3441"/>
      <c r="GD265" s="3441"/>
      <c r="GE265" s="3441"/>
      <c r="GF265" s="3441"/>
      <c r="GG265" s="3441"/>
      <c r="GH265" s="3441"/>
      <c r="GI265" s="3441"/>
      <c r="GJ265" s="3441"/>
      <c r="GK265" s="3441"/>
      <c r="GL265" s="3441"/>
      <c r="GM265" s="3441"/>
      <c r="GN265" s="3441"/>
      <c r="GO265" s="3441"/>
      <c r="GP265" s="3441"/>
      <c r="GQ265" s="3441"/>
      <c r="GR265" s="3441"/>
      <c r="GS265" s="3441"/>
      <c r="GT265" s="3441"/>
      <c r="GU265" s="3441"/>
      <c r="GV265" s="3441"/>
      <c r="GW265" s="3441"/>
      <c r="GX265" s="3441"/>
      <c r="GY265" s="3441"/>
      <c r="GZ265" s="3441"/>
      <c r="HA265" s="3441"/>
      <c r="HB265" s="3441"/>
      <c r="HC265" s="3441"/>
      <c r="HD265" s="3441"/>
      <c r="HE265" s="3441"/>
      <c r="HF265" s="3441"/>
      <c r="HG265" s="3441"/>
      <c r="HH265" s="3441"/>
      <c r="HI265" s="3441"/>
      <c r="HJ265" s="3441"/>
      <c r="HK265" s="3441"/>
      <c r="HL265" s="3441"/>
      <c r="HM265" s="3441"/>
      <c r="HN265" s="3441"/>
      <c r="HO265" s="3441"/>
      <c r="HP265" s="3441"/>
      <c r="HQ265" s="3441"/>
      <c r="HR265" s="3441"/>
      <c r="HS265" s="3441"/>
      <c r="HT265" s="3441"/>
      <c r="HU265" s="3441"/>
      <c r="HV265" s="3441"/>
      <c r="HW265" s="3441"/>
      <c r="HX265" s="3441"/>
      <c r="HY265" s="3441"/>
      <c r="HZ265" s="3441"/>
      <c r="IA265" s="3441"/>
      <c r="IB265" s="3441"/>
      <c r="IC265" s="3441"/>
      <c r="ID265" s="3441"/>
      <c r="IE265" s="3441"/>
      <c r="IF265" s="3441"/>
      <c r="IG265" s="3441"/>
      <c r="IH265" s="3441"/>
      <c r="II265" s="3441"/>
      <c r="IJ265" s="3441"/>
      <c r="IK265" s="3441"/>
      <c r="IL265" s="3441"/>
      <c r="IM265" s="3441"/>
      <c r="IN265" s="3441"/>
      <c r="IO265" s="3441"/>
      <c r="IP265" s="3441"/>
      <c r="IQ265" s="3441"/>
      <c r="IR265" s="3441"/>
      <c r="IS265" s="3441"/>
    </row>
    <row r="266" spans="1:253" s="3605" customFormat="1" ht="12" hidden="1">
      <c r="A266" s="3470" t="s">
        <v>5668</v>
      </c>
      <c r="B266" s="3470" t="s">
        <v>5669</v>
      </c>
      <c r="C266" s="3454" t="s">
        <v>5670</v>
      </c>
      <c r="D266" s="3470">
        <v>13910950505</v>
      </c>
      <c r="E266" s="3470" t="s">
        <v>3763</v>
      </c>
      <c r="F266" s="3470" t="s">
        <v>4072</v>
      </c>
      <c r="G266" s="3470" t="s">
        <v>3588</v>
      </c>
      <c r="H266" s="3470" t="s">
        <v>4920</v>
      </c>
      <c r="I266" s="3453" t="s">
        <v>4404</v>
      </c>
      <c r="J266" s="3453" t="s">
        <v>3630</v>
      </c>
      <c r="K266" s="3470" t="s">
        <v>4080</v>
      </c>
      <c r="L266" s="3495">
        <v>129.63</v>
      </c>
      <c r="M266" s="3495">
        <v>6</v>
      </c>
      <c r="N266" s="3470" t="s">
        <v>3969</v>
      </c>
      <c r="O266" s="3495">
        <v>115.51</v>
      </c>
      <c r="P266" s="3470" t="s">
        <v>3452</v>
      </c>
      <c r="Q266" s="3457">
        <v>635187</v>
      </c>
      <c r="R266" s="3470">
        <v>4900</v>
      </c>
      <c r="S266" s="3472">
        <v>62.87</v>
      </c>
      <c r="T266" s="3527">
        <v>628700</v>
      </c>
      <c r="U266" s="3470">
        <v>4850</v>
      </c>
      <c r="V266" s="3474">
        <v>0.1</v>
      </c>
      <c r="W266" s="3475">
        <v>56.58</v>
      </c>
      <c r="X266" s="3473">
        <v>565800</v>
      </c>
      <c r="Y266" s="3441">
        <v>2003</v>
      </c>
      <c r="Z266" s="3441">
        <v>3</v>
      </c>
      <c r="AA266" s="3495">
        <v>10</v>
      </c>
      <c r="AB266" s="3485">
        <v>3140</v>
      </c>
      <c r="AC266" s="3453" t="s">
        <v>4102</v>
      </c>
      <c r="AD266" s="3470"/>
      <c r="AE266" s="3456" t="s">
        <v>3663</v>
      </c>
      <c r="AF266" s="3470" t="s">
        <v>3618</v>
      </c>
      <c r="AG266" s="3470" t="s">
        <v>3466</v>
      </c>
      <c r="AH266" s="3470"/>
      <c r="AI266" s="3470" t="s">
        <v>3679</v>
      </c>
      <c r="AJ266" s="3478">
        <v>37833</v>
      </c>
      <c r="AK266" s="3548">
        <v>3</v>
      </c>
      <c r="AL266" s="3495">
        <v>67641700</v>
      </c>
      <c r="AM266" s="3470"/>
      <c r="AN266" s="3480" t="s">
        <v>3695</v>
      </c>
      <c r="AO266" s="3441" t="s">
        <v>2420</v>
      </c>
      <c r="AP266" s="3456" t="s">
        <v>3476</v>
      </c>
      <c r="AQ266" s="3441" t="s">
        <v>3571</v>
      </c>
      <c r="AR266" s="3470"/>
      <c r="AS266" s="3470"/>
      <c r="AT266" s="3470"/>
      <c r="AU266" s="3470"/>
      <c r="AV266" s="3519"/>
      <c r="AW266" s="3470" t="s">
        <v>3572</v>
      </c>
      <c r="AX266" s="3470" t="s">
        <v>3588</v>
      </c>
      <c r="AY266" s="3495">
        <v>261118</v>
      </c>
      <c r="AZ266" s="3470" t="s">
        <v>4076</v>
      </c>
      <c r="BA266" s="3470" t="s">
        <v>4081</v>
      </c>
      <c r="BB266" s="3470" t="s">
        <v>4190</v>
      </c>
      <c r="BC266" s="3470" t="s">
        <v>4083</v>
      </c>
      <c r="BD266" s="3470" t="s">
        <v>2420</v>
      </c>
      <c r="BE266" s="3470">
        <v>68152860</v>
      </c>
      <c r="BF266" s="3520">
        <v>2.8</v>
      </c>
      <c r="BG266" s="3478">
        <v>37632</v>
      </c>
      <c r="BH266" s="3470" t="s">
        <v>4163</v>
      </c>
      <c r="BI266" s="3441" t="s">
        <v>3475</v>
      </c>
      <c r="BJ266" s="3484">
        <v>37684</v>
      </c>
      <c r="BK266" s="3478"/>
      <c r="BL266" s="3441" t="s">
        <v>3670</v>
      </c>
      <c r="BM266" s="3441"/>
      <c r="BN266" s="3441"/>
      <c r="BO266" s="3441"/>
      <c r="BP266" s="3441"/>
      <c r="BQ266" s="3441"/>
      <c r="BR266" s="3441"/>
      <c r="BS266" s="3470"/>
      <c r="BT266" s="3470"/>
      <c r="BU266" s="3470"/>
      <c r="BV266" s="3470"/>
      <c r="BW266" s="3470"/>
      <c r="BX266" s="3470"/>
      <c r="BY266" s="3470"/>
      <c r="BZ266" s="3470"/>
      <c r="CA266" s="3470"/>
      <c r="CB266" s="3470"/>
      <c r="CC266" s="3470"/>
      <c r="CD266" s="3470"/>
      <c r="CE266" s="3470"/>
      <c r="CF266" s="3470"/>
      <c r="CG266" s="3470"/>
      <c r="CH266" s="3470"/>
      <c r="CI266" s="3470"/>
      <c r="CJ266" s="3470"/>
      <c r="CK266" s="3470"/>
      <c r="CL266" s="3470"/>
      <c r="CM266" s="3470"/>
      <c r="CN266" s="3470"/>
      <c r="CO266" s="3470"/>
      <c r="CP266" s="3470"/>
      <c r="CQ266" s="3470"/>
      <c r="CR266" s="3470"/>
      <c r="CS266" s="3470"/>
      <c r="CT266" s="3470"/>
      <c r="CU266" s="3470"/>
      <c r="CV266" s="3470"/>
      <c r="CW266" s="3470"/>
      <c r="CX266" s="3470"/>
      <c r="CY266" s="3470"/>
      <c r="CZ266" s="3470"/>
      <c r="DA266" s="3470"/>
      <c r="DB266" s="3470"/>
      <c r="DC266" s="3470"/>
      <c r="DD266" s="3470"/>
      <c r="DE266" s="3470"/>
      <c r="DF266" s="3470"/>
      <c r="DG266" s="3470"/>
      <c r="DH266" s="3470"/>
      <c r="DI266" s="3470"/>
      <c r="DJ266" s="3470"/>
      <c r="DK266" s="3470"/>
      <c r="DL266" s="3470"/>
      <c r="DM266" s="3470"/>
      <c r="DN266" s="3470"/>
      <c r="DO266" s="3470"/>
      <c r="DP266" s="3470"/>
      <c r="DQ266" s="3470"/>
      <c r="DR266" s="3470"/>
      <c r="DS266" s="3470"/>
      <c r="DT266" s="3470"/>
      <c r="DU266" s="3470"/>
      <c r="DV266" s="3470"/>
      <c r="DW266" s="3470"/>
      <c r="DX266" s="3470"/>
      <c r="DY266" s="3470"/>
      <c r="DZ266" s="3470"/>
      <c r="EA266" s="3470"/>
      <c r="EB266" s="3470"/>
      <c r="EC266" s="3470"/>
      <c r="ED266" s="3470"/>
      <c r="EE266" s="3470"/>
      <c r="EF266" s="3470"/>
      <c r="EG266" s="3470"/>
      <c r="EH266" s="3470"/>
      <c r="EI266" s="3470"/>
      <c r="EJ266" s="3470"/>
      <c r="EK266" s="3470"/>
      <c r="EL266" s="3470"/>
      <c r="EM266" s="3470"/>
      <c r="EN266" s="3470"/>
      <c r="EO266" s="3470"/>
      <c r="EP266" s="3470"/>
      <c r="EQ266" s="3470"/>
      <c r="ER266" s="3470"/>
      <c r="ES266" s="3470"/>
      <c r="ET266" s="3470"/>
      <c r="EU266" s="3470"/>
      <c r="EV266" s="3470"/>
      <c r="EW266" s="3470"/>
      <c r="EX266" s="3470"/>
      <c r="EY266" s="3470"/>
      <c r="EZ266" s="3470"/>
      <c r="FA266" s="3470"/>
      <c r="FB266" s="3470"/>
      <c r="FC266" s="3470"/>
      <c r="FD266" s="3470"/>
      <c r="FE266" s="3470"/>
      <c r="FF266" s="3470"/>
      <c r="FG266" s="3470"/>
      <c r="FH266" s="3470"/>
      <c r="FI266" s="3470"/>
      <c r="FJ266" s="3470"/>
      <c r="FK266" s="3470"/>
      <c r="FL266" s="3470"/>
      <c r="FM266" s="3470"/>
      <c r="FN266" s="3470"/>
      <c r="FO266" s="3470"/>
      <c r="FP266" s="3470"/>
      <c r="FQ266" s="3470"/>
      <c r="FR266" s="3470"/>
      <c r="FS266" s="3470"/>
      <c r="FT266" s="3470"/>
      <c r="FU266" s="3470"/>
      <c r="FV266" s="3470"/>
      <c r="FW266" s="3470"/>
      <c r="FX266" s="3470"/>
      <c r="FY266" s="3470"/>
      <c r="FZ266" s="3470"/>
      <c r="GA266" s="3470"/>
      <c r="GB266" s="3470"/>
      <c r="GC266" s="3470"/>
      <c r="GD266" s="3470"/>
      <c r="GE266" s="3470"/>
      <c r="GF266" s="3470"/>
      <c r="GG266" s="3470"/>
      <c r="GH266" s="3470"/>
      <c r="GI266" s="3470"/>
      <c r="GJ266" s="3470"/>
      <c r="GK266" s="3470"/>
      <c r="GL266" s="3470"/>
      <c r="GM266" s="3470"/>
      <c r="GN266" s="3470"/>
      <c r="GO266" s="3470"/>
      <c r="GP266" s="3470"/>
      <c r="GQ266" s="3470"/>
      <c r="GR266" s="3470"/>
      <c r="GS266" s="3470"/>
      <c r="GT266" s="3470"/>
      <c r="GU266" s="3470"/>
      <c r="GV266" s="3470"/>
      <c r="GW266" s="3470"/>
      <c r="GX266" s="3470"/>
      <c r="GY266" s="3470"/>
      <c r="GZ266" s="3470"/>
      <c r="HA266" s="3470"/>
      <c r="HB266" s="3470"/>
      <c r="HC266" s="3470"/>
      <c r="HD266" s="3470"/>
      <c r="HE266" s="3470"/>
      <c r="HF266" s="3470"/>
      <c r="HG266" s="3470"/>
      <c r="HH266" s="3470"/>
      <c r="HI266" s="3470"/>
      <c r="HJ266" s="3470"/>
      <c r="HK266" s="3470"/>
      <c r="HL266" s="3470"/>
      <c r="HM266" s="3470"/>
      <c r="HN266" s="3470"/>
      <c r="HO266" s="3470"/>
      <c r="HP266" s="3470"/>
      <c r="HQ266" s="3470"/>
      <c r="HR266" s="3470"/>
      <c r="HS266" s="3470"/>
      <c r="HT266" s="3470"/>
      <c r="HU266" s="3470"/>
      <c r="HV266" s="3470"/>
      <c r="HW266" s="3470"/>
      <c r="HX266" s="3470"/>
      <c r="HY266" s="3470"/>
      <c r="HZ266" s="3470"/>
      <c r="IA266" s="3470"/>
      <c r="IB266" s="3470"/>
      <c r="IC266" s="3470"/>
      <c r="ID266" s="3470"/>
      <c r="IE266" s="3470"/>
      <c r="IF266" s="3470"/>
      <c r="IG266" s="3470"/>
      <c r="IH266" s="3470"/>
      <c r="II266" s="3470"/>
      <c r="IJ266" s="3470"/>
      <c r="IK266" s="3470"/>
      <c r="IL266" s="3470"/>
      <c r="IM266" s="3470"/>
      <c r="IN266" s="3470"/>
      <c r="IO266" s="3470"/>
      <c r="IP266" s="3470"/>
      <c r="IQ266" s="3470"/>
      <c r="IR266" s="3470"/>
      <c r="IS266" s="3470"/>
    </row>
    <row r="267" spans="1:253" s="3604" customFormat="1" ht="12" hidden="1">
      <c r="A267" s="3485" t="s">
        <v>5671</v>
      </c>
      <c r="B267" s="3470" t="s">
        <v>5672</v>
      </c>
      <c r="C267" s="3481" t="s">
        <v>5673</v>
      </c>
      <c r="D267" s="3481" t="s">
        <v>5674</v>
      </c>
      <c r="E267" s="3470" t="s">
        <v>3558</v>
      </c>
      <c r="F267" s="3521" t="s">
        <v>4403</v>
      </c>
      <c r="G267" s="3470" t="s">
        <v>3568</v>
      </c>
      <c r="H267" s="3470" t="s">
        <v>4920</v>
      </c>
      <c r="I267" s="3470" t="s">
        <v>4983</v>
      </c>
      <c r="J267" s="3481" t="s">
        <v>4549</v>
      </c>
      <c r="K267" s="3470" t="s">
        <v>4406</v>
      </c>
      <c r="L267" s="3470">
        <v>129.63</v>
      </c>
      <c r="M267" s="3470">
        <v>3</v>
      </c>
      <c r="N267" s="3470" t="s">
        <v>4077</v>
      </c>
      <c r="O267" s="3470">
        <v>115.51</v>
      </c>
      <c r="P267" s="3470" t="s">
        <v>3452</v>
      </c>
      <c r="Q267" s="3457">
        <v>670757</v>
      </c>
      <c r="R267" s="3470">
        <v>5174</v>
      </c>
      <c r="S267" s="3472">
        <v>66.39</v>
      </c>
      <c r="T267" s="3527">
        <v>663900</v>
      </c>
      <c r="U267" s="3470">
        <v>5122</v>
      </c>
      <c r="V267" s="3474">
        <v>0.1</v>
      </c>
      <c r="W267" s="3475">
        <v>59.75</v>
      </c>
      <c r="X267" s="3473">
        <v>597500</v>
      </c>
      <c r="Y267" s="3441">
        <v>2003</v>
      </c>
      <c r="Z267" s="3441">
        <v>3</v>
      </c>
      <c r="AA267" s="3441">
        <v>6</v>
      </c>
      <c r="AB267" s="3477">
        <v>3315</v>
      </c>
      <c r="AC267" s="3470" t="s">
        <v>4407</v>
      </c>
      <c r="AD267" s="3485"/>
      <c r="AE267" s="3441" t="s">
        <v>3663</v>
      </c>
      <c r="AF267" s="3470" t="s">
        <v>3728</v>
      </c>
      <c r="AG267" s="3522" t="s">
        <v>3466</v>
      </c>
      <c r="AH267" s="3485"/>
      <c r="AI267" s="3470" t="s">
        <v>3679</v>
      </c>
      <c r="AJ267" s="3523">
        <v>37833</v>
      </c>
      <c r="AK267" s="3479" t="s">
        <v>4210</v>
      </c>
      <c r="AL267" s="3441">
        <v>67641700</v>
      </c>
      <c r="AM267" s="3441"/>
      <c r="AN267" s="3441" t="s">
        <v>3635</v>
      </c>
      <c r="AO267" s="3441" t="s">
        <v>3568</v>
      </c>
      <c r="AP267" s="3441" t="s">
        <v>3476</v>
      </c>
      <c r="AQ267" s="3441" t="s">
        <v>3571</v>
      </c>
      <c r="AR267" s="3441"/>
      <c r="AS267" s="3441"/>
      <c r="AT267" s="3441"/>
      <c r="AU267" s="3441"/>
      <c r="AV267" s="3441"/>
      <c r="AW267" s="3441" t="s">
        <v>3572</v>
      </c>
      <c r="AX267" s="3441" t="s">
        <v>3568</v>
      </c>
      <c r="AY267" s="3524" t="s">
        <v>5675</v>
      </c>
      <c r="AZ267" s="3441" t="s">
        <v>4406</v>
      </c>
      <c r="BA267" s="3441" t="s">
        <v>4409</v>
      </c>
      <c r="BB267" s="3524" t="s">
        <v>4410</v>
      </c>
      <c r="BC267" s="3441" t="s">
        <v>4411</v>
      </c>
      <c r="BD267" s="3525" t="s">
        <v>3568</v>
      </c>
      <c r="BE267" s="3441">
        <v>68152860</v>
      </c>
      <c r="BF267" s="3526">
        <v>2.8</v>
      </c>
      <c r="BG267" s="3518">
        <v>37627</v>
      </c>
      <c r="BH267" s="3441" t="s">
        <v>4412</v>
      </c>
      <c r="BI267" s="3441" t="s">
        <v>3700</v>
      </c>
      <c r="BJ267" s="3484">
        <v>37657</v>
      </c>
      <c r="BK267" s="3484"/>
      <c r="BL267" s="3470" t="s">
        <v>3670</v>
      </c>
      <c r="BM267" s="3441"/>
      <c r="BN267" s="3441"/>
      <c r="BO267" s="3441"/>
      <c r="BP267" s="3441"/>
      <c r="BQ267" s="3441"/>
      <c r="BR267" s="3441"/>
      <c r="BS267" s="3470"/>
      <c r="BT267" s="3470"/>
      <c r="BU267" s="3470"/>
      <c r="BV267" s="3441"/>
      <c r="BW267" s="3441"/>
      <c r="BX267" s="3441"/>
      <c r="BY267" s="3441"/>
      <c r="BZ267" s="3441"/>
      <c r="CA267" s="3441"/>
      <c r="CB267" s="3441"/>
      <c r="CC267" s="3441"/>
      <c r="CD267" s="3441"/>
      <c r="CE267" s="3441"/>
      <c r="CF267" s="3441"/>
      <c r="CG267" s="3441"/>
      <c r="CH267" s="3441"/>
      <c r="CI267" s="3441"/>
      <c r="CJ267" s="3441"/>
      <c r="CK267" s="3441"/>
      <c r="CL267" s="3441"/>
      <c r="CM267" s="3441"/>
      <c r="CN267" s="3441"/>
      <c r="CO267" s="3441"/>
      <c r="CP267" s="3441"/>
      <c r="CQ267" s="3441"/>
      <c r="CR267" s="3441"/>
      <c r="CS267" s="3441"/>
      <c r="CT267" s="3441"/>
      <c r="CU267" s="3441"/>
      <c r="CV267" s="3441"/>
      <c r="CW267" s="3441"/>
      <c r="CX267" s="3441"/>
      <c r="CY267" s="3441"/>
      <c r="CZ267" s="3441"/>
      <c r="DA267" s="3441"/>
      <c r="DB267" s="3441"/>
      <c r="DC267" s="3441"/>
      <c r="DD267" s="3441"/>
      <c r="DE267" s="3441"/>
      <c r="DF267" s="3441"/>
      <c r="DG267" s="3441"/>
      <c r="DH267" s="3441"/>
      <c r="DI267" s="3441"/>
      <c r="DJ267" s="3441"/>
      <c r="DK267" s="3441"/>
      <c r="DL267" s="3441"/>
      <c r="DM267" s="3441"/>
      <c r="DN267" s="3441"/>
      <c r="DO267" s="3441"/>
      <c r="DP267" s="3441"/>
      <c r="DQ267" s="3441"/>
      <c r="DR267" s="3441"/>
      <c r="DS267" s="3441"/>
      <c r="DT267" s="3441"/>
      <c r="DU267" s="3441"/>
      <c r="DV267" s="3441"/>
      <c r="DW267" s="3441"/>
      <c r="DX267" s="3441"/>
      <c r="DY267" s="3441"/>
      <c r="DZ267" s="3441"/>
      <c r="EA267" s="3441"/>
      <c r="EB267" s="3441"/>
      <c r="EC267" s="3441"/>
      <c r="ED267" s="3441"/>
      <c r="EE267" s="3441"/>
      <c r="EF267" s="3441"/>
      <c r="EG267" s="3441"/>
      <c r="EH267" s="3441"/>
      <c r="EI267" s="3441"/>
      <c r="EJ267" s="3441"/>
      <c r="EK267" s="3441"/>
      <c r="EL267" s="3441"/>
      <c r="EM267" s="3441"/>
      <c r="EN267" s="3441"/>
      <c r="EO267" s="3441"/>
      <c r="EP267" s="3441"/>
      <c r="EQ267" s="3441"/>
      <c r="ER267" s="3441"/>
      <c r="ES267" s="3441"/>
      <c r="ET267" s="3441"/>
      <c r="EU267" s="3441"/>
      <c r="EV267" s="3441"/>
      <c r="EW267" s="3441"/>
      <c r="EX267" s="3441"/>
      <c r="EY267" s="3441"/>
      <c r="EZ267" s="3441"/>
      <c r="FA267" s="3441"/>
      <c r="FB267" s="3441"/>
      <c r="FC267" s="3441"/>
      <c r="FD267" s="3441"/>
      <c r="FE267" s="3441"/>
      <c r="FF267" s="3441"/>
      <c r="FG267" s="3441"/>
      <c r="FH267" s="3441"/>
      <c r="FI267" s="3441"/>
      <c r="FJ267" s="3441"/>
      <c r="FK267" s="3441"/>
      <c r="FL267" s="3441"/>
      <c r="FM267" s="3441"/>
      <c r="FN267" s="3441"/>
      <c r="FO267" s="3441"/>
      <c r="FP267" s="3441"/>
      <c r="FQ267" s="3441"/>
      <c r="FR267" s="3441"/>
      <c r="FS267" s="3441"/>
      <c r="FT267" s="3441"/>
      <c r="FU267" s="3441"/>
      <c r="FV267" s="3441"/>
      <c r="FW267" s="3441"/>
      <c r="FX267" s="3441"/>
      <c r="FY267" s="3441"/>
      <c r="FZ267" s="3441"/>
      <c r="GA267" s="3441"/>
      <c r="GB267" s="3441"/>
      <c r="GC267" s="3441"/>
      <c r="GD267" s="3441"/>
      <c r="GE267" s="3441"/>
      <c r="GF267" s="3441"/>
      <c r="GG267" s="3441"/>
      <c r="GH267" s="3441"/>
      <c r="GI267" s="3441"/>
      <c r="GJ267" s="3441"/>
      <c r="GK267" s="3441"/>
      <c r="GL267" s="3441"/>
      <c r="GM267" s="3441"/>
      <c r="GN267" s="3441"/>
      <c r="GO267" s="3441"/>
      <c r="GP267" s="3441"/>
      <c r="GQ267" s="3441"/>
      <c r="GR267" s="3441"/>
      <c r="GS267" s="3441"/>
      <c r="GT267" s="3441"/>
      <c r="GU267" s="3441"/>
      <c r="GV267" s="3441"/>
      <c r="GW267" s="3441"/>
      <c r="GX267" s="3441"/>
      <c r="GY267" s="3441"/>
      <c r="GZ267" s="3441"/>
      <c r="HA267" s="3441"/>
      <c r="HB267" s="3441"/>
      <c r="HC267" s="3441"/>
      <c r="HD267" s="3441"/>
      <c r="HE267" s="3441"/>
      <c r="HF267" s="3441"/>
      <c r="HG267" s="3441"/>
      <c r="HH267" s="3441"/>
      <c r="HI267" s="3441"/>
      <c r="HJ267" s="3441"/>
      <c r="HK267" s="3441"/>
      <c r="HL267" s="3441"/>
      <c r="HM267" s="3441"/>
      <c r="HN267" s="3441"/>
      <c r="HO267" s="3441"/>
      <c r="HP267" s="3441"/>
      <c r="HQ267" s="3441"/>
      <c r="HR267" s="3441"/>
      <c r="HS267" s="3441"/>
      <c r="HT267" s="3441"/>
      <c r="HU267" s="3441"/>
      <c r="HV267" s="3441"/>
      <c r="HW267" s="3441"/>
      <c r="HX267" s="3441"/>
      <c r="HY267" s="3441"/>
      <c r="HZ267" s="3441"/>
      <c r="IA267" s="3441"/>
      <c r="IB267" s="3441"/>
      <c r="IC267" s="3441"/>
      <c r="ID267" s="3441"/>
      <c r="IE267" s="3441"/>
      <c r="IF267" s="3441"/>
      <c r="IG267" s="3441"/>
      <c r="IH267" s="3441"/>
      <c r="II267" s="3441"/>
      <c r="IJ267" s="3441"/>
      <c r="IK267" s="3441"/>
      <c r="IL267" s="3441"/>
      <c r="IM267" s="3441"/>
      <c r="IN267" s="3441"/>
      <c r="IO267" s="3441"/>
      <c r="IP267" s="3441"/>
      <c r="IQ267" s="3441"/>
      <c r="IR267" s="3441"/>
      <c r="IS267" s="3441"/>
    </row>
    <row r="268" spans="1:253" s="3605" customFormat="1" ht="12" hidden="1">
      <c r="A268" s="3470" t="s">
        <v>5676</v>
      </c>
      <c r="B268" s="3470" t="s">
        <v>5677</v>
      </c>
      <c r="C268" s="3481" t="s">
        <v>5678</v>
      </c>
      <c r="D268" s="3470">
        <v>13901163250</v>
      </c>
      <c r="E268" s="3470" t="s">
        <v>3558</v>
      </c>
      <c r="F268" s="3470" t="s">
        <v>5679</v>
      </c>
      <c r="G268" s="3470"/>
      <c r="H268" s="3453" t="s">
        <v>5486</v>
      </c>
      <c r="I268" s="3453" t="s">
        <v>4207</v>
      </c>
      <c r="J268" s="3453" t="s">
        <v>4549</v>
      </c>
      <c r="K268" s="3470" t="s">
        <v>5680</v>
      </c>
      <c r="L268" s="3495">
        <v>95.36</v>
      </c>
      <c r="M268" s="3495">
        <v>3</v>
      </c>
      <c r="N268" s="3470" t="s">
        <v>3543</v>
      </c>
      <c r="O268" s="3495">
        <v>86.9</v>
      </c>
      <c r="P268" s="3470" t="s">
        <v>3452</v>
      </c>
      <c r="Q268" s="3457">
        <v>513990.40000000002</v>
      </c>
      <c r="R268" s="3495">
        <v>5390</v>
      </c>
      <c r="S268" s="3472">
        <v>50.9</v>
      </c>
      <c r="T268" s="3550">
        <v>509000</v>
      </c>
      <c r="U268" s="3495">
        <v>5338</v>
      </c>
      <c r="V268" s="3512">
        <v>0.1</v>
      </c>
      <c r="W268" s="3475">
        <v>45.81</v>
      </c>
      <c r="X268" s="3473">
        <v>458100</v>
      </c>
      <c r="Y268" s="3495">
        <v>2003</v>
      </c>
      <c r="Z268" s="3495">
        <v>3</v>
      </c>
      <c r="AA268" s="3495">
        <v>12</v>
      </c>
      <c r="AB268" s="3477">
        <v>2545</v>
      </c>
      <c r="AC268" s="3470" t="s">
        <v>3693</v>
      </c>
      <c r="AD268" s="3470"/>
      <c r="AE268" s="3456" t="s">
        <v>3663</v>
      </c>
      <c r="AF268" s="3453" t="s">
        <v>4200</v>
      </c>
      <c r="AG268" s="3470" t="s">
        <v>3466</v>
      </c>
      <c r="AH268" s="3470"/>
      <c r="AI268" s="3456" t="s">
        <v>3679</v>
      </c>
      <c r="AJ268" s="3478">
        <v>37732</v>
      </c>
      <c r="AK268" s="3470" t="s">
        <v>4210</v>
      </c>
      <c r="AL268" s="3495" t="s">
        <v>3957</v>
      </c>
      <c r="AM268" s="3470"/>
      <c r="AN268" s="3456" t="s">
        <v>3695</v>
      </c>
      <c r="AO268" s="3470"/>
      <c r="AP268" s="3456" t="s">
        <v>3476</v>
      </c>
      <c r="AQ268" s="3456" t="s">
        <v>3571</v>
      </c>
      <c r="AR268" s="3470"/>
      <c r="AS268" s="3470"/>
      <c r="AT268" s="3470"/>
      <c r="AU268" s="3470"/>
      <c r="AV268" s="3519"/>
      <c r="AW268" s="3470" t="s">
        <v>3572</v>
      </c>
      <c r="AX268" s="3470" t="s">
        <v>2511</v>
      </c>
      <c r="AY268" s="3524" t="s">
        <v>5681</v>
      </c>
      <c r="AZ268" s="3470" t="s">
        <v>5680</v>
      </c>
      <c r="BA268" s="3470" t="s">
        <v>5682</v>
      </c>
      <c r="BB268" s="3470">
        <v>1101081434031</v>
      </c>
      <c r="BC268" s="3470" t="s">
        <v>5683</v>
      </c>
      <c r="BD268" s="3470">
        <v>100094</v>
      </c>
      <c r="BE268" s="3470">
        <v>62962485</v>
      </c>
      <c r="BF268" s="3520">
        <v>2.7</v>
      </c>
      <c r="BG268" s="3478">
        <v>37673</v>
      </c>
      <c r="BH268" s="3470"/>
      <c r="BI268" s="3470" t="s">
        <v>3700</v>
      </c>
      <c r="BJ268" s="3484">
        <v>37685</v>
      </c>
      <c r="BK268" s="3470"/>
      <c r="BL268" s="3441" t="s">
        <v>3670</v>
      </c>
      <c r="BM268" s="3441"/>
      <c r="BN268" s="3441"/>
      <c r="BO268" s="3441"/>
      <c r="BP268" s="3441"/>
      <c r="BQ268" s="3441"/>
      <c r="BR268" s="3441"/>
      <c r="BS268" s="3470"/>
      <c r="BT268" s="3470"/>
      <c r="BU268" s="3470"/>
      <c r="BV268" s="3470"/>
      <c r="BW268" s="3470"/>
      <c r="BX268" s="3470"/>
      <c r="BY268" s="3470"/>
      <c r="BZ268" s="3470"/>
      <c r="CA268" s="3470"/>
      <c r="CB268" s="3470"/>
      <c r="CC268" s="3470"/>
      <c r="CD268" s="3470"/>
      <c r="CE268" s="3470"/>
      <c r="CF268" s="3470"/>
      <c r="CG268" s="3470"/>
      <c r="CH268" s="3470"/>
      <c r="CI268" s="3470"/>
      <c r="CJ268" s="3470"/>
      <c r="CK268" s="3470"/>
      <c r="CL268" s="3470"/>
      <c r="CM268" s="3470"/>
      <c r="CN268" s="3470"/>
      <c r="CO268" s="3470"/>
      <c r="CP268" s="3470"/>
      <c r="CQ268" s="3470"/>
      <c r="CR268" s="3470"/>
      <c r="CS268" s="3470"/>
      <c r="CT268" s="3470"/>
      <c r="CU268" s="3470"/>
      <c r="CV268" s="3470"/>
      <c r="CW268" s="3470"/>
      <c r="CX268" s="3470"/>
      <c r="CY268" s="3470"/>
      <c r="CZ268" s="3470"/>
      <c r="DA268" s="3470"/>
      <c r="DB268" s="3470"/>
      <c r="DC268" s="3470"/>
      <c r="DD268" s="3470"/>
      <c r="DE268" s="3470"/>
      <c r="DF268" s="3470"/>
      <c r="DG268" s="3470"/>
      <c r="DH268" s="3470"/>
      <c r="DI268" s="3470"/>
      <c r="DJ268" s="3470"/>
      <c r="DK268" s="3470"/>
      <c r="DL268" s="3470"/>
      <c r="DM268" s="3470"/>
      <c r="DN268" s="3470"/>
      <c r="DO268" s="3470"/>
      <c r="DP268" s="3470"/>
      <c r="DQ268" s="3470"/>
      <c r="DR268" s="3470"/>
      <c r="DS268" s="3470"/>
      <c r="DT268" s="3470"/>
      <c r="DU268" s="3470"/>
      <c r="DV268" s="3470"/>
      <c r="DW268" s="3470"/>
      <c r="DX268" s="3470"/>
      <c r="DY268" s="3470"/>
      <c r="DZ268" s="3470"/>
      <c r="EA268" s="3470"/>
      <c r="EB268" s="3470"/>
      <c r="EC268" s="3470"/>
      <c r="ED268" s="3470"/>
      <c r="EE268" s="3470"/>
      <c r="EF268" s="3470"/>
      <c r="EG268" s="3470"/>
      <c r="EH268" s="3470"/>
      <c r="EI268" s="3470"/>
      <c r="EJ268" s="3470"/>
      <c r="EK268" s="3470"/>
      <c r="EL268" s="3470"/>
      <c r="EM268" s="3470"/>
      <c r="EN268" s="3470"/>
      <c r="EO268" s="3470"/>
      <c r="EP268" s="3470"/>
      <c r="EQ268" s="3470"/>
      <c r="ER268" s="3470"/>
      <c r="ES268" s="3470"/>
      <c r="ET268" s="3470"/>
      <c r="EU268" s="3470"/>
      <c r="EV268" s="3470"/>
      <c r="EW268" s="3470"/>
      <c r="EX268" s="3470"/>
      <c r="EY268" s="3470"/>
      <c r="EZ268" s="3470"/>
      <c r="FA268" s="3470"/>
      <c r="FB268" s="3470"/>
      <c r="FC268" s="3470"/>
      <c r="FD268" s="3470"/>
      <c r="FE268" s="3470"/>
      <c r="FF268" s="3470"/>
      <c r="FG268" s="3470"/>
      <c r="FH268" s="3470"/>
      <c r="FI268" s="3470"/>
      <c r="FJ268" s="3470"/>
      <c r="FK268" s="3470"/>
      <c r="FL268" s="3470"/>
      <c r="FM268" s="3470"/>
      <c r="FN268" s="3470"/>
      <c r="FO268" s="3470"/>
      <c r="FP268" s="3470"/>
      <c r="FQ268" s="3470"/>
      <c r="FR268" s="3470"/>
      <c r="FS268" s="3470"/>
      <c r="FT268" s="3470"/>
      <c r="FU268" s="3470"/>
      <c r="FV268" s="3470"/>
      <c r="FW268" s="3470"/>
      <c r="FX268" s="3470"/>
      <c r="FY268" s="3470"/>
      <c r="FZ268" s="3470"/>
      <c r="GA268" s="3470"/>
      <c r="GB268" s="3470"/>
      <c r="GC268" s="3470"/>
      <c r="GD268" s="3470"/>
      <c r="GE268" s="3470"/>
      <c r="GF268" s="3470"/>
      <c r="GG268" s="3470"/>
      <c r="GH268" s="3470"/>
      <c r="GI268" s="3470"/>
      <c r="GJ268" s="3470"/>
      <c r="GK268" s="3470"/>
      <c r="GL268" s="3470"/>
      <c r="GM268" s="3470"/>
      <c r="GN268" s="3470"/>
      <c r="GO268" s="3470"/>
      <c r="GP268" s="3470"/>
      <c r="GQ268" s="3470"/>
      <c r="GR268" s="3470"/>
      <c r="GS268" s="3470"/>
      <c r="GT268" s="3470"/>
      <c r="GU268" s="3470"/>
      <c r="GV268" s="3470"/>
      <c r="GW268" s="3470"/>
      <c r="GX268" s="3470"/>
      <c r="GY268" s="3470"/>
      <c r="GZ268" s="3470"/>
      <c r="HA268" s="3470"/>
      <c r="HB268" s="3470"/>
      <c r="HC268" s="3470"/>
      <c r="HD268" s="3470"/>
      <c r="HE268" s="3470"/>
      <c r="HF268" s="3470"/>
      <c r="HG268" s="3470"/>
      <c r="HH268" s="3470"/>
      <c r="HI268" s="3470"/>
      <c r="HJ268" s="3470"/>
      <c r="HK268" s="3470"/>
      <c r="HL268" s="3470"/>
      <c r="HM268" s="3470"/>
      <c r="HN268" s="3470"/>
      <c r="HO268" s="3470"/>
      <c r="HP268" s="3470"/>
      <c r="HQ268" s="3470"/>
      <c r="HR268" s="3470"/>
      <c r="HS268" s="3470"/>
      <c r="HT268" s="3470"/>
      <c r="HU268" s="3470"/>
      <c r="HV268" s="3470"/>
      <c r="HW268" s="3470"/>
      <c r="HX268" s="3470"/>
      <c r="HY268" s="3470"/>
      <c r="HZ268" s="3470"/>
      <c r="IA268" s="3470"/>
      <c r="IB268" s="3470"/>
      <c r="IC268" s="3470"/>
      <c r="ID268" s="3470"/>
      <c r="IE268" s="3470"/>
      <c r="IF268" s="3470"/>
      <c r="IG268" s="3470"/>
      <c r="IH268" s="3470"/>
      <c r="II268" s="3470"/>
      <c r="IJ268" s="3470"/>
      <c r="IK268" s="3470"/>
      <c r="IL268" s="3470"/>
      <c r="IM268" s="3470"/>
      <c r="IN268" s="3470"/>
      <c r="IO268" s="3470"/>
      <c r="IP268" s="3470"/>
      <c r="IQ268" s="3470"/>
      <c r="IR268" s="3470"/>
      <c r="IS268" s="3470"/>
    </row>
    <row r="269" spans="1:253" s="3617" customFormat="1" hidden="1">
      <c r="A269" s="3453" t="s">
        <v>5684</v>
      </c>
      <c r="B269" s="3470" t="s">
        <v>5685</v>
      </c>
      <c r="C269" s="3481" t="s">
        <v>5686</v>
      </c>
      <c r="D269" s="3481" t="s">
        <v>5687</v>
      </c>
      <c r="E269" s="3470" t="s">
        <v>3558</v>
      </c>
      <c r="F269" s="3470" t="s">
        <v>4403</v>
      </c>
      <c r="G269" s="3470" t="s">
        <v>3568</v>
      </c>
      <c r="H269" s="3470" t="s">
        <v>4920</v>
      </c>
      <c r="I269" s="3470" t="s">
        <v>4548</v>
      </c>
      <c r="J269" s="3481" t="s">
        <v>4075</v>
      </c>
      <c r="K269" s="3470" t="s">
        <v>4406</v>
      </c>
      <c r="L269" s="3470">
        <v>122.73</v>
      </c>
      <c r="M269" s="3470">
        <v>4</v>
      </c>
      <c r="N269" s="3470" t="s">
        <v>3872</v>
      </c>
      <c r="O269" s="3470">
        <v>109.36</v>
      </c>
      <c r="P269" s="3470" t="s">
        <v>3452</v>
      </c>
      <c r="Q269" s="3457">
        <v>589104</v>
      </c>
      <c r="R269" s="3470">
        <v>4800</v>
      </c>
      <c r="S269" s="3472">
        <v>58.29</v>
      </c>
      <c r="T269" s="3527">
        <v>582900</v>
      </c>
      <c r="U269" s="3470">
        <v>4750</v>
      </c>
      <c r="V269" s="3474">
        <v>0.1</v>
      </c>
      <c r="W269" s="3475">
        <v>52.46</v>
      </c>
      <c r="X269" s="3473">
        <v>524600</v>
      </c>
      <c r="Y269" s="3441">
        <v>2003</v>
      </c>
      <c r="Z269" s="3441">
        <v>4</v>
      </c>
      <c r="AA269" s="3441">
        <v>9</v>
      </c>
      <c r="AB269" s="3477">
        <v>2910</v>
      </c>
      <c r="AC269" s="3470" t="s">
        <v>4102</v>
      </c>
      <c r="AD269" s="3485"/>
      <c r="AE269" s="3441" t="s">
        <v>3663</v>
      </c>
      <c r="AF269" s="3470" t="s">
        <v>3728</v>
      </c>
      <c r="AG269" s="3522" t="s">
        <v>3466</v>
      </c>
      <c r="AH269" s="3485"/>
      <c r="AI269" s="3470" t="s">
        <v>3679</v>
      </c>
      <c r="AJ269" s="3523">
        <v>37833</v>
      </c>
      <c r="AK269" s="3548">
        <v>4</v>
      </c>
      <c r="AL269" s="3441">
        <v>67641700</v>
      </c>
      <c r="AM269" s="3441"/>
      <c r="AN269" s="3480" t="s">
        <v>3468</v>
      </c>
      <c r="AO269" s="3470" t="s">
        <v>5688</v>
      </c>
      <c r="AP269" s="3441" t="s">
        <v>3721</v>
      </c>
      <c r="AQ269" s="3441" t="s">
        <v>3571</v>
      </c>
      <c r="AR269" s="3441"/>
      <c r="AS269" s="3441"/>
      <c r="AT269" s="3441"/>
      <c r="AU269" s="3441"/>
      <c r="AV269" s="3441"/>
      <c r="AW269" s="3441" t="s">
        <v>3572</v>
      </c>
      <c r="AX269" s="3441" t="s">
        <v>3568</v>
      </c>
      <c r="AY269" s="3524" t="s">
        <v>5689</v>
      </c>
      <c r="AZ269" s="3441" t="s">
        <v>4406</v>
      </c>
      <c r="BA269" s="3441" t="s">
        <v>4409</v>
      </c>
      <c r="BB269" s="3524" t="s">
        <v>4410</v>
      </c>
      <c r="BC269" s="3441" t="s">
        <v>4411</v>
      </c>
      <c r="BD269" s="3525" t="s">
        <v>3568</v>
      </c>
      <c r="BE269" s="3441">
        <v>68152860</v>
      </c>
      <c r="BF269" s="3526">
        <v>2.8</v>
      </c>
      <c r="BG269" s="3518">
        <v>37691</v>
      </c>
      <c r="BH269" s="3441" t="s">
        <v>4412</v>
      </c>
      <c r="BI269" s="3486" t="s">
        <v>3713</v>
      </c>
      <c r="BJ269" s="3484">
        <v>37719</v>
      </c>
      <c r="BK269" s="3484"/>
      <c r="BL269" s="3470" t="s">
        <v>3670</v>
      </c>
      <c r="BM269" s="3441"/>
      <c r="BN269" s="3441"/>
      <c r="BO269" s="3441"/>
      <c r="BP269" s="3441"/>
      <c r="BQ269" s="3441"/>
      <c r="BR269" s="3441"/>
      <c r="BS269" s="3470"/>
      <c r="BT269" s="3470"/>
      <c r="BU269" s="3470"/>
      <c r="BV269" s="3604"/>
      <c r="BW269" s="3604"/>
      <c r="BX269" s="3604"/>
      <c r="BY269" s="3604"/>
      <c r="BZ269" s="3604"/>
      <c r="CA269" s="3604"/>
      <c r="CB269" s="3604"/>
      <c r="CC269" s="3604"/>
      <c r="CD269" s="3604"/>
      <c r="CE269" s="3604"/>
      <c r="CF269" s="3604"/>
      <c r="CG269" s="3604"/>
      <c r="CH269" s="3604"/>
      <c r="CI269" s="3604"/>
      <c r="CJ269" s="3604"/>
      <c r="CK269" s="3604"/>
      <c r="CL269" s="3604"/>
      <c r="CM269" s="3604"/>
      <c r="CN269" s="3604"/>
      <c r="CO269" s="3604"/>
      <c r="CP269" s="3604"/>
      <c r="CQ269" s="3604"/>
      <c r="CR269" s="3604"/>
      <c r="CS269" s="3604"/>
      <c r="CT269" s="3604"/>
      <c r="CU269" s="3604"/>
      <c r="CV269" s="3604"/>
      <c r="CW269" s="3604"/>
      <c r="CX269" s="3604"/>
      <c r="CY269" s="3604"/>
      <c r="CZ269" s="3604"/>
      <c r="DA269" s="3604"/>
      <c r="DB269" s="3604"/>
      <c r="DC269" s="3604"/>
      <c r="DD269" s="3604"/>
      <c r="DE269" s="3604"/>
      <c r="DF269" s="3604"/>
      <c r="DG269" s="3604"/>
      <c r="DH269" s="3604"/>
      <c r="DI269" s="3604"/>
      <c r="DJ269" s="3604"/>
      <c r="DK269" s="3604"/>
      <c r="DL269" s="3604"/>
      <c r="DM269" s="3604"/>
      <c r="DN269" s="3604"/>
      <c r="DO269" s="3604"/>
      <c r="DP269" s="3604"/>
      <c r="DQ269" s="3604"/>
      <c r="DR269" s="3604"/>
      <c r="DS269" s="3604"/>
      <c r="DT269" s="3604"/>
      <c r="DU269" s="3604"/>
      <c r="DV269" s="3604"/>
      <c r="DW269" s="3604"/>
      <c r="DX269" s="3604"/>
      <c r="DY269" s="3604"/>
      <c r="DZ269" s="3604"/>
      <c r="EA269" s="3604"/>
      <c r="EB269" s="3604"/>
      <c r="EC269" s="3604"/>
      <c r="ED269" s="3604"/>
      <c r="EE269" s="3604"/>
      <c r="EF269" s="3604"/>
      <c r="EG269" s="3604"/>
      <c r="EH269" s="3604"/>
      <c r="EI269" s="3604"/>
      <c r="EJ269" s="3604"/>
      <c r="EK269" s="3604"/>
      <c r="EL269" s="3604"/>
      <c r="EM269" s="3604"/>
      <c r="EN269" s="3604"/>
      <c r="EO269" s="3604"/>
      <c r="EP269" s="3604"/>
      <c r="EQ269" s="3604"/>
      <c r="ER269" s="3604"/>
      <c r="ES269" s="3604"/>
      <c r="ET269" s="3604"/>
      <c r="EU269" s="3604"/>
      <c r="EV269" s="3604"/>
      <c r="EW269" s="3604"/>
      <c r="EX269" s="3604"/>
      <c r="EY269" s="3604"/>
      <c r="EZ269" s="3604"/>
      <c r="FA269" s="3604"/>
      <c r="FB269" s="3604"/>
      <c r="FC269" s="3604"/>
      <c r="FD269" s="3604"/>
      <c r="FE269" s="3604"/>
      <c r="FF269" s="3604"/>
      <c r="FG269" s="3604"/>
      <c r="FH269" s="3604"/>
      <c r="FI269" s="3604"/>
      <c r="FJ269" s="3604"/>
      <c r="FK269" s="3604"/>
      <c r="FL269" s="3604"/>
      <c r="FM269" s="3604"/>
      <c r="FN269" s="3604"/>
      <c r="FO269" s="3604"/>
      <c r="FP269" s="3604"/>
      <c r="FQ269" s="3604"/>
      <c r="FR269" s="3604"/>
      <c r="FS269" s="3604"/>
      <c r="FT269" s="3604"/>
      <c r="FU269" s="3604"/>
      <c r="FV269" s="3604"/>
      <c r="FW269" s="3604"/>
      <c r="FX269" s="3604"/>
      <c r="FY269" s="3604"/>
      <c r="FZ269" s="3604"/>
      <c r="GA269" s="3604"/>
      <c r="GB269" s="3604"/>
      <c r="GC269" s="3604"/>
      <c r="GD269" s="3604"/>
      <c r="GE269" s="3604"/>
      <c r="GF269" s="3604"/>
      <c r="GG269" s="3604"/>
      <c r="GH269" s="3604"/>
      <c r="GI269" s="3604"/>
      <c r="GJ269" s="3604"/>
      <c r="GK269" s="3604"/>
      <c r="GL269" s="3604"/>
      <c r="GM269" s="3604"/>
      <c r="GN269" s="3604"/>
      <c r="GO269" s="3604"/>
      <c r="GP269" s="3604"/>
      <c r="GQ269" s="3604"/>
      <c r="GR269" s="3604"/>
      <c r="GS269" s="3604"/>
      <c r="GT269" s="3604"/>
      <c r="GU269" s="3604"/>
      <c r="GV269" s="3604"/>
      <c r="GW269" s="3604"/>
      <c r="GX269" s="3604"/>
      <c r="GY269" s="3604"/>
      <c r="GZ269" s="3604"/>
      <c r="HA269" s="3604"/>
      <c r="HB269" s="3604"/>
      <c r="HC269" s="3604"/>
      <c r="HD269" s="3604"/>
      <c r="HE269" s="3604"/>
      <c r="HF269" s="3604"/>
      <c r="HG269" s="3604"/>
      <c r="HH269" s="3604"/>
      <c r="HI269" s="3604"/>
      <c r="HJ269" s="3604"/>
      <c r="HK269" s="3604"/>
      <c r="HL269" s="3604"/>
      <c r="HM269" s="3604"/>
      <c r="HN269" s="3604"/>
      <c r="HO269" s="3604"/>
      <c r="HP269" s="3604"/>
      <c r="HQ269" s="3604"/>
      <c r="HR269" s="3604"/>
      <c r="HS269" s="3604"/>
      <c r="HT269" s="3604"/>
      <c r="HU269" s="3604"/>
      <c r="HV269" s="3604"/>
      <c r="HW269" s="3604"/>
      <c r="HX269" s="3604"/>
      <c r="HY269" s="3604"/>
      <c r="HZ269" s="3604"/>
      <c r="IA269" s="3604"/>
      <c r="IB269" s="3604"/>
      <c r="IC269" s="3604"/>
      <c r="ID269" s="3604"/>
      <c r="IE269" s="3604"/>
      <c r="IF269" s="3604"/>
      <c r="IG269" s="3604"/>
      <c r="IH269" s="3604"/>
      <c r="II269" s="3604"/>
      <c r="IJ269" s="3604"/>
      <c r="IK269" s="3604"/>
      <c r="IL269" s="3604"/>
      <c r="IM269" s="3604"/>
      <c r="IN269" s="3604"/>
      <c r="IO269" s="3604"/>
      <c r="IP269" s="3604"/>
      <c r="IQ269" s="3604"/>
      <c r="IR269" s="3604"/>
      <c r="IS269" s="3604"/>
    </row>
    <row r="270" spans="1:253" s="3617" customFormat="1" hidden="1">
      <c r="A270" s="3453" t="s">
        <v>5690</v>
      </c>
      <c r="B270" s="3470" t="s">
        <v>5691</v>
      </c>
      <c r="C270" s="3481" t="s">
        <v>5692</v>
      </c>
      <c r="D270" s="3481" t="s">
        <v>5693</v>
      </c>
      <c r="E270" s="3470" t="s">
        <v>3558</v>
      </c>
      <c r="F270" s="3470" t="s">
        <v>4403</v>
      </c>
      <c r="G270" s="3470" t="s">
        <v>3568</v>
      </c>
      <c r="H270" s="3470" t="s">
        <v>4376</v>
      </c>
      <c r="I270" s="3470" t="s">
        <v>4282</v>
      </c>
      <c r="J270" s="3481" t="s">
        <v>4101</v>
      </c>
      <c r="K270" s="3470" t="s">
        <v>4406</v>
      </c>
      <c r="L270" s="3470">
        <v>128.91999999999999</v>
      </c>
      <c r="M270" s="3470">
        <v>2</v>
      </c>
      <c r="N270" s="3470" t="s">
        <v>4137</v>
      </c>
      <c r="O270" s="3470">
        <v>115.28</v>
      </c>
      <c r="P270" s="3470" t="s">
        <v>3452</v>
      </c>
      <c r="Q270" s="3457">
        <v>630418.80000000005</v>
      </c>
      <c r="R270" s="3470">
        <v>4890</v>
      </c>
      <c r="S270" s="3472">
        <v>62.39</v>
      </c>
      <c r="T270" s="3527">
        <v>623900</v>
      </c>
      <c r="U270" s="3470">
        <v>4840</v>
      </c>
      <c r="V270" s="3474">
        <v>0.1</v>
      </c>
      <c r="W270" s="3475">
        <v>56.15</v>
      </c>
      <c r="X270" s="3473">
        <v>561500</v>
      </c>
      <c r="Y270" s="3441">
        <v>2003</v>
      </c>
      <c r="Z270" s="3441">
        <v>4</v>
      </c>
      <c r="AA270" s="3441">
        <v>9</v>
      </c>
      <c r="AB270" s="3477">
        <v>3115</v>
      </c>
      <c r="AC270" s="3470" t="s">
        <v>3710</v>
      </c>
      <c r="AD270" s="3485"/>
      <c r="AE270" s="3441" t="s">
        <v>3663</v>
      </c>
      <c r="AF270" s="3470" t="s">
        <v>3728</v>
      </c>
      <c r="AG270" s="3522" t="s">
        <v>3466</v>
      </c>
      <c r="AH270" s="3485"/>
      <c r="AI270" s="3470" t="s">
        <v>3679</v>
      </c>
      <c r="AJ270" s="3523">
        <v>37833</v>
      </c>
      <c r="AK270" s="3548">
        <v>4</v>
      </c>
      <c r="AL270" s="3441">
        <v>67641700</v>
      </c>
      <c r="AM270" s="3441"/>
      <c r="AN270" s="3480" t="s">
        <v>3468</v>
      </c>
      <c r="AO270" s="3470" t="s">
        <v>5694</v>
      </c>
      <c r="AP270" s="3441" t="s">
        <v>3896</v>
      </c>
      <c r="AQ270" s="3441" t="s">
        <v>3571</v>
      </c>
      <c r="AR270" s="3441"/>
      <c r="AS270" s="3441"/>
      <c r="AT270" s="3441"/>
      <c r="AU270" s="3441"/>
      <c r="AV270" s="3441"/>
      <c r="AW270" s="3441" t="s">
        <v>3572</v>
      </c>
      <c r="AX270" s="3441" t="s">
        <v>3568</v>
      </c>
      <c r="AY270" s="3524" t="s">
        <v>5695</v>
      </c>
      <c r="AZ270" s="3441" t="s">
        <v>4406</v>
      </c>
      <c r="BA270" s="3441" t="s">
        <v>4409</v>
      </c>
      <c r="BB270" s="3524" t="s">
        <v>4410</v>
      </c>
      <c r="BC270" s="3441" t="s">
        <v>4411</v>
      </c>
      <c r="BD270" s="3525" t="s">
        <v>3568</v>
      </c>
      <c r="BE270" s="3441">
        <v>68152860</v>
      </c>
      <c r="BF270" s="3526">
        <v>2.8</v>
      </c>
      <c r="BG270" s="3518">
        <v>37688</v>
      </c>
      <c r="BH270" s="3441" t="s">
        <v>4412</v>
      </c>
      <c r="BI270" s="3486" t="s">
        <v>3713</v>
      </c>
      <c r="BJ270" s="3484">
        <v>37712</v>
      </c>
      <c r="BK270" s="3484"/>
      <c r="BL270" s="3470" t="s">
        <v>3670</v>
      </c>
      <c r="BM270" s="3441"/>
      <c r="BN270" s="3441"/>
      <c r="BO270" s="3441"/>
      <c r="BP270" s="3441"/>
      <c r="BQ270" s="3441"/>
      <c r="BR270" s="3441"/>
      <c r="BS270" s="3470"/>
      <c r="BT270" s="3470"/>
      <c r="BU270" s="3470"/>
      <c r="BV270" s="3604"/>
      <c r="BW270" s="3604"/>
      <c r="BX270" s="3604"/>
      <c r="BY270" s="3604"/>
      <c r="BZ270" s="3604"/>
      <c r="CA270" s="3604"/>
      <c r="CB270" s="3604"/>
      <c r="CC270" s="3604"/>
      <c r="CD270" s="3604"/>
      <c r="CE270" s="3604"/>
      <c r="CF270" s="3604"/>
      <c r="CG270" s="3604"/>
      <c r="CH270" s="3604"/>
      <c r="CI270" s="3604"/>
      <c r="CJ270" s="3604"/>
      <c r="CK270" s="3604"/>
      <c r="CL270" s="3604"/>
      <c r="CM270" s="3604"/>
      <c r="CN270" s="3604"/>
      <c r="CO270" s="3604"/>
      <c r="CP270" s="3604"/>
      <c r="CQ270" s="3604"/>
      <c r="CR270" s="3604"/>
      <c r="CS270" s="3604"/>
      <c r="CT270" s="3604"/>
      <c r="CU270" s="3604"/>
      <c r="CV270" s="3604"/>
      <c r="CW270" s="3604"/>
      <c r="CX270" s="3604"/>
      <c r="CY270" s="3604"/>
      <c r="CZ270" s="3604"/>
      <c r="DA270" s="3604"/>
      <c r="DB270" s="3604"/>
      <c r="DC270" s="3604"/>
      <c r="DD270" s="3604"/>
      <c r="DE270" s="3604"/>
      <c r="DF270" s="3604"/>
      <c r="DG270" s="3604"/>
      <c r="DH270" s="3604"/>
      <c r="DI270" s="3604"/>
      <c r="DJ270" s="3604"/>
      <c r="DK270" s="3604"/>
      <c r="DL270" s="3604"/>
      <c r="DM270" s="3604"/>
      <c r="DN270" s="3604"/>
      <c r="DO270" s="3604"/>
      <c r="DP270" s="3604"/>
      <c r="DQ270" s="3604"/>
      <c r="DR270" s="3604"/>
      <c r="DS270" s="3604"/>
      <c r="DT270" s="3604"/>
      <c r="DU270" s="3604"/>
      <c r="DV270" s="3604"/>
      <c r="DW270" s="3604"/>
      <c r="DX270" s="3604"/>
      <c r="DY270" s="3604"/>
      <c r="DZ270" s="3604"/>
      <c r="EA270" s="3604"/>
      <c r="EB270" s="3604"/>
      <c r="EC270" s="3604"/>
      <c r="ED270" s="3604"/>
      <c r="EE270" s="3604"/>
      <c r="EF270" s="3604"/>
      <c r="EG270" s="3604"/>
      <c r="EH270" s="3604"/>
      <c r="EI270" s="3604"/>
      <c r="EJ270" s="3604"/>
      <c r="EK270" s="3604"/>
      <c r="EL270" s="3604"/>
      <c r="EM270" s="3604"/>
      <c r="EN270" s="3604"/>
      <c r="EO270" s="3604"/>
      <c r="EP270" s="3604"/>
      <c r="EQ270" s="3604"/>
      <c r="ER270" s="3604"/>
      <c r="ES270" s="3604"/>
      <c r="ET270" s="3604"/>
      <c r="EU270" s="3604"/>
      <c r="EV270" s="3604"/>
      <c r="EW270" s="3604"/>
      <c r="EX270" s="3604"/>
      <c r="EY270" s="3604"/>
      <c r="EZ270" s="3604"/>
      <c r="FA270" s="3604"/>
      <c r="FB270" s="3604"/>
      <c r="FC270" s="3604"/>
      <c r="FD270" s="3604"/>
      <c r="FE270" s="3604"/>
      <c r="FF270" s="3604"/>
      <c r="FG270" s="3604"/>
      <c r="FH270" s="3604"/>
      <c r="FI270" s="3604"/>
      <c r="FJ270" s="3604"/>
      <c r="FK270" s="3604"/>
      <c r="FL270" s="3604"/>
      <c r="FM270" s="3604"/>
      <c r="FN270" s="3604"/>
      <c r="FO270" s="3604"/>
      <c r="FP270" s="3604"/>
      <c r="FQ270" s="3604"/>
      <c r="FR270" s="3604"/>
      <c r="FS270" s="3604"/>
      <c r="FT270" s="3604"/>
      <c r="FU270" s="3604"/>
      <c r="FV270" s="3604"/>
      <c r="FW270" s="3604"/>
      <c r="FX270" s="3604"/>
      <c r="FY270" s="3604"/>
      <c r="FZ270" s="3604"/>
      <c r="GA270" s="3604"/>
      <c r="GB270" s="3604"/>
      <c r="GC270" s="3604"/>
      <c r="GD270" s="3604"/>
      <c r="GE270" s="3604"/>
      <c r="GF270" s="3604"/>
      <c r="GG270" s="3604"/>
      <c r="GH270" s="3604"/>
      <c r="GI270" s="3604"/>
      <c r="GJ270" s="3604"/>
      <c r="GK270" s="3604"/>
      <c r="GL270" s="3604"/>
      <c r="GM270" s="3604"/>
      <c r="GN270" s="3604"/>
      <c r="GO270" s="3604"/>
      <c r="GP270" s="3604"/>
      <c r="GQ270" s="3604"/>
      <c r="GR270" s="3604"/>
      <c r="GS270" s="3604"/>
      <c r="GT270" s="3604"/>
      <c r="GU270" s="3604"/>
      <c r="GV270" s="3604"/>
      <c r="GW270" s="3604"/>
      <c r="GX270" s="3604"/>
      <c r="GY270" s="3604"/>
      <c r="GZ270" s="3604"/>
      <c r="HA270" s="3604"/>
      <c r="HB270" s="3604"/>
      <c r="HC270" s="3604"/>
      <c r="HD270" s="3604"/>
      <c r="HE270" s="3604"/>
      <c r="HF270" s="3604"/>
      <c r="HG270" s="3604"/>
      <c r="HH270" s="3604"/>
      <c r="HI270" s="3604"/>
      <c r="HJ270" s="3604"/>
      <c r="HK270" s="3604"/>
      <c r="HL270" s="3604"/>
      <c r="HM270" s="3604"/>
      <c r="HN270" s="3604"/>
      <c r="HO270" s="3604"/>
      <c r="HP270" s="3604"/>
      <c r="HQ270" s="3604"/>
      <c r="HR270" s="3604"/>
      <c r="HS270" s="3604"/>
      <c r="HT270" s="3604"/>
      <c r="HU270" s="3604"/>
      <c r="HV270" s="3604"/>
      <c r="HW270" s="3604"/>
      <c r="HX270" s="3604"/>
      <c r="HY270" s="3604"/>
      <c r="HZ270" s="3604"/>
      <c r="IA270" s="3604"/>
      <c r="IB270" s="3604"/>
      <c r="IC270" s="3604"/>
      <c r="ID270" s="3604"/>
      <c r="IE270" s="3604"/>
      <c r="IF270" s="3604"/>
      <c r="IG270" s="3604"/>
      <c r="IH270" s="3604"/>
      <c r="II270" s="3604"/>
      <c r="IJ270" s="3604"/>
      <c r="IK270" s="3604"/>
      <c r="IL270" s="3604"/>
      <c r="IM270" s="3604"/>
      <c r="IN270" s="3604"/>
      <c r="IO270" s="3604"/>
      <c r="IP270" s="3604"/>
      <c r="IQ270" s="3604"/>
      <c r="IR270" s="3604"/>
      <c r="IS270" s="3604"/>
    </row>
    <row r="271" spans="1:253" s="3617" customFormat="1" hidden="1">
      <c r="A271" s="3453" t="s">
        <v>5696</v>
      </c>
      <c r="B271" s="3470" t="s">
        <v>5697</v>
      </c>
      <c r="C271" s="3481" t="s">
        <v>5698</v>
      </c>
      <c r="D271" s="3481" t="s">
        <v>5699</v>
      </c>
      <c r="E271" s="3470" t="s">
        <v>3558</v>
      </c>
      <c r="F271" s="3470" t="s">
        <v>4403</v>
      </c>
      <c r="G271" s="3470" t="s">
        <v>3568</v>
      </c>
      <c r="H271" s="3470" t="s">
        <v>5294</v>
      </c>
      <c r="I271" s="3470" t="s">
        <v>4927</v>
      </c>
      <c r="J271" s="3481" t="s">
        <v>3920</v>
      </c>
      <c r="K271" s="3470" t="s">
        <v>4406</v>
      </c>
      <c r="L271" s="3470">
        <v>129.58000000000001</v>
      </c>
      <c r="M271" s="3470">
        <v>6</v>
      </c>
      <c r="N271" s="3470" t="s">
        <v>4336</v>
      </c>
      <c r="O271" s="3470">
        <v>116.01</v>
      </c>
      <c r="P271" s="3470" t="s">
        <v>3452</v>
      </c>
      <c r="Q271" s="3457">
        <v>601251.19999999995</v>
      </c>
      <c r="R271" s="3470">
        <v>4640</v>
      </c>
      <c r="S271" s="3472">
        <v>59.51</v>
      </c>
      <c r="T271" s="3527">
        <v>595100</v>
      </c>
      <c r="U271" s="3470">
        <v>4593</v>
      </c>
      <c r="V271" s="3474">
        <v>0.1</v>
      </c>
      <c r="W271" s="3475">
        <v>53.55</v>
      </c>
      <c r="X271" s="3473">
        <v>535500</v>
      </c>
      <c r="Y271" s="3441">
        <v>2003</v>
      </c>
      <c r="Z271" s="3441">
        <v>4</v>
      </c>
      <c r="AA271" s="3441">
        <v>10</v>
      </c>
      <c r="AB271" s="3477">
        <v>2975</v>
      </c>
      <c r="AC271" s="3470" t="s">
        <v>3544</v>
      </c>
      <c r="AD271" s="3485"/>
      <c r="AE271" s="3441" t="s">
        <v>3663</v>
      </c>
      <c r="AF271" s="3470" t="s">
        <v>3728</v>
      </c>
      <c r="AG271" s="3522" t="s">
        <v>3466</v>
      </c>
      <c r="AH271" s="3485"/>
      <c r="AI271" s="3470" t="s">
        <v>3679</v>
      </c>
      <c r="AJ271" s="3523">
        <v>37833</v>
      </c>
      <c r="AK271" s="3548">
        <v>4</v>
      </c>
      <c r="AL271" s="3441">
        <v>67641700</v>
      </c>
      <c r="AM271" s="3441"/>
      <c r="AN271" s="3469" t="s">
        <v>3800</v>
      </c>
      <c r="AO271" s="3470" t="s">
        <v>5700</v>
      </c>
      <c r="AP271" s="3441" t="s">
        <v>3476</v>
      </c>
      <c r="AQ271" s="3441" t="s">
        <v>3571</v>
      </c>
      <c r="AR271" s="3441"/>
      <c r="AS271" s="3441"/>
      <c r="AT271" s="3441"/>
      <c r="AU271" s="3441"/>
      <c r="AV271" s="3441"/>
      <c r="AW271" s="3441" t="s">
        <v>3572</v>
      </c>
      <c r="AX271" s="3441" t="s">
        <v>3568</v>
      </c>
      <c r="AY271" s="3524" t="s">
        <v>5701</v>
      </c>
      <c r="AZ271" s="3441" t="s">
        <v>4406</v>
      </c>
      <c r="BA271" s="3441" t="s">
        <v>4409</v>
      </c>
      <c r="BB271" s="3524" t="s">
        <v>4410</v>
      </c>
      <c r="BC271" s="3441" t="s">
        <v>4411</v>
      </c>
      <c r="BD271" s="3525" t="s">
        <v>3568</v>
      </c>
      <c r="BE271" s="3441">
        <v>68152860</v>
      </c>
      <c r="BF271" s="3526">
        <v>2.8</v>
      </c>
      <c r="BG271" s="3518">
        <v>37688</v>
      </c>
      <c r="BH271" s="3441" t="s">
        <v>4412</v>
      </c>
      <c r="BI271" s="3470" t="s">
        <v>3476</v>
      </c>
      <c r="BJ271" s="3514">
        <v>37720</v>
      </c>
      <c r="BK271" s="3484"/>
      <c r="BL271" s="3470" t="s">
        <v>3670</v>
      </c>
      <c r="BM271" s="3441"/>
      <c r="BN271" s="3441"/>
      <c r="BO271" s="3441"/>
      <c r="BP271" s="3441"/>
      <c r="BQ271" s="3441"/>
      <c r="BR271" s="3441"/>
      <c r="BS271" s="3470"/>
      <c r="BT271" s="3470"/>
      <c r="BU271" s="3470"/>
      <c r="BV271" s="3604"/>
      <c r="BW271" s="3604"/>
      <c r="BX271" s="3604"/>
      <c r="BY271" s="3604"/>
      <c r="BZ271" s="3604"/>
      <c r="CA271" s="3604"/>
      <c r="CB271" s="3604"/>
      <c r="CC271" s="3604"/>
      <c r="CD271" s="3604"/>
      <c r="CE271" s="3604"/>
      <c r="CF271" s="3604"/>
      <c r="CG271" s="3604"/>
      <c r="CH271" s="3604"/>
      <c r="CI271" s="3604"/>
      <c r="CJ271" s="3604"/>
      <c r="CK271" s="3604"/>
      <c r="CL271" s="3604"/>
      <c r="CM271" s="3604"/>
      <c r="CN271" s="3604"/>
      <c r="CO271" s="3604"/>
      <c r="CP271" s="3604"/>
      <c r="CQ271" s="3604"/>
      <c r="CR271" s="3604"/>
      <c r="CS271" s="3604"/>
      <c r="CT271" s="3604"/>
      <c r="CU271" s="3604"/>
      <c r="CV271" s="3604"/>
      <c r="CW271" s="3604"/>
      <c r="CX271" s="3604"/>
      <c r="CY271" s="3604"/>
      <c r="CZ271" s="3604"/>
      <c r="DA271" s="3604"/>
      <c r="DB271" s="3604"/>
      <c r="DC271" s="3604"/>
      <c r="DD271" s="3604"/>
      <c r="DE271" s="3604"/>
      <c r="DF271" s="3604"/>
      <c r="DG271" s="3604"/>
      <c r="DH271" s="3604"/>
      <c r="DI271" s="3604"/>
      <c r="DJ271" s="3604"/>
      <c r="DK271" s="3604"/>
      <c r="DL271" s="3604"/>
      <c r="DM271" s="3604"/>
      <c r="DN271" s="3604"/>
      <c r="DO271" s="3604"/>
      <c r="DP271" s="3604"/>
      <c r="DQ271" s="3604"/>
      <c r="DR271" s="3604"/>
      <c r="DS271" s="3604"/>
      <c r="DT271" s="3604"/>
      <c r="DU271" s="3604"/>
      <c r="DV271" s="3604"/>
      <c r="DW271" s="3604"/>
      <c r="DX271" s="3604"/>
      <c r="DY271" s="3604"/>
      <c r="DZ271" s="3604"/>
      <c r="EA271" s="3604"/>
      <c r="EB271" s="3604"/>
      <c r="EC271" s="3604"/>
      <c r="ED271" s="3604"/>
      <c r="EE271" s="3604"/>
      <c r="EF271" s="3604"/>
      <c r="EG271" s="3604"/>
      <c r="EH271" s="3604"/>
      <c r="EI271" s="3604"/>
      <c r="EJ271" s="3604"/>
      <c r="EK271" s="3604"/>
      <c r="EL271" s="3604"/>
      <c r="EM271" s="3604"/>
      <c r="EN271" s="3604"/>
      <c r="EO271" s="3604"/>
      <c r="EP271" s="3604"/>
      <c r="EQ271" s="3604"/>
      <c r="ER271" s="3604"/>
      <c r="ES271" s="3604"/>
      <c r="ET271" s="3604"/>
      <c r="EU271" s="3604"/>
      <c r="EV271" s="3604"/>
      <c r="EW271" s="3604"/>
      <c r="EX271" s="3604"/>
      <c r="EY271" s="3604"/>
      <c r="EZ271" s="3604"/>
      <c r="FA271" s="3604"/>
      <c r="FB271" s="3604"/>
      <c r="FC271" s="3604"/>
      <c r="FD271" s="3604"/>
      <c r="FE271" s="3604"/>
      <c r="FF271" s="3604"/>
      <c r="FG271" s="3604"/>
      <c r="FH271" s="3604"/>
      <c r="FI271" s="3604"/>
      <c r="FJ271" s="3604"/>
      <c r="FK271" s="3604"/>
      <c r="FL271" s="3604"/>
      <c r="FM271" s="3604"/>
      <c r="FN271" s="3604"/>
      <c r="FO271" s="3604"/>
      <c r="FP271" s="3604"/>
      <c r="FQ271" s="3604"/>
      <c r="FR271" s="3604"/>
      <c r="FS271" s="3604"/>
      <c r="FT271" s="3604"/>
      <c r="FU271" s="3604"/>
      <c r="FV271" s="3604"/>
      <c r="FW271" s="3604"/>
      <c r="FX271" s="3604"/>
      <c r="FY271" s="3604"/>
      <c r="FZ271" s="3604"/>
      <c r="GA271" s="3604"/>
      <c r="GB271" s="3604"/>
      <c r="GC271" s="3604"/>
      <c r="GD271" s="3604"/>
      <c r="GE271" s="3604"/>
      <c r="GF271" s="3604"/>
      <c r="GG271" s="3604"/>
      <c r="GH271" s="3604"/>
      <c r="GI271" s="3604"/>
      <c r="GJ271" s="3604"/>
      <c r="GK271" s="3604"/>
      <c r="GL271" s="3604"/>
      <c r="GM271" s="3604"/>
      <c r="GN271" s="3604"/>
      <c r="GO271" s="3604"/>
      <c r="GP271" s="3604"/>
      <c r="GQ271" s="3604"/>
      <c r="GR271" s="3604"/>
      <c r="GS271" s="3604"/>
      <c r="GT271" s="3604"/>
      <c r="GU271" s="3604"/>
      <c r="GV271" s="3604"/>
      <c r="GW271" s="3604"/>
      <c r="GX271" s="3604"/>
      <c r="GY271" s="3604"/>
      <c r="GZ271" s="3604"/>
      <c r="HA271" s="3604"/>
      <c r="HB271" s="3604"/>
      <c r="HC271" s="3604"/>
      <c r="HD271" s="3604"/>
      <c r="HE271" s="3604"/>
      <c r="HF271" s="3604"/>
      <c r="HG271" s="3604"/>
      <c r="HH271" s="3604"/>
      <c r="HI271" s="3604"/>
      <c r="HJ271" s="3604"/>
      <c r="HK271" s="3604"/>
      <c r="HL271" s="3604"/>
      <c r="HM271" s="3604"/>
      <c r="HN271" s="3604"/>
      <c r="HO271" s="3604"/>
      <c r="HP271" s="3604"/>
      <c r="HQ271" s="3604"/>
      <c r="HR271" s="3604"/>
      <c r="HS271" s="3604"/>
      <c r="HT271" s="3604"/>
      <c r="HU271" s="3604"/>
      <c r="HV271" s="3604"/>
      <c r="HW271" s="3604"/>
      <c r="HX271" s="3604"/>
      <c r="HY271" s="3604"/>
      <c r="HZ271" s="3604"/>
      <c r="IA271" s="3604"/>
      <c r="IB271" s="3604"/>
      <c r="IC271" s="3604"/>
      <c r="ID271" s="3604"/>
      <c r="IE271" s="3604"/>
      <c r="IF271" s="3604"/>
      <c r="IG271" s="3604"/>
      <c r="IH271" s="3604"/>
      <c r="II271" s="3604"/>
      <c r="IJ271" s="3604"/>
      <c r="IK271" s="3604"/>
      <c r="IL271" s="3604"/>
      <c r="IM271" s="3604"/>
      <c r="IN271" s="3604"/>
      <c r="IO271" s="3604"/>
      <c r="IP271" s="3604"/>
      <c r="IQ271" s="3604"/>
      <c r="IR271" s="3604"/>
      <c r="IS271" s="3604"/>
    </row>
    <row r="272" spans="1:253" s="3617" customFormat="1" hidden="1">
      <c r="A272" s="3470" t="s">
        <v>5702</v>
      </c>
      <c r="B272" s="3470" t="s">
        <v>5703</v>
      </c>
      <c r="C272" s="3481" t="s">
        <v>5704</v>
      </c>
      <c r="D272" s="3470">
        <v>66511579</v>
      </c>
      <c r="E272" s="3470" t="s">
        <v>3558</v>
      </c>
      <c r="F272" s="3470" t="s">
        <v>5705</v>
      </c>
      <c r="G272" s="3470"/>
      <c r="H272" s="3470" t="s">
        <v>3490</v>
      </c>
      <c r="I272" s="3470" t="s">
        <v>5706</v>
      </c>
      <c r="J272" s="3470" t="s">
        <v>5707</v>
      </c>
      <c r="K272" s="3470" t="s">
        <v>5708</v>
      </c>
      <c r="L272" s="3470">
        <v>177.5</v>
      </c>
      <c r="M272" s="3470">
        <v>10</v>
      </c>
      <c r="N272" s="3470" t="s">
        <v>3816</v>
      </c>
      <c r="O272" s="3470">
        <v>150.46</v>
      </c>
      <c r="P272" s="3470" t="s">
        <v>3452</v>
      </c>
      <c r="Q272" s="3457">
        <v>770598.5</v>
      </c>
      <c r="R272" s="3470">
        <v>4341.3999999999996</v>
      </c>
      <c r="S272" s="3472">
        <v>76.27</v>
      </c>
      <c r="T272" s="3527">
        <v>762700</v>
      </c>
      <c r="U272" s="3470">
        <v>4297</v>
      </c>
      <c r="V272" s="3474">
        <v>0.1</v>
      </c>
      <c r="W272" s="3475">
        <v>68.64</v>
      </c>
      <c r="X272" s="3494">
        <v>686400</v>
      </c>
      <c r="Y272" s="3470">
        <v>2003</v>
      </c>
      <c r="Z272" s="3470">
        <v>4</v>
      </c>
      <c r="AA272" s="3470">
        <v>8</v>
      </c>
      <c r="AB272" s="3477">
        <v>3810</v>
      </c>
      <c r="AC272" s="3470" t="s">
        <v>5709</v>
      </c>
      <c r="AD272" s="3470"/>
      <c r="AE272" s="3470" t="s">
        <v>3663</v>
      </c>
      <c r="AF272" s="3470" t="s">
        <v>3453</v>
      </c>
      <c r="AG272" s="3470" t="s">
        <v>3466</v>
      </c>
      <c r="AH272" s="3470" t="s">
        <v>3568</v>
      </c>
      <c r="AI272" s="3470" t="s">
        <v>3679</v>
      </c>
      <c r="AJ272" s="3523">
        <v>37529</v>
      </c>
      <c r="AK272" s="3500">
        <v>4</v>
      </c>
      <c r="AL272" s="3470">
        <v>67641700</v>
      </c>
      <c r="AM272" s="3470"/>
      <c r="AN272" s="3469" t="s">
        <v>3800</v>
      </c>
      <c r="AO272" s="3470" t="s">
        <v>5710</v>
      </c>
      <c r="AP272" s="3470" t="s">
        <v>3476</v>
      </c>
      <c r="AQ272" s="3470" t="s">
        <v>3571</v>
      </c>
      <c r="AR272" s="3470" t="s">
        <v>3568</v>
      </c>
      <c r="AS272" s="3470" t="s">
        <v>3568</v>
      </c>
      <c r="AT272" s="3470" t="s">
        <v>3568</v>
      </c>
      <c r="AU272" s="3470"/>
      <c r="AV272" s="3470"/>
      <c r="AW272" s="3470" t="s">
        <v>3572</v>
      </c>
      <c r="AX272" s="3470" t="s">
        <v>2511</v>
      </c>
      <c r="AY272" s="3481" t="s">
        <v>5711</v>
      </c>
      <c r="AZ272" s="3470" t="s">
        <v>5708</v>
      </c>
      <c r="BA272" s="3470" t="s">
        <v>5712</v>
      </c>
      <c r="BB272" s="3481">
        <v>1101082131202</v>
      </c>
      <c r="BC272" s="3470" t="s">
        <v>5436</v>
      </c>
      <c r="BD272" s="3482">
        <v>102400</v>
      </c>
      <c r="BE272" s="3470">
        <v>62842753</v>
      </c>
      <c r="BF272" s="3483">
        <v>2.8</v>
      </c>
      <c r="BG272" s="3478">
        <v>37432</v>
      </c>
      <c r="BH272" s="3470"/>
      <c r="BI272" s="3470" t="s">
        <v>3476</v>
      </c>
      <c r="BJ272" s="3508">
        <v>37691</v>
      </c>
      <c r="BK272" s="3508"/>
      <c r="BL272" s="3470" t="s">
        <v>3670</v>
      </c>
      <c r="BM272" s="3441"/>
      <c r="BN272" s="3441"/>
      <c r="BO272" s="3441"/>
      <c r="BP272" s="3441"/>
      <c r="BQ272" s="3441"/>
      <c r="BR272" s="3441"/>
      <c r="BS272" s="3470"/>
      <c r="BT272" s="3470"/>
      <c r="BU272" s="3470"/>
      <c r="BV272" s="3605"/>
      <c r="BW272" s="3605"/>
      <c r="BX272" s="3605"/>
      <c r="BY272" s="3605"/>
      <c r="BZ272" s="3605"/>
      <c r="CA272" s="3605"/>
      <c r="CB272" s="3605"/>
      <c r="CC272" s="3605"/>
      <c r="CD272" s="3605"/>
      <c r="CE272" s="3605"/>
      <c r="CF272" s="3605"/>
      <c r="CG272" s="3605"/>
      <c r="CH272" s="3605"/>
      <c r="CI272" s="3605"/>
      <c r="CJ272" s="3605"/>
      <c r="CK272" s="3605"/>
      <c r="CL272" s="3605"/>
      <c r="CM272" s="3605"/>
      <c r="CN272" s="3605"/>
      <c r="CO272" s="3605"/>
      <c r="CP272" s="3605"/>
      <c r="CQ272" s="3605"/>
      <c r="CR272" s="3605"/>
      <c r="CS272" s="3605"/>
      <c r="CT272" s="3605"/>
      <c r="CU272" s="3605"/>
      <c r="CV272" s="3605"/>
      <c r="CW272" s="3605"/>
      <c r="CX272" s="3605"/>
      <c r="CY272" s="3605"/>
      <c r="CZ272" s="3605"/>
      <c r="DA272" s="3605"/>
      <c r="DB272" s="3605"/>
      <c r="DC272" s="3605"/>
      <c r="DD272" s="3605"/>
      <c r="DE272" s="3605"/>
      <c r="DF272" s="3605"/>
      <c r="DG272" s="3605"/>
      <c r="DH272" s="3605"/>
      <c r="DI272" s="3605"/>
      <c r="DJ272" s="3605"/>
      <c r="DK272" s="3605"/>
      <c r="DL272" s="3605"/>
      <c r="DM272" s="3605"/>
      <c r="DN272" s="3605"/>
      <c r="DO272" s="3605"/>
      <c r="DP272" s="3605"/>
      <c r="DQ272" s="3605"/>
      <c r="DR272" s="3605"/>
      <c r="DS272" s="3605"/>
      <c r="DT272" s="3605"/>
      <c r="DU272" s="3605"/>
      <c r="DV272" s="3605"/>
      <c r="DW272" s="3605"/>
      <c r="DX272" s="3605"/>
      <c r="DY272" s="3605"/>
      <c r="DZ272" s="3605"/>
      <c r="EA272" s="3605"/>
      <c r="EB272" s="3605"/>
      <c r="EC272" s="3605"/>
      <c r="ED272" s="3605"/>
      <c r="EE272" s="3605"/>
      <c r="EF272" s="3605"/>
      <c r="EG272" s="3605"/>
      <c r="EH272" s="3605"/>
      <c r="EI272" s="3605"/>
      <c r="EJ272" s="3605"/>
      <c r="EK272" s="3605"/>
      <c r="EL272" s="3605"/>
      <c r="EM272" s="3605"/>
      <c r="EN272" s="3605"/>
      <c r="EO272" s="3605"/>
      <c r="EP272" s="3605"/>
      <c r="EQ272" s="3605"/>
      <c r="ER272" s="3605"/>
      <c r="ES272" s="3605"/>
      <c r="ET272" s="3605"/>
      <c r="EU272" s="3605"/>
      <c r="EV272" s="3605"/>
      <c r="EW272" s="3605"/>
      <c r="EX272" s="3605"/>
      <c r="EY272" s="3605"/>
      <c r="EZ272" s="3605"/>
      <c r="FA272" s="3605"/>
      <c r="FB272" s="3605"/>
      <c r="FC272" s="3605"/>
      <c r="FD272" s="3605"/>
      <c r="FE272" s="3605"/>
      <c r="FF272" s="3605"/>
      <c r="FG272" s="3605"/>
      <c r="FH272" s="3605"/>
      <c r="FI272" s="3605"/>
      <c r="FJ272" s="3605"/>
      <c r="FK272" s="3605"/>
      <c r="FL272" s="3605"/>
      <c r="FM272" s="3605"/>
      <c r="FN272" s="3605"/>
      <c r="FO272" s="3605"/>
      <c r="FP272" s="3605"/>
      <c r="FQ272" s="3605"/>
      <c r="FR272" s="3605"/>
      <c r="FS272" s="3605"/>
      <c r="FT272" s="3605"/>
      <c r="FU272" s="3605"/>
      <c r="FV272" s="3605"/>
      <c r="FW272" s="3605"/>
      <c r="FX272" s="3605"/>
      <c r="FY272" s="3605"/>
      <c r="FZ272" s="3605"/>
      <c r="GA272" s="3605"/>
      <c r="GB272" s="3605"/>
      <c r="GC272" s="3605"/>
      <c r="GD272" s="3605"/>
      <c r="GE272" s="3605"/>
      <c r="GF272" s="3605"/>
      <c r="GG272" s="3605"/>
      <c r="GH272" s="3605"/>
      <c r="GI272" s="3605"/>
      <c r="GJ272" s="3605"/>
      <c r="GK272" s="3605"/>
      <c r="GL272" s="3605"/>
      <c r="GM272" s="3605"/>
      <c r="GN272" s="3605"/>
      <c r="GO272" s="3605"/>
      <c r="GP272" s="3605"/>
      <c r="GQ272" s="3605"/>
      <c r="GR272" s="3605"/>
      <c r="GS272" s="3605"/>
      <c r="GT272" s="3605"/>
      <c r="GU272" s="3605"/>
      <c r="GV272" s="3605"/>
      <c r="GW272" s="3605"/>
      <c r="GX272" s="3605"/>
      <c r="GY272" s="3605"/>
      <c r="GZ272" s="3605"/>
      <c r="HA272" s="3605"/>
      <c r="HB272" s="3605"/>
      <c r="HC272" s="3605"/>
      <c r="HD272" s="3605"/>
      <c r="HE272" s="3605"/>
      <c r="HF272" s="3605"/>
      <c r="HG272" s="3605"/>
      <c r="HH272" s="3605"/>
      <c r="HI272" s="3605"/>
      <c r="HJ272" s="3605"/>
      <c r="HK272" s="3605"/>
      <c r="HL272" s="3605"/>
      <c r="HM272" s="3605"/>
      <c r="HN272" s="3605"/>
      <c r="HO272" s="3605"/>
      <c r="HP272" s="3605"/>
      <c r="HQ272" s="3605"/>
      <c r="HR272" s="3605"/>
      <c r="HS272" s="3605"/>
      <c r="HT272" s="3605"/>
      <c r="HU272" s="3605"/>
      <c r="HV272" s="3605"/>
      <c r="HW272" s="3605"/>
      <c r="HX272" s="3605"/>
      <c r="HY272" s="3605"/>
      <c r="HZ272" s="3605"/>
      <c r="IA272" s="3605"/>
      <c r="IB272" s="3605"/>
      <c r="IC272" s="3605"/>
      <c r="ID272" s="3605"/>
      <c r="IE272" s="3605"/>
      <c r="IF272" s="3605"/>
      <c r="IG272" s="3605"/>
      <c r="IH272" s="3605"/>
      <c r="II272" s="3605"/>
      <c r="IJ272" s="3605"/>
      <c r="IK272" s="3605"/>
      <c r="IL272" s="3605"/>
      <c r="IM272" s="3605"/>
      <c r="IN272" s="3605"/>
      <c r="IO272" s="3605"/>
      <c r="IP272" s="3605"/>
      <c r="IQ272" s="3605"/>
      <c r="IR272" s="3605"/>
      <c r="IS272" s="3605"/>
    </row>
    <row r="273" spans="1:253" s="3605" customFormat="1" ht="12" hidden="1">
      <c r="A273" s="3485" t="s">
        <v>5713</v>
      </c>
      <c r="B273" s="3470" t="s">
        <v>5714</v>
      </c>
      <c r="C273" s="3481" t="s">
        <v>5715</v>
      </c>
      <c r="D273" s="3481" t="s">
        <v>5716</v>
      </c>
      <c r="E273" s="3470" t="s">
        <v>3558</v>
      </c>
      <c r="F273" s="3521" t="s">
        <v>3559</v>
      </c>
      <c r="G273" s="3470"/>
      <c r="H273" s="3470" t="s">
        <v>3560</v>
      </c>
      <c r="I273" s="3470" t="s">
        <v>3464</v>
      </c>
      <c r="J273" s="3481" t="s">
        <v>5717</v>
      </c>
      <c r="K273" s="3470" t="s">
        <v>3563</v>
      </c>
      <c r="L273" s="3470">
        <v>62.81</v>
      </c>
      <c r="M273" s="3470">
        <v>13</v>
      </c>
      <c r="N273" s="3470" t="s">
        <v>3692</v>
      </c>
      <c r="O273" s="3470">
        <v>50.89</v>
      </c>
      <c r="P273" s="3470" t="s">
        <v>3452</v>
      </c>
      <c r="Q273" s="3457">
        <v>304126.02</v>
      </c>
      <c r="R273" s="3470">
        <v>4842</v>
      </c>
      <c r="S273" s="3472">
        <v>30.09</v>
      </c>
      <c r="T273" s="3527">
        <v>300900</v>
      </c>
      <c r="U273" s="3470">
        <v>4792</v>
      </c>
      <c r="V273" s="3474">
        <v>0.1</v>
      </c>
      <c r="W273" s="3475">
        <v>27.08</v>
      </c>
      <c r="X273" s="3473">
        <v>270800</v>
      </c>
      <c r="Y273" s="3441">
        <v>2003</v>
      </c>
      <c r="Z273" s="3441">
        <v>3</v>
      </c>
      <c r="AA273" s="3441">
        <v>12</v>
      </c>
      <c r="AB273" s="3485">
        <v>1500</v>
      </c>
      <c r="AC273" s="3470" t="s">
        <v>3585</v>
      </c>
      <c r="AD273" s="3485"/>
      <c r="AE273" s="3441" t="s">
        <v>3663</v>
      </c>
      <c r="AF273" s="3470" t="s">
        <v>3728</v>
      </c>
      <c r="AG273" s="3522" t="s">
        <v>3466</v>
      </c>
      <c r="AH273" s="3485" t="s">
        <v>3568</v>
      </c>
      <c r="AI273" s="3470" t="s">
        <v>3679</v>
      </c>
      <c r="AJ273" s="3523">
        <v>37894</v>
      </c>
      <c r="AK273" s="3500">
        <v>3</v>
      </c>
      <c r="AL273" s="3441">
        <v>67641700</v>
      </c>
      <c r="AM273" s="3441" t="s">
        <v>3568</v>
      </c>
      <c r="AN273" s="3470" t="s">
        <v>3468</v>
      </c>
      <c r="AO273" s="3441" t="s">
        <v>3568</v>
      </c>
      <c r="AP273" s="3441" t="s">
        <v>3476</v>
      </c>
      <c r="AQ273" s="3441" t="s">
        <v>3571</v>
      </c>
      <c r="AR273" s="3441"/>
      <c r="AS273" s="3441"/>
      <c r="AT273" s="3441"/>
      <c r="AU273" s="3441"/>
      <c r="AV273" s="3441"/>
      <c r="AW273" s="3441" t="s">
        <v>3572</v>
      </c>
      <c r="AX273" s="3441" t="s">
        <v>2511</v>
      </c>
      <c r="AY273" s="3524" t="s">
        <v>5718</v>
      </c>
      <c r="AZ273" s="3441" t="s">
        <v>3563</v>
      </c>
      <c r="BA273" s="3441" t="s">
        <v>3574</v>
      </c>
      <c r="BB273" s="3524">
        <v>1101021053367</v>
      </c>
      <c r="BC273" s="3441" t="s">
        <v>3576</v>
      </c>
      <c r="BD273" s="3525">
        <v>100037</v>
      </c>
      <c r="BE273" s="3441">
        <v>84050046</v>
      </c>
      <c r="BF273" s="3526">
        <v>2.8</v>
      </c>
      <c r="BG273" s="3518">
        <v>37651</v>
      </c>
      <c r="BH273" s="3441"/>
      <c r="BI273" s="3441" t="s">
        <v>3664</v>
      </c>
      <c r="BJ273" s="3478">
        <v>37690</v>
      </c>
      <c r="BK273" s="3484">
        <v>37683</v>
      </c>
      <c r="BL273" s="3470" t="s">
        <v>3670</v>
      </c>
      <c r="BM273" s="3441"/>
      <c r="BN273" s="3441"/>
      <c r="BO273" s="3441"/>
      <c r="BP273" s="3441"/>
      <c r="BQ273" s="3441"/>
      <c r="BR273" s="3441"/>
      <c r="BS273" s="3470"/>
      <c r="BT273" s="3470"/>
      <c r="BU273" s="3470"/>
    </row>
    <row r="274" spans="1:253" s="3605" customFormat="1" ht="12" hidden="1">
      <c r="A274" s="3485" t="s">
        <v>5719</v>
      </c>
      <c r="B274" s="3453" t="s">
        <v>5720</v>
      </c>
      <c r="C274" s="3454" t="s">
        <v>5721</v>
      </c>
      <c r="D274" s="3454" t="s">
        <v>5722</v>
      </c>
      <c r="E274" s="3454" t="s">
        <v>2736</v>
      </c>
      <c r="F274" s="3453" t="s">
        <v>5723</v>
      </c>
      <c r="G274" s="3453"/>
      <c r="H274" s="3454" t="s">
        <v>4262</v>
      </c>
      <c r="I274" s="3453" t="s">
        <v>4784</v>
      </c>
      <c r="J274" s="3454" t="s">
        <v>5724</v>
      </c>
      <c r="K274" s="3453" t="s">
        <v>5725</v>
      </c>
      <c r="L274" s="3495">
        <v>82.97</v>
      </c>
      <c r="M274" s="3495">
        <v>16</v>
      </c>
      <c r="N274" s="3470" t="s">
        <v>3486</v>
      </c>
      <c r="O274" s="3495">
        <v>64.09</v>
      </c>
      <c r="P274" s="3453" t="s">
        <v>3452</v>
      </c>
      <c r="Q274" s="3457">
        <v>307818.7</v>
      </c>
      <c r="R274" s="3495">
        <v>3710</v>
      </c>
      <c r="S274" s="3472">
        <v>30.38</v>
      </c>
      <c r="T274" s="3527">
        <v>303800</v>
      </c>
      <c r="U274" s="3495">
        <v>3662</v>
      </c>
      <c r="V274" s="3474">
        <v>0.1</v>
      </c>
      <c r="W274" s="3475">
        <v>27.34</v>
      </c>
      <c r="X274" s="3476">
        <v>273400</v>
      </c>
      <c r="Y274" s="3495">
        <v>2003</v>
      </c>
      <c r="Z274" s="3470">
        <v>3</v>
      </c>
      <c r="AA274" s="3470">
        <v>13</v>
      </c>
      <c r="AB274" s="3477">
        <v>1515</v>
      </c>
      <c r="AC274" s="3453" t="s">
        <v>3544</v>
      </c>
      <c r="AD274" s="3453"/>
      <c r="AE274" s="3456" t="s">
        <v>4914</v>
      </c>
      <c r="AF274" s="3453" t="s">
        <v>3453</v>
      </c>
      <c r="AG274" s="3453" t="s">
        <v>3605</v>
      </c>
      <c r="AH274" s="3453" t="s">
        <v>3463</v>
      </c>
      <c r="AI274" s="3456" t="s">
        <v>3679</v>
      </c>
      <c r="AJ274" s="3517">
        <v>37200</v>
      </c>
      <c r="AK274" s="3500">
        <v>3</v>
      </c>
      <c r="AL274" s="3495">
        <v>67641700</v>
      </c>
      <c r="AM274" s="3470" t="s">
        <v>2420</v>
      </c>
      <c r="AN274" s="3469" t="s">
        <v>3695</v>
      </c>
      <c r="AO274" s="3453" t="s">
        <v>3588</v>
      </c>
      <c r="AP274" s="3456" t="s">
        <v>3476</v>
      </c>
      <c r="AQ274" s="3469" t="s">
        <v>3714</v>
      </c>
      <c r="AR274" s="3453"/>
      <c r="AS274" s="3453"/>
      <c r="AT274" s="3453"/>
      <c r="AU274" s="3453" t="s">
        <v>2420</v>
      </c>
      <c r="AV274" s="3599" t="s">
        <v>3715</v>
      </c>
      <c r="AW274" s="3470" t="s">
        <v>3572</v>
      </c>
      <c r="AX274" s="3470" t="s">
        <v>2511</v>
      </c>
      <c r="AY274" s="3515">
        <v>72175</v>
      </c>
      <c r="AZ274" s="3441" t="s">
        <v>5725</v>
      </c>
      <c r="BA274" s="3453" t="s">
        <v>5726</v>
      </c>
      <c r="BB274" s="3453">
        <v>1101021058968</v>
      </c>
      <c r="BC274" s="3453" t="s">
        <v>5727</v>
      </c>
      <c r="BD274" s="3453">
        <v>100013</v>
      </c>
      <c r="BE274" s="3453">
        <v>84276997</v>
      </c>
      <c r="BF274" s="3516">
        <v>2.7</v>
      </c>
      <c r="BG274" s="3517">
        <v>37186</v>
      </c>
      <c r="BH274" s="3453"/>
      <c r="BI274" s="3470" t="s">
        <v>3476</v>
      </c>
      <c r="BJ274" s="3484">
        <v>37687</v>
      </c>
      <c r="BK274" s="3441"/>
      <c r="BL274" s="3441" t="s">
        <v>3623</v>
      </c>
      <c r="BM274" s="3441"/>
      <c r="BN274" s="3441"/>
      <c r="BO274" s="3441"/>
      <c r="BP274" s="3441"/>
      <c r="BQ274" s="3441"/>
      <c r="BR274" s="3441"/>
      <c r="BS274" s="3470"/>
      <c r="BT274" s="3470"/>
      <c r="BU274" s="3470"/>
      <c r="BV274" s="3470"/>
      <c r="BW274" s="3470"/>
      <c r="BX274" s="3470"/>
      <c r="BY274" s="3470"/>
      <c r="BZ274" s="3470"/>
      <c r="CA274" s="3470"/>
      <c r="CB274" s="3470"/>
      <c r="CC274" s="3470"/>
      <c r="CD274" s="3470"/>
      <c r="CE274" s="3470"/>
      <c r="CF274" s="3470"/>
      <c r="CG274" s="3470"/>
      <c r="CH274" s="3470"/>
      <c r="CI274" s="3470"/>
      <c r="CJ274" s="3470"/>
      <c r="CK274" s="3470"/>
      <c r="CL274" s="3470"/>
      <c r="CM274" s="3470"/>
      <c r="CN274" s="3470"/>
      <c r="CO274" s="3470"/>
      <c r="CP274" s="3470"/>
      <c r="CQ274" s="3470"/>
      <c r="CR274" s="3470"/>
      <c r="CS274" s="3470"/>
      <c r="CT274" s="3470"/>
      <c r="CU274" s="3470"/>
      <c r="CV274" s="3470"/>
      <c r="CW274" s="3470"/>
      <c r="CX274" s="3470"/>
      <c r="CY274" s="3470"/>
      <c r="CZ274" s="3470"/>
      <c r="DA274" s="3470"/>
      <c r="DB274" s="3470"/>
      <c r="DC274" s="3470"/>
      <c r="DD274" s="3470"/>
      <c r="DE274" s="3470"/>
      <c r="DF274" s="3470"/>
      <c r="DG274" s="3470"/>
      <c r="DH274" s="3470"/>
      <c r="DI274" s="3470"/>
      <c r="DJ274" s="3470"/>
      <c r="DK274" s="3470"/>
      <c r="DL274" s="3470"/>
      <c r="DM274" s="3470"/>
      <c r="DN274" s="3470"/>
      <c r="DO274" s="3470"/>
      <c r="DP274" s="3470"/>
      <c r="DQ274" s="3470"/>
      <c r="DR274" s="3470"/>
      <c r="DS274" s="3470"/>
      <c r="DT274" s="3470"/>
      <c r="DU274" s="3470"/>
      <c r="DV274" s="3470"/>
      <c r="DW274" s="3470"/>
      <c r="DX274" s="3470"/>
      <c r="DY274" s="3470"/>
      <c r="DZ274" s="3470"/>
      <c r="EA274" s="3470"/>
      <c r="EB274" s="3470"/>
      <c r="EC274" s="3470"/>
      <c r="ED274" s="3470"/>
      <c r="EE274" s="3470"/>
      <c r="EF274" s="3470"/>
      <c r="EG274" s="3470"/>
      <c r="EH274" s="3470"/>
      <c r="EI274" s="3470"/>
      <c r="EJ274" s="3470"/>
      <c r="EK274" s="3470"/>
      <c r="EL274" s="3470"/>
      <c r="EM274" s="3470"/>
      <c r="EN274" s="3470"/>
      <c r="EO274" s="3470"/>
      <c r="EP274" s="3470"/>
      <c r="EQ274" s="3470"/>
      <c r="ER274" s="3470"/>
      <c r="ES274" s="3470"/>
      <c r="ET274" s="3470"/>
      <c r="EU274" s="3470"/>
      <c r="EV274" s="3470"/>
      <c r="EW274" s="3470"/>
      <c r="EX274" s="3470"/>
      <c r="EY274" s="3470"/>
      <c r="EZ274" s="3470"/>
      <c r="FA274" s="3470"/>
      <c r="FB274" s="3470"/>
      <c r="FC274" s="3470"/>
      <c r="FD274" s="3470"/>
      <c r="FE274" s="3470"/>
      <c r="FF274" s="3470"/>
      <c r="FG274" s="3470"/>
      <c r="FH274" s="3470"/>
      <c r="FI274" s="3470"/>
      <c r="FJ274" s="3470"/>
      <c r="FK274" s="3470"/>
      <c r="FL274" s="3470"/>
      <c r="FM274" s="3470"/>
      <c r="FN274" s="3470"/>
      <c r="FO274" s="3470"/>
      <c r="FP274" s="3470"/>
      <c r="FQ274" s="3470"/>
      <c r="FR274" s="3470"/>
      <c r="FS274" s="3470"/>
      <c r="FT274" s="3470"/>
      <c r="FU274" s="3470"/>
      <c r="FV274" s="3470"/>
      <c r="FW274" s="3470"/>
      <c r="FX274" s="3470"/>
      <c r="FY274" s="3470"/>
      <c r="FZ274" s="3470"/>
      <c r="GA274" s="3470"/>
      <c r="GB274" s="3470"/>
      <c r="GC274" s="3470"/>
      <c r="GD274" s="3470"/>
      <c r="GE274" s="3470"/>
      <c r="GF274" s="3470"/>
      <c r="GG274" s="3470"/>
      <c r="GH274" s="3470"/>
      <c r="GI274" s="3470"/>
      <c r="GJ274" s="3470"/>
      <c r="GK274" s="3470"/>
      <c r="GL274" s="3470"/>
      <c r="GM274" s="3470"/>
      <c r="GN274" s="3470"/>
      <c r="GO274" s="3470"/>
      <c r="GP274" s="3470"/>
      <c r="GQ274" s="3470"/>
      <c r="GR274" s="3470"/>
      <c r="GS274" s="3470"/>
      <c r="GT274" s="3470"/>
      <c r="GU274" s="3470"/>
      <c r="GV274" s="3470"/>
      <c r="GW274" s="3470"/>
      <c r="GX274" s="3470"/>
      <c r="GY274" s="3470"/>
      <c r="GZ274" s="3470"/>
      <c r="HA274" s="3470"/>
      <c r="HB274" s="3470"/>
      <c r="HC274" s="3470"/>
      <c r="HD274" s="3470"/>
      <c r="HE274" s="3470"/>
      <c r="HF274" s="3470"/>
      <c r="HG274" s="3470"/>
      <c r="HH274" s="3470"/>
      <c r="HI274" s="3470"/>
      <c r="HJ274" s="3470"/>
      <c r="HK274" s="3470"/>
      <c r="HL274" s="3470"/>
      <c r="HM274" s="3470"/>
      <c r="HN274" s="3470"/>
      <c r="HO274" s="3470"/>
      <c r="HP274" s="3470"/>
      <c r="HQ274" s="3470"/>
      <c r="HR274" s="3470"/>
      <c r="HS274" s="3470"/>
      <c r="HT274" s="3470"/>
      <c r="HU274" s="3470"/>
      <c r="HV274" s="3470"/>
      <c r="HW274" s="3470"/>
      <c r="HX274" s="3470"/>
      <c r="HY274" s="3470"/>
      <c r="HZ274" s="3470"/>
      <c r="IA274" s="3470"/>
      <c r="IB274" s="3470"/>
      <c r="IC274" s="3470"/>
      <c r="ID274" s="3470"/>
      <c r="IE274" s="3470"/>
      <c r="IF274" s="3470"/>
      <c r="IG274" s="3470"/>
      <c r="IH274" s="3470"/>
      <c r="II274" s="3470"/>
      <c r="IJ274" s="3470"/>
      <c r="IK274" s="3470"/>
      <c r="IL274" s="3470"/>
      <c r="IM274" s="3470"/>
      <c r="IN274" s="3470"/>
      <c r="IO274" s="3470"/>
      <c r="IP274" s="3470"/>
      <c r="IQ274" s="3470"/>
      <c r="IR274" s="3470"/>
      <c r="IS274" s="3470"/>
    </row>
    <row r="275" spans="1:253" s="3617" customFormat="1" hidden="1">
      <c r="A275" s="3485" t="s">
        <v>5728</v>
      </c>
      <c r="B275" s="3470" t="s">
        <v>5729</v>
      </c>
      <c r="C275" s="3481" t="s">
        <v>5730</v>
      </c>
      <c r="D275" s="3481" t="s">
        <v>5731</v>
      </c>
      <c r="E275" s="3470" t="s">
        <v>2736</v>
      </c>
      <c r="F275" s="3528" t="s">
        <v>5732</v>
      </c>
      <c r="G275" s="3470"/>
      <c r="H275" s="3470" t="s">
        <v>5733</v>
      </c>
      <c r="I275" s="3470" t="s">
        <v>3676</v>
      </c>
      <c r="J275" s="3481" t="s">
        <v>5734</v>
      </c>
      <c r="K275" s="3470" t="s">
        <v>5735</v>
      </c>
      <c r="L275" s="3470">
        <v>133.69999999999999</v>
      </c>
      <c r="M275" s="3470">
        <v>23</v>
      </c>
      <c r="N275" s="3470" t="s">
        <v>5547</v>
      </c>
      <c r="O275" s="3470">
        <v>104.93</v>
      </c>
      <c r="P275" s="3470" t="s">
        <v>3452</v>
      </c>
      <c r="Q275" s="3457">
        <v>735350</v>
      </c>
      <c r="R275" s="3470">
        <v>5500</v>
      </c>
      <c r="S275" s="3472">
        <v>72.790000000000006</v>
      </c>
      <c r="T275" s="3527">
        <v>727900</v>
      </c>
      <c r="U275" s="3470">
        <v>5445</v>
      </c>
      <c r="V275" s="3474">
        <v>0.1</v>
      </c>
      <c r="W275" s="3475">
        <v>65.510000000000005</v>
      </c>
      <c r="X275" s="3476">
        <v>655100</v>
      </c>
      <c r="Y275" s="3441">
        <v>2003</v>
      </c>
      <c r="Z275" s="3441">
        <v>3</v>
      </c>
      <c r="AA275" s="3495">
        <v>18</v>
      </c>
      <c r="AB275" s="3477">
        <v>3635</v>
      </c>
      <c r="AC275" s="3470" t="s">
        <v>3544</v>
      </c>
      <c r="AD275" s="3485"/>
      <c r="AE275" s="3441" t="s">
        <v>3663</v>
      </c>
      <c r="AF275" s="3470" t="s">
        <v>3453</v>
      </c>
      <c r="AG275" s="3522" t="s">
        <v>3466</v>
      </c>
      <c r="AH275" s="3485" t="s">
        <v>3463</v>
      </c>
      <c r="AI275" s="3470" t="s">
        <v>3679</v>
      </c>
      <c r="AJ275" s="3523">
        <v>37726</v>
      </c>
      <c r="AK275" s="3500">
        <v>3</v>
      </c>
      <c r="AL275" s="3441">
        <v>67641700</v>
      </c>
      <c r="AM275" s="3441"/>
      <c r="AN275" s="3441" t="s">
        <v>3482</v>
      </c>
      <c r="AO275" s="3441"/>
      <c r="AP275" s="3441" t="s">
        <v>3476</v>
      </c>
      <c r="AQ275" s="3441" t="s">
        <v>5736</v>
      </c>
      <c r="AR275" s="3441">
        <v>2003</v>
      </c>
      <c r="AS275" s="3441">
        <v>4</v>
      </c>
      <c r="AT275" s="3441">
        <v>4</v>
      </c>
      <c r="AU275" s="3441"/>
      <c r="AV275" s="3441" t="s">
        <v>3568</v>
      </c>
      <c r="AW275" s="3441" t="s">
        <v>3572</v>
      </c>
      <c r="AX275" s="3441" t="s">
        <v>2511</v>
      </c>
      <c r="AY275" s="3524" t="s">
        <v>5737</v>
      </c>
      <c r="AZ275" s="3441" t="s">
        <v>5738</v>
      </c>
      <c r="BA275" s="3441" t="s">
        <v>5739</v>
      </c>
      <c r="BB275" s="3524" t="s">
        <v>5740</v>
      </c>
      <c r="BC275" s="3441" t="s">
        <v>5741</v>
      </c>
      <c r="BD275" s="3525">
        <v>100006</v>
      </c>
      <c r="BE275" s="3441">
        <v>63963485</v>
      </c>
      <c r="BF275" s="3526">
        <v>2.7</v>
      </c>
      <c r="BG275" s="3518">
        <v>37576</v>
      </c>
      <c r="BH275" s="3441"/>
      <c r="BI275" s="3441" t="s">
        <v>3476</v>
      </c>
      <c r="BJ275" s="3484">
        <v>37693</v>
      </c>
      <c r="BK275" s="3484"/>
      <c r="BL275" s="3470" t="s">
        <v>3670</v>
      </c>
      <c r="BM275" s="3441"/>
      <c r="BN275" s="3441"/>
      <c r="BO275" s="3441"/>
      <c r="BP275" s="3441"/>
      <c r="BQ275" s="3441"/>
      <c r="BR275" s="3441"/>
      <c r="BS275" s="3470"/>
      <c r="BT275" s="3470"/>
      <c r="BU275" s="3470"/>
      <c r="BV275" s="3441"/>
      <c r="BW275" s="3441"/>
      <c r="BX275" s="3441"/>
      <c r="BY275" s="3441"/>
      <c r="BZ275" s="3441"/>
      <c r="CA275" s="3441"/>
      <c r="CB275" s="3441"/>
      <c r="CC275" s="3441"/>
      <c r="CD275" s="3441"/>
      <c r="CE275" s="3441"/>
      <c r="CF275" s="3441"/>
      <c r="CG275" s="3441"/>
      <c r="CH275" s="3441"/>
      <c r="CI275" s="3441"/>
      <c r="CJ275" s="3441"/>
      <c r="CK275" s="3441"/>
      <c r="CL275" s="3441"/>
      <c r="CM275" s="3441"/>
      <c r="CN275" s="3441"/>
      <c r="CO275" s="3441"/>
      <c r="CP275" s="3441"/>
      <c r="CQ275" s="3441"/>
      <c r="CR275" s="3441"/>
      <c r="CS275" s="3441"/>
      <c r="CT275" s="3441"/>
      <c r="CU275" s="3441"/>
      <c r="CV275" s="3441"/>
      <c r="CW275" s="3441"/>
      <c r="CX275" s="3441"/>
      <c r="CY275" s="3441"/>
      <c r="CZ275" s="3441"/>
      <c r="DA275" s="3441"/>
      <c r="DB275" s="3441"/>
      <c r="DC275" s="3441"/>
      <c r="DD275" s="3441"/>
      <c r="DE275" s="3441"/>
      <c r="DF275" s="3441"/>
      <c r="DG275" s="3441"/>
      <c r="DH275" s="3441"/>
      <c r="DI275" s="3441"/>
      <c r="DJ275" s="3441"/>
      <c r="DK275" s="3441"/>
      <c r="DL275" s="3441"/>
      <c r="DM275" s="3441"/>
      <c r="DN275" s="3441"/>
      <c r="DO275" s="3441"/>
      <c r="DP275" s="3441"/>
      <c r="DQ275" s="3441"/>
      <c r="DR275" s="3441"/>
      <c r="DS275" s="3441"/>
      <c r="DT275" s="3441"/>
      <c r="DU275" s="3441"/>
      <c r="DV275" s="3441"/>
      <c r="DW275" s="3441"/>
      <c r="DX275" s="3441"/>
      <c r="DY275" s="3441"/>
      <c r="DZ275" s="3441"/>
      <c r="EA275" s="3441"/>
      <c r="EB275" s="3441"/>
      <c r="EC275" s="3441"/>
      <c r="ED275" s="3441"/>
      <c r="EE275" s="3441"/>
      <c r="EF275" s="3441"/>
      <c r="EG275" s="3441"/>
      <c r="EH275" s="3441"/>
      <c r="EI275" s="3441"/>
      <c r="EJ275" s="3441"/>
      <c r="EK275" s="3441"/>
      <c r="EL275" s="3441"/>
      <c r="EM275" s="3441"/>
      <c r="EN275" s="3441"/>
      <c r="EO275" s="3441"/>
      <c r="EP275" s="3441"/>
      <c r="EQ275" s="3441"/>
      <c r="ER275" s="3441"/>
      <c r="ES275" s="3441"/>
      <c r="ET275" s="3441"/>
      <c r="EU275" s="3441"/>
      <c r="EV275" s="3441"/>
      <c r="EW275" s="3441"/>
      <c r="EX275" s="3441"/>
      <c r="EY275" s="3441"/>
      <c r="EZ275" s="3441"/>
      <c r="FA275" s="3441"/>
      <c r="FB275" s="3441"/>
      <c r="FC275" s="3441"/>
      <c r="FD275" s="3441"/>
      <c r="FE275" s="3441"/>
      <c r="FF275" s="3441"/>
      <c r="FG275" s="3441"/>
      <c r="FH275" s="3441"/>
      <c r="FI275" s="3441"/>
      <c r="FJ275" s="3441"/>
      <c r="FK275" s="3441"/>
      <c r="FL275" s="3441"/>
      <c r="FM275" s="3441"/>
      <c r="FN275" s="3441"/>
      <c r="FO275" s="3441"/>
      <c r="FP275" s="3441"/>
      <c r="FQ275" s="3441"/>
      <c r="FR275" s="3441"/>
      <c r="FS275" s="3441"/>
      <c r="FT275" s="3441"/>
      <c r="FU275" s="3441"/>
      <c r="FV275" s="3441"/>
      <c r="FW275" s="3441"/>
      <c r="FX275" s="3441"/>
      <c r="FY275" s="3441"/>
      <c r="FZ275" s="3441"/>
      <c r="GA275" s="3441"/>
      <c r="GB275" s="3441"/>
      <c r="GC275" s="3441"/>
      <c r="GD275" s="3441"/>
      <c r="GE275" s="3441"/>
      <c r="GF275" s="3441"/>
      <c r="GG275" s="3441"/>
      <c r="GH275" s="3441"/>
      <c r="GI275" s="3441"/>
      <c r="GJ275" s="3441"/>
      <c r="GK275" s="3441"/>
      <c r="GL275" s="3441"/>
      <c r="GM275" s="3441"/>
      <c r="GN275" s="3441"/>
      <c r="GO275" s="3441"/>
      <c r="GP275" s="3441"/>
      <c r="GQ275" s="3441"/>
      <c r="GR275" s="3441"/>
      <c r="GS275" s="3441"/>
      <c r="GT275" s="3441"/>
      <c r="GU275" s="3441"/>
      <c r="GV275" s="3441"/>
      <c r="GW275" s="3441"/>
      <c r="GX275" s="3441"/>
      <c r="GY275" s="3441"/>
      <c r="GZ275" s="3441"/>
      <c r="HA275" s="3441"/>
      <c r="HB275" s="3441"/>
      <c r="HC275" s="3441"/>
      <c r="HD275" s="3441"/>
      <c r="HE275" s="3441"/>
      <c r="HF275" s="3441"/>
      <c r="HG275" s="3441"/>
      <c r="HH275" s="3441"/>
      <c r="HI275" s="3441"/>
      <c r="HJ275" s="3441"/>
      <c r="HK275" s="3441"/>
      <c r="HL275" s="3441"/>
      <c r="HM275" s="3441"/>
      <c r="HN275" s="3441"/>
      <c r="HO275" s="3441"/>
      <c r="HP275" s="3441"/>
      <c r="HQ275" s="3441"/>
      <c r="HR275" s="3441"/>
      <c r="HS275" s="3441"/>
      <c r="HT275" s="3441"/>
      <c r="HU275" s="3441"/>
      <c r="HV275" s="3441"/>
      <c r="HW275" s="3441"/>
      <c r="HX275" s="3441"/>
      <c r="HY275" s="3441"/>
      <c r="HZ275" s="3441"/>
      <c r="IA275" s="3441"/>
      <c r="IB275" s="3441"/>
      <c r="IC275" s="3441"/>
      <c r="ID275" s="3441"/>
      <c r="IE275" s="3441"/>
      <c r="IF275" s="3441"/>
      <c r="IG275" s="3441"/>
      <c r="IH275" s="3441"/>
      <c r="II275" s="3441"/>
      <c r="IJ275" s="3441"/>
      <c r="IK275" s="3441"/>
      <c r="IL275" s="3441"/>
      <c r="IM275" s="3441"/>
      <c r="IN275" s="3441"/>
      <c r="IO275" s="3441"/>
      <c r="IP275" s="3441"/>
      <c r="IQ275" s="3441"/>
      <c r="IR275" s="3441"/>
      <c r="IS275" s="3441"/>
    </row>
    <row r="276" spans="1:253" s="3617" customFormat="1" hidden="1">
      <c r="A276" s="3453" t="s">
        <v>5742</v>
      </c>
      <c r="B276" s="3470" t="s">
        <v>5743</v>
      </c>
      <c r="C276" s="3481" t="s">
        <v>5744</v>
      </c>
      <c r="D276" s="3481" t="s">
        <v>5745</v>
      </c>
      <c r="E276" s="3470" t="s">
        <v>3558</v>
      </c>
      <c r="F276" s="3470" t="s">
        <v>4403</v>
      </c>
      <c r="G276" s="3470" t="s">
        <v>3568</v>
      </c>
      <c r="H276" s="3470" t="s">
        <v>5294</v>
      </c>
      <c r="I276" s="3470" t="s">
        <v>4217</v>
      </c>
      <c r="J276" s="3481" t="s">
        <v>3474</v>
      </c>
      <c r="K276" s="3470" t="s">
        <v>4406</v>
      </c>
      <c r="L276" s="3470">
        <v>129.09</v>
      </c>
      <c r="M276" s="3470">
        <v>5</v>
      </c>
      <c r="N276" s="3470" t="s">
        <v>3632</v>
      </c>
      <c r="O276" s="3470">
        <v>115.57</v>
      </c>
      <c r="P276" s="3470" t="s">
        <v>3452</v>
      </c>
      <c r="Q276" s="3457">
        <v>622213.80000000005</v>
      </c>
      <c r="R276" s="3470">
        <v>4820</v>
      </c>
      <c r="S276" s="3472">
        <v>61.58</v>
      </c>
      <c r="T276" s="3527">
        <v>615800</v>
      </c>
      <c r="U276" s="3470">
        <v>4771</v>
      </c>
      <c r="V276" s="3474">
        <v>0.1</v>
      </c>
      <c r="W276" s="3475">
        <v>55.42</v>
      </c>
      <c r="X276" s="3473">
        <v>554200</v>
      </c>
      <c r="Y276" s="3441">
        <v>2003</v>
      </c>
      <c r="Z276" s="3441">
        <v>4</v>
      </c>
      <c r="AA276" s="3441">
        <v>3</v>
      </c>
      <c r="AB276" s="3477">
        <v>3075</v>
      </c>
      <c r="AC276" s="3470" t="s">
        <v>4241</v>
      </c>
      <c r="AD276" s="3485"/>
      <c r="AE276" s="3441" t="s">
        <v>3663</v>
      </c>
      <c r="AF276" s="3470" t="s">
        <v>3728</v>
      </c>
      <c r="AG276" s="3522" t="s">
        <v>3466</v>
      </c>
      <c r="AH276" s="3485"/>
      <c r="AI276" s="3470" t="s">
        <v>3679</v>
      </c>
      <c r="AJ276" s="3523">
        <v>37833</v>
      </c>
      <c r="AK276" s="3548">
        <v>4</v>
      </c>
      <c r="AL276" s="3441">
        <v>67641700</v>
      </c>
      <c r="AM276" s="3441"/>
      <c r="AN276" s="3480" t="s">
        <v>3635</v>
      </c>
      <c r="AO276" s="3470" t="s">
        <v>5746</v>
      </c>
      <c r="AP276" s="3441" t="s">
        <v>3713</v>
      </c>
      <c r="AQ276" s="3441" t="s">
        <v>3571</v>
      </c>
      <c r="AR276" s="3441"/>
      <c r="AS276" s="3441"/>
      <c r="AT276" s="3441"/>
      <c r="AU276" s="3441"/>
      <c r="AV276" s="3441"/>
      <c r="AW276" s="3441" t="s">
        <v>3572</v>
      </c>
      <c r="AX276" s="3441" t="s">
        <v>3568</v>
      </c>
      <c r="AY276" s="3524" t="s">
        <v>5747</v>
      </c>
      <c r="AZ276" s="3441" t="s">
        <v>4406</v>
      </c>
      <c r="BA276" s="3441" t="s">
        <v>4409</v>
      </c>
      <c r="BB276" s="3524" t="s">
        <v>4410</v>
      </c>
      <c r="BC276" s="3441" t="s">
        <v>4411</v>
      </c>
      <c r="BD276" s="3525" t="s">
        <v>3568</v>
      </c>
      <c r="BE276" s="3441">
        <v>68152860</v>
      </c>
      <c r="BF276" s="3526">
        <v>2.8</v>
      </c>
      <c r="BG276" s="3518">
        <v>37672</v>
      </c>
      <c r="BH276" s="3441" t="s">
        <v>4412</v>
      </c>
      <c r="BI276" s="3486" t="s">
        <v>3721</v>
      </c>
      <c r="BJ276" s="3484">
        <v>37711</v>
      </c>
      <c r="BK276" s="3484"/>
      <c r="BL276" s="3470" t="s">
        <v>3670</v>
      </c>
      <c r="BM276" s="3441"/>
      <c r="BN276" s="3441"/>
      <c r="BO276" s="3441"/>
      <c r="BP276" s="3441"/>
      <c r="BQ276" s="3441"/>
      <c r="BR276" s="3441"/>
      <c r="BS276" s="3470"/>
      <c r="BT276" s="3470"/>
      <c r="BU276" s="3470"/>
      <c r="BV276" s="3441"/>
      <c r="BW276" s="3441"/>
      <c r="BX276" s="3441"/>
      <c r="BY276" s="3441"/>
      <c r="BZ276" s="3441"/>
      <c r="CA276" s="3441"/>
      <c r="CB276" s="3441"/>
      <c r="CC276" s="3441"/>
      <c r="CD276" s="3441"/>
      <c r="CE276" s="3441"/>
      <c r="CF276" s="3441"/>
      <c r="CG276" s="3441"/>
      <c r="CH276" s="3441"/>
      <c r="CI276" s="3441"/>
      <c r="CJ276" s="3441"/>
      <c r="CK276" s="3441"/>
      <c r="CL276" s="3441"/>
      <c r="CM276" s="3441"/>
      <c r="CN276" s="3441"/>
      <c r="CO276" s="3441"/>
      <c r="CP276" s="3441"/>
      <c r="CQ276" s="3441"/>
      <c r="CR276" s="3441"/>
      <c r="CS276" s="3441"/>
      <c r="CT276" s="3441"/>
      <c r="CU276" s="3441"/>
      <c r="CV276" s="3441"/>
      <c r="CW276" s="3441"/>
      <c r="CX276" s="3441"/>
      <c r="CY276" s="3441"/>
      <c r="CZ276" s="3441"/>
      <c r="DA276" s="3441"/>
      <c r="DB276" s="3441"/>
      <c r="DC276" s="3441"/>
      <c r="DD276" s="3441"/>
      <c r="DE276" s="3441"/>
      <c r="DF276" s="3441"/>
      <c r="DG276" s="3441"/>
      <c r="DH276" s="3441"/>
      <c r="DI276" s="3441"/>
      <c r="DJ276" s="3441"/>
      <c r="DK276" s="3441"/>
      <c r="DL276" s="3441"/>
      <c r="DM276" s="3441"/>
      <c r="DN276" s="3441"/>
      <c r="DO276" s="3441"/>
      <c r="DP276" s="3441"/>
      <c r="DQ276" s="3441"/>
      <c r="DR276" s="3441"/>
      <c r="DS276" s="3441"/>
      <c r="DT276" s="3441"/>
      <c r="DU276" s="3441"/>
      <c r="DV276" s="3441"/>
      <c r="DW276" s="3441"/>
      <c r="DX276" s="3441"/>
      <c r="DY276" s="3441"/>
      <c r="DZ276" s="3441"/>
      <c r="EA276" s="3441"/>
      <c r="EB276" s="3441"/>
      <c r="EC276" s="3441"/>
      <c r="ED276" s="3441"/>
      <c r="EE276" s="3441"/>
      <c r="EF276" s="3441"/>
      <c r="EG276" s="3441"/>
      <c r="EH276" s="3441"/>
      <c r="EI276" s="3441"/>
      <c r="EJ276" s="3441"/>
      <c r="EK276" s="3441"/>
      <c r="EL276" s="3441"/>
      <c r="EM276" s="3441"/>
      <c r="EN276" s="3441"/>
      <c r="EO276" s="3441"/>
      <c r="EP276" s="3441"/>
      <c r="EQ276" s="3441"/>
      <c r="ER276" s="3441"/>
      <c r="ES276" s="3441"/>
      <c r="ET276" s="3441"/>
      <c r="EU276" s="3441"/>
      <c r="EV276" s="3441"/>
      <c r="EW276" s="3441"/>
      <c r="EX276" s="3441"/>
      <c r="EY276" s="3441"/>
      <c r="EZ276" s="3441"/>
      <c r="FA276" s="3441"/>
      <c r="FB276" s="3441"/>
      <c r="FC276" s="3441"/>
      <c r="FD276" s="3441"/>
      <c r="FE276" s="3441"/>
      <c r="FF276" s="3441"/>
      <c r="FG276" s="3441"/>
      <c r="FH276" s="3441"/>
      <c r="FI276" s="3441"/>
      <c r="FJ276" s="3441"/>
      <c r="FK276" s="3441"/>
      <c r="FL276" s="3441"/>
      <c r="FM276" s="3441"/>
      <c r="FN276" s="3441"/>
      <c r="FO276" s="3441"/>
      <c r="FP276" s="3441"/>
      <c r="FQ276" s="3441"/>
      <c r="FR276" s="3441"/>
      <c r="FS276" s="3441"/>
      <c r="FT276" s="3441"/>
      <c r="FU276" s="3441"/>
      <c r="FV276" s="3441"/>
      <c r="FW276" s="3441"/>
      <c r="FX276" s="3441"/>
      <c r="FY276" s="3441"/>
      <c r="FZ276" s="3441"/>
      <c r="GA276" s="3441"/>
      <c r="GB276" s="3441"/>
      <c r="GC276" s="3441"/>
      <c r="GD276" s="3441"/>
      <c r="GE276" s="3441"/>
      <c r="GF276" s="3441"/>
      <c r="GG276" s="3441"/>
      <c r="GH276" s="3441"/>
      <c r="GI276" s="3441"/>
      <c r="GJ276" s="3441"/>
      <c r="GK276" s="3441"/>
      <c r="GL276" s="3441"/>
      <c r="GM276" s="3441"/>
      <c r="GN276" s="3441"/>
      <c r="GO276" s="3441"/>
      <c r="GP276" s="3441"/>
      <c r="GQ276" s="3441"/>
      <c r="GR276" s="3441"/>
      <c r="GS276" s="3441"/>
      <c r="GT276" s="3441"/>
      <c r="GU276" s="3441"/>
      <c r="GV276" s="3441"/>
      <c r="GW276" s="3441"/>
      <c r="GX276" s="3441"/>
      <c r="GY276" s="3441"/>
      <c r="GZ276" s="3441"/>
      <c r="HA276" s="3441"/>
      <c r="HB276" s="3441"/>
      <c r="HC276" s="3441"/>
      <c r="HD276" s="3441"/>
      <c r="HE276" s="3441"/>
      <c r="HF276" s="3441"/>
      <c r="HG276" s="3441"/>
      <c r="HH276" s="3441"/>
      <c r="HI276" s="3441"/>
      <c r="HJ276" s="3441"/>
      <c r="HK276" s="3441"/>
      <c r="HL276" s="3441"/>
      <c r="HM276" s="3441"/>
      <c r="HN276" s="3441"/>
      <c r="HO276" s="3441"/>
      <c r="HP276" s="3441"/>
      <c r="HQ276" s="3441"/>
      <c r="HR276" s="3441"/>
      <c r="HS276" s="3441"/>
      <c r="HT276" s="3441"/>
      <c r="HU276" s="3441"/>
      <c r="HV276" s="3441"/>
      <c r="HW276" s="3441"/>
      <c r="HX276" s="3441"/>
      <c r="HY276" s="3441"/>
      <c r="HZ276" s="3441"/>
      <c r="IA276" s="3441"/>
      <c r="IB276" s="3441"/>
      <c r="IC276" s="3441"/>
      <c r="ID276" s="3441"/>
      <c r="IE276" s="3441"/>
      <c r="IF276" s="3441"/>
      <c r="IG276" s="3441"/>
      <c r="IH276" s="3441"/>
      <c r="II276" s="3441"/>
      <c r="IJ276" s="3441"/>
      <c r="IK276" s="3441"/>
      <c r="IL276" s="3441"/>
      <c r="IM276" s="3441"/>
      <c r="IN276" s="3441"/>
      <c r="IO276" s="3441"/>
      <c r="IP276" s="3441"/>
      <c r="IQ276" s="3441"/>
      <c r="IR276" s="3441"/>
      <c r="IS276" s="3441"/>
    </row>
    <row r="277" spans="1:253" s="3617" customFormat="1" hidden="1">
      <c r="A277" s="3453" t="s">
        <v>5748</v>
      </c>
      <c r="B277" s="3470" t="s">
        <v>5749</v>
      </c>
      <c r="C277" s="3481" t="s">
        <v>5750</v>
      </c>
      <c r="D277" s="3481" t="s">
        <v>5751</v>
      </c>
      <c r="E277" s="3470" t="s">
        <v>3558</v>
      </c>
      <c r="F277" s="3470" t="s">
        <v>4403</v>
      </c>
      <c r="G277" s="3470" t="s">
        <v>3568</v>
      </c>
      <c r="H277" s="3470" t="s">
        <v>5294</v>
      </c>
      <c r="I277" s="3470" t="s">
        <v>4938</v>
      </c>
      <c r="J277" s="3481" t="s">
        <v>3449</v>
      </c>
      <c r="K277" s="3470" t="s">
        <v>4406</v>
      </c>
      <c r="L277" s="3470">
        <v>123.22</v>
      </c>
      <c r="M277" s="3470">
        <v>4</v>
      </c>
      <c r="N277" s="3470" t="s">
        <v>3488</v>
      </c>
      <c r="O277" s="3470">
        <v>110.31</v>
      </c>
      <c r="P277" s="3470" t="s">
        <v>3452</v>
      </c>
      <c r="Q277" s="3457">
        <v>638279.6</v>
      </c>
      <c r="R277" s="3470">
        <v>5180</v>
      </c>
      <c r="S277" s="3472">
        <v>63.18</v>
      </c>
      <c r="T277" s="3527">
        <v>631800</v>
      </c>
      <c r="U277" s="3470">
        <v>5128</v>
      </c>
      <c r="V277" s="3474">
        <v>0.1</v>
      </c>
      <c r="W277" s="3475">
        <v>56.86</v>
      </c>
      <c r="X277" s="3473">
        <v>568600</v>
      </c>
      <c r="Y277" s="3441">
        <v>2003</v>
      </c>
      <c r="Z277" s="3441">
        <v>4</v>
      </c>
      <c r="AA277" s="3441">
        <v>3</v>
      </c>
      <c r="AB277" s="3477">
        <v>3155</v>
      </c>
      <c r="AC277" s="3470" t="s">
        <v>4102</v>
      </c>
      <c r="AD277" s="3485"/>
      <c r="AE277" s="3441" t="s">
        <v>3663</v>
      </c>
      <c r="AF277" s="3470" t="s">
        <v>3728</v>
      </c>
      <c r="AG277" s="3522" t="s">
        <v>3466</v>
      </c>
      <c r="AH277" s="3485"/>
      <c r="AI277" s="3470" t="s">
        <v>3679</v>
      </c>
      <c r="AJ277" s="3523">
        <v>37833</v>
      </c>
      <c r="AK277" s="3548">
        <v>4</v>
      </c>
      <c r="AL277" s="3441">
        <v>67641700</v>
      </c>
      <c r="AM277" s="3441"/>
      <c r="AN277" s="3480" t="s">
        <v>3635</v>
      </c>
      <c r="AO277" s="3470" t="s">
        <v>5752</v>
      </c>
      <c r="AP277" s="3441" t="s">
        <v>3721</v>
      </c>
      <c r="AQ277" s="3441" t="s">
        <v>3571</v>
      </c>
      <c r="AR277" s="3441"/>
      <c r="AS277" s="3441"/>
      <c r="AT277" s="3441"/>
      <c r="AU277" s="3441"/>
      <c r="AV277" s="3441"/>
      <c r="AW277" s="3441" t="s">
        <v>3572</v>
      </c>
      <c r="AX277" s="3441" t="s">
        <v>3568</v>
      </c>
      <c r="AY277" s="3524" t="s">
        <v>5753</v>
      </c>
      <c r="AZ277" s="3441" t="s">
        <v>4406</v>
      </c>
      <c r="BA277" s="3441" t="s">
        <v>4409</v>
      </c>
      <c r="BB277" s="3524" t="s">
        <v>4410</v>
      </c>
      <c r="BC277" s="3441" t="s">
        <v>4411</v>
      </c>
      <c r="BD277" s="3525" t="s">
        <v>3568</v>
      </c>
      <c r="BE277" s="3441">
        <v>68152860</v>
      </c>
      <c r="BF277" s="3526">
        <v>2.8</v>
      </c>
      <c r="BG277" s="3518">
        <v>37645</v>
      </c>
      <c r="BH277" s="3441" t="s">
        <v>4412</v>
      </c>
      <c r="BI277" s="3486" t="s">
        <v>3721</v>
      </c>
      <c r="BJ277" s="3484">
        <v>37711</v>
      </c>
      <c r="BK277" s="3484"/>
      <c r="BL277" s="3470" t="s">
        <v>3670</v>
      </c>
      <c r="BM277" s="3441"/>
      <c r="BN277" s="3441"/>
      <c r="BO277" s="3441"/>
      <c r="BP277" s="3441"/>
      <c r="BQ277" s="3441"/>
      <c r="BR277" s="3441"/>
      <c r="BS277" s="3470"/>
      <c r="BT277" s="3470"/>
      <c r="BU277" s="3470"/>
      <c r="BV277" s="3441"/>
      <c r="BW277" s="3441"/>
      <c r="BX277" s="3441"/>
      <c r="BY277" s="3441"/>
      <c r="BZ277" s="3441"/>
      <c r="CA277" s="3441"/>
      <c r="CB277" s="3441"/>
      <c r="CC277" s="3441"/>
      <c r="CD277" s="3441"/>
      <c r="CE277" s="3441"/>
      <c r="CF277" s="3441"/>
      <c r="CG277" s="3441"/>
      <c r="CH277" s="3441"/>
      <c r="CI277" s="3441"/>
      <c r="CJ277" s="3441"/>
      <c r="CK277" s="3441"/>
      <c r="CL277" s="3441"/>
      <c r="CM277" s="3441"/>
      <c r="CN277" s="3441"/>
      <c r="CO277" s="3441"/>
      <c r="CP277" s="3441"/>
      <c r="CQ277" s="3441"/>
      <c r="CR277" s="3441"/>
      <c r="CS277" s="3441"/>
      <c r="CT277" s="3441"/>
      <c r="CU277" s="3441"/>
      <c r="CV277" s="3441"/>
      <c r="CW277" s="3441"/>
      <c r="CX277" s="3441"/>
      <c r="CY277" s="3441"/>
      <c r="CZ277" s="3441"/>
      <c r="DA277" s="3441"/>
      <c r="DB277" s="3441"/>
      <c r="DC277" s="3441"/>
      <c r="DD277" s="3441"/>
      <c r="DE277" s="3441"/>
      <c r="DF277" s="3441"/>
      <c r="DG277" s="3441"/>
      <c r="DH277" s="3441"/>
      <c r="DI277" s="3441"/>
      <c r="DJ277" s="3441"/>
      <c r="DK277" s="3441"/>
      <c r="DL277" s="3441"/>
      <c r="DM277" s="3441"/>
      <c r="DN277" s="3441"/>
      <c r="DO277" s="3441"/>
      <c r="DP277" s="3441"/>
      <c r="DQ277" s="3441"/>
      <c r="DR277" s="3441"/>
      <c r="DS277" s="3441"/>
      <c r="DT277" s="3441"/>
      <c r="DU277" s="3441"/>
      <c r="DV277" s="3441"/>
      <c r="DW277" s="3441"/>
      <c r="DX277" s="3441"/>
      <c r="DY277" s="3441"/>
      <c r="DZ277" s="3441"/>
      <c r="EA277" s="3441"/>
      <c r="EB277" s="3441"/>
      <c r="EC277" s="3441"/>
      <c r="ED277" s="3441"/>
      <c r="EE277" s="3441"/>
      <c r="EF277" s="3441"/>
      <c r="EG277" s="3441"/>
      <c r="EH277" s="3441"/>
      <c r="EI277" s="3441"/>
      <c r="EJ277" s="3441"/>
      <c r="EK277" s="3441"/>
      <c r="EL277" s="3441"/>
      <c r="EM277" s="3441"/>
      <c r="EN277" s="3441"/>
      <c r="EO277" s="3441"/>
      <c r="EP277" s="3441"/>
      <c r="EQ277" s="3441"/>
      <c r="ER277" s="3441"/>
      <c r="ES277" s="3441"/>
      <c r="ET277" s="3441"/>
      <c r="EU277" s="3441"/>
      <c r="EV277" s="3441"/>
      <c r="EW277" s="3441"/>
      <c r="EX277" s="3441"/>
      <c r="EY277" s="3441"/>
      <c r="EZ277" s="3441"/>
      <c r="FA277" s="3441"/>
      <c r="FB277" s="3441"/>
      <c r="FC277" s="3441"/>
      <c r="FD277" s="3441"/>
      <c r="FE277" s="3441"/>
      <c r="FF277" s="3441"/>
      <c r="FG277" s="3441"/>
      <c r="FH277" s="3441"/>
      <c r="FI277" s="3441"/>
      <c r="FJ277" s="3441"/>
      <c r="FK277" s="3441"/>
      <c r="FL277" s="3441"/>
      <c r="FM277" s="3441"/>
      <c r="FN277" s="3441"/>
      <c r="FO277" s="3441"/>
      <c r="FP277" s="3441"/>
      <c r="FQ277" s="3441"/>
      <c r="FR277" s="3441"/>
      <c r="FS277" s="3441"/>
      <c r="FT277" s="3441"/>
      <c r="FU277" s="3441"/>
      <c r="FV277" s="3441"/>
      <c r="FW277" s="3441"/>
      <c r="FX277" s="3441"/>
      <c r="FY277" s="3441"/>
      <c r="FZ277" s="3441"/>
      <c r="GA277" s="3441"/>
      <c r="GB277" s="3441"/>
      <c r="GC277" s="3441"/>
      <c r="GD277" s="3441"/>
      <c r="GE277" s="3441"/>
      <c r="GF277" s="3441"/>
      <c r="GG277" s="3441"/>
      <c r="GH277" s="3441"/>
      <c r="GI277" s="3441"/>
      <c r="GJ277" s="3441"/>
      <c r="GK277" s="3441"/>
      <c r="GL277" s="3441"/>
      <c r="GM277" s="3441"/>
      <c r="GN277" s="3441"/>
      <c r="GO277" s="3441"/>
      <c r="GP277" s="3441"/>
      <c r="GQ277" s="3441"/>
      <c r="GR277" s="3441"/>
      <c r="GS277" s="3441"/>
      <c r="GT277" s="3441"/>
      <c r="GU277" s="3441"/>
      <c r="GV277" s="3441"/>
      <c r="GW277" s="3441"/>
      <c r="GX277" s="3441"/>
      <c r="GY277" s="3441"/>
      <c r="GZ277" s="3441"/>
      <c r="HA277" s="3441"/>
      <c r="HB277" s="3441"/>
      <c r="HC277" s="3441"/>
      <c r="HD277" s="3441"/>
      <c r="HE277" s="3441"/>
      <c r="HF277" s="3441"/>
      <c r="HG277" s="3441"/>
      <c r="HH277" s="3441"/>
      <c r="HI277" s="3441"/>
      <c r="HJ277" s="3441"/>
      <c r="HK277" s="3441"/>
      <c r="HL277" s="3441"/>
      <c r="HM277" s="3441"/>
      <c r="HN277" s="3441"/>
      <c r="HO277" s="3441"/>
      <c r="HP277" s="3441"/>
      <c r="HQ277" s="3441"/>
      <c r="HR277" s="3441"/>
      <c r="HS277" s="3441"/>
      <c r="HT277" s="3441"/>
      <c r="HU277" s="3441"/>
      <c r="HV277" s="3441"/>
      <c r="HW277" s="3441"/>
      <c r="HX277" s="3441"/>
      <c r="HY277" s="3441"/>
      <c r="HZ277" s="3441"/>
      <c r="IA277" s="3441"/>
      <c r="IB277" s="3441"/>
      <c r="IC277" s="3441"/>
      <c r="ID277" s="3441"/>
      <c r="IE277" s="3441"/>
      <c r="IF277" s="3441"/>
      <c r="IG277" s="3441"/>
      <c r="IH277" s="3441"/>
      <c r="II277" s="3441"/>
      <c r="IJ277" s="3441"/>
      <c r="IK277" s="3441"/>
      <c r="IL277" s="3441"/>
      <c r="IM277" s="3441"/>
      <c r="IN277" s="3441"/>
      <c r="IO277" s="3441"/>
      <c r="IP277" s="3441"/>
      <c r="IQ277" s="3441"/>
      <c r="IR277" s="3441"/>
      <c r="IS277" s="3441"/>
    </row>
    <row r="278" spans="1:253" s="3617" customFormat="1" hidden="1">
      <c r="A278" s="3453" t="s">
        <v>5754</v>
      </c>
      <c r="B278" s="3470" t="s">
        <v>5755</v>
      </c>
      <c r="C278" s="3481" t="s">
        <v>5756</v>
      </c>
      <c r="D278" s="3481" t="s">
        <v>5757</v>
      </c>
      <c r="E278" s="3470" t="s">
        <v>3558</v>
      </c>
      <c r="F278" s="3470" t="s">
        <v>4403</v>
      </c>
      <c r="G278" s="3470" t="s">
        <v>3568</v>
      </c>
      <c r="H278" s="3470" t="s">
        <v>5758</v>
      </c>
      <c r="I278" s="3470" t="s">
        <v>4404</v>
      </c>
      <c r="J278" s="3481" t="s">
        <v>3449</v>
      </c>
      <c r="K278" s="3470" t="s">
        <v>4406</v>
      </c>
      <c r="L278" s="3470">
        <v>104.22</v>
      </c>
      <c r="M278" s="3470">
        <v>4</v>
      </c>
      <c r="N278" s="3470" t="s">
        <v>4043</v>
      </c>
      <c r="O278" s="3470">
        <v>93.15</v>
      </c>
      <c r="P278" s="3470" t="s">
        <v>3452</v>
      </c>
      <c r="Q278" s="3457">
        <v>560703.6</v>
      </c>
      <c r="R278" s="3470">
        <v>5380</v>
      </c>
      <c r="S278" s="3472">
        <v>55.52</v>
      </c>
      <c r="T278" s="3527">
        <v>555200</v>
      </c>
      <c r="U278" s="3470">
        <v>5328</v>
      </c>
      <c r="V278" s="3474">
        <v>0.1</v>
      </c>
      <c r="W278" s="3475">
        <v>49.96</v>
      </c>
      <c r="X278" s="3473">
        <v>499600</v>
      </c>
      <c r="Y278" s="3441">
        <v>2003</v>
      </c>
      <c r="Z278" s="3441">
        <v>4</v>
      </c>
      <c r="AA278" s="3441">
        <v>10</v>
      </c>
      <c r="AB278" s="3477">
        <v>2775</v>
      </c>
      <c r="AC278" s="3470" t="s">
        <v>4044</v>
      </c>
      <c r="AD278" s="3485"/>
      <c r="AE278" s="3441" t="s">
        <v>3663</v>
      </c>
      <c r="AF278" s="3470" t="s">
        <v>3728</v>
      </c>
      <c r="AG278" s="3522" t="s">
        <v>3466</v>
      </c>
      <c r="AH278" s="3485"/>
      <c r="AI278" s="3470" t="s">
        <v>3679</v>
      </c>
      <c r="AJ278" s="3523">
        <v>37833</v>
      </c>
      <c r="AK278" s="3548">
        <v>4</v>
      </c>
      <c r="AL278" s="3441">
        <v>67641700</v>
      </c>
      <c r="AM278" s="3441"/>
      <c r="AN278" s="3469" t="s">
        <v>3800</v>
      </c>
      <c r="AO278" s="3470" t="s">
        <v>5759</v>
      </c>
      <c r="AP278" s="3441" t="s">
        <v>3476</v>
      </c>
      <c r="AQ278" s="3441" t="s">
        <v>3571</v>
      </c>
      <c r="AR278" s="3441"/>
      <c r="AS278" s="3441"/>
      <c r="AT278" s="3441"/>
      <c r="AU278" s="3441"/>
      <c r="AV278" s="3441"/>
      <c r="AW278" s="3441" t="s">
        <v>3572</v>
      </c>
      <c r="AX278" s="3441" t="s">
        <v>3568</v>
      </c>
      <c r="AY278" s="3524" t="s">
        <v>5760</v>
      </c>
      <c r="AZ278" s="3441" t="s">
        <v>4406</v>
      </c>
      <c r="BA278" s="3441" t="s">
        <v>4409</v>
      </c>
      <c r="BB278" s="3524" t="s">
        <v>4410</v>
      </c>
      <c r="BC278" s="3441" t="s">
        <v>4411</v>
      </c>
      <c r="BD278" s="3525" t="s">
        <v>3568</v>
      </c>
      <c r="BE278" s="3441">
        <v>68152860</v>
      </c>
      <c r="BF278" s="3526">
        <v>2.8</v>
      </c>
      <c r="BG278" s="3518">
        <v>37689</v>
      </c>
      <c r="BH278" s="3441" t="s">
        <v>4412</v>
      </c>
      <c r="BI278" s="3470" t="s">
        <v>3476</v>
      </c>
      <c r="BJ278" s="3514">
        <v>37713</v>
      </c>
      <c r="BK278" s="3484"/>
      <c r="BL278" s="3470" t="s">
        <v>3670</v>
      </c>
      <c r="BM278" s="3441"/>
      <c r="BN278" s="3441"/>
      <c r="BO278" s="3441"/>
      <c r="BP278" s="3441"/>
      <c r="BQ278" s="3441"/>
      <c r="BR278" s="3441"/>
      <c r="BS278" s="3470"/>
      <c r="BT278" s="3470"/>
      <c r="BU278" s="3470"/>
      <c r="BV278" s="3441"/>
      <c r="BW278" s="3441"/>
      <c r="BX278" s="3441"/>
      <c r="BY278" s="3441"/>
      <c r="BZ278" s="3441"/>
      <c r="CA278" s="3441"/>
      <c r="CB278" s="3441"/>
      <c r="CC278" s="3441"/>
      <c r="CD278" s="3441"/>
      <c r="CE278" s="3441"/>
      <c r="CF278" s="3441"/>
      <c r="CG278" s="3441"/>
      <c r="CH278" s="3441"/>
      <c r="CI278" s="3441"/>
      <c r="CJ278" s="3441"/>
      <c r="CK278" s="3441"/>
      <c r="CL278" s="3441"/>
      <c r="CM278" s="3441"/>
      <c r="CN278" s="3441"/>
      <c r="CO278" s="3441"/>
      <c r="CP278" s="3441"/>
      <c r="CQ278" s="3441"/>
      <c r="CR278" s="3441"/>
      <c r="CS278" s="3441"/>
      <c r="CT278" s="3441"/>
      <c r="CU278" s="3441"/>
      <c r="CV278" s="3441"/>
      <c r="CW278" s="3441"/>
      <c r="CX278" s="3441"/>
      <c r="CY278" s="3441"/>
      <c r="CZ278" s="3441"/>
      <c r="DA278" s="3441"/>
      <c r="DB278" s="3441"/>
      <c r="DC278" s="3441"/>
      <c r="DD278" s="3441"/>
      <c r="DE278" s="3441"/>
      <c r="DF278" s="3441"/>
      <c r="DG278" s="3441"/>
      <c r="DH278" s="3441"/>
      <c r="DI278" s="3441"/>
      <c r="DJ278" s="3441"/>
      <c r="DK278" s="3441"/>
      <c r="DL278" s="3441"/>
      <c r="DM278" s="3441"/>
      <c r="DN278" s="3441"/>
      <c r="DO278" s="3441"/>
      <c r="DP278" s="3441"/>
      <c r="DQ278" s="3441"/>
      <c r="DR278" s="3441"/>
      <c r="DS278" s="3441"/>
      <c r="DT278" s="3441"/>
      <c r="DU278" s="3441"/>
      <c r="DV278" s="3441"/>
      <c r="DW278" s="3441"/>
      <c r="DX278" s="3441"/>
      <c r="DY278" s="3441"/>
      <c r="DZ278" s="3441"/>
      <c r="EA278" s="3441"/>
      <c r="EB278" s="3441"/>
      <c r="EC278" s="3441"/>
      <c r="ED278" s="3441"/>
      <c r="EE278" s="3441"/>
      <c r="EF278" s="3441"/>
      <c r="EG278" s="3441"/>
      <c r="EH278" s="3441"/>
      <c r="EI278" s="3441"/>
      <c r="EJ278" s="3441"/>
      <c r="EK278" s="3441"/>
      <c r="EL278" s="3441"/>
      <c r="EM278" s="3441"/>
      <c r="EN278" s="3441"/>
      <c r="EO278" s="3441"/>
      <c r="EP278" s="3441"/>
      <c r="EQ278" s="3441"/>
      <c r="ER278" s="3441"/>
      <c r="ES278" s="3441"/>
      <c r="ET278" s="3441"/>
      <c r="EU278" s="3441"/>
      <c r="EV278" s="3441"/>
      <c r="EW278" s="3441"/>
      <c r="EX278" s="3441"/>
      <c r="EY278" s="3441"/>
      <c r="EZ278" s="3441"/>
      <c r="FA278" s="3441"/>
      <c r="FB278" s="3441"/>
      <c r="FC278" s="3441"/>
      <c r="FD278" s="3441"/>
      <c r="FE278" s="3441"/>
      <c r="FF278" s="3441"/>
      <c r="FG278" s="3441"/>
      <c r="FH278" s="3441"/>
      <c r="FI278" s="3441"/>
      <c r="FJ278" s="3441"/>
      <c r="FK278" s="3441"/>
      <c r="FL278" s="3441"/>
      <c r="FM278" s="3441"/>
      <c r="FN278" s="3441"/>
      <c r="FO278" s="3441"/>
      <c r="FP278" s="3441"/>
      <c r="FQ278" s="3441"/>
      <c r="FR278" s="3441"/>
      <c r="FS278" s="3441"/>
      <c r="FT278" s="3441"/>
      <c r="FU278" s="3441"/>
      <c r="FV278" s="3441"/>
      <c r="FW278" s="3441"/>
      <c r="FX278" s="3441"/>
      <c r="FY278" s="3441"/>
      <c r="FZ278" s="3441"/>
      <c r="GA278" s="3441"/>
      <c r="GB278" s="3441"/>
      <c r="GC278" s="3441"/>
      <c r="GD278" s="3441"/>
      <c r="GE278" s="3441"/>
      <c r="GF278" s="3441"/>
      <c r="GG278" s="3441"/>
      <c r="GH278" s="3441"/>
      <c r="GI278" s="3441"/>
      <c r="GJ278" s="3441"/>
      <c r="GK278" s="3441"/>
      <c r="GL278" s="3441"/>
      <c r="GM278" s="3441"/>
      <c r="GN278" s="3441"/>
      <c r="GO278" s="3441"/>
      <c r="GP278" s="3441"/>
      <c r="GQ278" s="3441"/>
      <c r="GR278" s="3441"/>
      <c r="GS278" s="3441"/>
      <c r="GT278" s="3441"/>
      <c r="GU278" s="3441"/>
      <c r="GV278" s="3441"/>
      <c r="GW278" s="3441"/>
      <c r="GX278" s="3441"/>
      <c r="GY278" s="3441"/>
      <c r="GZ278" s="3441"/>
      <c r="HA278" s="3441"/>
      <c r="HB278" s="3441"/>
      <c r="HC278" s="3441"/>
      <c r="HD278" s="3441"/>
      <c r="HE278" s="3441"/>
      <c r="HF278" s="3441"/>
      <c r="HG278" s="3441"/>
      <c r="HH278" s="3441"/>
      <c r="HI278" s="3441"/>
      <c r="HJ278" s="3441"/>
      <c r="HK278" s="3441"/>
      <c r="HL278" s="3441"/>
      <c r="HM278" s="3441"/>
      <c r="HN278" s="3441"/>
      <c r="HO278" s="3441"/>
      <c r="HP278" s="3441"/>
      <c r="HQ278" s="3441"/>
      <c r="HR278" s="3441"/>
      <c r="HS278" s="3441"/>
      <c r="HT278" s="3441"/>
      <c r="HU278" s="3441"/>
      <c r="HV278" s="3441"/>
      <c r="HW278" s="3441"/>
      <c r="HX278" s="3441"/>
      <c r="HY278" s="3441"/>
      <c r="HZ278" s="3441"/>
      <c r="IA278" s="3441"/>
      <c r="IB278" s="3441"/>
      <c r="IC278" s="3441"/>
      <c r="ID278" s="3441"/>
      <c r="IE278" s="3441"/>
      <c r="IF278" s="3441"/>
      <c r="IG278" s="3441"/>
      <c r="IH278" s="3441"/>
      <c r="II278" s="3441"/>
      <c r="IJ278" s="3441"/>
      <c r="IK278" s="3441"/>
      <c r="IL278" s="3441"/>
      <c r="IM278" s="3441"/>
      <c r="IN278" s="3441"/>
      <c r="IO278" s="3441"/>
      <c r="IP278" s="3441"/>
      <c r="IQ278" s="3441"/>
      <c r="IR278" s="3441"/>
      <c r="IS278" s="3441"/>
    </row>
    <row r="279" spans="1:253" s="3605" customFormat="1" ht="12" hidden="1">
      <c r="A279" s="3470" t="s">
        <v>5761</v>
      </c>
      <c r="B279" s="3470" t="s">
        <v>5762</v>
      </c>
      <c r="C279" s="3481" t="s">
        <v>5763</v>
      </c>
      <c r="D279" s="3481" t="s">
        <v>5764</v>
      </c>
      <c r="E279" s="3470" t="s">
        <v>3558</v>
      </c>
      <c r="F279" s="3528" t="s">
        <v>3951</v>
      </c>
      <c r="G279" s="3470"/>
      <c r="H279" s="3470" t="s">
        <v>5765</v>
      </c>
      <c r="I279" s="3470" t="s">
        <v>5518</v>
      </c>
      <c r="J279" s="3481" t="s">
        <v>5766</v>
      </c>
      <c r="K279" s="3470" t="s">
        <v>3955</v>
      </c>
      <c r="L279" s="3470">
        <v>55.06</v>
      </c>
      <c r="M279" s="3470">
        <v>3</v>
      </c>
      <c r="N279" s="3453" t="s">
        <v>3584</v>
      </c>
      <c r="O279" s="3470">
        <v>45.57</v>
      </c>
      <c r="P279" s="3470" t="s">
        <v>3452</v>
      </c>
      <c r="Q279" s="3457">
        <v>251448.00800000003</v>
      </c>
      <c r="R279" s="3470">
        <v>4566.8</v>
      </c>
      <c r="S279" s="3472">
        <v>24.87</v>
      </c>
      <c r="T279" s="3527">
        <v>248700</v>
      </c>
      <c r="U279" s="3470">
        <v>4518</v>
      </c>
      <c r="V279" s="3474">
        <v>0.1</v>
      </c>
      <c r="W279" s="3475">
        <v>22.38</v>
      </c>
      <c r="X279" s="3476">
        <v>223800</v>
      </c>
      <c r="Y279" s="3441">
        <v>2003</v>
      </c>
      <c r="Z279" s="3441">
        <v>3</v>
      </c>
      <c r="AA279" s="3495">
        <v>18</v>
      </c>
      <c r="AB279" s="3477">
        <v>1240</v>
      </c>
      <c r="AC279" s="3470" t="s">
        <v>5767</v>
      </c>
      <c r="AD279" s="3485"/>
      <c r="AE279" s="3441" t="s">
        <v>3663</v>
      </c>
      <c r="AF279" s="3470" t="s">
        <v>4126</v>
      </c>
      <c r="AG279" s="3522" t="s">
        <v>3466</v>
      </c>
      <c r="AH279" s="3485"/>
      <c r="AI279" s="3470" t="s">
        <v>3679</v>
      </c>
      <c r="AJ279" s="3523">
        <v>37711</v>
      </c>
      <c r="AK279" s="3500">
        <v>3</v>
      </c>
      <c r="AL279" s="3441" t="s">
        <v>3957</v>
      </c>
      <c r="AM279" s="3441"/>
      <c r="AN279" s="3441" t="s">
        <v>3739</v>
      </c>
      <c r="AO279" s="3441"/>
      <c r="AP279" s="3441" t="s">
        <v>3476</v>
      </c>
      <c r="AQ279" s="3441" t="s">
        <v>3571</v>
      </c>
      <c r="AR279" s="3441"/>
      <c r="AS279" s="3441"/>
      <c r="AT279" s="3441"/>
      <c r="AU279" s="3441"/>
      <c r="AV279" s="3441" t="s">
        <v>3568</v>
      </c>
      <c r="AW279" s="3441" t="s">
        <v>3572</v>
      </c>
      <c r="AX279" s="3441" t="s">
        <v>2511</v>
      </c>
      <c r="AY279" s="3524" t="s">
        <v>5768</v>
      </c>
      <c r="AZ279" s="3441" t="s">
        <v>3955</v>
      </c>
      <c r="BA279" s="3441" t="s">
        <v>3959</v>
      </c>
      <c r="BB279" s="3524" t="s">
        <v>3960</v>
      </c>
      <c r="BC279" s="3441" t="s">
        <v>3961</v>
      </c>
      <c r="BD279" s="3525">
        <v>102100</v>
      </c>
      <c r="BE279" s="3441">
        <v>62998398</v>
      </c>
      <c r="BF279" s="3526">
        <v>2.8</v>
      </c>
      <c r="BG279" s="3518">
        <v>37630</v>
      </c>
      <c r="BH279" s="3441"/>
      <c r="BI279" s="3441" t="s">
        <v>3476</v>
      </c>
      <c r="BJ279" s="3566">
        <v>37697</v>
      </c>
      <c r="BK279" s="3484"/>
      <c r="BL279" s="3470" t="s">
        <v>3670</v>
      </c>
      <c r="BM279" s="3441"/>
      <c r="BN279" s="3441"/>
      <c r="BO279" s="3441"/>
      <c r="BP279" s="3441"/>
      <c r="BQ279" s="3441"/>
      <c r="BR279" s="3441"/>
      <c r="BS279" s="3470"/>
      <c r="BT279" s="3470"/>
      <c r="BU279" s="3470"/>
      <c r="BV279" s="3470"/>
      <c r="BW279" s="3470"/>
      <c r="BX279" s="3470"/>
      <c r="BY279" s="3470"/>
      <c r="BZ279" s="3470"/>
      <c r="CA279" s="3470"/>
      <c r="CB279" s="3470"/>
      <c r="CC279" s="3470"/>
      <c r="CD279" s="3470"/>
      <c r="CE279" s="3470"/>
      <c r="CF279" s="3470"/>
      <c r="CG279" s="3470"/>
      <c r="CH279" s="3470"/>
      <c r="CI279" s="3470"/>
      <c r="CJ279" s="3470"/>
      <c r="CK279" s="3470"/>
      <c r="CL279" s="3470"/>
      <c r="CM279" s="3470"/>
      <c r="CN279" s="3470"/>
      <c r="CO279" s="3470"/>
      <c r="CP279" s="3470"/>
      <c r="CQ279" s="3470"/>
      <c r="CR279" s="3470"/>
      <c r="CS279" s="3470"/>
      <c r="CT279" s="3470"/>
      <c r="CU279" s="3470"/>
      <c r="CV279" s="3470"/>
      <c r="CW279" s="3470"/>
      <c r="CX279" s="3470"/>
      <c r="CY279" s="3470"/>
      <c r="CZ279" s="3470"/>
      <c r="DA279" s="3470"/>
      <c r="DB279" s="3470"/>
      <c r="DC279" s="3470"/>
      <c r="DD279" s="3470"/>
      <c r="DE279" s="3470"/>
      <c r="DF279" s="3470"/>
      <c r="DG279" s="3470"/>
      <c r="DH279" s="3470"/>
      <c r="DI279" s="3470"/>
      <c r="DJ279" s="3470"/>
      <c r="DK279" s="3470"/>
      <c r="DL279" s="3470"/>
      <c r="DM279" s="3470"/>
      <c r="DN279" s="3470"/>
      <c r="DO279" s="3470"/>
      <c r="DP279" s="3470"/>
      <c r="DQ279" s="3470"/>
      <c r="DR279" s="3470"/>
      <c r="DS279" s="3470"/>
      <c r="DT279" s="3470"/>
      <c r="DU279" s="3470"/>
      <c r="DV279" s="3470"/>
      <c r="DW279" s="3470"/>
      <c r="DX279" s="3470"/>
      <c r="DY279" s="3470"/>
      <c r="DZ279" s="3470"/>
      <c r="EA279" s="3470"/>
      <c r="EB279" s="3470"/>
      <c r="EC279" s="3470"/>
      <c r="ED279" s="3470"/>
      <c r="EE279" s="3470"/>
      <c r="EF279" s="3470"/>
      <c r="EG279" s="3470"/>
      <c r="EH279" s="3470"/>
      <c r="EI279" s="3470"/>
      <c r="EJ279" s="3470"/>
      <c r="EK279" s="3470"/>
      <c r="EL279" s="3470"/>
      <c r="EM279" s="3470"/>
      <c r="EN279" s="3470"/>
      <c r="EO279" s="3470"/>
      <c r="EP279" s="3470"/>
      <c r="EQ279" s="3470"/>
      <c r="ER279" s="3470"/>
      <c r="ES279" s="3470"/>
      <c r="ET279" s="3470"/>
      <c r="EU279" s="3470"/>
      <c r="EV279" s="3470"/>
      <c r="EW279" s="3470"/>
      <c r="EX279" s="3470"/>
      <c r="EY279" s="3470"/>
      <c r="EZ279" s="3470"/>
      <c r="FA279" s="3470"/>
      <c r="FB279" s="3470"/>
      <c r="FC279" s="3470"/>
      <c r="FD279" s="3470"/>
      <c r="FE279" s="3470"/>
      <c r="FF279" s="3470"/>
      <c r="FG279" s="3470"/>
      <c r="FH279" s="3470"/>
      <c r="FI279" s="3470"/>
      <c r="FJ279" s="3470"/>
      <c r="FK279" s="3470"/>
      <c r="FL279" s="3470"/>
      <c r="FM279" s="3470"/>
      <c r="FN279" s="3470"/>
      <c r="FO279" s="3470"/>
      <c r="FP279" s="3470"/>
      <c r="FQ279" s="3470"/>
      <c r="FR279" s="3470"/>
      <c r="FS279" s="3470"/>
      <c r="FT279" s="3470"/>
      <c r="FU279" s="3470"/>
      <c r="FV279" s="3470"/>
      <c r="FW279" s="3470"/>
      <c r="FX279" s="3470"/>
      <c r="FY279" s="3470"/>
      <c r="FZ279" s="3470"/>
      <c r="GA279" s="3470"/>
      <c r="GB279" s="3470"/>
      <c r="GC279" s="3470"/>
      <c r="GD279" s="3470"/>
      <c r="GE279" s="3470"/>
      <c r="GF279" s="3470"/>
      <c r="GG279" s="3470"/>
      <c r="GH279" s="3470"/>
      <c r="GI279" s="3470"/>
      <c r="GJ279" s="3470"/>
      <c r="GK279" s="3470"/>
      <c r="GL279" s="3470"/>
      <c r="GM279" s="3470"/>
      <c r="GN279" s="3470"/>
      <c r="GO279" s="3470"/>
      <c r="GP279" s="3470"/>
      <c r="GQ279" s="3470"/>
      <c r="GR279" s="3470"/>
      <c r="GS279" s="3470"/>
      <c r="GT279" s="3470"/>
      <c r="GU279" s="3470"/>
      <c r="GV279" s="3470"/>
      <c r="GW279" s="3470"/>
      <c r="GX279" s="3470"/>
      <c r="GY279" s="3470"/>
      <c r="GZ279" s="3470"/>
      <c r="HA279" s="3470"/>
      <c r="HB279" s="3470"/>
      <c r="HC279" s="3470"/>
      <c r="HD279" s="3470"/>
      <c r="HE279" s="3470"/>
      <c r="HF279" s="3470"/>
      <c r="HG279" s="3470"/>
      <c r="HH279" s="3470"/>
      <c r="HI279" s="3470"/>
      <c r="HJ279" s="3470"/>
      <c r="HK279" s="3470"/>
      <c r="HL279" s="3470"/>
      <c r="HM279" s="3470"/>
      <c r="HN279" s="3470"/>
      <c r="HO279" s="3470"/>
      <c r="HP279" s="3470"/>
      <c r="HQ279" s="3470"/>
      <c r="HR279" s="3470"/>
      <c r="HS279" s="3470"/>
      <c r="HT279" s="3470"/>
      <c r="HU279" s="3470"/>
      <c r="HV279" s="3470"/>
      <c r="HW279" s="3470"/>
      <c r="HX279" s="3470"/>
      <c r="HY279" s="3470"/>
      <c r="HZ279" s="3470"/>
      <c r="IA279" s="3470"/>
      <c r="IB279" s="3470"/>
      <c r="IC279" s="3470"/>
      <c r="ID279" s="3470"/>
      <c r="IE279" s="3470"/>
      <c r="IF279" s="3470"/>
      <c r="IG279" s="3470"/>
      <c r="IH279" s="3470"/>
      <c r="II279" s="3470"/>
      <c r="IJ279" s="3470"/>
      <c r="IK279" s="3470"/>
      <c r="IL279" s="3470"/>
      <c r="IM279" s="3470"/>
      <c r="IN279" s="3470"/>
      <c r="IO279" s="3470"/>
      <c r="IP279" s="3470"/>
      <c r="IQ279" s="3470"/>
      <c r="IR279" s="3470"/>
      <c r="IS279" s="3470"/>
    </row>
    <row r="280" spans="1:253" s="3605" customFormat="1" ht="12" hidden="1">
      <c r="A280" s="3453" t="s">
        <v>5769</v>
      </c>
      <c r="B280" s="3470" t="s">
        <v>5770</v>
      </c>
      <c r="C280" s="3481" t="s">
        <v>5771</v>
      </c>
      <c r="D280" s="3481" t="s">
        <v>5772</v>
      </c>
      <c r="E280" s="3470" t="s">
        <v>3558</v>
      </c>
      <c r="F280" s="3521" t="s">
        <v>4403</v>
      </c>
      <c r="G280" s="3470" t="s">
        <v>3568</v>
      </c>
      <c r="H280" s="3470" t="s">
        <v>5294</v>
      </c>
      <c r="I280" s="3470" t="s">
        <v>4100</v>
      </c>
      <c r="J280" s="3481" t="s">
        <v>4174</v>
      </c>
      <c r="K280" s="3470" t="s">
        <v>4406</v>
      </c>
      <c r="L280" s="3470">
        <v>123.22</v>
      </c>
      <c r="M280" s="3470">
        <v>2</v>
      </c>
      <c r="N280" s="3470" t="s">
        <v>4077</v>
      </c>
      <c r="O280" s="3470">
        <v>110.31</v>
      </c>
      <c r="P280" s="3470" t="s">
        <v>3452</v>
      </c>
      <c r="Q280" s="3457">
        <v>638279.6</v>
      </c>
      <c r="R280" s="3470">
        <v>5180</v>
      </c>
      <c r="S280" s="3472">
        <v>63.21</v>
      </c>
      <c r="T280" s="3527">
        <v>632100</v>
      </c>
      <c r="U280" s="3470">
        <v>5130</v>
      </c>
      <c r="V280" s="3474">
        <v>0.1</v>
      </c>
      <c r="W280" s="3475">
        <v>56.88</v>
      </c>
      <c r="X280" s="3473">
        <v>568800</v>
      </c>
      <c r="Y280" s="3441">
        <v>2003</v>
      </c>
      <c r="Z280" s="3441">
        <v>3</v>
      </c>
      <c r="AA280" s="3441">
        <v>19</v>
      </c>
      <c r="AB280" s="3477">
        <v>3160</v>
      </c>
      <c r="AC280" s="3470" t="s">
        <v>4407</v>
      </c>
      <c r="AD280" s="3485"/>
      <c r="AE280" s="3441" t="s">
        <v>3663</v>
      </c>
      <c r="AF280" s="3470" t="s">
        <v>3728</v>
      </c>
      <c r="AG280" s="3522" t="s">
        <v>3466</v>
      </c>
      <c r="AH280" s="3485"/>
      <c r="AI280" s="3470" t="s">
        <v>3679</v>
      </c>
      <c r="AJ280" s="3523">
        <v>37833</v>
      </c>
      <c r="AK280" s="3479" t="s">
        <v>3482</v>
      </c>
      <c r="AL280" s="3441">
        <v>67641700</v>
      </c>
      <c r="AM280" s="3441"/>
      <c r="AN280" s="3441" t="s">
        <v>4210</v>
      </c>
      <c r="AO280" s="3441" t="s">
        <v>3568</v>
      </c>
      <c r="AP280" s="3441" t="s">
        <v>3476</v>
      </c>
      <c r="AQ280" s="3441" t="s">
        <v>3571</v>
      </c>
      <c r="AR280" s="3441"/>
      <c r="AS280" s="3441"/>
      <c r="AT280" s="3441"/>
      <c r="AU280" s="3441"/>
      <c r="AV280" s="3441"/>
      <c r="AW280" s="3441" t="s">
        <v>3572</v>
      </c>
      <c r="AX280" s="3441" t="s">
        <v>3568</v>
      </c>
      <c r="AY280" s="3524" t="s">
        <v>5773</v>
      </c>
      <c r="AZ280" s="3441" t="s">
        <v>4406</v>
      </c>
      <c r="BA280" s="3441" t="s">
        <v>4409</v>
      </c>
      <c r="BB280" s="3524" t="s">
        <v>4410</v>
      </c>
      <c r="BC280" s="3441" t="s">
        <v>4411</v>
      </c>
      <c r="BD280" s="3525" t="s">
        <v>3568</v>
      </c>
      <c r="BE280" s="3441">
        <v>68152860</v>
      </c>
      <c r="BF280" s="3526">
        <v>2.8</v>
      </c>
      <c r="BG280" s="3518">
        <v>37647</v>
      </c>
      <c r="BH280" s="3441" t="s">
        <v>4412</v>
      </c>
      <c r="BI280" s="3441" t="s">
        <v>3700</v>
      </c>
      <c r="BJ280" s="3484">
        <v>37679</v>
      </c>
      <c r="BK280" s="3484"/>
      <c r="BL280" s="3470" t="s">
        <v>3670</v>
      </c>
      <c r="BM280" s="3441"/>
      <c r="BN280" s="3441"/>
      <c r="BO280" s="3441"/>
      <c r="BP280" s="3441"/>
      <c r="BQ280" s="3441"/>
      <c r="BR280" s="3441"/>
      <c r="BS280" s="3470"/>
      <c r="BT280" s="3470"/>
      <c r="BU280" s="3470"/>
      <c r="BV280" s="3470"/>
      <c r="BW280" s="3470"/>
      <c r="BX280" s="3470"/>
      <c r="BY280" s="3470"/>
      <c r="BZ280" s="3470"/>
      <c r="CA280" s="3470"/>
      <c r="CB280" s="3470"/>
      <c r="CC280" s="3470"/>
      <c r="CD280" s="3470"/>
      <c r="CE280" s="3470"/>
      <c r="CF280" s="3470"/>
      <c r="CG280" s="3470"/>
      <c r="CH280" s="3470"/>
      <c r="CI280" s="3470"/>
      <c r="CJ280" s="3470"/>
      <c r="CK280" s="3470"/>
      <c r="CL280" s="3470"/>
      <c r="CM280" s="3470"/>
      <c r="CN280" s="3470"/>
      <c r="CO280" s="3470"/>
      <c r="CP280" s="3470"/>
      <c r="CQ280" s="3470"/>
      <c r="CR280" s="3470"/>
      <c r="CS280" s="3470"/>
      <c r="CT280" s="3470"/>
      <c r="CU280" s="3470"/>
      <c r="CV280" s="3470"/>
      <c r="CW280" s="3470"/>
      <c r="CX280" s="3470"/>
      <c r="CY280" s="3470"/>
      <c r="CZ280" s="3470"/>
      <c r="DA280" s="3470"/>
      <c r="DB280" s="3470"/>
      <c r="DC280" s="3470"/>
      <c r="DD280" s="3470"/>
      <c r="DE280" s="3470"/>
      <c r="DF280" s="3470"/>
      <c r="DG280" s="3470"/>
      <c r="DH280" s="3470"/>
      <c r="DI280" s="3470"/>
      <c r="DJ280" s="3470"/>
      <c r="DK280" s="3470"/>
      <c r="DL280" s="3470"/>
      <c r="DM280" s="3470"/>
      <c r="DN280" s="3470"/>
      <c r="DO280" s="3470"/>
      <c r="DP280" s="3470"/>
      <c r="DQ280" s="3470"/>
      <c r="DR280" s="3470"/>
      <c r="DS280" s="3470"/>
      <c r="DT280" s="3470"/>
      <c r="DU280" s="3470"/>
      <c r="DV280" s="3470"/>
      <c r="DW280" s="3470"/>
      <c r="DX280" s="3470"/>
      <c r="DY280" s="3470"/>
      <c r="DZ280" s="3470"/>
      <c r="EA280" s="3470"/>
      <c r="EB280" s="3470"/>
      <c r="EC280" s="3470"/>
      <c r="ED280" s="3470"/>
      <c r="EE280" s="3470"/>
      <c r="EF280" s="3470"/>
      <c r="EG280" s="3470"/>
      <c r="EH280" s="3470"/>
      <c r="EI280" s="3470"/>
      <c r="EJ280" s="3470"/>
      <c r="EK280" s="3470"/>
      <c r="EL280" s="3470"/>
      <c r="EM280" s="3470"/>
      <c r="EN280" s="3470"/>
      <c r="EO280" s="3470"/>
      <c r="EP280" s="3470"/>
      <c r="EQ280" s="3470"/>
      <c r="ER280" s="3470"/>
      <c r="ES280" s="3470"/>
      <c r="ET280" s="3470"/>
      <c r="EU280" s="3470"/>
      <c r="EV280" s="3470"/>
      <c r="EW280" s="3470"/>
      <c r="EX280" s="3470"/>
      <c r="EY280" s="3470"/>
      <c r="EZ280" s="3470"/>
      <c r="FA280" s="3470"/>
      <c r="FB280" s="3470"/>
      <c r="FC280" s="3470"/>
      <c r="FD280" s="3470"/>
      <c r="FE280" s="3470"/>
      <c r="FF280" s="3470"/>
      <c r="FG280" s="3470"/>
      <c r="FH280" s="3470"/>
      <c r="FI280" s="3470"/>
      <c r="FJ280" s="3470"/>
      <c r="FK280" s="3470"/>
      <c r="FL280" s="3470"/>
      <c r="FM280" s="3470"/>
      <c r="FN280" s="3470"/>
      <c r="FO280" s="3470"/>
      <c r="FP280" s="3470"/>
      <c r="FQ280" s="3470"/>
      <c r="FR280" s="3470"/>
      <c r="FS280" s="3470"/>
      <c r="FT280" s="3470"/>
      <c r="FU280" s="3470"/>
      <c r="FV280" s="3470"/>
      <c r="FW280" s="3470"/>
      <c r="FX280" s="3470"/>
      <c r="FY280" s="3470"/>
      <c r="FZ280" s="3470"/>
      <c r="GA280" s="3470"/>
      <c r="GB280" s="3470"/>
      <c r="GC280" s="3470"/>
      <c r="GD280" s="3470"/>
      <c r="GE280" s="3470"/>
      <c r="GF280" s="3470"/>
      <c r="GG280" s="3470"/>
      <c r="GH280" s="3470"/>
      <c r="GI280" s="3470"/>
      <c r="GJ280" s="3470"/>
      <c r="GK280" s="3470"/>
      <c r="GL280" s="3470"/>
      <c r="GM280" s="3470"/>
      <c r="GN280" s="3470"/>
      <c r="GO280" s="3470"/>
      <c r="GP280" s="3470"/>
      <c r="GQ280" s="3470"/>
      <c r="GR280" s="3470"/>
      <c r="GS280" s="3470"/>
      <c r="GT280" s="3470"/>
      <c r="GU280" s="3470"/>
      <c r="GV280" s="3470"/>
      <c r="GW280" s="3470"/>
      <c r="GX280" s="3470"/>
      <c r="GY280" s="3470"/>
      <c r="GZ280" s="3470"/>
      <c r="HA280" s="3470"/>
      <c r="HB280" s="3470"/>
      <c r="HC280" s="3470"/>
      <c r="HD280" s="3470"/>
      <c r="HE280" s="3470"/>
      <c r="HF280" s="3470"/>
      <c r="HG280" s="3470"/>
      <c r="HH280" s="3470"/>
      <c r="HI280" s="3470"/>
      <c r="HJ280" s="3470"/>
      <c r="HK280" s="3470"/>
      <c r="HL280" s="3470"/>
      <c r="HM280" s="3470"/>
      <c r="HN280" s="3470"/>
      <c r="HO280" s="3470"/>
      <c r="HP280" s="3470"/>
      <c r="HQ280" s="3470"/>
      <c r="HR280" s="3470"/>
      <c r="HS280" s="3470"/>
      <c r="HT280" s="3470"/>
      <c r="HU280" s="3470"/>
      <c r="HV280" s="3470"/>
      <c r="HW280" s="3470"/>
      <c r="HX280" s="3470"/>
      <c r="HY280" s="3470"/>
      <c r="HZ280" s="3470"/>
      <c r="IA280" s="3470"/>
      <c r="IB280" s="3470"/>
      <c r="IC280" s="3470"/>
      <c r="ID280" s="3470"/>
      <c r="IE280" s="3470"/>
      <c r="IF280" s="3470"/>
      <c r="IG280" s="3470"/>
      <c r="IH280" s="3470"/>
      <c r="II280" s="3470"/>
      <c r="IJ280" s="3470"/>
      <c r="IK280" s="3470"/>
      <c r="IL280" s="3470"/>
      <c r="IM280" s="3470"/>
      <c r="IN280" s="3470"/>
      <c r="IO280" s="3470"/>
      <c r="IP280" s="3470"/>
      <c r="IQ280" s="3470"/>
      <c r="IR280" s="3470"/>
      <c r="IS280" s="3470"/>
    </row>
    <row r="281" spans="1:253" s="3604" customFormat="1" ht="12" hidden="1">
      <c r="A281" s="3485" t="s">
        <v>5774</v>
      </c>
      <c r="B281" s="3470" t="s">
        <v>5775</v>
      </c>
      <c r="C281" s="3481" t="s">
        <v>5776</v>
      </c>
      <c r="D281" s="3481" t="s">
        <v>5777</v>
      </c>
      <c r="E281" s="3470" t="s">
        <v>2736</v>
      </c>
      <c r="F281" s="3528" t="s">
        <v>3990</v>
      </c>
      <c r="G281" s="3470"/>
      <c r="H281" s="3470" t="s">
        <v>4334</v>
      </c>
      <c r="I281" s="3470" t="s">
        <v>4011</v>
      </c>
      <c r="J281" s="3481" t="s">
        <v>4485</v>
      </c>
      <c r="K281" s="3470" t="s">
        <v>3638</v>
      </c>
      <c r="L281" s="3470">
        <v>133.41</v>
      </c>
      <c r="M281" s="3470">
        <v>9</v>
      </c>
      <c r="N281" s="3470" t="s">
        <v>3632</v>
      </c>
      <c r="O281" s="3470">
        <v>108.06</v>
      </c>
      <c r="P281" s="3470" t="s">
        <v>3452</v>
      </c>
      <c r="Q281" s="3457">
        <v>789787.2</v>
      </c>
      <c r="R281" s="3470">
        <v>5920</v>
      </c>
      <c r="S281" s="3472">
        <v>78.25</v>
      </c>
      <c r="T281" s="3527">
        <v>782500</v>
      </c>
      <c r="U281" s="3470">
        <v>5866</v>
      </c>
      <c r="V281" s="3474">
        <v>0.1</v>
      </c>
      <c r="W281" s="3475">
        <v>70.42</v>
      </c>
      <c r="X281" s="3476">
        <v>704200</v>
      </c>
      <c r="Y281" s="3441">
        <v>2003</v>
      </c>
      <c r="Z281" s="3441">
        <v>5</v>
      </c>
      <c r="AA281" s="3441">
        <v>12</v>
      </c>
      <c r="AB281" s="3485">
        <v>3910</v>
      </c>
      <c r="AC281" s="3470" t="s">
        <v>3544</v>
      </c>
      <c r="AD281" s="3485"/>
      <c r="AE281" s="3441" t="s">
        <v>4914</v>
      </c>
      <c r="AF281" s="3470" t="s">
        <v>3618</v>
      </c>
      <c r="AG281" s="3522" t="s">
        <v>3605</v>
      </c>
      <c r="AH281" s="3485"/>
      <c r="AI281" s="3470" t="s">
        <v>4955</v>
      </c>
      <c r="AJ281" s="3523">
        <v>37992</v>
      </c>
      <c r="AK281" s="3548" t="s">
        <v>4824</v>
      </c>
      <c r="AL281" s="3515">
        <v>67641700</v>
      </c>
      <c r="AM281" s="3441"/>
      <c r="AN281" s="3456" t="s">
        <v>3791</v>
      </c>
      <c r="AO281" s="3470"/>
      <c r="AP281" s="3441" t="s">
        <v>3713</v>
      </c>
      <c r="AQ281" s="3469" t="s">
        <v>5778</v>
      </c>
      <c r="AR281" s="3441"/>
      <c r="AS281" s="3441"/>
      <c r="AT281" s="3441"/>
      <c r="AU281" s="3441"/>
      <c r="AV281" s="3441"/>
      <c r="AW281" s="3441" t="s">
        <v>3458</v>
      </c>
      <c r="AX281" s="3484" t="s">
        <v>3606</v>
      </c>
      <c r="AY281" s="3524" t="s">
        <v>5779</v>
      </c>
      <c r="AZ281" s="3470" t="s">
        <v>3647</v>
      </c>
      <c r="BA281" s="3441" t="s">
        <v>4338</v>
      </c>
      <c r="BB281" s="3524" t="s">
        <v>3997</v>
      </c>
      <c r="BC281" s="3441" t="s">
        <v>4049</v>
      </c>
      <c r="BD281" s="3525">
        <v>100088</v>
      </c>
      <c r="BE281" s="3441">
        <v>82058259</v>
      </c>
      <c r="BF281" s="3526">
        <v>2.9</v>
      </c>
      <c r="BG281" s="3518">
        <v>37663</v>
      </c>
      <c r="BH281" s="3441"/>
      <c r="BI281" s="3486" t="s">
        <v>3721</v>
      </c>
      <c r="BJ281" s="3518">
        <v>37748</v>
      </c>
      <c r="BK281" s="3518">
        <v>37700</v>
      </c>
      <c r="BL281" s="3441" t="s">
        <v>3670</v>
      </c>
      <c r="BM281" s="3441"/>
      <c r="BN281" s="3441"/>
      <c r="BO281" s="3441"/>
      <c r="BP281" s="3441"/>
      <c r="BQ281" s="3441"/>
      <c r="BR281" s="3441"/>
      <c r="BS281" s="3470"/>
      <c r="BT281" s="3470"/>
      <c r="BU281" s="3470"/>
      <c r="BV281" s="3441"/>
      <c r="BW281" s="3441"/>
      <c r="BX281" s="3441"/>
      <c r="BY281" s="3441"/>
      <c r="BZ281" s="3441"/>
      <c r="CA281" s="3441"/>
      <c r="CB281" s="3441"/>
      <c r="CC281" s="3441"/>
      <c r="CD281" s="3441"/>
      <c r="CE281" s="3441"/>
      <c r="CF281" s="3441"/>
      <c r="CG281" s="3441"/>
      <c r="CH281" s="3441"/>
      <c r="CI281" s="3441"/>
      <c r="CJ281" s="3441"/>
      <c r="CK281" s="3441"/>
      <c r="CL281" s="3441"/>
      <c r="CM281" s="3441"/>
      <c r="CN281" s="3441"/>
      <c r="CO281" s="3441"/>
      <c r="CP281" s="3441"/>
      <c r="CQ281" s="3441"/>
      <c r="CR281" s="3441"/>
      <c r="CS281" s="3441"/>
      <c r="CT281" s="3441"/>
      <c r="CU281" s="3441"/>
      <c r="CV281" s="3441"/>
      <c r="CW281" s="3441"/>
      <c r="CX281" s="3441"/>
      <c r="CY281" s="3441"/>
      <c r="CZ281" s="3441"/>
      <c r="DA281" s="3441"/>
      <c r="DB281" s="3441"/>
      <c r="DC281" s="3441"/>
      <c r="DD281" s="3441"/>
      <c r="DE281" s="3441"/>
      <c r="DF281" s="3441"/>
      <c r="DG281" s="3441"/>
      <c r="DH281" s="3441"/>
      <c r="DI281" s="3441"/>
      <c r="DJ281" s="3441"/>
      <c r="DK281" s="3441"/>
      <c r="DL281" s="3441"/>
      <c r="DM281" s="3441"/>
      <c r="DN281" s="3441"/>
      <c r="DO281" s="3441"/>
      <c r="DP281" s="3441"/>
      <c r="DQ281" s="3441"/>
      <c r="DR281" s="3441"/>
      <c r="DS281" s="3441"/>
      <c r="DT281" s="3441"/>
      <c r="DU281" s="3441"/>
      <c r="DV281" s="3441"/>
      <c r="DW281" s="3441"/>
      <c r="DX281" s="3441"/>
      <c r="DY281" s="3441"/>
      <c r="DZ281" s="3441"/>
      <c r="EA281" s="3441"/>
      <c r="EB281" s="3441"/>
      <c r="EC281" s="3441"/>
      <c r="ED281" s="3441"/>
      <c r="EE281" s="3441"/>
      <c r="EF281" s="3441"/>
      <c r="EG281" s="3441"/>
      <c r="EH281" s="3441"/>
      <c r="EI281" s="3441"/>
      <c r="EJ281" s="3441"/>
      <c r="EK281" s="3441"/>
      <c r="EL281" s="3441"/>
      <c r="EM281" s="3441"/>
      <c r="EN281" s="3441"/>
      <c r="EO281" s="3441"/>
      <c r="EP281" s="3441"/>
      <c r="EQ281" s="3441"/>
      <c r="ER281" s="3441"/>
      <c r="ES281" s="3441"/>
      <c r="ET281" s="3441"/>
      <c r="EU281" s="3441"/>
      <c r="EV281" s="3441"/>
      <c r="EW281" s="3441"/>
      <c r="EX281" s="3441"/>
      <c r="EY281" s="3441"/>
      <c r="EZ281" s="3441"/>
      <c r="FA281" s="3441"/>
      <c r="FB281" s="3441"/>
      <c r="FC281" s="3441"/>
      <c r="FD281" s="3441"/>
      <c r="FE281" s="3441"/>
      <c r="FF281" s="3441"/>
      <c r="FG281" s="3441"/>
      <c r="FH281" s="3441"/>
      <c r="FI281" s="3441"/>
      <c r="FJ281" s="3441"/>
      <c r="FK281" s="3441"/>
      <c r="FL281" s="3441"/>
      <c r="FM281" s="3441"/>
      <c r="FN281" s="3441"/>
      <c r="FO281" s="3441"/>
      <c r="FP281" s="3441"/>
      <c r="FQ281" s="3441"/>
      <c r="FR281" s="3441"/>
      <c r="FS281" s="3441"/>
      <c r="FT281" s="3441"/>
      <c r="FU281" s="3441"/>
      <c r="FV281" s="3441"/>
      <c r="FW281" s="3441"/>
      <c r="FX281" s="3441"/>
      <c r="FY281" s="3441"/>
      <c r="FZ281" s="3441"/>
      <c r="GA281" s="3441"/>
      <c r="GB281" s="3441"/>
      <c r="GC281" s="3441"/>
      <c r="GD281" s="3441"/>
      <c r="GE281" s="3441"/>
      <c r="GF281" s="3441"/>
      <c r="GG281" s="3441"/>
      <c r="GH281" s="3441"/>
      <c r="GI281" s="3441"/>
      <c r="GJ281" s="3441"/>
      <c r="GK281" s="3441"/>
      <c r="GL281" s="3441"/>
      <c r="GM281" s="3441"/>
      <c r="GN281" s="3441"/>
      <c r="GO281" s="3441"/>
      <c r="GP281" s="3441"/>
      <c r="GQ281" s="3441"/>
      <c r="GR281" s="3441"/>
      <c r="GS281" s="3441"/>
      <c r="GT281" s="3441"/>
      <c r="GU281" s="3441"/>
      <c r="GV281" s="3441"/>
      <c r="GW281" s="3441"/>
      <c r="GX281" s="3441"/>
      <c r="GY281" s="3441"/>
      <c r="GZ281" s="3441"/>
      <c r="HA281" s="3441"/>
      <c r="HB281" s="3441"/>
      <c r="HC281" s="3441"/>
      <c r="HD281" s="3441"/>
      <c r="HE281" s="3441"/>
      <c r="HF281" s="3441"/>
      <c r="HG281" s="3441"/>
      <c r="HH281" s="3441"/>
      <c r="HI281" s="3441"/>
      <c r="HJ281" s="3441"/>
      <c r="HK281" s="3441"/>
      <c r="HL281" s="3441"/>
      <c r="HM281" s="3441"/>
      <c r="HN281" s="3441"/>
      <c r="HO281" s="3441"/>
      <c r="HP281" s="3441"/>
      <c r="HQ281" s="3441"/>
      <c r="HR281" s="3441"/>
      <c r="HS281" s="3441"/>
      <c r="HT281" s="3441"/>
      <c r="HU281" s="3441"/>
      <c r="HV281" s="3441"/>
      <c r="HW281" s="3441"/>
      <c r="HX281" s="3441"/>
      <c r="HY281" s="3441"/>
      <c r="HZ281" s="3441"/>
      <c r="IA281" s="3441"/>
      <c r="IB281" s="3441"/>
      <c r="IC281" s="3441"/>
      <c r="ID281" s="3441"/>
      <c r="IE281" s="3441"/>
      <c r="IF281" s="3441"/>
      <c r="IG281" s="3441"/>
      <c r="IH281" s="3441"/>
      <c r="II281" s="3441"/>
      <c r="IJ281" s="3441"/>
      <c r="IK281" s="3441"/>
      <c r="IL281" s="3441"/>
      <c r="IM281" s="3441"/>
      <c r="IN281" s="3441"/>
      <c r="IO281" s="3441"/>
      <c r="IP281" s="3441"/>
      <c r="IQ281" s="3441"/>
      <c r="IR281" s="3441"/>
      <c r="IS281" s="3441"/>
    </row>
    <row r="282" spans="1:253" s="3617" customFormat="1" hidden="1">
      <c r="A282" s="3470" t="s">
        <v>5780</v>
      </c>
      <c r="B282" s="3470" t="s">
        <v>5781</v>
      </c>
      <c r="C282" s="3481" t="s">
        <v>5782</v>
      </c>
      <c r="D282" s="3470">
        <v>13301170084</v>
      </c>
      <c r="E282" s="3470" t="s">
        <v>3558</v>
      </c>
      <c r="F282" s="3470" t="s">
        <v>5428</v>
      </c>
      <c r="G282" s="3470"/>
      <c r="H282" s="3470" t="s">
        <v>5429</v>
      </c>
      <c r="I282" s="3470" t="s">
        <v>5783</v>
      </c>
      <c r="J282" s="3470" t="s">
        <v>5784</v>
      </c>
      <c r="K282" s="3470" t="s">
        <v>5708</v>
      </c>
      <c r="L282" s="3470">
        <v>111.03</v>
      </c>
      <c r="M282" s="3470">
        <v>2</v>
      </c>
      <c r="N282" s="3470" t="s">
        <v>4871</v>
      </c>
      <c r="O282" s="3470">
        <v>94.27</v>
      </c>
      <c r="P282" s="3470" t="s">
        <v>3452</v>
      </c>
      <c r="Q282" s="3457">
        <v>533277.09</v>
      </c>
      <c r="R282" s="3470">
        <v>4803</v>
      </c>
      <c r="S282" s="3472">
        <v>52.78</v>
      </c>
      <c r="T282" s="3527">
        <v>527800</v>
      </c>
      <c r="U282" s="3470">
        <v>4754</v>
      </c>
      <c r="V282" s="3474">
        <v>0.1</v>
      </c>
      <c r="W282" s="3475">
        <v>47.5</v>
      </c>
      <c r="X282" s="3494">
        <v>475000</v>
      </c>
      <c r="Y282" s="3470">
        <v>2003</v>
      </c>
      <c r="Z282" s="3470">
        <v>4</v>
      </c>
      <c r="AA282" s="3470">
        <v>25</v>
      </c>
      <c r="AB282" s="3477">
        <v>2635</v>
      </c>
      <c r="AC282" s="3470" t="s">
        <v>4231</v>
      </c>
      <c r="AD282" s="3470"/>
      <c r="AE282" s="3470" t="s">
        <v>3663</v>
      </c>
      <c r="AF282" s="3470" t="s">
        <v>4032</v>
      </c>
      <c r="AG282" s="3470" t="s">
        <v>3466</v>
      </c>
      <c r="AH282" s="3470" t="s">
        <v>3568</v>
      </c>
      <c r="AI282" s="3470" t="s">
        <v>4849</v>
      </c>
      <c r="AJ282" s="3523">
        <v>37772</v>
      </c>
      <c r="AK282" s="3500">
        <v>4</v>
      </c>
      <c r="AL282" s="3470">
        <v>67641700</v>
      </c>
      <c r="AM282" s="3470"/>
      <c r="AN282" s="3469" t="s">
        <v>4427</v>
      </c>
      <c r="AO282" s="3470"/>
      <c r="AP282" s="3441" t="s">
        <v>3713</v>
      </c>
      <c r="AQ282" s="3470" t="s">
        <v>3571</v>
      </c>
      <c r="AR282" s="3470" t="s">
        <v>3568</v>
      </c>
      <c r="AS282" s="3470" t="s">
        <v>3568</v>
      </c>
      <c r="AT282" s="3470" t="s">
        <v>3568</v>
      </c>
      <c r="AU282" s="3470"/>
      <c r="AV282" s="3470"/>
      <c r="AW282" s="3470" t="s">
        <v>3572</v>
      </c>
      <c r="AX282" s="3470" t="s">
        <v>2511</v>
      </c>
      <c r="AY282" s="3481" t="s">
        <v>5785</v>
      </c>
      <c r="AZ282" s="3470" t="s">
        <v>5786</v>
      </c>
      <c r="BA282" s="3470" t="s">
        <v>5787</v>
      </c>
      <c r="BB282" s="3481">
        <v>1101082131202</v>
      </c>
      <c r="BC282" s="3470" t="s">
        <v>5436</v>
      </c>
      <c r="BD282" s="3482">
        <v>102400</v>
      </c>
      <c r="BE282" s="3470">
        <v>62842753</v>
      </c>
      <c r="BF282" s="3483">
        <v>2.8</v>
      </c>
      <c r="BG282" s="3478">
        <v>37560</v>
      </c>
      <c r="BH282" s="3470"/>
      <c r="BI282" s="3441" t="s">
        <v>3700</v>
      </c>
      <c r="BJ282" s="3484">
        <v>37685</v>
      </c>
      <c r="BK282" s="3508"/>
      <c r="BL282" s="3470" t="s">
        <v>3670</v>
      </c>
      <c r="BM282" s="3441"/>
      <c r="BN282" s="3441"/>
      <c r="BO282" s="3441"/>
      <c r="BP282" s="3441"/>
      <c r="BQ282" s="3441"/>
      <c r="BR282" s="3441"/>
      <c r="BS282" s="3470"/>
      <c r="BT282" s="3470"/>
      <c r="BU282" s="3470"/>
      <c r="BV282" s="3470"/>
      <c r="BW282" s="3470"/>
      <c r="BX282" s="3470"/>
      <c r="BY282" s="3470"/>
      <c r="BZ282" s="3470"/>
      <c r="CA282" s="3470"/>
      <c r="CB282" s="3470"/>
      <c r="CC282" s="3470"/>
      <c r="CD282" s="3470"/>
      <c r="CE282" s="3470"/>
      <c r="CF282" s="3470"/>
      <c r="CG282" s="3470"/>
      <c r="CH282" s="3470"/>
      <c r="CI282" s="3470"/>
      <c r="CJ282" s="3470"/>
      <c r="CK282" s="3470"/>
      <c r="CL282" s="3470"/>
      <c r="CM282" s="3470"/>
      <c r="CN282" s="3470"/>
      <c r="CO282" s="3470"/>
      <c r="CP282" s="3470"/>
      <c r="CQ282" s="3470"/>
      <c r="CR282" s="3470"/>
      <c r="CS282" s="3470"/>
      <c r="CT282" s="3470"/>
      <c r="CU282" s="3470"/>
      <c r="CV282" s="3470"/>
      <c r="CW282" s="3470"/>
      <c r="CX282" s="3470"/>
      <c r="CY282" s="3470"/>
      <c r="CZ282" s="3470"/>
      <c r="DA282" s="3470"/>
      <c r="DB282" s="3470"/>
      <c r="DC282" s="3470"/>
      <c r="DD282" s="3470"/>
      <c r="DE282" s="3470"/>
      <c r="DF282" s="3470"/>
      <c r="DG282" s="3470"/>
      <c r="DH282" s="3470"/>
      <c r="DI282" s="3470"/>
      <c r="DJ282" s="3470"/>
      <c r="DK282" s="3470"/>
      <c r="DL282" s="3470"/>
      <c r="DM282" s="3470"/>
      <c r="DN282" s="3470"/>
      <c r="DO282" s="3470"/>
      <c r="DP282" s="3470"/>
      <c r="DQ282" s="3470"/>
      <c r="DR282" s="3470"/>
      <c r="DS282" s="3470"/>
      <c r="DT282" s="3470"/>
      <c r="DU282" s="3470"/>
      <c r="DV282" s="3470"/>
      <c r="DW282" s="3470"/>
      <c r="DX282" s="3470"/>
      <c r="DY282" s="3470"/>
      <c r="DZ282" s="3470"/>
      <c r="EA282" s="3470"/>
      <c r="EB282" s="3470"/>
      <c r="EC282" s="3470"/>
      <c r="ED282" s="3470"/>
      <c r="EE282" s="3470"/>
      <c r="EF282" s="3470"/>
      <c r="EG282" s="3470"/>
      <c r="EH282" s="3470"/>
      <c r="EI282" s="3470"/>
      <c r="EJ282" s="3470"/>
      <c r="EK282" s="3470"/>
      <c r="EL282" s="3470"/>
      <c r="EM282" s="3470"/>
      <c r="EN282" s="3470"/>
      <c r="EO282" s="3470"/>
      <c r="EP282" s="3470"/>
      <c r="EQ282" s="3470"/>
      <c r="ER282" s="3470"/>
      <c r="ES282" s="3470"/>
      <c r="ET282" s="3470"/>
      <c r="EU282" s="3470"/>
      <c r="EV282" s="3470"/>
      <c r="EW282" s="3470"/>
      <c r="EX282" s="3470"/>
      <c r="EY282" s="3470"/>
      <c r="EZ282" s="3470"/>
      <c r="FA282" s="3470"/>
      <c r="FB282" s="3470"/>
      <c r="FC282" s="3470"/>
      <c r="FD282" s="3470"/>
      <c r="FE282" s="3470"/>
      <c r="FF282" s="3470"/>
      <c r="FG282" s="3470"/>
      <c r="FH282" s="3470"/>
      <c r="FI282" s="3470"/>
      <c r="FJ282" s="3470"/>
      <c r="FK282" s="3470"/>
      <c r="FL282" s="3470"/>
      <c r="FM282" s="3470"/>
      <c r="FN282" s="3470"/>
      <c r="FO282" s="3470"/>
      <c r="FP282" s="3470"/>
      <c r="FQ282" s="3470"/>
      <c r="FR282" s="3470"/>
      <c r="FS282" s="3470"/>
      <c r="FT282" s="3470"/>
      <c r="FU282" s="3470"/>
      <c r="FV282" s="3470"/>
      <c r="FW282" s="3470"/>
      <c r="FX282" s="3470"/>
      <c r="FY282" s="3470"/>
      <c r="FZ282" s="3470"/>
      <c r="GA282" s="3470"/>
      <c r="GB282" s="3470"/>
      <c r="GC282" s="3470"/>
      <c r="GD282" s="3470"/>
      <c r="GE282" s="3470"/>
      <c r="GF282" s="3470"/>
      <c r="GG282" s="3470"/>
      <c r="GH282" s="3470"/>
      <c r="GI282" s="3470"/>
      <c r="GJ282" s="3470"/>
      <c r="GK282" s="3470"/>
      <c r="GL282" s="3470"/>
      <c r="GM282" s="3470"/>
      <c r="GN282" s="3470"/>
      <c r="GO282" s="3470"/>
      <c r="GP282" s="3470"/>
      <c r="GQ282" s="3470"/>
      <c r="GR282" s="3470"/>
      <c r="GS282" s="3470"/>
      <c r="GT282" s="3470"/>
      <c r="GU282" s="3470"/>
      <c r="GV282" s="3470"/>
      <c r="GW282" s="3470"/>
      <c r="GX282" s="3470"/>
      <c r="GY282" s="3470"/>
      <c r="GZ282" s="3470"/>
      <c r="HA282" s="3470"/>
      <c r="HB282" s="3470"/>
      <c r="HC282" s="3470"/>
      <c r="HD282" s="3470"/>
      <c r="HE282" s="3470"/>
      <c r="HF282" s="3470"/>
      <c r="HG282" s="3470"/>
      <c r="HH282" s="3470"/>
      <c r="HI282" s="3470"/>
      <c r="HJ282" s="3470"/>
      <c r="HK282" s="3470"/>
      <c r="HL282" s="3470"/>
      <c r="HM282" s="3470"/>
      <c r="HN282" s="3470"/>
      <c r="HO282" s="3470"/>
      <c r="HP282" s="3470"/>
      <c r="HQ282" s="3470"/>
      <c r="HR282" s="3470"/>
      <c r="HS282" s="3470"/>
      <c r="HT282" s="3470"/>
      <c r="HU282" s="3470"/>
      <c r="HV282" s="3470"/>
      <c r="HW282" s="3470"/>
      <c r="HX282" s="3470"/>
      <c r="HY282" s="3470"/>
      <c r="HZ282" s="3470"/>
      <c r="IA282" s="3470"/>
      <c r="IB282" s="3470"/>
      <c r="IC282" s="3470"/>
      <c r="ID282" s="3470"/>
      <c r="IE282" s="3470"/>
      <c r="IF282" s="3470"/>
      <c r="IG282" s="3470"/>
      <c r="IH282" s="3470"/>
      <c r="II282" s="3470"/>
      <c r="IJ282" s="3470"/>
      <c r="IK282" s="3470"/>
      <c r="IL282" s="3470"/>
      <c r="IM282" s="3470"/>
      <c r="IN282" s="3470"/>
      <c r="IO282" s="3470"/>
      <c r="IP282" s="3470"/>
      <c r="IQ282" s="3470"/>
      <c r="IR282" s="3470"/>
      <c r="IS282" s="3470"/>
    </row>
    <row r="283" spans="1:253" s="3617" customFormat="1" hidden="1">
      <c r="A283" s="3485" t="s">
        <v>5788</v>
      </c>
      <c r="B283" s="3470" t="s">
        <v>5789</v>
      </c>
      <c r="C283" s="3481" t="s">
        <v>5790</v>
      </c>
      <c r="D283" s="3481" t="s">
        <v>5791</v>
      </c>
      <c r="E283" s="3470" t="s">
        <v>2736</v>
      </c>
      <c r="F283" s="3528" t="s">
        <v>5792</v>
      </c>
      <c r="G283" s="3470"/>
      <c r="H283" s="3470" t="s">
        <v>5793</v>
      </c>
      <c r="I283" s="3470" t="s">
        <v>4207</v>
      </c>
      <c r="J283" s="3481" t="s">
        <v>3871</v>
      </c>
      <c r="K283" s="3470" t="s">
        <v>4809</v>
      </c>
      <c r="L283" s="3470">
        <v>111.23</v>
      </c>
      <c r="M283" s="3470">
        <v>4</v>
      </c>
      <c r="N283" s="3486" t="s">
        <v>3994</v>
      </c>
      <c r="O283" s="3470">
        <v>97.42</v>
      </c>
      <c r="P283" s="3470" t="s">
        <v>3452</v>
      </c>
      <c r="Q283" s="3457">
        <v>548363.9</v>
      </c>
      <c r="R283" s="3470">
        <v>4930</v>
      </c>
      <c r="S283" s="3472">
        <v>54.28</v>
      </c>
      <c r="T283" s="3554">
        <v>542800</v>
      </c>
      <c r="U283" s="3470">
        <v>4880</v>
      </c>
      <c r="V283" s="3512">
        <v>0.1</v>
      </c>
      <c r="W283" s="3475">
        <v>48.85</v>
      </c>
      <c r="X283" s="3494">
        <v>488500</v>
      </c>
      <c r="Y283" s="3441">
        <v>2003</v>
      </c>
      <c r="Z283" s="3441">
        <v>4</v>
      </c>
      <c r="AA283" s="3441">
        <v>11</v>
      </c>
      <c r="AB283" s="3477">
        <v>2710</v>
      </c>
      <c r="AC283" s="3470" t="s">
        <v>3634</v>
      </c>
      <c r="AD283" s="3485"/>
      <c r="AE283" s="3441" t="s">
        <v>3663</v>
      </c>
      <c r="AF283" s="3470" t="s">
        <v>3587</v>
      </c>
      <c r="AG283" s="3522" t="s">
        <v>3466</v>
      </c>
      <c r="AH283" s="3485"/>
      <c r="AI283" s="3470" t="s">
        <v>3679</v>
      </c>
      <c r="AJ283" s="3523">
        <v>37810</v>
      </c>
      <c r="AK283" s="3500" t="s">
        <v>3484</v>
      </c>
      <c r="AL283" s="3441">
        <v>67641700</v>
      </c>
      <c r="AM283" s="3441"/>
      <c r="AN283" s="3497" t="s">
        <v>3468</v>
      </c>
      <c r="AO283" s="3470" t="s">
        <v>5794</v>
      </c>
      <c r="AP283" s="3456" t="s">
        <v>3721</v>
      </c>
      <c r="AQ283" s="3441" t="s">
        <v>3571</v>
      </c>
      <c r="AR283" s="3441"/>
      <c r="AS283" s="3441"/>
      <c r="AT283" s="3441"/>
      <c r="AU283" s="3441"/>
      <c r="AV283" s="3441"/>
      <c r="AW283" s="3441" t="s">
        <v>3572</v>
      </c>
      <c r="AX283" s="3441"/>
      <c r="AY283" s="3465" t="s">
        <v>5795</v>
      </c>
      <c r="AZ283" s="3441" t="s">
        <v>4811</v>
      </c>
      <c r="BA283" s="3441" t="s">
        <v>4812</v>
      </c>
      <c r="BB283" s="3524" t="s">
        <v>4813</v>
      </c>
      <c r="BC283" s="3441" t="s">
        <v>5796</v>
      </c>
      <c r="BD283" s="3525">
        <v>101500</v>
      </c>
      <c r="BE283" s="3441">
        <v>62964593</v>
      </c>
      <c r="BF283" s="3526">
        <v>2.8</v>
      </c>
      <c r="BG283" s="3478">
        <v>37688</v>
      </c>
      <c r="BH283" s="3441"/>
      <c r="BI283" s="3486" t="s">
        <v>3713</v>
      </c>
      <c r="BJ283" s="3484">
        <v>37720</v>
      </c>
      <c r="BK283" s="3484"/>
      <c r="BL283" s="3441" t="s">
        <v>3623</v>
      </c>
      <c r="BM283" s="3441"/>
      <c r="BN283" s="3441"/>
      <c r="BO283" s="3441"/>
      <c r="BP283" s="3441"/>
      <c r="BQ283" s="3441"/>
      <c r="BR283" s="3441"/>
      <c r="BS283" s="3470"/>
      <c r="BT283" s="3470"/>
      <c r="BU283" s="3470"/>
      <c r="BV283" s="3441"/>
      <c r="BW283" s="3441"/>
      <c r="BX283" s="3441"/>
      <c r="BY283" s="3441"/>
      <c r="BZ283" s="3441"/>
      <c r="CA283" s="3441"/>
      <c r="CB283" s="3441"/>
      <c r="CC283" s="3441"/>
      <c r="CD283" s="3441"/>
      <c r="CE283" s="3441"/>
      <c r="CF283" s="3441"/>
      <c r="CG283" s="3441"/>
      <c r="CH283" s="3441"/>
      <c r="CI283" s="3441"/>
      <c r="CJ283" s="3441"/>
      <c r="CK283" s="3441"/>
      <c r="CL283" s="3441"/>
      <c r="CM283" s="3441"/>
      <c r="CN283" s="3441"/>
      <c r="CO283" s="3441"/>
      <c r="CP283" s="3441"/>
      <c r="CQ283" s="3441"/>
      <c r="CR283" s="3441"/>
      <c r="CS283" s="3441"/>
      <c r="CT283" s="3441"/>
      <c r="CU283" s="3441"/>
      <c r="CV283" s="3441"/>
      <c r="CW283" s="3441"/>
      <c r="CX283" s="3441"/>
      <c r="CY283" s="3441"/>
      <c r="CZ283" s="3441"/>
      <c r="DA283" s="3441"/>
      <c r="DB283" s="3441"/>
      <c r="DC283" s="3441"/>
      <c r="DD283" s="3441"/>
      <c r="DE283" s="3441"/>
      <c r="DF283" s="3441"/>
      <c r="DG283" s="3441"/>
      <c r="DH283" s="3441"/>
      <c r="DI283" s="3441"/>
      <c r="DJ283" s="3441"/>
      <c r="DK283" s="3441"/>
      <c r="DL283" s="3441"/>
      <c r="DM283" s="3441"/>
      <c r="DN283" s="3441"/>
      <c r="DO283" s="3441"/>
      <c r="DP283" s="3441"/>
      <c r="DQ283" s="3441"/>
      <c r="DR283" s="3441"/>
      <c r="DS283" s="3441"/>
      <c r="DT283" s="3441"/>
      <c r="DU283" s="3441"/>
      <c r="DV283" s="3441"/>
      <c r="DW283" s="3441"/>
      <c r="DX283" s="3441"/>
      <c r="DY283" s="3441"/>
      <c r="DZ283" s="3441"/>
      <c r="EA283" s="3441"/>
      <c r="EB283" s="3441"/>
      <c r="EC283" s="3441"/>
      <c r="ED283" s="3441"/>
      <c r="EE283" s="3441"/>
      <c r="EF283" s="3441"/>
      <c r="EG283" s="3441"/>
      <c r="EH283" s="3441"/>
      <c r="EI283" s="3441"/>
      <c r="EJ283" s="3441"/>
      <c r="EK283" s="3441"/>
      <c r="EL283" s="3441"/>
      <c r="EM283" s="3441"/>
      <c r="EN283" s="3441"/>
      <c r="EO283" s="3441"/>
      <c r="EP283" s="3441"/>
      <c r="EQ283" s="3441"/>
      <c r="ER283" s="3441"/>
      <c r="ES283" s="3441"/>
      <c r="ET283" s="3441"/>
      <c r="EU283" s="3441"/>
      <c r="EV283" s="3441"/>
      <c r="EW283" s="3441"/>
      <c r="EX283" s="3441"/>
      <c r="EY283" s="3441"/>
      <c r="EZ283" s="3441"/>
      <c r="FA283" s="3441"/>
      <c r="FB283" s="3441"/>
      <c r="FC283" s="3441"/>
      <c r="FD283" s="3441"/>
      <c r="FE283" s="3441"/>
      <c r="FF283" s="3441"/>
      <c r="FG283" s="3441"/>
      <c r="FH283" s="3441"/>
      <c r="FI283" s="3441"/>
      <c r="FJ283" s="3441"/>
      <c r="FK283" s="3441"/>
      <c r="FL283" s="3441"/>
      <c r="FM283" s="3441"/>
      <c r="FN283" s="3441"/>
      <c r="FO283" s="3441"/>
      <c r="FP283" s="3441"/>
      <c r="FQ283" s="3441"/>
      <c r="FR283" s="3441"/>
      <c r="FS283" s="3441"/>
      <c r="FT283" s="3441"/>
      <c r="FU283" s="3441"/>
      <c r="FV283" s="3441"/>
      <c r="FW283" s="3441"/>
      <c r="FX283" s="3441"/>
      <c r="FY283" s="3441"/>
      <c r="FZ283" s="3441"/>
      <c r="GA283" s="3441"/>
      <c r="GB283" s="3441"/>
      <c r="GC283" s="3441"/>
      <c r="GD283" s="3441"/>
      <c r="GE283" s="3441"/>
      <c r="GF283" s="3441"/>
      <c r="GG283" s="3441"/>
      <c r="GH283" s="3441"/>
      <c r="GI283" s="3441"/>
      <c r="GJ283" s="3441"/>
      <c r="GK283" s="3441"/>
      <c r="GL283" s="3441"/>
      <c r="GM283" s="3441"/>
      <c r="GN283" s="3441"/>
      <c r="GO283" s="3441"/>
      <c r="GP283" s="3441"/>
      <c r="GQ283" s="3441"/>
      <c r="GR283" s="3441"/>
      <c r="GS283" s="3441"/>
      <c r="GT283" s="3441"/>
      <c r="GU283" s="3441"/>
      <c r="GV283" s="3441"/>
      <c r="GW283" s="3441"/>
      <c r="GX283" s="3441"/>
      <c r="GY283" s="3441"/>
      <c r="GZ283" s="3441"/>
      <c r="HA283" s="3441"/>
      <c r="HB283" s="3441"/>
      <c r="HC283" s="3441"/>
      <c r="HD283" s="3441"/>
      <c r="HE283" s="3441"/>
      <c r="HF283" s="3441"/>
      <c r="HG283" s="3441"/>
      <c r="HH283" s="3441"/>
      <c r="HI283" s="3441"/>
      <c r="HJ283" s="3441"/>
      <c r="HK283" s="3441"/>
      <c r="HL283" s="3441"/>
      <c r="HM283" s="3441"/>
      <c r="HN283" s="3441"/>
      <c r="HO283" s="3441"/>
      <c r="HP283" s="3441"/>
      <c r="HQ283" s="3441"/>
      <c r="HR283" s="3441"/>
      <c r="HS283" s="3441"/>
      <c r="HT283" s="3441"/>
      <c r="HU283" s="3441"/>
      <c r="HV283" s="3441"/>
      <c r="HW283" s="3441"/>
      <c r="HX283" s="3441"/>
      <c r="HY283" s="3441"/>
      <c r="HZ283" s="3441"/>
      <c r="IA283" s="3441"/>
      <c r="IB283" s="3441"/>
      <c r="IC283" s="3441"/>
      <c r="ID283" s="3441"/>
      <c r="IE283" s="3441"/>
      <c r="IF283" s="3441"/>
      <c r="IG283" s="3441"/>
      <c r="IH283" s="3441"/>
      <c r="II283" s="3441"/>
      <c r="IJ283" s="3441"/>
      <c r="IK283" s="3441"/>
      <c r="IL283" s="3441"/>
      <c r="IM283" s="3441"/>
      <c r="IN283" s="3441"/>
      <c r="IO283" s="3441"/>
      <c r="IP283" s="3441"/>
      <c r="IQ283" s="3441"/>
      <c r="IR283" s="3441"/>
      <c r="IS283" s="3441"/>
    </row>
    <row r="284" spans="1:253" s="3617" customFormat="1" hidden="1">
      <c r="A284" s="3453" t="s">
        <v>5797</v>
      </c>
      <c r="B284" s="3470" t="s">
        <v>5798</v>
      </c>
      <c r="C284" s="3481" t="s">
        <v>5799</v>
      </c>
      <c r="D284" s="3481" t="s">
        <v>5800</v>
      </c>
      <c r="E284" s="3470" t="s">
        <v>3558</v>
      </c>
      <c r="F284" s="3470" t="s">
        <v>4403</v>
      </c>
      <c r="G284" s="3470" t="s">
        <v>3568</v>
      </c>
      <c r="H284" s="3470" t="s">
        <v>5758</v>
      </c>
      <c r="I284" s="3470" t="s">
        <v>4217</v>
      </c>
      <c r="J284" s="3481" t="s">
        <v>5115</v>
      </c>
      <c r="K284" s="3470" t="s">
        <v>4406</v>
      </c>
      <c r="L284" s="3470">
        <v>123.84</v>
      </c>
      <c r="M284" s="3470">
        <v>1</v>
      </c>
      <c r="N284" s="3470" t="s">
        <v>3632</v>
      </c>
      <c r="O284" s="3470">
        <v>110.68</v>
      </c>
      <c r="P284" s="3470" t="s">
        <v>3452</v>
      </c>
      <c r="Q284" s="3457">
        <v>606816</v>
      </c>
      <c r="R284" s="3470">
        <v>4900</v>
      </c>
      <c r="S284" s="3472">
        <v>60.06</v>
      </c>
      <c r="T284" s="3527">
        <v>600600</v>
      </c>
      <c r="U284" s="3470">
        <v>4850</v>
      </c>
      <c r="V284" s="3474">
        <v>0.1</v>
      </c>
      <c r="W284" s="3475">
        <v>54.05</v>
      </c>
      <c r="X284" s="3473">
        <v>540500</v>
      </c>
      <c r="Y284" s="3441">
        <v>2003</v>
      </c>
      <c r="Z284" s="3441">
        <v>4</v>
      </c>
      <c r="AA284" s="3441">
        <v>17</v>
      </c>
      <c r="AB284" s="3477">
        <v>3000</v>
      </c>
      <c r="AC284" s="3470" t="s">
        <v>4078</v>
      </c>
      <c r="AD284" s="3485"/>
      <c r="AE284" s="3441" t="s">
        <v>3663</v>
      </c>
      <c r="AF284" s="3470" t="s">
        <v>3728</v>
      </c>
      <c r="AG284" s="3522" t="s">
        <v>3466</v>
      </c>
      <c r="AH284" s="3485"/>
      <c r="AI284" s="3470" t="s">
        <v>4849</v>
      </c>
      <c r="AJ284" s="3523">
        <v>37833</v>
      </c>
      <c r="AK284" s="3548">
        <v>4</v>
      </c>
      <c r="AL284" s="3441">
        <v>67641700</v>
      </c>
      <c r="AM284" s="3441"/>
      <c r="AN284" s="3469" t="s">
        <v>3649</v>
      </c>
      <c r="AO284" s="3470" t="s">
        <v>5801</v>
      </c>
      <c r="AP284" s="3456" t="s">
        <v>3721</v>
      </c>
      <c r="AQ284" s="3441" t="s">
        <v>3571</v>
      </c>
      <c r="AR284" s="3441"/>
      <c r="AS284" s="3441"/>
      <c r="AT284" s="3441"/>
      <c r="AU284" s="3441"/>
      <c r="AV284" s="3441"/>
      <c r="AW284" s="3441" t="s">
        <v>3572</v>
      </c>
      <c r="AX284" s="3441" t="s">
        <v>3568</v>
      </c>
      <c r="AY284" s="3524" t="s">
        <v>5802</v>
      </c>
      <c r="AZ284" s="3441" t="s">
        <v>4406</v>
      </c>
      <c r="BA284" s="3441" t="s">
        <v>4409</v>
      </c>
      <c r="BB284" s="3524" t="s">
        <v>4410</v>
      </c>
      <c r="BC284" s="3441" t="s">
        <v>4411</v>
      </c>
      <c r="BD284" s="3525" t="s">
        <v>3568</v>
      </c>
      <c r="BE284" s="3441">
        <v>68152860</v>
      </c>
      <c r="BF284" s="3526">
        <v>2.8</v>
      </c>
      <c r="BG284" s="3518">
        <v>37695</v>
      </c>
      <c r="BH284" s="3441" t="s">
        <v>4412</v>
      </c>
      <c r="BI284" s="3486" t="s">
        <v>3896</v>
      </c>
      <c r="BJ284" s="3514">
        <v>37726</v>
      </c>
      <c r="BK284" s="3484"/>
      <c r="BL284" s="3470" t="s">
        <v>3670</v>
      </c>
      <c r="BM284" s="3441"/>
      <c r="BN284" s="3441"/>
      <c r="BO284" s="3441"/>
      <c r="BP284" s="3441"/>
      <c r="BQ284" s="3441"/>
      <c r="BR284" s="3441"/>
      <c r="BS284" s="3470"/>
      <c r="BT284" s="3470"/>
      <c r="BU284" s="3470"/>
      <c r="BV284" s="3441"/>
      <c r="BW284" s="3441"/>
      <c r="BX284" s="3441"/>
      <c r="BY284" s="3441"/>
      <c r="BZ284" s="3441"/>
      <c r="CA284" s="3441"/>
      <c r="CB284" s="3441"/>
      <c r="CC284" s="3441"/>
      <c r="CD284" s="3441"/>
      <c r="CE284" s="3441"/>
      <c r="CF284" s="3441"/>
      <c r="CG284" s="3441"/>
      <c r="CH284" s="3441"/>
      <c r="CI284" s="3441"/>
      <c r="CJ284" s="3441"/>
      <c r="CK284" s="3441"/>
      <c r="CL284" s="3441"/>
      <c r="CM284" s="3441"/>
      <c r="CN284" s="3441"/>
      <c r="CO284" s="3441"/>
      <c r="CP284" s="3441"/>
      <c r="CQ284" s="3441"/>
      <c r="CR284" s="3441"/>
      <c r="CS284" s="3441"/>
      <c r="CT284" s="3441"/>
      <c r="CU284" s="3441"/>
      <c r="CV284" s="3441"/>
      <c r="CW284" s="3441"/>
      <c r="CX284" s="3441"/>
      <c r="CY284" s="3441"/>
      <c r="CZ284" s="3441"/>
      <c r="DA284" s="3441"/>
      <c r="DB284" s="3441"/>
      <c r="DC284" s="3441"/>
      <c r="DD284" s="3441"/>
      <c r="DE284" s="3441"/>
      <c r="DF284" s="3441"/>
      <c r="DG284" s="3441"/>
      <c r="DH284" s="3441"/>
      <c r="DI284" s="3441"/>
      <c r="DJ284" s="3441"/>
      <c r="DK284" s="3441"/>
      <c r="DL284" s="3441"/>
      <c r="DM284" s="3441"/>
      <c r="DN284" s="3441"/>
      <c r="DO284" s="3441"/>
      <c r="DP284" s="3441"/>
      <c r="DQ284" s="3441"/>
      <c r="DR284" s="3441"/>
      <c r="DS284" s="3441"/>
      <c r="DT284" s="3441"/>
      <c r="DU284" s="3441"/>
      <c r="DV284" s="3441"/>
      <c r="DW284" s="3441"/>
      <c r="DX284" s="3441"/>
      <c r="DY284" s="3441"/>
      <c r="DZ284" s="3441"/>
      <c r="EA284" s="3441"/>
      <c r="EB284" s="3441"/>
      <c r="EC284" s="3441"/>
      <c r="ED284" s="3441"/>
      <c r="EE284" s="3441"/>
      <c r="EF284" s="3441"/>
      <c r="EG284" s="3441"/>
      <c r="EH284" s="3441"/>
      <c r="EI284" s="3441"/>
      <c r="EJ284" s="3441"/>
      <c r="EK284" s="3441"/>
      <c r="EL284" s="3441"/>
      <c r="EM284" s="3441"/>
      <c r="EN284" s="3441"/>
      <c r="EO284" s="3441"/>
      <c r="EP284" s="3441"/>
      <c r="EQ284" s="3441"/>
      <c r="ER284" s="3441"/>
      <c r="ES284" s="3441"/>
      <c r="ET284" s="3441"/>
      <c r="EU284" s="3441"/>
      <c r="EV284" s="3441"/>
      <c r="EW284" s="3441"/>
      <c r="EX284" s="3441"/>
      <c r="EY284" s="3441"/>
      <c r="EZ284" s="3441"/>
      <c r="FA284" s="3441"/>
      <c r="FB284" s="3441"/>
      <c r="FC284" s="3441"/>
      <c r="FD284" s="3441"/>
      <c r="FE284" s="3441"/>
      <c r="FF284" s="3441"/>
      <c r="FG284" s="3441"/>
      <c r="FH284" s="3441"/>
      <c r="FI284" s="3441"/>
      <c r="FJ284" s="3441"/>
      <c r="FK284" s="3441"/>
      <c r="FL284" s="3441"/>
      <c r="FM284" s="3441"/>
      <c r="FN284" s="3441"/>
      <c r="FO284" s="3441"/>
      <c r="FP284" s="3441"/>
      <c r="FQ284" s="3441"/>
      <c r="FR284" s="3441"/>
      <c r="FS284" s="3441"/>
      <c r="FT284" s="3441"/>
      <c r="FU284" s="3441"/>
      <c r="FV284" s="3441"/>
      <c r="FW284" s="3441"/>
      <c r="FX284" s="3441"/>
      <c r="FY284" s="3441"/>
      <c r="FZ284" s="3441"/>
      <c r="GA284" s="3441"/>
      <c r="GB284" s="3441"/>
      <c r="GC284" s="3441"/>
      <c r="GD284" s="3441"/>
      <c r="GE284" s="3441"/>
      <c r="GF284" s="3441"/>
      <c r="GG284" s="3441"/>
      <c r="GH284" s="3441"/>
      <c r="GI284" s="3441"/>
      <c r="GJ284" s="3441"/>
      <c r="GK284" s="3441"/>
      <c r="GL284" s="3441"/>
      <c r="GM284" s="3441"/>
      <c r="GN284" s="3441"/>
      <c r="GO284" s="3441"/>
      <c r="GP284" s="3441"/>
      <c r="GQ284" s="3441"/>
      <c r="GR284" s="3441"/>
      <c r="GS284" s="3441"/>
      <c r="GT284" s="3441"/>
      <c r="GU284" s="3441"/>
      <c r="GV284" s="3441"/>
      <c r="GW284" s="3441"/>
      <c r="GX284" s="3441"/>
      <c r="GY284" s="3441"/>
      <c r="GZ284" s="3441"/>
      <c r="HA284" s="3441"/>
      <c r="HB284" s="3441"/>
      <c r="HC284" s="3441"/>
      <c r="HD284" s="3441"/>
      <c r="HE284" s="3441"/>
      <c r="HF284" s="3441"/>
      <c r="HG284" s="3441"/>
      <c r="HH284" s="3441"/>
      <c r="HI284" s="3441"/>
      <c r="HJ284" s="3441"/>
      <c r="HK284" s="3441"/>
      <c r="HL284" s="3441"/>
      <c r="HM284" s="3441"/>
      <c r="HN284" s="3441"/>
      <c r="HO284" s="3441"/>
      <c r="HP284" s="3441"/>
      <c r="HQ284" s="3441"/>
      <c r="HR284" s="3441"/>
      <c r="HS284" s="3441"/>
      <c r="HT284" s="3441"/>
      <c r="HU284" s="3441"/>
      <c r="HV284" s="3441"/>
      <c r="HW284" s="3441"/>
      <c r="HX284" s="3441"/>
      <c r="HY284" s="3441"/>
      <c r="HZ284" s="3441"/>
      <c r="IA284" s="3441"/>
      <c r="IB284" s="3441"/>
      <c r="IC284" s="3441"/>
      <c r="ID284" s="3441"/>
      <c r="IE284" s="3441"/>
      <c r="IF284" s="3441"/>
      <c r="IG284" s="3441"/>
      <c r="IH284" s="3441"/>
      <c r="II284" s="3441"/>
      <c r="IJ284" s="3441"/>
      <c r="IK284" s="3441"/>
      <c r="IL284" s="3441"/>
      <c r="IM284" s="3441"/>
      <c r="IN284" s="3441"/>
      <c r="IO284" s="3441"/>
      <c r="IP284" s="3441"/>
      <c r="IQ284" s="3441"/>
      <c r="IR284" s="3441"/>
      <c r="IS284" s="3441"/>
    </row>
    <row r="285" spans="1:253" s="3621" customFormat="1" ht="12" hidden="1">
      <c r="A285" s="3543" t="s">
        <v>5803</v>
      </c>
      <c r="B285" s="3456" t="s">
        <v>5804</v>
      </c>
      <c r="C285" s="3509">
        <v>152126731203122</v>
      </c>
      <c r="D285" s="3454" t="s">
        <v>5805</v>
      </c>
      <c r="E285" s="3453" t="s">
        <v>3763</v>
      </c>
      <c r="F285" s="3453" t="s">
        <v>5806</v>
      </c>
      <c r="G285" s="3456"/>
      <c r="H285" s="3453"/>
      <c r="I285" s="3453"/>
      <c r="J285" s="3454" t="s">
        <v>3727</v>
      </c>
      <c r="K285" s="3453" t="s">
        <v>5807</v>
      </c>
      <c r="L285" s="3495">
        <v>77.900000000000006</v>
      </c>
      <c r="M285" s="3495">
        <v>3</v>
      </c>
      <c r="N285" s="3470" t="s">
        <v>3491</v>
      </c>
      <c r="O285" s="3495"/>
      <c r="P285" s="3456" t="s">
        <v>3452</v>
      </c>
      <c r="Q285" s="3547">
        <v>369947.10000000003</v>
      </c>
      <c r="R285" s="3495">
        <v>4749</v>
      </c>
      <c r="S285" s="3472">
        <v>40.31</v>
      </c>
      <c r="T285" s="3527">
        <v>403100</v>
      </c>
      <c r="U285" s="3495">
        <v>5175</v>
      </c>
      <c r="V285" s="3512">
        <v>0.1</v>
      </c>
      <c r="W285" s="3475">
        <v>36.270000000000003</v>
      </c>
      <c r="X285" s="3473">
        <v>362700.00000000006</v>
      </c>
      <c r="Y285" s="3441">
        <v>2003</v>
      </c>
      <c r="Z285" s="3441">
        <v>6</v>
      </c>
      <c r="AA285" s="3441">
        <v>25</v>
      </c>
      <c r="AB285" s="3485">
        <v>2015</v>
      </c>
      <c r="AC285" s="3453" t="s">
        <v>4044</v>
      </c>
      <c r="AD285" s="3455"/>
      <c r="AE285" s="3469" t="s">
        <v>3566</v>
      </c>
      <c r="AF285" s="3453" t="s">
        <v>3493</v>
      </c>
      <c r="AG285" s="3453" t="s">
        <v>3466</v>
      </c>
      <c r="AH285" s="3456"/>
      <c r="AI285" s="3456" t="s">
        <v>3569</v>
      </c>
      <c r="AJ285" s="3535"/>
      <c r="AK285" s="3548">
        <v>6</v>
      </c>
      <c r="AL285" s="3441">
        <v>64256608</v>
      </c>
      <c r="AM285" s="3441"/>
      <c r="AN285" s="3441" t="s">
        <v>3680</v>
      </c>
      <c r="AO285" s="3470"/>
      <c r="AP285" s="3441" t="s">
        <v>3665</v>
      </c>
      <c r="AQ285" s="3456" t="s">
        <v>5808</v>
      </c>
      <c r="AR285" s="3456"/>
      <c r="AS285" s="3456"/>
      <c r="AT285" s="3456"/>
      <c r="AU285" s="3522"/>
      <c r="AV285" s="3519"/>
      <c r="AW285" s="3470" t="s">
        <v>3460</v>
      </c>
      <c r="AX285" s="3441"/>
      <c r="AY285" s="3536"/>
      <c r="AZ285" s="3463"/>
      <c r="BA285" s="3463"/>
      <c r="BB285" s="3466"/>
      <c r="BC285" s="3463"/>
      <c r="BD285" s="3537"/>
      <c r="BE285" s="3463"/>
      <c r="BF285" s="3538"/>
      <c r="BG285" s="3566">
        <v>37694</v>
      </c>
      <c r="BH285" s="3522"/>
      <c r="BI285" s="3470" t="s">
        <v>3569</v>
      </c>
      <c r="BJ285" s="3518">
        <v>37705</v>
      </c>
      <c r="BK285" s="3441"/>
      <c r="BL285" s="3441" t="s">
        <v>5489</v>
      </c>
      <c r="BM285" s="3441"/>
      <c r="BN285" s="3441"/>
      <c r="BO285" s="3441"/>
      <c r="BP285" s="3441"/>
      <c r="BQ285" s="3441"/>
      <c r="BR285" s="3441"/>
      <c r="BS285" s="3470"/>
      <c r="BT285" s="3470"/>
      <c r="BU285" s="3470"/>
      <c r="BV285" s="3456"/>
      <c r="BW285" s="3456"/>
      <c r="BX285" s="3456"/>
      <c r="BY285" s="3456"/>
      <c r="BZ285" s="3456"/>
      <c r="CA285" s="3456"/>
      <c r="CB285" s="3456"/>
      <c r="CC285" s="3456"/>
      <c r="CD285" s="3456"/>
      <c r="CE285" s="3456"/>
      <c r="CF285" s="3456"/>
      <c r="CG285" s="3456"/>
      <c r="CH285" s="3456"/>
      <c r="CI285" s="3456"/>
      <c r="CJ285" s="3456"/>
      <c r="CK285" s="3456"/>
      <c r="CL285" s="3456"/>
      <c r="CM285" s="3456"/>
      <c r="CN285" s="3456"/>
      <c r="CO285" s="3456"/>
      <c r="CP285" s="3456"/>
      <c r="CQ285" s="3456"/>
      <c r="CR285" s="3456"/>
      <c r="CS285" s="3456"/>
      <c r="CT285" s="3456"/>
      <c r="CU285" s="3456"/>
      <c r="CV285" s="3456"/>
      <c r="CW285" s="3456"/>
      <c r="CX285" s="3456"/>
      <c r="CY285" s="3456"/>
      <c r="CZ285" s="3456"/>
      <c r="DA285" s="3456"/>
      <c r="DB285" s="3456"/>
      <c r="DC285" s="3456"/>
      <c r="DD285" s="3456"/>
      <c r="DE285" s="3456"/>
      <c r="DF285" s="3456"/>
      <c r="DG285" s="3456"/>
      <c r="DH285" s="3456"/>
      <c r="DI285" s="3456"/>
      <c r="DJ285" s="3456"/>
      <c r="DK285" s="3456"/>
      <c r="DL285" s="3456"/>
      <c r="DM285" s="3456"/>
      <c r="DN285" s="3456"/>
      <c r="DO285" s="3456"/>
      <c r="DP285" s="3456"/>
      <c r="DQ285" s="3456"/>
      <c r="DR285" s="3456"/>
      <c r="DS285" s="3456"/>
      <c r="DT285" s="3456"/>
      <c r="DU285" s="3456"/>
      <c r="DV285" s="3456"/>
      <c r="DW285" s="3456"/>
      <c r="DX285" s="3456"/>
      <c r="DY285" s="3456"/>
      <c r="DZ285" s="3456"/>
      <c r="EA285" s="3456"/>
      <c r="EB285" s="3456"/>
      <c r="EC285" s="3456"/>
      <c r="ED285" s="3456"/>
      <c r="EE285" s="3456"/>
      <c r="EF285" s="3456"/>
      <c r="EG285" s="3456"/>
      <c r="EH285" s="3456"/>
      <c r="EI285" s="3456"/>
      <c r="EJ285" s="3456"/>
      <c r="EK285" s="3456"/>
      <c r="EL285" s="3456"/>
      <c r="EM285" s="3456"/>
      <c r="EN285" s="3456"/>
      <c r="EO285" s="3456"/>
      <c r="EP285" s="3456"/>
      <c r="EQ285" s="3456"/>
      <c r="ER285" s="3456"/>
      <c r="ES285" s="3456"/>
      <c r="ET285" s="3456"/>
      <c r="EU285" s="3456"/>
      <c r="EV285" s="3456"/>
      <c r="EW285" s="3456"/>
      <c r="EX285" s="3456"/>
      <c r="EY285" s="3456"/>
      <c r="EZ285" s="3456"/>
      <c r="FA285" s="3456"/>
      <c r="FB285" s="3456"/>
      <c r="FC285" s="3456"/>
      <c r="FD285" s="3456"/>
      <c r="FE285" s="3456"/>
      <c r="FF285" s="3456"/>
      <c r="FG285" s="3456"/>
      <c r="FH285" s="3456"/>
      <c r="FI285" s="3456"/>
      <c r="FJ285" s="3456"/>
      <c r="FK285" s="3456"/>
      <c r="FL285" s="3456"/>
      <c r="FM285" s="3456"/>
      <c r="FN285" s="3456"/>
      <c r="FO285" s="3456"/>
      <c r="FP285" s="3456"/>
      <c r="FQ285" s="3456"/>
      <c r="FR285" s="3456"/>
      <c r="FS285" s="3456"/>
      <c r="FT285" s="3456"/>
      <c r="FU285" s="3456"/>
      <c r="FV285" s="3456"/>
      <c r="FW285" s="3456"/>
      <c r="FX285" s="3456"/>
      <c r="FY285" s="3456"/>
      <c r="FZ285" s="3456"/>
      <c r="GA285" s="3456"/>
      <c r="GB285" s="3456"/>
      <c r="GC285" s="3456"/>
      <c r="GD285" s="3456"/>
      <c r="GE285" s="3456"/>
      <c r="GF285" s="3456"/>
      <c r="GG285" s="3456"/>
      <c r="GH285" s="3456"/>
      <c r="GI285" s="3456"/>
      <c r="GJ285" s="3456"/>
      <c r="GK285" s="3456"/>
      <c r="GL285" s="3456"/>
      <c r="GM285" s="3456"/>
      <c r="GN285" s="3456"/>
      <c r="GO285" s="3456"/>
      <c r="GP285" s="3456"/>
      <c r="GQ285" s="3456"/>
      <c r="GR285" s="3456"/>
      <c r="GS285" s="3456"/>
      <c r="GT285" s="3456"/>
      <c r="GU285" s="3456"/>
      <c r="GV285" s="3456"/>
      <c r="GW285" s="3456"/>
      <c r="GX285" s="3456"/>
      <c r="GY285" s="3456"/>
      <c r="GZ285" s="3456"/>
      <c r="HA285" s="3456"/>
      <c r="HB285" s="3456"/>
      <c r="HC285" s="3456"/>
      <c r="HD285" s="3456"/>
      <c r="HE285" s="3456"/>
      <c r="HF285" s="3456"/>
      <c r="HG285" s="3456"/>
      <c r="HH285" s="3456"/>
      <c r="HI285" s="3456"/>
      <c r="HJ285" s="3456"/>
      <c r="HK285" s="3456"/>
      <c r="HL285" s="3456"/>
      <c r="HM285" s="3456"/>
      <c r="HN285" s="3456"/>
      <c r="HO285" s="3456"/>
      <c r="HP285" s="3456"/>
      <c r="HQ285" s="3456"/>
      <c r="HR285" s="3456"/>
      <c r="HS285" s="3456"/>
      <c r="HT285" s="3456"/>
      <c r="HU285" s="3456"/>
      <c r="HV285" s="3456"/>
      <c r="HW285" s="3456"/>
      <c r="HX285" s="3456"/>
      <c r="HY285" s="3456"/>
      <c r="HZ285" s="3456"/>
      <c r="IA285" s="3456"/>
      <c r="IB285" s="3456"/>
      <c r="IC285" s="3456"/>
      <c r="ID285" s="3456"/>
      <c r="IE285" s="3456"/>
      <c r="IF285" s="3456"/>
      <c r="IG285" s="3456"/>
      <c r="IH285" s="3456"/>
      <c r="II285" s="3456"/>
      <c r="IJ285" s="3456"/>
      <c r="IK285" s="3456"/>
      <c r="IL285" s="3456"/>
      <c r="IM285" s="3456"/>
      <c r="IN285" s="3456"/>
      <c r="IO285" s="3456"/>
      <c r="IP285" s="3456"/>
      <c r="IQ285" s="3456"/>
      <c r="IR285" s="3456"/>
      <c r="IS285" s="3456"/>
    </row>
    <row r="286" spans="1:253" s="3617" customFormat="1" hidden="1">
      <c r="A286" s="3485" t="s">
        <v>5809</v>
      </c>
      <c r="B286" s="3470" t="s">
        <v>5810</v>
      </c>
      <c r="C286" s="3481" t="s">
        <v>5811</v>
      </c>
      <c r="D286" s="3481" t="s">
        <v>5812</v>
      </c>
      <c r="E286" s="3470" t="s">
        <v>2736</v>
      </c>
      <c r="F286" s="3521" t="s">
        <v>5813</v>
      </c>
      <c r="G286" s="3470"/>
      <c r="H286" s="3470" t="s">
        <v>5814</v>
      </c>
      <c r="I286" s="3470" t="s">
        <v>4255</v>
      </c>
      <c r="J286" s="3481" t="s">
        <v>3474</v>
      </c>
      <c r="K286" s="3470" t="s">
        <v>5815</v>
      </c>
      <c r="L286" s="3470">
        <v>56.5</v>
      </c>
      <c r="M286" s="3470">
        <v>5</v>
      </c>
      <c r="N286" s="3470" t="s">
        <v>3709</v>
      </c>
      <c r="O286" s="3470"/>
      <c r="P286" s="3470" t="s">
        <v>3452</v>
      </c>
      <c r="Q286" s="3457">
        <v>324988</v>
      </c>
      <c r="R286" s="3470">
        <v>5752</v>
      </c>
      <c r="S286" s="3532">
        <v>28.52</v>
      </c>
      <c r="T286" s="3554">
        <v>285200</v>
      </c>
      <c r="U286" s="3470">
        <v>5049</v>
      </c>
      <c r="V286" s="3474">
        <v>0.1</v>
      </c>
      <c r="W286" s="3475">
        <v>25.66</v>
      </c>
      <c r="X286" s="3473">
        <v>256600</v>
      </c>
      <c r="Y286" s="3470">
        <v>2003</v>
      </c>
      <c r="Z286" s="3441">
        <v>4</v>
      </c>
      <c r="AA286" s="3441">
        <v>2</v>
      </c>
      <c r="AB286" s="3477">
        <v>1425</v>
      </c>
      <c r="AC286" s="3470" t="s">
        <v>4044</v>
      </c>
      <c r="AD286" s="3485"/>
      <c r="AE286" s="3441" t="s">
        <v>3586</v>
      </c>
      <c r="AF286" s="3470" t="s">
        <v>3453</v>
      </c>
      <c r="AG286" s="3555" t="s">
        <v>3605</v>
      </c>
      <c r="AH286" s="3485"/>
      <c r="AI286" s="3470" t="s">
        <v>3589</v>
      </c>
      <c r="AJ286" s="3523"/>
      <c r="AK286" s="3479" t="s">
        <v>3680</v>
      </c>
      <c r="AL286" s="3495">
        <v>64256608</v>
      </c>
      <c r="AM286" s="3441"/>
      <c r="AN286" s="3441"/>
      <c r="AO286" s="3441"/>
      <c r="AP286" s="3456" t="s">
        <v>4045</v>
      </c>
      <c r="AQ286" s="3456" t="s">
        <v>3571</v>
      </c>
      <c r="AR286" s="3441"/>
      <c r="AS286" s="3441"/>
      <c r="AT286" s="3441"/>
      <c r="AU286" s="3441"/>
      <c r="AV286" s="3441"/>
      <c r="AW286" s="3441" t="s">
        <v>5816</v>
      </c>
      <c r="AX286" s="3441"/>
      <c r="AY286" s="3524"/>
      <c r="AZ286" s="3441"/>
      <c r="BA286" s="3441"/>
      <c r="BB286" s="3524"/>
      <c r="BC286" s="3441"/>
      <c r="BD286" s="3525"/>
      <c r="BE286" s="3441"/>
      <c r="BF286" s="3526"/>
      <c r="BG286" s="3518">
        <v>37638</v>
      </c>
      <c r="BH286" s="3441"/>
      <c r="BI286" s="3441" t="s">
        <v>2152</v>
      </c>
      <c r="BJ286" s="3484">
        <v>37707</v>
      </c>
      <c r="BK286" s="3484"/>
      <c r="BL286" s="3470"/>
      <c r="BM286" s="3441"/>
      <c r="BN286" s="3441"/>
      <c r="BO286" s="3441"/>
      <c r="BP286" s="3441"/>
      <c r="BQ286" s="3441"/>
      <c r="BR286" s="3441"/>
      <c r="BS286" s="3470"/>
      <c r="BT286" s="3470"/>
      <c r="BU286" s="3470"/>
      <c r="BV286" s="3441"/>
      <c r="BW286" s="3441"/>
      <c r="BX286" s="3441"/>
      <c r="BY286" s="3441"/>
      <c r="BZ286" s="3441"/>
      <c r="CA286" s="3441"/>
      <c r="CB286" s="3441"/>
      <c r="CC286" s="3441"/>
      <c r="CD286" s="3441"/>
      <c r="CE286" s="3441"/>
      <c r="CF286" s="3441"/>
      <c r="CG286" s="3441"/>
      <c r="CH286" s="3441"/>
      <c r="CI286" s="3441"/>
      <c r="CJ286" s="3441"/>
      <c r="CK286" s="3441"/>
      <c r="CL286" s="3441"/>
      <c r="CM286" s="3441"/>
      <c r="CN286" s="3441"/>
      <c r="CO286" s="3441"/>
      <c r="CP286" s="3441"/>
      <c r="CQ286" s="3441"/>
      <c r="CR286" s="3441"/>
      <c r="CS286" s="3441"/>
      <c r="CT286" s="3441"/>
      <c r="CU286" s="3441"/>
      <c r="CV286" s="3441"/>
      <c r="CW286" s="3441"/>
      <c r="CX286" s="3441"/>
      <c r="CY286" s="3441"/>
      <c r="CZ286" s="3441"/>
      <c r="DA286" s="3441"/>
      <c r="DB286" s="3441"/>
      <c r="DC286" s="3441"/>
      <c r="DD286" s="3441"/>
      <c r="DE286" s="3441"/>
      <c r="DF286" s="3441"/>
      <c r="DG286" s="3441"/>
      <c r="DH286" s="3441"/>
      <c r="DI286" s="3441"/>
      <c r="DJ286" s="3441"/>
      <c r="DK286" s="3441"/>
      <c r="DL286" s="3441"/>
      <c r="DM286" s="3441"/>
      <c r="DN286" s="3441"/>
      <c r="DO286" s="3441"/>
      <c r="DP286" s="3441"/>
      <c r="DQ286" s="3441"/>
      <c r="DR286" s="3441"/>
      <c r="DS286" s="3441"/>
      <c r="DT286" s="3441"/>
      <c r="DU286" s="3441"/>
      <c r="DV286" s="3441"/>
      <c r="DW286" s="3441"/>
      <c r="DX286" s="3441"/>
      <c r="DY286" s="3441"/>
      <c r="DZ286" s="3441"/>
      <c r="EA286" s="3441"/>
      <c r="EB286" s="3441"/>
      <c r="EC286" s="3441"/>
      <c r="ED286" s="3441"/>
      <c r="EE286" s="3441"/>
      <c r="EF286" s="3441"/>
      <c r="EG286" s="3441"/>
      <c r="EH286" s="3441"/>
      <c r="EI286" s="3441"/>
      <c r="EJ286" s="3441"/>
      <c r="EK286" s="3441"/>
      <c r="EL286" s="3441"/>
      <c r="EM286" s="3441"/>
      <c r="EN286" s="3441"/>
      <c r="EO286" s="3441"/>
      <c r="EP286" s="3441"/>
      <c r="EQ286" s="3441"/>
      <c r="ER286" s="3441"/>
      <c r="ES286" s="3441"/>
      <c r="ET286" s="3441"/>
      <c r="EU286" s="3441"/>
      <c r="EV286" s="3441"/>
      <c r="EW286" s="3441"/>
      <c r="EX286" s="3441"/>
      <c r="EY286" s="3441"/>
      <c r="EZ286" s="3441"/>
      <c r="FA286" s="3441"/>
      <c r="FB286" s="3441"/>
      <c r="FC286" s="3441"/>
      <c r="FD286" s="3441"/>
      <c r="FE286" s="3441"/>
      <c r="FF286" s="3441"/>
      <c r="FG286" s="3441"/>
      <c r="FH286" s="3441"/>
      <c r="FI286" s="3441"/>
      <c r="FJ286" s="3441"/>
      <c r="FK286" s="3441"/>
      <c r="FL286" s="3441"/>
      <c r="FM286" s="3441"/>
      <c r="FN286" s="3441"/>
      <c r="FO286" s="3441"/>
      <c r="FP286" s="3441"/>
      <c r="FQ286" s="3441"/>
      <c r="FR286" s="3441"/>
      <c r="FS286" s="3441"/>
      <c r="FT286" s="3441"/>
      <c r="FU286" s="3441"/>
      <c r="FV286" s="3441"/>
      <c r="FW286" s="3441"/>
      <c r="FX286" s="3441"/>
      <c r="FY286" s="3441"/>
      <c r="FZ286" s="3441"/>
      <c r="GA286" s="3441"/>
      <c r="GB286" s="3441"/>
      <c r="GC286" s="3441"/>
      <c r="GD286" s="3441"/>
      <c r="GE286" s="3441"/>
      <c r="GF286" s="3441"/>
      <c r="GG286" s="3441"/>
      <c r="GH286" s="3441"/>
      <c r="GI286" s="3441"/>
      <c r="GJ286" s="3441"/>
      <c r="GK286" s="3441"/>
      <c r="GL286" s="3441"/>
      <c r="GM286" s="3441"/>
      <c r="GN286" s="3441"/>
      <c r="GO286" s="3441"/>
      <c r="GP286" s="3441"/>
      <c r="GQ286" s="3441"/>
      <c r="GR286" s="3441"/>
      <c r="GS286" s="3441"/>
      <c r="GT286" s="3441"/>
      <c r="GU286" s="3441"/>
      <c r="GV286" s="3441"/>
      <c r="GW286" s="3441"/>
      <c r="GX286" s="3441"/>
      <c r="GY286" s="3441"/>
      <c r="GZ286" s="3441"/>
      <c r="HA286" s="3441"/>
      <c r="HB286" s="3441"/>
      <c r="HC286" s="3441"/>
      <c r="HD286" s="3441"/>
      <c r="HE286" s="3441"/>
      <c r="HF286" s="3441"/>
      <c r="HG286" s="3441"/>
      <c r="HH286" s="3441"/>
      <c r="HI286" s="3441"/>
      <c r="HJ286" s="3441"/>
      <c r="HK286" s="3441"/>
      <c r="HL286" s="3441"/>
      <c r="HM286" s="3441"/>
      <c r="HN286" s="3441"/>
      <c r="HO286" s="3441"/>
      <c r="HP286" s="3441"/>
      <c r="HQ286" s="3441"/>
      <c r="HR286" s="3441"/>
      <c r="HS286" s="3441"/>
      <c r="HT286" s="3441"/>
      <c r="HU286" s="3441"/>
      <c r="HV286" s="3441"/>
      <c r="HW286" s="3441"/>
      <c r="HX286" s="3441"/>
      <c r="HY286" s="3441"/>
      <c r="HZ286" s="3441"/>
      <c r="IA286" s="3441"/>
      <c r="IB286" s="3441"/>
      <c r="IC286" s="3441"/>
      <c r="ID286" s="3441"/>
      <c r="IE286" s="3441"/>
      <c r="IF286" s="3441"/>
      <c r="IG286" s="3441"/>
      <c r="IH286" s="3441"/>
      <c r="II286" s="3441"/>
      <c r="IJ286" s="3441"/>
      <c r="IK286" s="3441"/>
      <c r="IL286" s="3441"/>
      <c r="IM286" s="3441"/>
      <c r="IN286" s="3441"/>
      <c r="IO286" s="3441"/>
      <c r="IP286" s="3441"/>
      <c r="IQ286" s="3441"/>
      <c r="IR286" s="3441"/>
      <c r="IS286" s="3441"/>
    </row>
    <row r="287" spans="1:253" s="3622" customFormat="1" ht="12" hidden="1">
      <c r="A287" s="3488" t="s">
        <v>5817</v>
      </c>
      <c r="B287" s="3480" t="s">
        <v>5818</v>
      </c>
      <c r="C287" s="3487" t="s">
        <v>5819</v>
      </c>
      <c r="D287" s="3487" t="s">
        <v>5820</v>
      </c>
      <c r="E287" s="3488" t="s">
        <v>3558</v>
      </c>
      <c r="F287" s="3489" t="s">
        <v>5821</v>
      </c>
      <c r="G287" s="3490"/>
      <c r="H287" s="3486" t="s">
        <v>5822</v>
      </c>
      <c r="I287" s="3486" t="s">
        <v>4548</v>
      </c>
      <c r="J287" s="3488" t="s">
        <v>3474</v>
      </c>
      <c r="K287" s="3490"/>
      <c r="L287" s="3491">
        <v>82</v>
      </c>
      <c r="M287" s="3491">
        <v>5</v>
      </c>
      <c r="N287" s="3570" t="s">
        <v>4030</v>
      </c>
      <c r="O287" s="3491"/>
      <c r="P287" s="3490" t="s">
        <v>3452</v>
      </c>
      <c r="Q287" s="3607">
        <v>339972</v>
      </c>
      <c r="R287" s="3491">
        <v>4146</v>
      </c>
      <c r="S287" s="3549">
        <v>32.99</v>
      </c>
      <c r="T287" s="3608">
        <v>329900</v>
      </c>
      <c r="U287" s="3491">
        <v>4024</v>
      </c>
      <c r="V287" s="3529">
        <v>0.1</v>
      </c>
      <c r="W287" s="3475">
        <v>29.69</v>
      </c>
      <c r="X287" s="3610">
        <v>296900</v>
      </c>
      <c r="Y287" s="3501">
        <v>2003</v>
      </c>
      <c r="Z287" s="3501">
        <v>3</v>
      </c>
      <c r="AA287" s="3501">
        <v>31</v>
      </c>
      <c r="AB287" s="3477">
        <v>1645</v>
      </c>
      <c r="AC287" s="3490" t="s">
        <v>4044</v>
      </c>
      <c r="AD287" s="3496"/>
      <c r="AE287" s="3497" t="s">
        <v>3663</v>
      </c>
      <c r="AF287" s="3486" t="s">
        <v>3493</v>
      </c>
      <c r="AG287" s="3498" t="s">
        <v>3466</v>
      </c>
      <c r="AH287" s="3496"/>
      <c r="AI287" s="3561" t="s">
        <v>3664</v>
      </c>
      <c r="AJ287" s="3499"/>
      <c r="AK287" s="3479" t="s">
        <v>4210</v>
      </c>
      <c r="AL287" s="3501">
        <v>67641700</v>
      </c>
      <c r="AM287" s="3502"/>
      <c r="AN287" s="3469" t="s">
        <v>3484</v>
      </c>
      <c r="AO287" s="3502"/>
      <c r="AP287" s="3497" t="s">
        <v>4834</v>
      </c>
      <c r="AQ287" s="3570" t="s">
        <v>3571</v>
      </c>
      <c r="AR287" s="3502"/>
      <c r="AS287" s="3502"/>
      <c r="AT287" s="3502"/>
      <c r="AU287" s="3502"/>
      <c r="AV287" s="3491"/>
      <c r="AW287" s="3490" t="s">
        <v>5823</v>
      </c>
      <c r="AX287" s="3502"/>
      <c r="AY287" s="3503"/>
      <c r="AZ287" s="3502" t="s">
        <v>5824</v>
      </c>
      <c r="BA287" s="3502"/>
      <c r="BB287" s="3504"/>
      <c r="BC287" s="3501"/>
      <c r="BD287" s="3505"/>
      <c r="BE287" s="3502"/>
      <c r="BF287" s="3506"/>
      <c r="BG287" s="3507">
        <v>37687</v>
      </c>
      <c r="BH287" s="3502" t="s">
        <v>5825</v>
      </c>
      <c r="BI287" s="3463" t="s">
        <v>5826</v>
      </c>
      <c r="BJ287" s="3545">
        <v>37705</v>
      </c>
      <c r="BK287" s="3502"/>
      <c r="BL287" s="3470"/>
      <c r="BM287" s="3441"/>
      <c r="BN287" s="3441"/>
      <c r="BO287" s="3441"/>
      <c r="BP287" s="3441"/>
      <c r="BQ287" s="3441"/>
      <c r="BR287" s="3441"/>
      <c r="BS287" s="3470"/>
      <c r="BT287" s="3470"/>
      <c r="BU287" s="3470"/>
      <c r="BV287" s="3502"/>
      <c r="BW287" s="3502"/>
      <c r="BX287" s="3502"/>
      <c r="BY287" s="3502"/>
      <c r="BZ287" s="3502"/>
      <c r="CA287" s="3502"/>
      <c r="CB287" s="3502"/>
      <c r="CC287" s="3502"/>
      <c r="CD287" s="3502"/>
      <c r="CE287" s="3502"/>
      <c r="CF287" s="3502"/>
      <c r="CG287" s="3502"/>
      <c r="CH287" s="3502"/>
      <c r="CI287" s="3502"/>
      <c r="CJ287" s="3502"/>
      <c r="CK287" s="3502"/>
      <c r="CL287" s="3502"/>
      <c r="CM287" s="3502"/>
      <c r="CN287" s="3502"/>
      <c r="CO287" s="3502"/>
      <c r="CP287" s="3502"/>
      <c r="CQ287" s="3502"/>
      <c r="CR287" s="3502"/>
      <c r="CS287" s="3502"/>
      <c r="CT287" s="3502"/>
      <c r="CU287" s="3502"/>
      <c r="CV287" s="3502"/>
      <c r="CW287" s="3502"/>
      <c r="CX287" s="3502"/>
      <c r="CY287" s="3502"/>
      <c r="CZ287" s="3502"/>
      <c r="DA287" s="3502"/>
      <c r="DB287" s="3502"/>
      <c r="DC287" s="3502"/>
      <c r="DD287" s="3502"/>
      <c r="DE287" s="3502"/>
      <c r="DF287" s="3502"/>
      <c r="DG287" s="3502"/>
      <c r="DH287" s="3502"/>
      <c r="DI287" s="3502"/>
      <c r="DJ287" s="3502"/>
      <c r="DK287" s="3502"/>
      <c r="DL287" s="3502"/>
      <c r="DM287" s="3502"/>
      <c r="DN287" s="3502"/>
      <c r="DO287" s="3502"/>
      <c r="DP287" s="3502"/>
      <c r="DQ287" s="3502"/>
      <c r="DR287" s="3502"/>
      <c r="DS287" s="3502"/>
      <c r="DT287" s="3502"/>
      <c r="DU287" s="3502"/>
      <c r="DV287" s="3502"/>
      <c r="DW287" s="3502"/>
      <c r="DX287" s="3502"/>
      <c r="DY287" s="3502"/>
      <c r="DZ287" s="3502"/>
      <c r="EA287" s="3502"/>
      <c r="EB287" s="3502"/>
      <c r="EC287" s="3502"/>
      <c r="ED287" s="3502"/>
      <c r="EE287" s="3502"/>
      <c r="EF287" s="3502"/>
      <c r="EG287" s="3502"/>
      <c r="EH287" s="3502"/>
      <c r="EI287" s="3502"/>
      <c r="EJ287" s="3502"/>
      <c r="EK287" s="3502"/>
      <c r="EL287" s="3502"/>
      <c r="EM287" s="3502"/>
      <c r="EN287" s="3502"/>
      <c r="EO287" s="3502"/>
      <c r="EP287" s="3502"/>
      <c r="EQ287" s="3502"/>
      <c r="ER287" s="3502"/>
      <c r="ES287" s="3502"/>
      <c r="ET287" s="3502"/>
      <c r="EU287" s="3502"/>
      <c r="EV287" s="3502"/>
      <c r="EW287" s="3502"/>
      <c r="EX287" s="3502"/>
      <c r="EY287" s="3502"/>
      <c r="EZ287" s="3502"/>
      <c r="FA287" s="3502"/>
      <c r="FB287" s="3502"/>
      <c r="FC287" s="3502"/>
      <c r="FD287" s="3502"/>
      <c r="FE287" s="3502"/>
      <c r="FF287" s="3502"/>
      <c r="FG287" s="3502"/>
      <c r="FH287" s="3502"/>
      <c r="FI287" s="3502"/>
      <c r="FJ287" s="3502"/>
      <c r="FK287" s="3502"/>
      <c r="FL287" s="3502"/>
      <c r="FM287" s="3502"/>
      <c r="FN287" s="3502"/>
      <c r="FO287" s="3502"/>
      <c r="FP287" s="3502"/>
      <c r="FQ287" s="3502"/>
      <c r="FR287" s="3502"/>
      <c r="FS287" s="3502"/>
      <c r="FT287" s="3502"/>
      <c r="FU287" s="3502"/>
      <c r="FV287" s="3502"/>
      <c r="FW287" s="3502"/>
      <c r="FX287" s="3502"/>
      <c r="FY287" s="3502"/>
      <c r="FZ287" s="3502"/>
      <c r="GA287" s="3502"/>
      <c r="GB287" s="3502"/>
      <c r="GC287" s="3502"/>
      <c r="GD287" s="3502"/>
      <c r="GE287" s="3502"/>
      <c r="GF287" s="3502"/>
      <c r="GG287" s="3502"/>
      <c r="GH287" s="3502"/>
      <c r="GI287" s="3502"/>
      <c r="GJ287" s="3502"/>
      <c r="GK287" s="3502"/>
      <c r="GL287" s="3502"/>
      <c r="GM287" s="3502"/>
      <c r="GN287" s="3502"/>
      <c r="GO287" s="3502"/>
      <c r="GP287" s="3502"/>
      <c r="GQ287" s="3502"/>
      <c r="GR287" s="3502"/>
      <c r="GS287" s="3502"/>
      <c r="GT287" s="3502"/>
      <c r="GU287" s="3502"/>
      <c r="GV287" s="3502"/>
      <c r="GW287" s="3502"/>
      <c r="GX287" s="3502"/>
      <c r="GY287" s="3502"/>
      <c r="GZ287" s="3502"/>
      <c r="HA287" s="3502"/>
      <c r="HB287" s="3502"/>
      <c r="HC287" s="3502"/>
      <c r="HD287" s="3502"/>
      <c r="HE287" s="3502"/>
      <c r="HF287" s="3502"/>
      <c r="HG287" s="3502"/>
      <c r="HH287" s="3502"/>
      <c r="HI287" s="3502"/>
      <c r="HJ287" s="3502"/>
      <c r="HK287" s="3502"/>
      <c r="HL287" s="3502"/>
      <c r="HM287" s="3502"/>
      <c r="HN287" s="3502"/>
      <c r="HO287" s="3502"/>
      <c r="HP287" s="3502"/>
      <c r="HQ287" s="3502"/>
      <c r="HR287" s="3502"/>
      <c r="HS287" s="3502"/>
      <c r="HT287" s="3502"/>
      <c r="HU287" s="3502"/>
      <c r="HV287" s="3502"/>
      <c r="HW287" s="3502"/>
      <c r="HX287" s="3502"/>
      <c r="HY287" s="3502"/>
      <c r="HZ287" s="3502"/>
      <c r="IA287" s="3502"/>
      <c r="IB287" s="3502"/>
      <c r="IC287" s="3502"/>
      <c r="ID287" s="3502"/>
      <c r="IE287" s="3502"/>
      <c r="IF287" s="3502"/>
      <c r="IG287" s="3502"/>
      <c r="IH287" s="3502"/>
      <c r="II287" s="3502"/>
      <c r="IJ287" s="3502"/>
      <c r="IK287" s="3502"/>
      <c r="IL287" s="3502"/>
      <c r="IM287" s="3502"/>
      <c r="IN287" s="3502"/>
      <c r="IO287" s="3502"/>
      <c r="IP287" s="3502"/>
      <c r="IQ287" s="3502"/>
      <c r="IR287" s="3502"/>
      <c r="IS287" s="3502"/>
    </row>
    <row r="288" spans="1:253" s="3604" customFormat="1" ht="12" hidden="1">
      <c r="A288" s="3485" t="s">
        <v>5827</v>
      </c>
      <c r="B288" s="3470" t="s">
        <v>5828</v>
      </c>
      <c r="C288" s="3481" t="s">
        <v>5829</v>
      </c>
      <c r="D288" s="3481" t="s">
        <v>5830</v>
      </c>
      <c r="E288" s="3470" t="s">
        <v>3538</v>
      </c>
      <c r="F288" s="3528" t="s">
        <v>3628</v>
      </c>
      <c r="G288" s="3470"/>
      <c r="H288" s="3470" t="s">
        <v>4370</v>
      </c>
      <c r="I288" s="3470" t="s">
        <v>4282</v>
      </c>
      <c r="J288" s="3481" t="s">
        <v>4325</v>
      </c>
      <c r="K288" s="3470" t="s">
        <v>3631</v>
      </c>
      <c r="L288" s="3470">
        <v>108.56</v>
      </c>
      <c r="M288" s="3470">
        <v>5</v>
      </c>
      <c r="N288" s="3470" t="s">
        <v>4871</v>
      </c>
      <c r="O288" s="3470">
        <v>87.93</v>
      </c>
      <c r="P288" s="3470" t="s">
        <v>3452</v>
      </c>
      <c r="Q288" s="3457">
        <v>620963.20000000007</v>
      </c>
      <c r="R288" s="3470">
        <v>5720</v>
      </c>
      <c r="S288" s="3472">
        <v>61.48</v>
      </c>
      <c r="T288" s="3527">
        <v>614800</v>
      </c>
      <c r="U288" s="3470">
        <v>5664</v>
      </c>
      <c r="V288" s="3474">
        <v>0.1</v>
      </c>
      <c r="W288" s="3475">
        <v>55.33</v>
      </c>
      <c r="X288" s="3473">
        <v>553300</v>
      </c>
      <c r="Y288" s="3441">
        <v>2003</v>
      </c>
      <c r="Z288" s="3515">
        <v>5</v>
      </c>
      <c r="AA288" s="3515">
        <v>16</v>
      </c>
      <c r="AB288" s="3485">
        <v>3070</v>
      </c>
      <c r="AC288" s="3470" t="s">
        <v>3634</v>
      </c>
      <c r="AD288" s="3485"/>
      <c r="AE288" s="3441" t="s">
        <v>2156</v>
      </c>
      <c r="AF288" s="3470" t="s">
        <v>4152</v>
      </c>
      <c r="AG288" s="3522" t="s">
        <v>3454</v>
      </c>
      <c r="AH288" s="3485"/>
      <c r="AI288" s="3470" t="s">
        <v>3664</v>
      </c>
      <c r="AJ288" s="3523">
        <v>37992</v>
      </c>
      <c r="AK288" s="3548">
        <v>5</v>
      </c>
      <c r="AL288" s="3515">
        <v>67641700</v>
      </c>
      <c r="AM288" s="3441"/>
      <c r="AN288" s="3469" t="s">
        <v>3695</v>
      </c>
      <c r="AO288" s="3470" t="s">
        <v>5831</v>
      </c>
      <c r="AP288" s="3456" t="s">
        <v>3476</v>
      </c>
      <c r="AQ288" s="3469" t="s">
        <v>3571</v>
      </c>
      <c r="AR288" s="3441"/>
      <c r="AS288" s="3441"/>
      <c r="AT288" s="3441"/>
      <c r="AU288" s="3441"/>
      <c r="AV288" s="3441"/>
      <c r="AW288" s="3441" t="s">
        <v>3458</v>
      </c>
      <c r="AX288" s="3484" t="s">
        <v>2420</v>
      </c>
      <c r="AY288" s="3524" t="s">
        <v>5832</v>
      </c>
      <c r="AZ288" s="3470" t="s">
        <v>3647</v>
      </c>
      <c r="BA288" s="3441" t="s">
        <v>4048</v>
      </c>
      <c r="BB288" s="3524" t="s">
        <v>3997</v>
      </c>
      <c r="BC288" s="3441" t="s">
        <v>4049</v>
      </c>
      <c r="BD288" s="3525">
        <v>100088</v>
      </c>
      <c r="BE288" s="3441">
        <v>82058259</v>
      </c>
      <c r="BF288" s="3526">
        <v>2.9</v>
      </c>
      <c r="BG288" s="3518">
        <v>37648</v>
      </c>
      <c r="BH288" s="3441"/>
      <c r="BI288" s="3470" t="s">
        <v>3476</v>
      </c>
      <c r="BJ288" s="3518">
        <v>37711</v>
      </c>
      <c r="BK288" s="3518">
        <v>37756</v>
      </c>
      <c r="BL288" s="3470" t="s">
        <v>3670</v>
      </c>
      <c r="BM288" s="3441"/>
      <c r="BN288" s="3441"/>
      <c r="BO288" s="3441"/>
      <c r="BP288" s="3441"/>
      <c r="BQ288" s="3441"/>
      <c r="BR288" s="3441"/>
      <c r="BS288" s="3470"/>
      <c r="BT288" s="3470"/>
      <c r="BU288" s="3470"/>
      <c r="BV288" s="3441"/>
      <c r="BW288" s="3441"/>
      <c r="BX288" s="3441"/>
      <c r="BY288" s="3441"/>
      <c r="BZ288" s="3441"/>
      <c r="CA288" s="3441"/>
      <c r="CB288" s="3441"/>
      <c r="CC288" s="3441"/>
      <c r="CD288" s="3441"/>
      <c r="CE288" s="3441"/>
      <c r="CF288" s="3441"/>
      <c r="CG288" s="3441"/>
      <c r="CH288" s="3441"/>
      <c r="CI288" s="3441"/>
      <c r="CJ288" s="3441"/>
      <c r="CK288" s="3441"/>
      <c r="CL288" s="3441"/>
      <c r="CM288" s="3441"/>
      <c r="CN288" s="3441"/>
      <c r="CO288" s="3441"/>
      <c r="CP288" s="3441"/>
      <c r="CQ288" s="3441"/>
      <c r="CR288" s="3441"/>
      <c r="CS288" s="3441"/>
      <c r="CT288" s="3441"/>
      <c r="CU288" s="3441"/>
      <c r="CV288" s="3441"/>
      <c r="CW288" s="3441"/>
      <c r="CX288" s="3441"/>
      <c r="CY288" s="3441"/>
      <c r="CZ288" s="3441"/>
      <c r="DA288" s="3441"/>
      <c r="DB288" s="3441"/>
      <c r="DC288" s="3441"/>
      <c r="DD288" s="3441"/>
      <c r="DE288" s="3441"/>
      <c r="DF288" s="3441"/>
      <c r="DG288" s="3441"/>
      <c r="DH288" s="3441"/>
      <c r="DI288" s="3441"/>
      <c r="DJ288" s="3441"/>
      <c r="DK288" s="3441"/>
      <c r="DL288" s="3441"/>
      <c r="DM288" s="3441"/>
      <c r="DN288" s="3441"/>
      <c r="DO288" s="3441"/>
      <c r="DP288" s="3441"/>
      <c r="DQ288" s="3441"/>
      <c r="DR288" s="3441"/>
      <c r="DS288" s="3441"/>
      <c r="DT288" s="3441"/>
      <c r="DU288" s="3441"/>
      <c r="DV288" s="3441"/>
      <c r="DW288" s="3441"/>
      <c r="DX288" s="3441"/>
      <c r="DY288" s="3441"/>
      <c r="DZ288" s="3441"/>
      <c r="EA288" s="3441"/>
      <c r="EB288" s="3441"/>
      <c r="EC288" s="3441"/>
      <c r="ED288" s="3441"/>
      <c r="EE288" s="3441"/>
      <c r="EF288" s="3441"/>
      <c r="EG288" s="3441"/>
      <c r="EH288" s="3441"/>
      <c r="EI288" s="3441"/>
      <c r="EJ288" s="3441"/>
      <c r="EK288" s="3441"/>
      <c r="EL288" s="3441"/>
      <c r="EM288" s="3441"/>
      <c r="EN288" s="3441"/>
      <c r="EO288" s="3441"/>
      <c r="EP288" s="3441"/>
      <c r="EQ288" s="3441"/>
      <c r="ER288" s="3441"/>
      <c r="ES288" s="3441"/>
      <c r="ET288" s="3441"/>
      <c r="EU288" s="3441"/>
      <c r="EV288" s="3441"/>
      <c r="EW288" s="3441"/>
      <c r="EX288" s="3441"/>
      <c r="EY288" s="3441"/>
      <c r="EZ288" s="3441"/>
      <c r="FA288" s="3441"/>
      <c r="FB288" s="3441"/>
      <c r="FC288" s="3441"/>
      <c r="FD288" s="3441"/>
      <c r="FE288" s="3441"/>
      <c r="FF288" s="3441"/>
      <c r="FG288" s="3441"/>
      <c r="FH288" s="3441"/>
      <c r="FI288" s="3441"/>
      <c r="FJ288" s="3441"/>
      <c r="FK288" s="3441"/>
      <c r="FL288" s="3441"/>
      <c r="FM288" s="3441"/>
      <c r="FN288" s="3441"/>
      <c r="FO288" s="3441"/>
      <c r="FP288" s="3441"/>
      <c r="FQ288" s="3441"/>
      <c r="FR288" s="3441"/>
      <c r="FS288" s="3441"/>
      <c r="FT288" s="3441"/>
      <c r="FU288" s="3441"/>
      <c r="FV288" s="3441"/>
      <c r="FW288" s="3441"/>
      <c r="FX288" s="3441"/>
      <c r="FY288" s="3441"/>
      <c r="FZ288" s="3441"/>
      <c r="GA288" s="3441"/>
      <c r="GB288" s="3441"/>
      <c r="GC288" s="3441"/>
      <c r="GD288" s="3441"/>
      <c r="GE288" s="3441"/>
      <c r="GF288" s="3441"/>
      <c r="GG288" s="3441"/>
      <c r="GH288" s="3441"/>
      <c r="GI288" s="3441"/>
      <c r="GJ288" s="3441"/>
      <c r="GK288" s="3441"/>
      <c r="GL288" s="3441"/>
      <c r="GM288" s="3441"/>
      <c r="GN288" s="3441"/>
      <c r="GO288" s="3441"/>
      <c r="GP288" s="3441"/>
      <c r="GQ288" s="3441"/>
      <c r="GR288" s="3441"/>
      <c r="GS288" s="3441"/>
      <c r="GT288" s="3441"/>
      <c r="GU288" s="3441"/>
      <c r="GV288" s="3441"/>
      <c r="GW288" s="3441"/>
      <c r="GX288" s="3441"/>
      <c r="GY288" s="3441"/>
      <c r="GZ288" s="3441"/>
      <c r="HA288" s="3441"/>
      <c r="HB288" s="3441"/>
      <c r="HC288" s="3441"/>
      <c r="HD288" s="3441"/>
      <c r="HE288" s="3441"/>
      <c r="HF288" s="3441"/>
      <c r="HG288" s="3441"/>
      <c r="HH288" s="3441"/>
      <c r="HI288" s="3441"/>
      <c r="HJ288" s="3441"/>
      <c r="HK288" s="3441"/>
      <c r="HL288" s="3441"/>
      <c r="HM288" s="3441"/>
      <c r="HN288" s="3441"/>
      <c r="HO288" s="3441"/>
      <c r="HP288" s="3441"/>
      <c r="HQ288" s="3441"/>
      <c r="HR288" s="3441"/>
      <c r="HS288" s="3441"/>
      <c r="HT288" s="3441"/>
      <c r="HU288" s="3441"/>
      <c r="HV288" s="3441"/>
      <c r="HW288" s="3441"/>
      <c r="HX288" s="3441"/>
      <c r="HY288" s="3441"/>
      <c r="HZ288" s="3441"/>
      <c r="IA288" s="3441"/>
      <c r="IB288" s="3441"/>
      <c r="IC288" s="3441"/>
      <c r="ID288" s="3441"/>
      <c r="IE288" s="3441"/>
      <c r="IF288" s="3441"/>
      <c r="IG288" s="3441"/>
      <c r="IH288" s="3441"/>
      <c r="II288" s="3441"/>
      <c r="IJ288" s="3441"/>
      <c r="IK288" s="3441"/>
      <c r="IL288" s="3441"/>
      <c r="IM288" s="3441"/>
      <c r="IN288" s="3441"/>
      <c r="IO288" s="3441"/>
      <c r="IP288" s="3441"/>
      <c r="IQ288" s="3441"/>
      <c r="IR288" s="3441"/>
      <c r="IS288" s="3441"/>
    </row>
    <row r="289" spans="1:253" s="3604" customFormat="1" ht="12" hidden="1">
      <c r="A289" s="3485" t="s">
        <v>5833</v>
      </c>
      <c r="B289" s="3470" t="s">
        <v>5834</v>
      </c>
      <c r="C289" s="3481" t="s">
        <v>5835</v>
      </c>
      <c r="D289" s="3453">
        <v>13661088021</v>
      </c>
      <c r="E289" s="3470" t="s">
        <v>3558</v>
      </c>
      <c r="F289" s="3470" t="s">
        <v>4403</v>
      </c>
      <c r="G289" s="3470" t="s">
        <v>3568</v>
      </c>
      <c r="H289" s="3470" t="s">
        <v>4273</v>
      </c>
      <c r="I289" s="3470" t="s">
        <v>4173</v>
      </c>
      <c r="J289" s="3481" t="s">
        <v>5288</v>
      </c>
      <c r="K289" s="3470" t="s">
        <v>4406</v>
      </c>
      <c r="L289" s="3470">
        <v>128.91999999999999</v>
      </c>
      <c r="M289" s="3470">
        <v>3</v>
      </c>
      <c r="N289" s="3470" t="s">
        <v>4336</v>
      </c>
      <c r="O289" s="3470">
        <v>115.28</v>
      </c>
      <c r="P289" s="3470" t="s">
        <v>3452</v>
      </c>
      <c r="Q289" s="3457">
        <v>643310.79999999993</v>
      </c>
      <c r="R289" s="3470">
        <v>4990</v>
      </c>
      <c r="S289" s="3472">
        <v>63.68</v>
      </c>
      <c r="T289" s="3527">
        <v>636800</v>
      </c>
      <c r="U289" s="3470">
        <v>4940</v>
      </c>
      <c r="V289" s="3474">
        <v>0.1</v>
      </c>
      <c r="W289" s="3475">
        <v>57.31</v>
      </c>
      <c r="X289" s="3473">
        <v>573100</v>
      </c>
      <c r="Y289" s="3441">
        <v>2003</v>
      </c>
      <c r="Z289" s="3441">
        <v>5</v>
      </c>
      <c r="AA289" s="3470">
        <v>21</v>
      </c>
      <c r="AB289" s="3477">
        <v>3180</v>
      </c>
      <c r="AC289" s="3470" t="s">
        <v>3648</v>
      </c>
      <c r="AD289" s="3485"/>
      <c r="AE289" s="3441" t="s">
        <v>3663</v>
      </c>
      <c r="AF289" s="3470" t="s">
        <v>3604</v>
      </c>
      <c r="AG289" s="3522" t="s">
        <v>3466</v>
      </c>
      <c r="AH289" s="3485"/>
      <c r="AI289" s="3470" t="s">
        <v>3664</v>
      </c>
      <c r="AJ289" s="3523">
        <v>37833</v>
      </c>
      <c r="AK289" s="3548">
        <v>5</v>
      </c>
      <c r="AL289" s="3441">
        <v>67641700</v>
      </c>
      <c r="AM289" s="3441"/>
      <c r="AN289" s="3480" t="s">
        <v>3649</v>
      </c>
      <c r="AO289" s="3470" t="s">
        <v>5836</v>
      </c>
      <c r="AP289" s="3456" t="s">
        <v>3476</v>
      </c>
      <c r="AQ289" s="3441" t="s">
        <v>3571</v>
      </c>
      <c r="AR289" s="3441"/>
      <c r="AS289" s="3441"/>
      <c r="AT289" s="3441"/>
      <c r="AU289" s="3441"/>
      <c r="AV289" s="3441"/>
      <c r="AW289" s="3441" t="s">
        <v>3572</v>
      </c>
      <c r="AX289" s="3441" t="s">
        <v>3568</v>
      </c>
      <c r="AY289" s="3524" t="s">
        <v>5837</v>
      </c>
      <c r="AZ289" s="3441" t="s">
        <v>4406</v>
      </c>
      <c r="BA289" s="3441" t="s">
        <v>4409</v>
      </c>
      <c r="BB289" s="3524" t="s">
        <v>4410</v>
      </c>
      <c r="BC289" s="3441" t="s">
        <v>4411</v>
      </c>
      <c r="BD289" s="3525" t="s">
        <v>3568</v>
      </c>
      <c r="BE289" s="3441">
        <v>68152860</v>
      </c>
      <c r="BF289" s="3526">
        <v>2.8</v>
      </c>
      <c r="BG289" s="3518">
        <v>37702</v>
      </c>
      <c r="BH289" s="3441" t="s">
        <v>4412</v>
      </c>
      <c r="BI289" s="3441" t="s">
        <v>3475</v>
      </c>
      <c r="BJ289" s="3484">
        <v>37761</v>
      </c>
      <c r="BK289" s="3484"/>
      <c r="BL289" s="3470" t="s">
        <v>3670</v>
      </c>
      <c r="BM289" s="3441"/>
      <c r="BN289" s="3441"/>
      <c r="BO289" s="3441"/>
      <c r="BP289" s="3441"/>
      <c r="BQ289" s="3441"/>
      <c r="BR289" s="3441"/>
      <c r="BS289" s="3470"/>
      <c r="BT289" s="3470"/>
      <c r="BU289" s="3470"/>
      <c r="BV289" s="3441"/>
      <c r="BW289" s="3441"/>
      <c r="BX289" s="3441"/>
      <c r="BY289" s="3441"/>
      <c r="BZ289" s="3441"/>
      <c r="CA289" s="3441"/>
      <c r="CB289" s="3441"/>
      <c r="CC289" s="3441"/>
      <c r="CD289" s="3441"/>
      <c r="CE289" s="3441"/>
      <c r="CF289" s="3441"/>
      <c r="CG289" s="3441"/>
      <c r="CH289" s="3441"/>
      <c r="CI289" s="3441"/>
      <c r="CJ289" s="3441"/>
      <c r="CK289" s="3441"/>
      <c r="CL289" s="3441"/>
      <c r="CM289" s="3441"/>
      <c r="CN289" s="3441"/>
      <c r="CO289" s="3441"/>
      <c r="CP289" s="3441"/>
      <c r="CQ289" s="3441"/>
      <c r="CR289" s="3441"/>
      <c r="CS289" s="3441"/>
      <c r="CT289" s="3441"/>
      <c r="CU289" s="3441"/>
      <c r="CV289" s="3441"/>
      <c r="CW289" s="3441"/>
      <c r="CX289" s="3441"/>
      <c r="CY289" s="3441"/>
      <c r="CZ289" s="3441"/>
      <c r="DA289" s="3441"/>
      <c r="DB289" s="3441"/>
      <c r="DC289" s="3441"/>
      <c r="DD289" s="3441"/>
      <c r="DE289" s="3441"/>
      <c r="DF289" s="3441"/>
      <c r="DG289" s="3441"/>
      <c r="DH289" s="3441"/>
      <c r="DI289" s="3441"/>
      <c r="DJ289" s="3441"/>
      <c r="DK289" s="3441"/>
      <c r="DL289" s="3441"/>
      <c r="DM289" s="3441"/>
      <c r="DN289" s="3441"/>
      <c r="DO289" s="3441"/>
      <c r="DP289" s="3441"/>
      <c r="DQ289" s="3441"/>
      <c r="DR289" s="3441"/>
      <c r="DS289" s="3441"/>
      <c r="DT289" s="3441"/>
      <c r="DU289" s="3441"/>
      <c r="DV289" s="3441"/>
      <c r="DW289" s="3441"/>
      <c r="DX289" s="3441"/>
      <c r="DY289" s="3441"/>
      <c r="DZ289" s="3441"/>
      <c r="EA289" s="3441"/>
      <c r="EB289" s="3441"/>
      <c r="EC289" s="3441"/>
      <c r="ED289" s="3441"/>
      <c r="EE289" s="3441"/>
      <c r="EF289" s="3441"/>
      <c r="EG289" s="3441"/>
      <c r="EH289" s="3441"/>
      <c r="EI289" s="3441"/>
      <c r="EJ289" s="3441"/>
      <c r="EK289" s="3441"/>
      <c r="EL289" s="3441"/>
      <c r="EM289" s="3441"/>
      <c r="EN289" s="3441"/>
      <c r="EO289" s="3441"/>
      <c r="EP289" s="3441"/>
      <c r="EQ289" s="3441"/>
      <c r="ER289" s="3441"/>
      <c r="ES289" s="3441"/>
      <c r="ET289" s="3441"/>
      <c r="EU289" s="3441"/>
      <c r="EV289" s="3441"/>
      <c r="EW289" s="3441"/>
      <c r="EX289" s="3441"/>
      <c r="EY289" s="3441"/>
      <c r="EZ289" s="3441"/>
      <c r="FA289" s="3441"/>
      <c r="FB289" s="3441"/>
      <c r="FC289" s="3441"/>
      <c r="FD289" s="3441"/>
      <c r="FE289" s="3441"/>
      <c r="FF289" s="3441"/>
      <c r="FG289" s="3441"/>
      <c r="FH289" s="3441"/>
      <c r="FI289" s="3441"/>
      <c r="FJ289" s="3441"/>
      <c r="FK289" s="3441"/>
      <c r="FL289" s="3441"/>
      <c r="FM289" s="3441"/>
      <c r="FN289" s="3441"/>
      <c r="FO289" s="3441"/>
      <c r="FP289" s="3441"/>
      <c r="FQ289" s="3441"/>
      <c r="FR289" s="3441"/>
      <c r="FS289" s="3441"/>
      <c r="FT289" s="3441"/>
      <c r="FU289" s="3441"/>
      <c r="FV289" s="3441"/>
      <c r="FW289" s="3441"/>
      <c r="FX289" s="3441"/>
      <c r="FY289" s="3441"/>
      <c r="FZ289" s="3441"/>
      <c r="GA289" s="3441"/>
      <c r="GB289" s="3441"/>
      <c r="GC289" s="3441"/>
      <c r="GD289" s="3441"/>
      <c r="GE289" s="3441"/>
      <c r="GF289" s="3441"/>
      <c r="GG289" s="3441"/>
      <c r="GH289" s="3441"/>
      <c r="GI289" s="3441"/>
      <c r="GJ289" s="3441"/>
      <c r="GK289" s="3441"/>
      <c r="GL289" s="3441"/>
      <c r="GM289" s="3441"/>
      <c r="GN289" s="3441"/>
      <c r="GO289" s="3441"/>
      <c r="GP289" s="3441"/>
      <c r="GQ289" s="3441"/>
      <c r="GR289" s="3441"/>
      <c r="GS289" s="3441"/>
      <c r="GT289" s="3441"/>
      <c r="GU289" s="3441"/>
      <c r="GV289" s="3441"/>
      <c r="GW289" s="3441"/>
      <c r="GX289" s="3441"/>
      <c r="GY289" s="3441"/>
      <c r="GZ289" s="3441"/>
      <c r="HA289" s="3441"/>
      <c r="HB289" s="3441"/>
      <c r="HC289" s="3441"/>
      <c r="HD289" s="3441"/>
      <c r="HE289" s="3441"/>
      <c r="HF289" s="3441"/>
      <c r="HG289" s="3441"/>
      <c r="HH289" s="3441"/>
      <c r="HI289" s="3441"/>
      <c r="HJ289" s="3441"/>
      <c r="HK289" s="3441"/>
      <c r="HL289" s="3441"/>
      <c r="HM289" s="3441"/>
      <c r="HN289" s="3441"/>
      <c r="HO289" s="3441"/>
      <c r="HP289" s="3441"/>
      <c r="HQ289" s="3441"/>
      <c r="HR289" s="3441"/>
      <c r="HS289" s="3441"/>
      <c r="HT289" s="3441"/>
      <c r="HU289" s="3441"/>
      <c r="HV289" s="3441"/>
      <c r="HW289" s="3441"/>
      <c r="HX289" s="3441"/>
      <c r="HY289" s="3441"/>
      <c r="HZ289" s="3441"/>
      <c r="IA289" s="3441"/>
      <c r="IB289" s="3441"/>
      <c r="IC289" s="3441"/>
      <c r="ID289" s="3441"/>
      <c r="IE289" s="3441"/>
      <c r="IF289" s="3441"/>
      <c r="IG289" s="3441"/>
      <c r="IH289" s="3441"/>
      <c r="II289" s="3441"/>
      <c r="IJ289" s="3441"/>
      <c r="IK289" s="3441"/>
      <c r="IL289" s="3441"/>
      <c r="IM289" s="3441"/>
      <c r="IN289" s="3441"/>
      <c r="IO289" s="3441"/>
      <c r="IP289" s="3441"/>
      <c r="IQ289" s="3441"/>
      <c r="IR289" s="3441"/>
      <c r="IS289" s="3441"/>
    </row>
    <row r="290" spans="1:253" s="3604" customFormat="1" ht="12" hidden="1">
      <c r="A290" s="3485" t="s">
        <v>5838</v>
      </c>
      <c r="B290" s="3470" t="s">
        <v>5839</v>
      </c>
      <c r="C290" s="3481" t="s">
        <v>5840</v>
      </c>
      <c r="D290" s="3453">
        <v>13681055214</v>
      </c>
      <c r="E290" s="3470" t="s">
        <v>3558</v>
      </c>
      <c r="F290" s="3470" t="s">
        <v>4403</v>
      </c>
      <c r="G290" s="3470" t="s">
        <v>3568</v>
      </c>
      <c r="H290" s="3470" t="s">
        <v>5841</v>
      </c>
      <c r="I290" s="3470" t="s">
        <v>4927</v>
      </c>
      <c r="J290" s="3481" t="s">
        <v>5452</v>
      </c>
      <c r="K290" s="3470" t="s">
        <v>4406</v>
      </c>
      <c r="L290" s="3470">
        <v>102.31</v>
      </c>
      <c r="M290" s="3470">
        <v>4</v>
      </c>
      <c r="N290" s="3470" t="s">
        <v>4043</v>
      </c>
      <c r="O290" s="3470">
        <v>91.44</v>
      </c>
      <c r="P290" s="3470" t="s">
        <v>3452</v>
      </c>
      <c r="Q290" s="3492">
        <v>550427.80000000005</v>
      </c>
      <c r="R290" s="3470">
        <v>5380</v>
      </c>
      <c r="S290" s="3472">
        <v>54.51</v>
      </c>
      <c r="T290" s="3527">
        <v>545100</v>
      </c>
      <c r="U290" s="3470">
        <v>5328</v>
      </c>
      <c r="V290" s="3474">
        <v>0.1</v>
      </c>
      <c r="W290" s="3475">
        <v>49.05</v>
      </c>
      <c r="X290" s="3473">
        <v>490500</v>
      </c>
      <c r="Y290" s="3441">
        <v>2003</v>
      </c>
      <c r="Z290" s="3441">
        <v>5</v>
      </c>
      <c r="AA290" s="3470">
        <v>28</v>
      </c>
      <c r="AB290" s="3477">
        <v>2725</v>
      </c>
      <c r="AC290" s="3470" t="s">
        <v>4078</v>
      </c>
      <c r="AD290" s="3485"/>
      <c r="AE290" s="3441" t="s">
        <v>3663</v>
      </c>
      <c r="AF290" s="3470" t="s">
        <v>4442</v>
      </c>
      <c r="AG290" s="3522" t="s">
        <v>3466</v>
      </c>
      <c r="AH290" s="3485"/>
      <c r="AI290" s="3470" t="s">
        <v>4955</v>
      </c>
      <c r="AJ290" s="3523">
        <v>37833</v>
      </c>
      <c r="AK290" s="3548">
        <v>5</v>
      </c>
      <c r="AL290" s="3441">
        <v>67641700</v>
      </c>
      <c r="AM290" s="3441"/>
      <c r="AN290" s="3480" t="s">
        <v>3768</v>
      </c>
      <c r="AO290" s="3470" t="s">
        <v>5842</v>
      </c>
      <c r="AP290" s="3456" t="s">
        <v>3476</v>
      </c>
      <c r="AQ290" s="3441" t="s">
        <v>3571</v>
      </c>
      <c r="AR290" s="3441"/>
      <c r="AS290" s="3441"/>
      <c r="AT290" s="3441"/>
      <c r="AU290" s="3441"/>
      <c r="AV290" s="3441"/>
      <c r="AW290" s="3441" t="s">
        <v>3572</v>
      </c>
      <c r="AX290" s="3441" t="s">
        <v>3568</v>
      </c>
      <c r="AY290" s="3524" t="s">
        <v>5843</v>
      </c>
      <c r="AZ290" s="3441" t="s">
        <v>4406</v>
      </c>
      <c r="BA290" s="3441" t="s">
        <v>4409</v>
      </c>
      <c r="BB290" s="3524" t="s">
        <v>4410</v>
      </c>
      <c r="BC290" s="3441" t="s">
        <v>4411</v>
      </c>
      <c r="BD290" s="3525" t="s">
        <v>3568</v>
      </c>
      <c r="BE290" s="3441">
        <v>68152860</v>
      </c>
      <c r="BF290" s="3526">
        <v>2.8</v>
      </c>
      <c r="BG290" s="3518">
        <v>37688</v>
      </c>
      <c r="BH290" s="3441" t="s">
        <v>4412</v>
      </c>
      <c r="BI290" s="3441" t="s">
        <v>5844</v>
      </c>
      <c r="BJ290" s="3478">
        <v>37768</v>
      </c>
      <c r="BK290" s="3484"/>
      <c r="BL290" s="3470" t="s">
        <v>3670</v>
      </c>
      <c r="BM290" s="3441"/>
      <c r="BN290" s="3441"/>
      <c r="BO290" s="3441"/>
      <c r="BP290" s="3441"/>
      <c r="BQ290" s="3441"/>
      <c r="BR290" s="3441"/>
      <c r="BS290" s="3470"/>
      <c r="BT290" s="3470"/>
      <c r="BU290" s="3470"/>
    </row>
    <row r="291" spans="1:253" s="3604" customFormat="1" ht="12" hidden="1">
      <c r="A291" s="3485" t="s">
        <v>5845</v>
      </c>
      <c r="B291" s="3470" t="s">
        <v>5846</v>
      </c>
      <c r="C291" s="3481" t="s">
        <v>5847</v>
      </c>
      <c r="D291" s="3453">
        <v>13641335949</v>
      </c>
      <c r="E291" s="3470" t="s">
        <v>3558</v>
      </c>
      <c r="F291" s="3470" t="s">
        <v>4403</v>
      </c>
      <c r="G291" s="3470" t="s">
        <v>3568</v>
      </c>
      <c r="H291" s="3470" t="s">
        <v>5287</v>
      </c>
      <c r="I291" s="3470" t="s">
        <v>4173</v>
      </c>
      <c r="J291" s="3481" t="s">
        <v>5848</v>
      </c>
      <c r="K291" s="3470" t="s">
        <v>4406</v>
      </c>
      <c r="L291" s="3470">
        <v>91.72</v>
      </c>
      <c r="M291" s="3470">
        <v>5</v>
      </c>
      <c r="N291" s="3470" t="s">
        <v>3451</v>
      </c>
      <c r="O291" s="3470">
        <v>81.62</v>
      </c>
      <c r="P291" s="3470" t="s">
        <v>3452</v>
      </c>
      <c r="Q291" s="3492">
        <v>429249.6</v>
      </c>
      <c r="R291" s="3470">
        <v>4680</v>
      </c>
      <c r="S291" s="3472">
        <v>42.46</v>
      </c>
      <c r="T291" s="3527">
        <v>424600</v>
      </c>
      <c r="U291" s="3470">
        <v>4630</v>
      </c>
      <c r="V291" s="3474">
        <v>0.1</v>
      </c>
      <c r="W291" s="3475">
        <v>38.21</v>
      </c>
      <c r="X291" s="3473">
        <v>382100</v>
      </c>
      <c r="Y291" s="3441">
        <v>2003</v>
      </c>
      <c r="Z291" s="3441">
        <v>5</v>
      </c>
      <c r="AA291" s="3470">
        <v>28</v>
      </c>
      <c r="AB291" s="3477">
        <v>2120</v>
      </c>
      <c r="AC291" s="3470" t="s">
        <v>4078</v>
      </c>
      <c r="AD291" s="3485"/>
      <c r="AE291" s="3441" t="s">
        <v>3663</v>
      </c>
      <c r="AF291" s="3470" t="s">
        <v>3604</v>
      </c>
      <c r="AG291" s="3522" t="s">
        <v>3466</v>
      </c>
      <c r="AH291" s="3485"/>
      <c r="AI291" s="3470" t="s">
        <v>3664</v>
      </c>
      <c r="AJ291" s="3523">
        <v>37833</v>
      </c>
      <c r="AK291" s="3548">
        <v>5</v>
      </c>
      <c r="AL291" s="3441">
        <v>67641700</v>
      </c>
      <c r="AM291" s="3441"/>
      <c r="AN291" s="3480" t="s">
        <v>4427</v>
      </c>
      <c r="AO291" s="3470" t="s">
        <v>5849</v>
      </c>
      <c r="AP291" s="3456" t="s">
        <v>3476</v>
      </c>
      <c r="AQ291" s="3441" t="s">
        <v>3571</v>
      </c>
      <c r="AR291" s="3441"/>
      <c r="AS291" s="3441"/>
      <c r="AT291" s="3441"/>
      <c r="AU291" s="3441"/>
      <c r="AV291" s="3441"/>
      <c r="AW291" s="3441" t="s">
        <v>3572</v>
      </c>
      <c r="AX291" s="3441" t="s">
        <v>3568</v>
      </c>
      <c r="AY291" s="3524" t="s">
        <v>5850</v>
      </c>
      <c r="AZ291" s="3441" t="s">
        <v>4406</v>
      </c>
      <c r="BA291" s="3441" t="s">
        <v>4409</v>
      </c>
      <c r="BB291" s="3524" t="s">
        <v>4410</v>
      </c>
      <c r="BC291" s="3441" t="s">
        <v>4411</v>
      </c>
      <c r="BD291" s="3525" t="s">
        <v>3568</v>
      </c>
      <c r="BE291" s="3441">
        <v>68152860</v>
      </c>
      <c r="BF291" s="3526">
        <v>2.8</v>
      </c>
      <c r="BG291" s="3518">
        <v>37702</v>
      </c>
      <c r="BH291" s="3441" t="s">
        <v>4412</v>
      </c>
      <c r="BI291" s="3441" t="s">
        <v>3475</v>
      </c>
      <c r="BJ291" s="3478">
        <v>37768</v>
      </c>
      <c r="BK291" s="3484"/>
      <c r="BL291" s="3470" t="s">
        <v>3670</v>
      </c>
      <c r="BM291" s="3441"/>
      <c r="BN291" s="3441"/>
      <c r="BO291" s="3441"/>
      <c r="BP291" s="3441"/>
      <c r="BQ291" s="3441"/>
      <c r="BR291" s="3441"/>
      <c r="BS291" s="3470"/>
      <c r="BT291" s="3470"/>
      <c r="BU291" s="3470"/>
    </row>
    <row r="292" spans="1:253" s="3617" customFormat="1" hidden="1">
      <c r="A292" s="3453" t="s">
        <v>5851</v>
      </c>
      <c r="B292" s="3470" t="s">
        <v>5852</v>
      </c>
      <c r="C292" s="3481" t="s">
        <v>5853</v>
      </c>
      <c r="D292" s="3481" t="s">
        <v>5854</v>
      </c>
      <c r="E292" s="3470" t="s">
        <v>3558</v>
      </c>
      <c r="F292" s="3470" t="s">
        <v>4403</v>
      </c>
      <c r="G292" s="3470" t="s">
        <v>3568</v>
      </c>
      <c r="H292" s="3470" t="s">
        <v>4273</v>
      </c>
      <c r="I292" s="3470" t="s">
        <v>4548</v>
      </c>
      <c r="J292" s="3481" t="s">
        <v>5295</v>
      </c>
      <c r="K292" s="3470" t="s">
        <v>4406</v>
      </c>
      <c r="L292" s="3470">
        <v>122.42</v>
      </c>
      <c r="M292" s="3470">
        <v>2</v>
      </c>
      <c r="N292" s="3470" t="s">
        <v>3488</v>
      </c>
      <c r="O292" s="3470">
        <v>109.47</v>
      </c>
      <c r="P292" s="3470" t="s">
        <v>3452</v>
      </c>
      <c r="Q292" s="3457">
        <v>598633.80000000005</v>
      </c>
      <c r="R292" s="3470">
        <v>4890</v>
      </c>
      <c r="S292" s="3472">
        <v>59.26</v>
      </c>
      <c r="T292" s="3527">
        <v>592600</v>
      </c>
      <c r="U292" s="3470">
        <v>4841</v>
      </c>
      <c r="V292" s="3474">
        <v>0.1</v>
      </c>
      <c r="W292" s="3475">
        <v>53.33</v>
      </c>
      <c r="X292" s="3473">
        <v>533300</v>
      </c>
      <c r="Y292" s="3441">
        <v>2003</v>
      </c>
      <c r="Z292" s="3441">
        <v>4</v>
      </c>
      <c r="AA292" s="3441">
        <v>3</v>
      </c>
      <c r="AB292" s="3477">
        <v>2960</v>
      </c>
      <c r="AC292" s="3470" t="s">
        <v>3585</v>
      </c>
      <c r="AD292" s="3485"/>
      <c r="AE292" s="3441" t="s">
        <v>3663</v>
      </c>
      <c r="AF292" s="3470" t="s">
        <v>3728</v>
      </c>
      <c r="AG292" s="3522" t="s">
        <v>3466</v>
      </c>
      <c r="AH292" s="3485"/>
      <c r="AI292" s="3470" t="s">
        <v>3679</v>
      </c>
      <c r="AJ292" s="3523">
        <v>37833</v>
      </c>
      <c r="AK292" s="3548">
        <v>4</v>
      </c>
      <c r="AL292" s="3441">
        <v>67641700</v>
      </c>
      <c r="AM292" s="3441"/>
      <c r="AN292" s="3480" t="s">
        <v>3456</v>
      </c>
      <c r="AO292" s="3470" t="s">
        <v>5855</v>
      </c>
      <c r="AP292" s="3441" t="s">
        <v>3896</v>
      </c>
      <c r="AQ292" s="3441" t="s">
        <v>3571</v>
      </c>
      <c r="AR292" s="3441"/>
      <c r="AS292" s="3441"/>
      <c r="AT292" s="3441"/>
      <c r="AU292" s="3441"/>
      <c r="AV292" s="3441"/>
      <c r="AW292" s="3441" t="s">
        <v>3572</v>
      </c>
      <c r="AX292" s="3441" t="s">
        <v>3568</v>
      </c>
      <c r="AY292" s="3524" t="s">
        <v>5856</v>
      </c>
      <c r="AZ292" s="3441" t="s">
        <v>4406</v>
      </c>
      <c r="BA292" s="3441" t="s">
        <v>4409</v>
      </c>
      <c r="BB292" s="3524" t="s">
        <v>4410</v>
      </c>
      <c r="BC292" s="3441" t="s">
        <v>4411</v>
      </c>
      <c r="BD292" s="3525" t="s">
        <v>3568</v>
      </c>
      <c r="BE292" s="3441">
        <v>68152860</v>
      </c>
      <c r="BF292" s="3526">
        <v>2.8</v>
      </c>
      <c r="BG292" s="3518">
        <v>37642</v>
      </c>
      <c r="BH292" s="3441" t="s">
        <v>4412</v>
      </c>
      <c r="BI292" s="3486" t="s">
        <v>3721</v>
      </c>
      <c r="BJ292" s="3484">
        <v>37712</v>
      </c>
      <c r="BK292" s="3484"/>
      <c r="BL292" s="3470" t="s">
        <v>3670</v>
      </c>
      <c r="BM292" s="3441"/>
      <c r="BN292" s="3441"/>
      <c r="BO292" s="3441"/>
      <c r="BP292" s="3441"/>
      <c r="BQ292" s="3441"/>
      <c r="BR292" s="3441"/>
      <c r="BS292" s="3470"/>
      <c r="BT292" s="3470"/>
      <c r="BU292" s="3470"/>
      <c r="BV292" s="3604"/>
      <c r="BW292" s="3604"/>
      <c r="BX292" s="3604"/>
      <c r="BY292" s="3604"/>
      <c r="BZ292" s="3604"/>
      <c r="CA292" s="3604"/>
      <c r="CB292" s="3604"/>
      <c r="CC292" s="3604"/>
      <c r="CD292" s="3604"/>
      <c r="CE292" s="3604"/>
      <c r="CF292" s="3604"/>
      <c r="CG292" s="3604"/>
      <c r="CH292" s="3604"/>
      <c r="CI292" s="3604"/>
      <c r="CJ292" s="3604"/>
      <c r="CK292" s="3604"/>
      <c r="CL292" s="3604"/>
      <c r="CM292" s="3604"/>
      <c r="CN292" s="3604"/>
      <c r="CO292" s="3604"/>
      <c r="CP292" s="3604"/>
      <c r="CQ292" s="3604"/>
      <c r="CR292" s="3604"/>
      <c r="CS292" s="3604"/>
      <c r="CT292" s="3604"/>
      <c r="CU292" s="3604"/>
      <c r="CV292" s="3604"/>
      <c r="CW292" s="3604"/>
      <c r="CX292" s="3604"/>
      <c r="CY292" s="3604"/>
      <c r="CZ292" s="3604"/>
      <c r="DA292" s="3604"/>
      <c r="DB292" s="3604"/>
      <c r="DC292" s="3604"/>
      <c r="DD292" s="3604"/>
      <c r="DE292" s="3604"/>
      <c r="DF292" s="3604"/>
      <c r="DG292" s="3604"/>
      <c r="DH292" s="3604"/>
      <c r="DI292" s="3604"/>
      <c r="DJ292" s="3604"/>
      <c r="DK292" s="3604"/>
      <c r="DL292" s="3604"/>
      <c r="DM292" s="3604"/>
      <c r="DN292" s="3604"/>
      <c r="DO292" s="3604"/>
      <c r="DP292" s="3604"/>
      <c r="DQ292" s="3604"/>
      <c r="DR292" s="3604"/>
      <c r="DS292" s="3604"/>
      <c r="DT292" s="3604"/>
      <c r="DU292" s="3604"/>
      <c r="DV292" s="3604"/>
      <c r="DW292" s="3604"/>
      <c r="DX292" s="3604"/>
      <c r="DY292" s="3604"/>
      <c r="DZ292" s="3604"/>
      <c r="EA292" s="3604"/>
      <c r="EB292" s="3604"/>
      <c r="EC292" s="3604"/>
      <c r="ED292" s="3604"/>
      <c r="EE292" s="3604"/>
      <c r="EF292" s="3604"/>
      <c r="EG292" s="3604"/>
      <c r="EH292" s="3604"/>
      <c r="EI292" s="3604"/>
      <c r="EJ292" s="3604"/>
      <c r="EK292" s="3604"/>
      <c r="EL292" s="3604"/>
      <c r="EM292" s="3604"/>
      <c r="EN292" s="3604"/>
      <c r="EO292" s="3604"/>
      <c r="EP292" s="3604"/>
      <c r="EQ292" s="3604"/>
      <c r="ER292" s="3604"/>
      <c r="ES292" s="3604"/>
      <c r="ET292" s="3604"/>
      <c r="EU292" s="3604"/>
      <c r="EV292" s="3604"/>
      <c r="EW292" s="3604"/>
      <c r="EX292" s="3604"/>
      <c r="EY292" s="3604"/>
      <c r="EZ292" s="3604"/>
      <c r="FA292" s="3604"/>
      <c r="FB292" s="3604"/>
      <c r="FC292" s="3604"/>
      <c r="FD292" s="3604"/>
      <c r="FE292" s="3604"/>
      <c r="FF292" s="3604"/>
      <c r="FG292" s="3604"/>
      <c r="FH292" s="3604"/>
      <c r="FI292" s="3604"/>
      <c r="FJ292" s="3604"/>
      <c r="FK292" s="3604"/>
      <c r="FL292" s="3604"/>
      <c r="FM292" s="3604"/>
      <c r="FN292" s="3604"/>
      <c r="FO292" s="3604"/>
      <c r="FP292" s="3604"/>
      <c r="FQ292" s="3604"/>
      <c r="FR292" s="3604"/>
      <c r="FS292" s="3604"/>
      <c r="FT292" s="3604"/>
      <c r="FU292" s="3604"/>
      <c r="FV292" s="3604"/>
      <c r="FW292" s="3604"/>
      <c r="FX292" s="3604"/>
      <c r="FY292" s="3604"/>
      <c r="FZ292" s="3604"/>
      <c r="GA292" s="3604"/>
      <c r="GB292" s="3604"/>
      <c r="GC292" s="3604"/>
      <c r="GD292" s="3604"/>
      <c r="GE292" s="3604"/>
      <c r="GF292" s="3604"/>
      <c r="GG292" s="3604"/>
      <c r="GH292" s="3604"/>
      <c r="GI292" s="3604"/>
      <c r="GJ292" s="3604"/>
      <c r="GK292" s="3604"/>
      <c r="GL292" s="3604"/>
      <c r="GM292" s="3604"/>
      <c r="GN292" s="3604"/>
      <c r="GO292" s="3604"/>
      <c r="GP292" s="3604"/>
      <c r="GQ292" s="3604"/>
      <c r="GR292" s="3604"/>
      <c r="GS292" s="3604"/>
      <c r="GT292" s="3604"/>
      <c r="GU292" s="3604"/>
      <c r="GV292" s="3604"/>
      <c r="GW292" s="3604"/>
      <c r="GX292" s="3604"/>
      <c r="GY292" s="3604"/>
      <c r="GZ292" s="3604"/>
      <c r="HA292" s="3604"/>
      <c r="HB292" s="3604"/>
      <c r="HC292" s="3604"/>
      <c r="HD292" s="3604"/>
      <c r="HE292" s="3604"/>
      <c r="HF292" s="3604"/>
      <c r="HG292" s="3604"/>
      <c r="HH292" s="3604"/>
      <c r="HI292" s="3604"/>
      <c r="HJ292" s="3604"/>
      <c r="HK292" s="3604"/>
      <c r="HL292" s="3604"/>
      <c r="HM292" s="3604"/>
      <c r="HN292" s="3604"/>
      <c r="HO292" s="3604"/>
      <c r="HP292" s="3604"/>
      <c r="HQ292" s="3604"/>
      <c r="HR292" s="3604"/>
      <c r="HS292" s="3604"/>
      <c r="HT292" s="3604"/>
      <c r="HU292" s="3604"/>
      <c r="HV292" s="3604"/>
      <c r="HW292" s="3604"/>
      <c r="HX292" s="3604"/>
      <c r="HY292" s="3604"/>
      <c r="HZ292" s="3604"/>
      <c r="IA292" s="3604"/>
      <c r="IB292" s="3604"/>
      <c r="IC292" s="3604"/>
      <c r="ID292" s="3604"/>
      <c r="IE292" s="3604"/>
      <c r="IF292" s="3604"/>
      <c r="IG292" s="3604"/>
      <c r="IH292" s="3604"/>
      <c r="II292" s="3604"/>
      <c r="IJ292" s="3604"/>
      <c r="IK292" s="3604"/>
      <c r="IL292" s="3604"/>
      <c r="IM292" s="3604"/>
      <c r="IN292" s="3604"/>
      <c r="IO292" s="3604"/>
      <c r="IP292" s="3604"/>
      <c r="IQ292" s="3604"/>
      <c r="IR292" s="3604"/>
      <c r="IS292" s="3604"/>
    </row>
    <row r="293" spans="1:253" s="3617" customFormat="1" hidden="1">
      <c r="A293" s="3470" t="s">
        <v>5857</v>
      </c>
      <c r="B293" s="3470" t="s">
        <v>5858</v>
      </c>
      <c r="C293" s="3481" t="s">
        <v>5859</v>
      </c>
      <c r="D293" s="3481" t="s">
        <v>5860</v>
      </c>
      <c r="E293" s="3470" t="s">
        <v>3558</v>
      </c>
      <c r="F293" s="3521" t="s">
        <v>3613</v>
      </c>
      <c r="G293" s="3470"/>
      <c r="H293" s="3470" t="s">
        <v>5861</v>
      </c>
      <c r="I293" s="3470" t="s">
        <v>4207</v>
      </c>
      <c r="J293" s="3481" t="s">
        <v>5862</v>
      </c>
      <c r="K293" s="3470" t="s">
        <v>3968</v>
      </c>
      <c r="L293" s="3470">
        <v>129.01</v>
      </c>
      <c r="M293" s="3470">
        <v>3</v>
      </c>
      <c r="N293" s="3470" t="s">
        <v>4336</v>
      </c>
      <c r="O293" s="3470">
        <v>117.87</v>
      </c>
      <c r="P293" s="3470" t="s">
        <v>3452</v>
      </c>
      <c r="Q293" s="3457">
        <v>572726.99399999995</v>
      </c>
      <c r="R293" s="3470">
        <v>4439.3999999999996</v>
      </c>
      <c r="S293" s="3472">
        <v>56.63</v>
      </c>
      <c r="T293" s="3527">
        <v>566300</v>
      </c>
      <c r="U293" s="3470">
        <v>4390</v>
      </c>
      <c r="V293" s="3474">
        <v>0.1</v>
      </c>
      <c r="W293" s="3475">
        <v>50.96</v>
      </c>
      <c r="X293" s="3473">
        <v>509600</v>
      </c>
      <c r="Y293" s="3441">
        <v>2003</v>
      </c>
      <c r="Z293" s="3441">
        <v>4</v>
      </c>
      <c r="AA293" s="3441">
        <v>9</v>
      </c>
      <c r="AB293" s="3485">
        <v>2830</v>
      </c>
      <c r="AC293" s="3470" t="s">
        <v>3544</v>
      </c>
      <c r="AD293" s="3485"/>
      <c r="AE293" s="3441" t="s">
        <v>3663</v>
      </c>
      <c r="AF293" s="3453" t="s">
        <v>4442</v>
      </c>
      <c r="AG293" s="3522" t="s">
        <v>3466</v>
      </c>
      <c r="AH293" s="3485"/>
      <c r="AI293" s="3470" t="s">
        <v>3679</v>
      </c>
      <c r="AJ293" s="3523">
        <v>37894</v>
      </c>
      <c r="AK293" s="3500" t="s">
        <v>3484</v>
      </c>
      <c r="AL293" s="3441">
        <v>67641700</v>
      </c>
      <c r="AM293" s="3441"/>
      <c r="AN293" s="3456" t="s">
        <v>3800</v>
      </c>
      <c r="AO293" s="3470" t="s">
        <v>5863</v>
      </c>
      <c r="AP293" s="3441" t="s">
        <v>3721</v>
      </c>
      <c r="AQ293" s="3441" t="s">
        <v>3571</v>
      </c>
      <c r="AR293" s="3441"/>
      <c r="AS293" s="3441"/>
      <c r="AT293" s="3441"/>
      <c r="AU293" s="3441"/>
      <c r="AV293" s="3441"/>
      <c r="AW293" s="3441" t="s">
        <v>3572</v>
      </c>
      <c r="AX293" s="3441" t="s">
        <v>2511</v>
      </c>
      <c r="AY293" s="3524" t="s">
        <v>5864</v>
      </c>
      <c r="AZ293" s="3441" t="s">
        <v>3968</v>
      </c>
      <c r="BA293" s="3441" t="s">
        <v>3971</v>
      </c>
      <c r="BB293" s="3524" t="s">
        <v>3972</v>
      </c>
      <c r="BC293" s="3441" t="s">
        <v>3973</v>
      </c>
      <c r="BD293" s="3525">
        <v>100096</v>
      </c>
      <c r="BE293" s="3441">
        <v>82919961</v>
      </c>
      <c r="BF293" s="3526">
        <v>2.9</v>
      </c>
      <c r="BG293" s="3518">
        <v>37549</v>
      </c>
      <c r="BH293" s="3441"/>
      <c r="BI293" s="3441" t="s">
        <v>3700</v>
      </c>
      <c r="BJ293" s="3514">
        <v>37719</v>
      </c>
      <c r="BK293" s="3484"/>
      <c r="BL293" s="3470" t="s">
        <v>3670</v>
      </c>
      <c r="BM293" s="3441"/>
      <c r="BN293" s="3441"/>
      <c r="BO293" s="3441"/>
      <c r="BP293" s="3441"/>
      <c r="BQ293" s="3441"/>
      <c r="BR293" s="3441"/>
      <c r="BS293" s="3470"/>
      <c r="BT293" s="3470"/>
      <c r="BU293" s="3470"/>
      <c r="BV293" s="3604"/>
      <c r="BW293" s="3604"/>
      <c r="BX293" s="3604"/>
      <c r="BY293" s="3604"/>
      <c r="BZ293" s="3604"/>
      <c r="CA293" s="3604"/>
      <c r="CB293" s="3604"/>
      <c r="CC293" s="3604"/>
      <c r="CD293" s="3604"/>
      <c r="CE293" s="3604"/>
      <c r="CF293" s="3604"/>
      <c r="CG293" s="3604"/>
      <c r="CH293" s="3604"/>
      <c r="CI293" s="3604"/>
      <c r="CJ293" s="3604"/>
      <c r="CK293" s="3604"/>
      <c r="CL293" s="3604"/>
      <c r="CM293" s="3604"/>
      <c r="CN293" s="3604"/>
      <c r="CO293" s="3604"/>
      <c r="CP293" s="3604"/>
      <c r="CQ293" s="3604"/>
      <c r="CR293" s="3604"/>
      <c r="CS293" s="3604"/>
      <c r="CT293" s="3604"/>
      <c r="CU293" s="3604"/>
      <c r="CV293" s="3604"/>
      <c r="CW293" s="3604"/>
      <c r="CX293" s="3604"/>
      <c r="CY293" s="3604"/>
      <c r="CZ293" s="3604"/>
      <c r="DA293" s="3604"/>
      <c r="DB293" s="3604"/>
      <c r="DC293" s="3604"/>
      <c r="DD293" s="3604"/>
      <c r="DE293" s="3604"/>
      <c r="DF293" s="3604"/>
      <c r="DG293" s="3604"/>
      <c r="DH293" s="3604"/>
      <c r="DI293" s="3604"/>
      <c r="DJ293" s="3604"/>
      <c r="DK293" s="3604"/>
      <c r="DL293" s="3604"/>
      <c r="DM293" s="3604"/>
      <c r="DN293" s="3604"/>
      <c r="DO293" s="3604"/>
      <c r="DP293" s="3604"/>
      <c r="DQ293" s="3604"/>
      <c r="DR293" s="3604"/>
      <c r="DS293" s="3604"/>
      <c r="DT293" s="3604"/>
      <c r="DU293" s="3604"/>
      <c r="DV293" s="3604"/>
      <c r="DW293" s="3604"/>
      <c r="DX293" s="3604"/>
      <c r="DY293" s="3604"/>
      <c r="DZ293" s="3604"/>
      <c r="EA293" s="3604"/>
      <c r="EB293" s="3604"/>
      <c r="EC293" s="3604"/>
      <c r="ED293" s="3604"/>
      <c r="EE293" s="3604"/>
      <c r="EF293" s="3604"/>
      <c r="EG293" s="3604"/>
      <c r="EH293" s="3604"/>
      <c r="EI293" s="3604"/>
      <c r="EJ293" s="3604"/>
      <c r="EK293" s="3604"/>
      <c r="EL293" s="3604"/>
      <c r="EM293" s="3604"/>
      <c r="EN293" s="3604"/>
      <c r="EO293" s="3604"/>
      <c r="EP293" s="3604"/>
      <c r="EQ293" s="3604"/>
      <c r="ER293" s="3604"/>
      <c r="ES293" s="3604"/>
      <c r="ET293" s="3604"/>
      <c r="EU293" s="3604"/>
      <c r="EV293" s="3604"/>
      <c r="EW293" s="3604"/>
      <c r="EX293" s="3604"/>
      <c r="EY293" s="3604"/>
      <c r="EZ293" s="3604"/>
      <c r="FA293" s="3604"/>
      <c r="FB293" s="3604"/>
      <c r="FC293" s="3604"/>
      <c r="FD293" s="3604"/>
      <c r="FE293" s="3604"/>
      <c r="FF293" s="3604"/>
      <c r="FG293" s="3604"/>
      <c r="FH293" s="3604"/>
      <c r="FI293" s="3604"/>
      <c r="FJ293" s="3604"/>
      <c r="FK293" s="3604"/>
      <c r="FL293" s="3604"/>
      <c r="FM293" s="3604"/>
      <c r="FN293" s="3604"/>
      <c r="FO293" s="3604"/>
      <c r="FP293" s="3604"/>
      <c r="FQ293" s="3604"/>
      <c r="FR293" s="3604"/>
      <c r="FS293" s="3604"/>
      <c r="FT293" s="3604"/>
      <c r="FU293" s="3604"/>
      <c r="FV293" s="3604"/>
      <c r="FW293" s="3604"/>
      <c r="FX293" s="3604"/>
      <c r="FY293" s="3604"/>
      <c r="FZ293" s="3604"/>
      <c r="GA293" s="3604"/>
      <c r="GB293" s="3604"/>
      <c r="GC293" s="3604"/>
      <c r="GD293" s="3604"/>
      <c r="GE293" s="3604"/>
      <c r="GF293" s="3604"/>
      <c r="GG293" s="3604"/>
      <c r="GH293" s="3604"/>
      <c r="GI293" s="3604"/>
      <c r="GJ293" s="3604"/>
      <c r="GK293" s="3604"/>
      <c r="GL293" s="3604"/>
      <c r="GM293" s="3604"/>
      <c r="GN293" s="3604"/>
      <c r="GO293" s="3604"/>
      <c r="GP293" s="3604"/>
      <c r="GQ293" s="3604"/>
      <c r="GR293" s="3604"/>
      <c r="GS293" s="3604"/>
      <c r="GT293" s="3604"/>
      <c r="GU293" s="3604"/>
      <c r="GV293" s="3604"/>
      <c r="GW293" s="3604"/>
      <c r="GX293" s="3604"/>
      <c r="GY293" s="3604"/>
      <c r="GZ293" s="3604"/>
      <c r="HA293" s="3604"/>
      <c r="HB293" s="3604"/>
      <c r="HC293" s="3604"/>
      <c r="HD293" s="3604"/>
      <c r="HE293" s="3604"/>
      <c r="HF293" s="3604"/>
      <c r="HG293" s="3604"/>
      <c r="HH293" s="3604"/>
      <c r="HI293" s="3604"/>
      <c r="HJ293" s="3604"/>
      <c r="HK293" s="3604"/>
      <c r="HL293" s="3604"/>
      <c r="HM293" s="3604"/>
      <c r="HN293" s="3604"/>
      <c r="HO293" s="3604"/>
      <c r="HP293" s="3604"/>
      <c r="HQ293" s="3604"/>
      <c r="HR293" s="3604"/>
      <c r="HS293" s="3604"/>
      <c r="HT293" s="3604"/>
      <c r="HU293" s="3604"/>
      <c r="HV293" s="3604"/>
      <c r="HW293" s="3604"/>
      <c r="HX293" s="3604"/>
      <c r="HY293" s="3604"/>
      <c r="HZ293" s="3604"/>
      <c r="IA293" s="3604"/>
      <c r="IB293" s="3604"/>
      <c r="IC293" s="3604"/>
      <c r="ID293" s="3604"/>
      <c r="IE293" s="3604"/>
      <c r="IF293" s="3604"/>
      <c r="IG293" s="3604"/>
      <c r="IH293" s="3604"/>
      <c r="II293" s="3604"/>
      <c r="IJ293" s="3604"/>
      <c r="IK293" s="3604"/>
      <c r="IL293" s="3604"/>
      <c r="IM293" s="3604"/>
      <c r="IN293" s="3604"/>
      <c r="IO293" s="3604"/>
      <c r="IP293" s="3604"/>
      <c r="IQ293" s="3604"/>
      <c r="IR293" s="3604"/>
      <c r="IS293" s="3604"/>
    </row>
    <row r="294" spans="1:253" s="3617" customFormat="1" hidden="1">
      <c r="A294" s="3485" t="s">
        <v>5865</v>
      </c>
      <c r="B294" s="3470" t="s">
        <v>5866</v>
      </c>
      <c r="C294" s="3481" t="s">
        <v>5867</v>
      </c>
      <c r="D294" s="3481" t="s">
        <v>5868</v>
      </c>
      <c r="E294" s="3470" t="s">
        <v>3558</v>
      </c>
      <c r="F294" s="3528" t="s">
        <v>3559</v>
      </c>
      <c r="G294" s="3470"/>
      <c r="H294" s="3470" t="s">
        <v>3560</v>
      </c>
      <c r="I294" s="3470" t="s">
        <v>3676</v>
      </c>
      <c r="J294" s="3481" t="s">
        <v>5869</v>
      </c>
      <c r="K294" s="3470" t="s">
        <v>3563</v>
      </c>
      <c r="L294" s="3470">
        <v>56.84</v>
      </c>
      <c r="M294" s="3470">
        <v>6</v>
      </c>
      <c r="N294" s="3469" t="s">
        <v>3678</v>
      </c>
      <c r="O294" s="3470">
        <v>46.05</v>
      </c>
      <c r="P294" s="3470" t="s">
        <v>3452</v>
      </c>
      <c r="Q294" s="3457">
        <v>255552.64000000001</v>
      </c>
      <c r="R294" s="3470">
        <v>4496</v>
      </c>
      <c r="S294" s="3495">
        <v>25.29</v>
      </c>
      <c r="T294" s="3511">
        <v>252900</v>
      </c>
      <c r="U294" s="3495">
        <v>4450</v>
      </c>
      <c r="V294" s="3512">
        <v>0.1</v>
      </c>
      <c r="W294" s="3475">
        <v>22.76</v>
      </c>
      <c r="X294" s="3527">
        <v>227600</v>
      </c>
      <c r="Y294" s="3515">
        <v>2003</v>
      </c>
      <c r="Z294" s="3515">
        <v>4</v>
      </c>
      <c r="AA294" s="3470">
        <v>14</v>
      </c>
      <c r="AB294" s="3477">
        <v>1260</v>
      </c>
      <c r="AC294" s="3470" t="s">
        <v>5870</v>
      </c>
      <c r="AD294" s="3485"/>
      <c r="AE294" s="3441" t="s">
        <v>3663</v>
      </c>
      <c r="AF294" s="3470" t="s">
        <v>3728</v>
      </c>
      <c r="AG294" s="3522" t="s">
        <v>3466</v>
      </c>
      <c r="AH294" s="3485" t="s">
        <v>3568</v>
      </c>
      <c r="AI294" s="3470" t="s">
        <v>3664</v>
      </c>
      <c r="AJ294" s="3523">
        <v>37894</v>
      </c>
      <c r="AK294" s="3500">
        <v>4</v>
      </c>
      <c r="AL294" s="3441">
        <v>67641700</v>
      </c>
      <c r="AM294" s="3441" t="s">
        <v>3568</v>
      </c>
      <c r="AN294" s="3456" t="s">
        <v>3739</v>
      </c>
      <c r="AO294" s="3441" t="s">
        <v>3568</v>
      </c>
      <c r="AP294" s="3470" t="s">
        <v>3476</v>
      </c>
      <c r="AQ294" s="3441" t="s">
        <v>3571</v>
      </c>
      <c r="AR294" s="3441"/>
      <c r="AS294" s="3441"/>
      <c r="AT294" s="3441"/>
      <c r="AU294" s="3441"/>
      <c r="AV294" s="3441"/>
      <c r="AW294" s="3441" t="s">
        <v>3572</v>
      </c>
      <c r="AX294" s="3441" t="s">
        <v>2511</v>
      </c>
      <c r="AY294" s="3524" t="s">
        <v>5871</v>
      </c>
      <c r="AZ294" s="3441" t="s">
        <v>3563</v>
      </c>
      <c r="BA294" s="3441" t="s">
        <v>3574</v>
      </c>
      <c r="BB294" s="3524">
        <v>1101021053367</v>
      </c>
      <c r="BC294" s="3441" t="s">
        <v>3576</v>
      </c>
      <c r="BD294" s="3525">
        <v>100037</v>
      </c>
      <c r="BE294" s="3441">
        <v>84050046</v>
      </c>
      <c r="BF294" s="3526">
        <v>2.8</v>
      </c>
      <c r="BG294" s="3518">
        <v>37683</v>
      </c>
      <c r="BH294" s="3441"/>
      <c r="BI294" s="3463" t="s">
        <v>3475</v>
      </c>
      <c r="BJ294" s="3478">
        <v>37711</v>
      </c>
      <c r="BK294" s="3484">
        <v>37711</v>
      </c>
      <c r="BL294" s="3441" t="s">
        <v>3670</v>
      </c>
      <c r="BM294" s="3441"/>
      <c r="BN294" s="3441"/>
      <c r="BO294" s="3441"/>
      <c r="BP294" s="3441"/>
      <c r="BQ294" s="3441"/>
      <c r="BR294" s="3441"/>
      <c r="BS294" s="3470"/>
      <c r="BT294" s="3470"/>
      <c r="BU294" s="3470"/>
      <c r="BV294" s="3604"/>
      <c r="BW294" s="3604"/>
      <c r="BX294" s="3604"/>
      <c r="BY294" s="3604"/>
      <c r="BZ294" s="3604"/>
      <c r="CA294" s="3604"/>
      <c r="CB294" s="3604"/>
      <c r="CC294" s="3604"/>
      <c r="CD294" s="3604"/>
      <c r="CE294" s="3604"/>
      <c r="CF294" s="3604"/>
      <c r="CG294" s="3604"/>
      <c r="CH294" s="3604"/>
      <c r="CI294" s="3604"/>
      <c r="CJ294" s="3604"/>
      <c r="CK294" s="3604"/>
      <c r="CL294" s="3604"/>
      <c r="CM294" s="3604"/>
      <c r="CN294" s="3604"/>
      <c r="CO294" s="3604"/>
      <c r="CP294" s="3604"/>
      <c r="CQ294" s="3604"/>
      <c r="CR294" s="3604"/>
      <c r="CS294" s="3604"/>
      <c r="CT294" s="3604"/>
      <c r="CU294" s="3604"/>
      <c r="CV294" s="3604"/>
      <c r="CW294" s="3604"/>
      <c r="CX294" s="3604"/>
      <c r="CY294" s="3604"/>
      <c r="CZ294" s="3604"/>
      <c r="DA294" s="3604"/>
      <c r="DB294" s="3604"/>
      <c r="DC294" s="3604"/>
      <c r="DD294" s="3604"/>
      <c r="DE294" s="3604"/>
      <c r="DF294" s="3604"/>
      <c r="DG294" s="3604"/>
      <c r="DH294" s="3604"/>
      <c r="DI294" s="3604"/>
      <c r="DJ294" s="3604"/>
      <c r="DK294" s="3604"/>
      <c r="DL294" s="3604"/>
      <c r="DM294" s="3604"/>
      <c r="DN294" s="3604"/>
      <c r="DO294" s="3604"/>
      <c r="DP294" s="3604"/>
      <c r="DQ294" s="3604"/>
      <c r="DR294" s="3604"/>
      <c r="DS294" s="3604"/>
      <c r="DT294" s="3604"/>
      <c r="DU294" s="3604"/>
      <c r="DV294" s="3604"/>
      <c r="DW294" s="3604"/>
      <c r="DX294" s="3604"/>
      <c r="DY294" s="3604"/>
      <c r="DZ294" s="3604"/>
      <c r="EA294" s="3604"/>
      <c r="EB294" s="3604"/>
      <c r="EC294" s="3604"/>
      <c r="ED294" s="3604"/>
      <c r="EE294" s="3604"/>
      <c r="EF294" s="3604"/>
      <c r="EG294" s="3604"/>
      <c r="EH294" s="3604"/>
      <c r="EI294" s="3604"/>
      <c r="EJ294" s="3604"/>
      <c r="EK294" s="3604"/>
      <c r="EL294" s="3604"/>
      <c r="EM294" s="3604"/>
      <c r="EN294" s="3604"/>
      <c r="EO294" s="3604"/>
      <c r="EP294" s="3604"/>
      <c r="EQ294" s="3604"/>
      <c r="ER294" s="3604"/>
      <c r="ES294" s="3604"/>
      <c r="ET294" s="3604"/>
      <c r="EU294" s="3604"/>
      <c r="EV294" s="3604"/>
      <c r="EW294" s="3604"/>
      <c r="EX294" s="3604"/>
      <c r="EY294" s="3604"/>
      <c r="EZ294" s="3604"/>
      <c r="FA294" s="3604"/>
      <c r="FB294" s="3604"/>
      <c r="FC294" s="3604"/>
      <c r="FD294" s="3604"/>
      <c r="FE294" s="3604"/>
      <c r="FF294" s="3604"/>
      <c r="FG294" s="3604"/>
      <c r="FH294" s="3604"/>
      <c r="FI294" s="3604"/>
      <c r="FJ294" s="3604"/>
      <c r="FK294" s="3604"/>
      <c r="FL294" s="3604"/>
      <c r="FM294" s="3604"/>
      <c r="FN294" s="3604"/>
      <c r="FO294" s="3604"/>
      <c r="FP294" s="3604"/>
      <c r="FQ294" s="3604"/>
      <c r="FR294" s="3604"/>
      <c r="FS294" s="3604"/>
      <c r="FT294" s="3604"/>
      <c r="FU294" s="3604"/>
      <c r="FV294" s="3604"/>
      <c r="FW294" s="3604"/>
      <c r="FX294" s="3604"/>
      <c r="FY294" s="3604"/>
      <c r="FZ294" s="3604"/>
      <c r="GA294" s="3604"/>
      <c r="GB294" s="3604"/>
      <c r="GC294" s="3604"/>
      <c r="GD294" s="3604"/>
      <c r="GE294" s="3604"/>
      <c r="GF294" s="3604"/>
      <c r="GG294" s="3604"/>
      <c r="GH294" s="3604"/>
      <c r="GI294" s="3604"/>
      <c r="GJ294" s="3604"/>
      <c r="GK294" s="3604"/>
      <c r="GL294" s="3604"/>
      <c r="GM294" s="3604"/>
      <c r="GN294" s="3604"/>
      <c r="GO294" s="3604"/>
      <c r="GP294" s="3604"/>
      <c r="GQ294" s="3604"/>
      <c r="GR294" s="3604"/>
      <c r="GS294" s="3604"/>
      <c r="GT294" s="3604"/>
      <c r="GU294" s="3604"/>
      <c r="GV294" s="3604"/>
      <c r="GW294" s="3604"/>
      <c r="GX294" s="3604"/>
      <c r="GY294" s="3604"/>
      <c r="GZ294" s="3604"/>
      <c r="HA294" s="3604"/>
      <c r="HB294" s="3604"/>
      <c r="HC294" s="3604"/>
      <c r="HD294" s="3604"/>
      <c r="HE294" s="3604"/>
      <c r="HF294" s="3604"/>
      <c r="HG294" s="3604"/>
      <c r="HH294" s="3604"/>
      <c r="HI294" s="3604"/>
      <c r="HJ294" s="3604"/>
      <c r="HK294" s="3604"/>
      <c r="HL294" s="3604"/>
      <c r="HM294" s="3604"/>
      <c r="HN294" s="3604"/>
      <c r="HO294" s="3604"/>
      <c r="HP294" s="3604"/>
      <c r="HQ294" s="3604"/>
      <c r="HR294" s="3604"/>
      <c r="HS294" s="3604"/>
      <c r="HT294" s="3604"/>
      <c r="HU294" s="3604"/>
      <c r="HV294" s="3604"/>
      <c r="HW294" s="3604"/>
      <c r="HX294" s="3604"/>
      <c r="HY294" s="3604"/>
      <c r="HZ294" s="3604"/>
      <c r="IA294" s="3604"/>
      <c r="IB294" s="3604"/>
      <c r="IC294" s="3604"/>
      <c r="ID294" s="3604"/>
      <c r="IE294" s="3604"/>
      <c r="IF294" s="3604"/>
      <c r="IG294" s="3604"/>
      <c r="IH294" s="3604"/>
      <c r="II294" s="3604"/>
      <c r="IJ294" s="3604"/>
      <c r="IK294" s="3604"/>
      <c r="IL294" s="3604"/>
      <c r="IM294" s="3604"/>
      <c r="IN294" s="3604"/>
      <c r="IO294" s="3604"/>
      <c r="IP294" s="3604"/>
      <c r="IQ294" s="3604"/>
      <c r="IR294" s="3604"/>
      <c r="IS294" s="3604"/>
    </row>
    <row r="295" spans="1:253" s="3617" customFormat="1" hidden="1">
      <c r="A295" s="3453" t="s">
        <v>5872</v>
      </c>
      <c r="B295" s="3470" t="s">
        <v>5873</v>
      </c>
      <c r="C295" s="3616">
        <v>110104530120044</v>
      </c>
      <c r="D295" s="3456">
        <v>13801378043</v>
      </c>
      <c r="E295" s="3470" t="s">
        <v>3558</v>
      </c>
      <c r="F295" s="3470" t="s">
        <v>5874</v>
      </c>
      <c r="G295" s="3470"/>
      <c r="H295" s="3470" t="s">
        <v>5875</v>
      </c>
      <c r="I295" s="3470" t="s">
        <v>4041</v>
      </c>
      <c r="J295" s="3470" t="s">
        <v>3492</v>
      </c>
      <c r="K295" s="3470" t="s">
        <v>5876</v>
      </c>
      <c r="L295" s="3470">
        <v>164.95</v>
      </c>
      <c r="M295" s="3470">
        <v>6</v>
      </c>
      <c r="N295" s="3470" t="s">
        <v>3816</v>
      </c>
      <c r="O295" s="3453">
        <v>136.15</v>
      </c>
      <c r="P295" s="3453" t="s">
        <v>3452</v>
      </c>
      <c r="Q295" s="3531">
        <v>1220630</v>
      </c>
      <c r="R295" s="3491">
        <v>7400</v>
      </c>
      <c r="S295" s="3532">
        <v>120.97</v>
      </c>
      <c r="T295" s="3623">
        <v>1209700</v>
      </c>
      <c r="U295" s="3491">
        <v>7334</v>
      </c>
      <c r="V295" s="3529">
        <v>0.1</v>
      </c>
      <c r="W295" s="3475">
        <v>108.87</v>
      </c>
      <c r="X295" s="3554">
        <v>1088700</v>
      </c>
      <c r="Y295" s="3501">
        <v>2003</v>
      </c>
      <c r="Z295" s="3515">
        <v>4</v>
      </c>
      <c r="AA295" s="3515">
        <v>2</v>
      </c>
      <c r="AB295" s="3477">
        <v>5520</v>
      </c>
      <c r="AC295" s="3470" t="s">
        <v>3693</v>
      </c>
      <c r="AD295" s="3470"/>
      <c r="AE295" s="3486" t="s">
        <v>2156</v>
      </c>
      <c r="AF295" s="3453" t="s">
        <v>3604</v>
      </c>
      <c r="AG295" s="3470" t="s">
        <v>3466</v>
      </c>
      <c r="AH295" s="3470"/>
      <c r="AI295" s="3470" t="s">
        <v>3679</v>
      </c>
      <c r="AJ295" s="3478">
        <v>37924</v>
      </c>
      <c r="AK295" s="3500">
        <v>4</v>
      </c>
      <c r="AL295" s="3470">
        <v>67641700</v>
      </c>
      <c r="AM295" s="3470"/>
      <c r="AN295" s="3480" t="s">
        <v>3456</v>
      </c>
      <c r="AO295" s="3470"/>
      <c r="AP295" s="3470" t="s">
        <v>3476</v>
      </c>
      <c r="AQ295" s="3470" t="s">
        <v>3571</v>
      </c>
      <c r="AR295" s="3470"/>
      <c r="AS295" s="3470"/>
      <c r="AT295" s="3470"/>
      <c r="AU295" s="3470"/>
      <c r="AV295" s="3470" t="s">
        <v>3568</v>
      </c>
      <c r="AW295" s="3470" t="s">
        <v>3572</v>
      </c>
      <c r="AX295" s="3470" t="s">
        <v>2511</v>
      </c>
      <c r="AY295" s="3470">
        <v>147370</v>
      </c>
      <c r="AZ295" s="3470" t="s">
        <v>5876</v>
      </c>
      <c r="BA295" s="3470" t="s">
        <v>5877</v>
      </c>
      <c r="BB295" s="3470" t="s">
        <v>5878</v>
      </c>
      <c r="BC295" s="3470" t="s">
        <v>5879</v>
      </c>
      <c r="BD295" s="3470">
        <v>100036</v>
      </c>
      <c r="BE295" s="3470">
        <v>68213297</v>
      </c>
      <c r="BF295" s="3520">
        <v>2.8</v>
      </c>
      <c r="BG295" s="3478">
        <v>37477</v>
      </c>
      <c r="BH295" s="3470"/>
      <c r="BI295" s="3463" t="s">
        <v>3475</v>
      </c>
      <c r="BJ295" s="3484">
        <v>37712</v>
      </c>
      <c r="BK295" s="3470"/>
      <c r="BL295" s="3441" t="s">
        <v>3670</v>
      </c>
      <c r="BM295" s="3441"/>
      <c r="BN295" s="3441"/>
      <c r="BO295" s="3441"/>
      <c r="BP295" s="3441"/>
      <c r="BQ295" s="3441"/>
      <c r="BR295" s="3441"/>
      <c r="BS295" s="3470"/>
      <c r="BT295" s="3470"/>
      <c r="BU295" s="3470"/>
      <c r="BV295" s="3605"/>
      <c r="BW295" s="3605"/>
      <c r="BX295" s="3605"/>
      <c r="BY295" s="3605"/>
      <c r="BZ295" s="3605"/>
      <c r="CA295" s="3605"/>
      <c r="CB295" s="3605"/>
      <c r="CC295" s="3605"/>
      <c r="CD295" s="3605"/>
      <c r="CE295" s="3605"/>
      <c r="CF295" s="3605"/>
      <c r="CG295" s="3605"/>
      <c r="CH295" s="3605"/>
      <c r="CI295" s="3605"/>
      <c r="CJ295" s="3605"/>
      <c r="CK295" s="3605"/>
      <c r="CL295" s="3605"/>
      <c r="CM295" s="3605"/>
      <c r="CN295" s="3605"/>
      <c r="CO295" s="3605"/>
      <c r="CP295" s="3605"/>
      <c r="CQ295" s="3605"/>
      <c r="CR295" s="3605"/>
      <c r="CS295" s="3605"/>
      <c r="CT295" s="3605"/>
      <c r="CU295" s="3605"/>
      <c r="CV295" s="3605"/>
      <c r="CW295" s="3605"/>
      <c r="CX295" s="3605"/>
      <c r="CY295" s="3605"/>
      <c r="CZ295" s="3605"/>
      <c r="DA295" s="3605"/>
      <c r="DB295" s="3605"/>
      <c r="DC295" s="3605"/>
      <c r="DD295" s="3605"/>
      <c r="DE295" s="3605"/>
      <c r="DF295" s="3605"/>
      <c r="DG295" s="3605"/>
      <c r="DH295" s="3605"/>
      <c r="DI295" s="3605"/>
      <c r="DJ295" s="3605"/>
      <c r="DK295" s="3605"/>
      <c r="DL295" s="3605"/>
      <c r="DM295" s="3605"/>
      <c r="DN295" s="3605"/>
      <c r="DO295" s="3605"/>
      <c r="DP295" s="3605"/>
      <c r="DQ295" s="3605"/>
      <c r="DR295" s="3605"/>
      <c r="DS295" s="3605"/>
      <c r="DT295" s="3605"/>
      <c r="DU295" s="3605"/>
      <c r="DV295" s="3605"/>
      <c r="DW295" s="3605"/>
      <c r="DX295" s="3605"/>
      <c r="DY295" s="3605"/>
      <c r="DZ295" s="3605"/>
      <c r="EA295" s="3605"/>
      <c r="EB295" s="3605"/>
      <c r="EC295" s="3605"/>
      <c r="ED295" s="3605"/>
      <c r="EE295" s="3605"/>
      <c r="EF295" s="3605"/>
      <c r="EG295" s="3605"/>
      <c r="EH295" s="3605"/>
      <c r="EI295" s="3605"/>
      <c r="EJ295" s="3605"/>
      <c r="EK295" s="3605"/>
      <c r="EL295" s="3605"/>
      <c r="EM295" s="3605"/>
      <c r="EN295" s="3605"/>
      <c r="EO295" s="3605"/>
      <c r="EP295" s="3605"/>
      <c r="EQ295" s="3605"/>
      <c r="ER295" s="3605"/>
      <c r="ES295" s="3605"/>
      <c r="ET295" s="3605"/>
      <c r="EU295" s="3605"/>
      <c r="EV295" s="3605"/>
      <c r="EW295" s="3605"/>
      <c r="EX295" s="3605"/>
      <c r="EY295" s="3605"/>
      <c r="EZ295" s="3605"/>
      <c r="FA295" s="3605"/>
      <c r="FB295" s="3605"/>
      <c r="FC295" s="3605"/>
      <c r="FD295" s="3605"/>
      <c r="FE295" s="3605"/>
      <c r="FF295" s="3605"/>
      <c r="FG295" s="3605"/>
      <c r="FH295" s="3605"/>
      <c r="FI295" s="3605"/>
      <c r="FJ295" s="3605"/>
      <c r="FK295" s="3605"/>
      <c r="FL295" s="3605"/>
      <c r="FM295" s="3605"/>
      <c r="FN295" s="3605"/>
      <c r="FO295" s="3605"/>
      <c r="FP295" s="3605"/>
      <c r="FQ295" s="3605"/>
      <c r="FR295" s="3605"/>
      <c r="FS295" s="3605"/>
      <c r="FT295" s="3605"/>
      <c r="FU295" s="3605"/>
      <c r="FV295" s="3605"/>
      <c r="FW295" s="3605"/>
      <c r="FX295" s="3605"/>
      <c r="FY295" s="3605"/>
      <c r="FZ295" s="3605"/>
      <c r="GA295" s="3605"/>
      <c r="GB295" s="3605"/>
      <c r="GC295" s="3605"/>
      <c r="GD295" s="3605"/>
      <c r="GE295" s="3605"/>
      <c r="GF295" s="3605"/>
      <c r="GG295" s="3605"/>
      <c r="GH295" s="3605"/>
      <c r="GI295" s="3605"/>
      <c r="GJ295" s="3605"/>
      <c r="GK295" s="3605"/>
      <c r="GL295" s="3605"/>
      <c r="GM295" s="3605"/>
      <c r="GN295" s="3605"/>
      <c r="GO295" s="3605"/>
      <c r="GP295" s="3605"/>
      <c r="GQ295" s="3605"/>
      <c r="GR295" s="3605"/>
      <c r="GS295" s="3605"/>
      <c r="GT295" s="3605"/>
      <c r="GU295" s="3605"/>
      <c r="GV295" s="3605"/>
      <c r="GW295" s="3605"/>
      <c r="GX295" s="3605"/>
      <c r="GY295" s="3605"/>
      <c r="GZ295" s="3605"/>
      <c r="HA295" s="3605"/>
      <c r="HB295" s="3605"/>
      <c r="HC295" s="3605"/>
      <c r="HD295" s="3605"/>
      <c r="HE295" s="3605"/>
      <c r="HF295" s="3605"/>
      <c r="HG295" s="3605"/>
      <c r="HH295" s="3605"/>
      <c r="HI295" s="3605"/>
      <c r="HJ295" s="3605"/>
      <c r="HK295" s="3605"/>
      <c r="HL295" s="3605"/>
      <c r="HM295" s="3605"/>
      <c r="HN295" s="3605"/>
      <c r="HO295" s="3605"/>
      <c r="HP295" s="3605"/>
      <c r="HQ295" s="3605"/>
      <c r="HR295" s="3605"/>
      <c r="HS295" s="3605"/>
      <c r="HT295" s="3605"/>
      <c r="HU295" s="3605"/>
      <c r="HV295" s="3605"/>
      <c r="HW295" s="3605"/>
      <c r="HX295" s="3605"/>
      <c r="HY295" s="3605"/>
      <c r="HZ295" s="3605"/>
      <c r="IA295" s="3605"/>
      <c r="IB295" s="3605"/>
      <c r="IC295" s="3605"/>
      <c r="ID295" s="3605"/>
      <c r="IE295" s="3605"/>
      <c r="IF295" s="3605"/>
      <c r="IG295" s="3605"/>
      <c r="IH295" s="3605"/>
      <c r="II295" s="3605"/>
      <c r="IJ295" s="3605"/>
      <c r="IK295" s="3605"/>
      <c r="IL295" s="3605"/>
      <c r="IM295" s="3605"/>
      <c r="IN295" s="3605"/>
      <c r="IO295" s="3605"/>
      <c r="IP295" s="3605"/>
      <c r="IQ295" s="3605"/>
      <c r="IR295" s="3605"/>
      <c r="IS295" s="3605"/>
    </row>
    <row r="296" spans="1:253" s="3617" customFormat="1" hidden="1">
      <c r="A296" s="3453" t="s">
        <v>5880</v>
      </c>
      <c r="B296" s="3470" t="s">
        <v>5881</v>
      </c>
      <c r="C296" s="3481" t="s">
        <v>5882</v>
      </c>
      <c r="D296" s="3481" t="s">
        <v>5883</v>
      </c>
      <c r="E296" s="3470" t="s">
        <v>3558</v>
      </c>
      <c r="F296" s="3470" t="s">
        <v>4403</v>
      </c>
      <c r="G296" s="3470" t="s">
        <v>3568</v>
      </c>
      <c r="H296" s="3470" t="s">
        <v>5419</v>
      </c>
      <c r="I296" s="3470" t="s">
        <v>4236</v>
      </c>
      <c r="J296" s="3481" t="s">
        <v>4325</v>
      </c>
      <c r="K296" s="3470" t="s">
        <v>4406</v>
      </c>
      <c r="L296" s="3470">
        <v>107.41</v>
      </c>
      <c r="M296" s="3470">
        <v>5</v>
      </c>
      <c r="N296" s="3470" t="s">
        <v>5289</v>
      </c>
      <c r="O296" s="3470">
        <v>95.57</v>
      </c>
      <c r="P296" s="3470" t="s">
        <v>3452</v>
      </c>
      <c r="Q296" s="3457">
        <v>556383.80000000005</v>
      </c>
      <c r="R296" s="3470">
        <v>5180</v>
      </c>
      <c r="S296" s="3472">
        <v>55.07</v>
      </c>
      <c r="T296" s="3527">
        <v>550700</v>
      </c>
      <c r="U296" s="3470">
        <v>5128</v>
      </c>
      <c r="V296" s="3474">
        <v>0.1</v>
      </c>
      <c r="W296" s="3475">
        <v>49.56</v>
      </c>
      <c r="X296" s="3473">
        <v>495600</v>
      </c>
      <c r="Y296" s="3441">
        <v>2003</v>
      </c>
      <c r="Z296" s="3441">
        <v>4</v>
      </c>
      <c r="AA296" s="3441">
        <v>2</v>
      </c>
      <c r="AB296" s="3477">
        <v>2750</v>
      </c>
      <c r="AC296" s="3470" t="s">
        <v>4922</v>
      </c>
      <c r="AD296" s="3485"/>
      <c r="AE296" s="3441" t="s">
        <v>3663</v>
      </c>
      <c r="AF296" s="3470" t="s">
        <v>3728</v>
      </c>
      <c r="AG296" s="3522" t="s">
        <v>3466</v>
      </c>
      <c r="AH296" s="3485"/>
      <c r="AI296" s="3470" t="s">
        <v>3679</v>
      </c>
      <c r="AJ296" s="3523">
        <v>37833</v>
      </c>
      <c r="AK296" s="3548">
        <v>4</v>
      </c>
      <c r="AL296" s="3441">
        <v>67641700</v>
      </c>
      <c r="AM296" s="3441"/>
      <c r="AN296" s="3456" t="s">
        <v>3456</v>
      </c>
      <c r="AO296" s="3470" t="s">
        <v>2420</v>
      </c>
      <c r="AP296" s="3441" t="s">
        <v>3476</v>
      </c>
      <c r="AQ296" s="3441" t="s">
        <v>3571</v>
      </c>
      <c r="AR296" s="3441"/>
      <c r="AS296" s="3441"/>
      <c r="AT296" s="3441"/>
      <c r="AU296" s="3441"/>
      <c r="AV296" s="3441"/>
      <c r="AW296" s="3441" t="s">
        <v>3572</v>
      </c>
      <c r="AX296" s="3441" t="s">
        <v>3568</v>
      </c>
      <c r="AY296" s="3524" t="s">
        <v>5884</v>
      </c>
      <c r="AZ296" s="3441" t="s">
        <v>4406</v>
      </c>
      <c r="BA296" s="3441" t="s">
        <v>4409</v>
      </c>
      <c r="BB296" s="3524" t="s">
        <v>4410</v>
      </c>
      <c r="BC296" s="3441" t="s">
        <v>4411</v>
      </c>
      <c r="BD296" s="3525" t="s">
        <v>3568</v>
      </c>
      <c r="BE296" s="3441">
        <v>68152860</v>
      </c>
      <c r="BF296" s="3526">
        <v>2.8</v>
      </c>
      <c r="BG296" s="3518">
        <v>37640</v>
      </c>
      <c r="BH296" s="3441" t="s">
        <v>4412</v>
      </c>
      <c r="BI296" s="3470" t="s">
        <v>3476</v>
      </c>
      <c r="BJ296" s="3484">
        <v>37712</v>
      </c>
      <c r="BK296" s="3484"/>
      <c r="BL296" s="3470" t="s">
        <v>3670</v>
      </c>
      <c r="BM296" s="3441"/>
      <c r="BN296" s="3441"/>
      <c r="BO296" s="3441"/>
      <c r="BP296" s="3441"/>
      <c r="BQ296" s="3441"/>
      <c r="BR296" s="3441"/>
      <c r="BS296" s="3470"/>
      <c r="BT296" s="3470"/>
      <c r="BU296" s="3470"/>
      <c r="BV296" s="3604"/>
      <c r="BW296" s="3604"/>
      <c r="BX296" s="3604"/>
      <c r="BY296" s="3604"/>
      <c r="BZ296" s="3604"/>
      <c r="CA296" s="3604"/>
      <c r="CB296" s="3604"/>
      <c r="CC296" s="3604"/>
      <c r="CD296" s="3604"/>
      <c r="CE296" s="3604"/>
      <c r="CF296" s="3604"/>
      <c r="CG296" s="3604"/>
      <c r="CH296" s="3604"/>
      <c r="CI296" s="3604"/>
      <c r="CJ296" s="3604"/>
      <c r="CK296" s="3604"/>
      <c r="CL296" s="3604"/>
      <c r="CM296" s="3604"/>
      <c r="CN296" s="3604"/>
      <c r="CO296" s="3604"/>
      <c r="CP296" s="3604"/>
      <c r="CQ296" s="3604"/>
      <c r="CR296" s="3604"/>
      <c r="CS296" s="3604"/>
      <c r="CT296" s="3604"/>
      <c r="CU296" s="3604"/>
      <c r="CV296" s="3604"/>
      <c r="CW296" s="3604"/>
      <c r="CX296" s="3604"/>
      <c r="CY296" s="3604"/>
      <c r="CZ296" s="3604"/>
      <c r="DA296" s="3604"/>
      <c r="DB296" s="3604"/>
      <c r="DC296" s="3604"/>
      <c r="DD296" s="3604"/>
      <c r="DE296" s="3604"/>
      <c r="DF296" s="3604"/>
      <c r="DG296" s="3604"/>
      <c r="DH296" s="3604"/>
      <c r="DI296" s="3604"/>
      <c r="DJ296" s="3604"/>
      <c r="DK296" s="3604"/>
      <c r="DL296" s="3604"/>
      <c r="DM296" s="3604"/>
      <c r="DN296" s="3604"/>
      <c r="DO296" s="3604"/>
      <c r="DP296" s="3604"/>
      <c r="DQ296" s="3604"/>
      <c r="DR296" s="3604"/>
      <c r="DS296" s="3604"/>
      <c r="DT296" s="3604"/>
      <c r="DU296" s="3604"/>
      <c r="DV296" s="3604"/>
      <c r="DW296" s="3604"/>
      <c r="DX296" s="3604"/>
      <c r="DY296" s="3604"/>
      <c r="DZ296" s="3604"/>
      <c r="EA296" s="3604"/>
      <c r="EB296" s="3604"/>
      <c r="EC296" s="3604"/>
      <c r="ED296" s="3604"/>
      <c r="EE296" s="3604"/>
      <c r="EF296" s="3604"/>
      <c r="EG296" s="3604"/>
      <c r="EH296" s="3604"/>
      <c r="EI296" s="3604"/>
      <c r="EJ296" s="3604"/>
      <c r="EK296" s="3604"/>
      <c r="EL296" s="3604"/>
      <c r="EM296" s="3604"/>
      <c r="EN296" s="3604"/>
      <c r="EO296" s="3604"/>
      <c r="EP296" s="3604"/>
      <c r="EQ296" s="3604"/>
      <c r="ER296" s="3604"/>
      <c r="ES296" s="3604"/>
      <c r="ET296" s="3604"/>
      <c r="EU296" s="3604"/>
      <c r="EV296" s="3604"/>
      <c r="EW296" s="3604"/>
      <c r="EX296" s="3604"/>
      <c r="EY296" s="3604"/>
      <c r="EZ296" s="3604"/>
      <c r="FA296" s="3604"/>
      <c r="FB296" s="3604"/>
      <c r="FC296" s="3604"/>
      <c r="FD296" s="3604"/>
      <c r="FE296" s="3604"/>
      <c r="FF296" s="3604"/>
      <c r="FG296" s="3604"/>
      <c r="FH296" s="3604"/>
      <c r="FI296" s="3604"/>
      <c r="FJ296" s="3604"/>
      <c r="FK296" s="3604"/>
      <c r="FL296" s="3604"/>
      <c r="FM296" s="3604"/>
      <c r="FN296" s="3604"/>
      <c r="FO296" s="3604"/>
      <c r="FP296" s="3604"/>
      <c r="FQ296" s="3604"/>
      <c r="FR296" s="3604"/>
      <c r="FS296" s="3604"/>
      <c r="FT296" s="3604"/>
      <c r="FU296" s="3604"/>
      <c r="FV296" s="3604"/>
      <c r="FW296" s="3604"/>
      <c r="FX296" s="3604"/>
      <c r="FY296" s="3604"/>
      <c r="FZ296" s="3604"/>
      <c r="GA296" s="3604"/>
      <c r="GB296" s="3604"/>
      <c r="GC296" s="3604"/>
      <c r="GD296" s="3604"/>
      <c r="GE296" s="3604"/>
      <c r="GF296" s="3604"/>
      <c r="GG296" s="3604"/>
      <c r="GH296" s="3604"/>
      <c r="GI296" s="3604"/>
      <c r="GJ296" s="3604"/>
      <c r="GK296" s="3604"/>
      <c r="GL296" s="3604"/>
      <c r="GM296" s="3604"/>
      <c r="GN296" s="3604"/>
      <c r="GO296" s="3604"/>
      <c r="GP296" s="3604"/>
      <c r="GQ296" s="3604"/>
      <c r="GR296" s="3604"/>
      <c r="GS296" s="3604"/>
      <c r="GT296" s="3604"/>
      <c r="GU296" s="3604"/>
      <c r="GV296" s="3604"/>
      <c r="GW296" s="3604"/>
      <c r="GX296" s="3604"/>
      <c r="GY296" s="3604"/>
      <c r="GZ296" s="3604"/>
      <c r="HA296" s="3604"/>
      <c r="HB296" s="3604"/>
      <c r="HC296" s="3604"/>
      <c r="HD296" s="3604"/>
      <c r="HE296" s="3604"/>
      <c r="HF296" s="3604"/>
      <c r="HG296" s="3604"/>
      <c r="HH296" s="3604"/>
      <c r="HI296" s="3604"/>
      <c r="HJ296" s="3604"/>
      <c r="HK296" s="3604"/>
      <c r="HL296" s="3604"/>
      <c r="HM296" s="3604"/>
      <c r="HN296" s="3604"/>
      <c r="HO296" s="3604"/>
      <c r="HP296" s="3604"/>
      <c r="HQ296" s="3604"/>
      <c r="HR296" s="3604"/>
      <c r="HS296" s="3604"/>
      <c r="HT296" s="3604"/>
      <c r="HU296" s="3604"/>
      <c r="HV296" s="3604"/>
      <c r="HW296" s="3604"/>
      <c r="HX296" s="3604"/>
      <c r="HY296" s="3604"/>
      <c r="HZ296" s="3604"/>
      <c r="IA296" s="3604"/>
      <c r="IB296" s="3604"/>
      <c r="IC296" s="3604"/>
      <c r="ID296" s="3604"/>
      <c r="IE296" s="3604"/>
      <c r="IF296" s="3604"/>
      <c r="IG296" s="3604"/>
      <c r="IH296" s="3604"/>
      <c r="II296" s="3604"/>
      <c r="IJ296" s="3604"/>
      <c r="IK296" s="3604"/>
      <c r="IL296" s="3604"/>
      <c r="IM296" s="3604"/>
      <c r="IN296" s="3604"/>
      <c r="IO296" s="3604"/>
      <c r="IP296" s="3604"/>
      <c r="IQ296" s="3604"/>
      <c r="IR296" s="3604"/>
      <c r="IS296" s="3604"/>
    </row>
    <row r="297" spans="1:253" s="3617" customFormat="1" hidden="1">
      <c r="A297" s="3453" t="s">
        <v>5885</v>
      </c>
      <c r="B297" s="3542" t="s">
        <v>5886</v>
      </c>
      <c r="C297" s="3481" t="s">
        <v>5887</v>
      </c>
      <c r="D297" s="3485">
        <v>13801055701</v>
      </c>
      <c r="E297" s="3542" t="s">
        <v>3558</v>
      </c>
      <c r="F297" s="3542" t="s">
        <v>5260</v>
      </c>
      <c r="G297" s="3485"/>
      <c r="H297" s="3542" t="s">
        <v>5888</v>
      </c>
      <c r="I297" s="3542" t="s">
        <v>4197</v>
      </c>
      <c r="J297" s="3530" t="s">
        <v>5889</v>
      </c>
      <c r="K297" s="3542" t="s">
        <v>3737</v>
      </c>
      <c r="L297" s="3477">
        <v>96.97</v>
      </c>
      <c r="M297" s="3477">
        <v>24</v>
      </c>
      <c r="N297" s="3470" t="s">
        <v>5890</v>
      </c>
      <c r="O297" s="3477">
        <v>79.48</v>
      </c>
      <c r="P297" s="3542" t="s">
        <v>3452</v>
      </c>
      <c r="Q297" s="3457">
        <v>529456.19999999995</v>
      </c>
      <c r="R297" s="3470">
        <v>5460</v>
      </c>
      <c r="S297" s="3472">
        <v>52.41</v>
      </c>
      <c r="T297" s="3527">
        <v>524100</v>
      </c>
      <c r="U297" s="3470">
        <v>5405</v>
      </c>
      <c r="V297" s="3624">
        <v>0.1</v>
      </c>
      <c r="W297" s="3475">
        <v>47.16</v>
      </c>
      <c r="X297" s="3476">
        <v>471600</v>
      </c>
      <c r="Y297" s="3470">
        <v>2003</v>
      </c>
      <c r="Z297" s="3470">
        <v>4</v>
      </c>
      <c r="AA297" s="3470">
        <v>3</v>
      </c>
      <c r="AB297" s="3477">
        <v>2620</v>
      </c>
      <c r="AC297" s="3470" t="s">
        <v>4922</v>
      </c>
      <c r="AD297" s="3542"/>
      <c r="AE297" s="3441" t="s">
        <v>3663</v>
      </c>
      <c r="AF297" s="3542" t="s">
        <v>4551</v>
      </c>
      <c r="AG297" s="3485" t="s">
        <v>3466</v>
      </c>
      <c r="AH297" s="3485"/>
      <c r="AI297" s="3470" t="s">
        <v>3679</v>
      </c>
      <c r="AJ297" s="3613">
        <v>37787</v>
      </c>
      <c r="AK297" s="3548">
        <v>4</v>
      </c>
      <c r="AL297" s="3441">
        <v>67641700</v>
      </c>
      <c r="AM297" s="3441"/>
      <c r="AN297" s="3480" t="s">
        <v>3635</v>
      </c>
      <c r="AO297" s="3517"/>
      <c r="AP297" s="3441" t="s">
        <v>3476</v>
      </c>
      <c r="AQ297" s="3456" t="s">
        <v>3650</v>
      </c>
      <c r="AR297" s="3461"/>
      <c r="AS297" s="3461"/>
      <c r="AT297" s="3469"/>
      <c r="AU297" s="3453"/>
      <c r="AV297" s="3519"/>
      <c r="AW297" s="3470" t="s">
        <v>5891</v>
      </c>
      <c r="AX297" s="3441" t="s">
        <v>3549</v>
      </c>
      <c r="AY297" s="3536" t="s">
        <v>5892</v>
      </c>
      <c r="AZ297" s="3441" t="s">
        <v>3647</v>
      </c>
      <c r="BA297" s="3461" t="s">
        <v>5893</v>
      </c>
      <c r="BB297" s="3461" t="s">
        <v>5267</v>
      </c>
      <c r="BC297" s="3461" t="s">
        <v>4049</v>
      </c>
      <c r="BD297" s="3614">
        <v>100088</v>
      </c>
      <c r="BE297" s="3461">
        <v>82058259</v>
      </c>
      <c r="BF297" s="3615">
        <v>2.7</v>
      </c>
      <c r="BG297" s="3461">
        <v>37693</v>
      </c>
      <c r="BH297" s="3461"/>
      <c r="BI297" s="3470" t="s">
        <v>3476</v>
      </c>
      <c r="BJ297" s="3484">
        <v>37713</v>
      </c>
      <c r="BK297" s="3518"/>
      <c r="BL297" s="3441" t="s">
        <v>3670</v>
      </c>
      <c r="BM297" s="3441"/>
      <c r="BN297" s="3441"/>
      <c r="BO297" s="3441"/>
      <c r="BP297" s="3441"/>
      <c r="BQ297" s="3441"/>
      <c r="BR297" s="3441"/>
      <c r="BS297" s="3470"/>
      <c r="BT297" s="3470"/>
      <c r="BU297" s="3470"/>
      <c r="BV297" s="3625"/>
      <c r="BW297" s="3625"/>
      <c r="BX297" s="3625"/>
      <c r="BY297" s="3625"/>
      <c r="BZ297" s="3625"/>
      <c r="CA297" s="3625"/>
      <c r="CB297" s="3625"/>
      <c r="CC297" s="3625"/>
      <c r="CD297" s="3625"/>
      <c r="CE297" s="3625"/>
      <c r="CF297" s="3625"/>
      <c r="CG297" s="3625"/>
      <c r="CH297" s="3625"/>
      <c r="CI297" s="3625"/>
      <c r="CJ297" s="3625"/>
      <c r="CK297" s="3625"/>
      <c r="CL297" s="3625"/>
      <c r="CM297" s="3625"/>
      <c r="CN297" s="3625"/>
      <c r="CO297" s="3625"/>
      <c r="CP297" s="3625"/>
      <c r="CQ297" s="3625"/>
      <c r="CR297" s="3625"/>
      <c r="CS297" s="3625"/>
      <c r="CT297" s="3625"/>
      <c r="CU297" s="3625"/>
      <c r="CV297" s="3625"/>
      <c r="CW297" s="3625"/>
      <c r="CX297" s="3625"/>
      <c r="CY297" s="3625"/>
      <c r="CZ297" s="3625"/>
      <c r="DA297" s="3625"/>
      <c r="DB297" s="3625"/>
      <c r="DC297" s="3625"/>
      <c r="DD297" s="3625"/>
      <c r="DE297" s="3625"/>
      <c r="DF297" s="3625"/>
      <c r="DG297" s="3625"/>
      <c r="DH297" s="3625"/>
      <c r="DI297" s="3625"/>
      <c r="DJ297" s="3625"/>
      <c r="DK297" s="3625"/>
      <c r="DL297" s="3625"/>
      <c r="DM297" s="3625"/>
      <c r="DN297" s="3625"/>
      <c r="DO297" s="3625"/>
      <c r="DP297" s="3625"/>
      <c r="DQ297" s="3625"/>
      <c r="DR297" s="3625"/>
      <c r="DS297" s="3625"/>
      <c r="DT297" s="3625"/>
      <c r="DU297" s="3625"/>
      <c r="DV297" s="3625"/>
      <c r="DW297" s="3625"/>
      <c r="DX297" s="3625"/>
      <c r="DY297" s="3625"/>
      <c r="DZ297" s="3625"/>
      <c r="EA297" s="3625"/>
      <c r="EB297" s="3625"/>
      <c r="EC297" s="3625"/>
      <c r="ED297" s="3625"/>
      <c r="EE297" s="3625"/>
      <c r="EF297" s="3625"/>
      <c r="EG297" s="3625"/>
      <c r="EH297" s="3625"/>
      <c r="EI297" s="3625"/>
      <c r="EJ297" s="3625"/>
      <c r="EK297" s="3625"/>
      <c r="EL297" s="3625"/>
      <c r="EM297" s="3625"/>
      <c r="EN297" s="3625"/>
      <c r="EO297" s="3625"/>
      <c r="EP297" s="3625"/>
      <c r="EQ297" s="3625"/>
      <c r="ER297" s="3625"/>
      <c r="ES297" s="3625"/>
      <c r="ET297" s="3625"/>
      <c r="EU297" s="3625"/>
      <c r="EV297" s="3625"/>
      <c r="EW297" s="3625"/>
      <c r="EX297" s="3625"/>
      <c r="EY297" s="3625"/>
      <c r="EZ297" s="3625"/>
      <c r="FA297" s="3625"/>
      <c r="FB297" s="3625"/>
      <c r="FC297" s="3625"/>
      <c r="FD297" s="3625"/>
      <c r="FE297" s="3625"/>
      <c r="FF297" s="3625"/>
      <c r="FG297" s="3625"/>
      <c r="FH297" s="3625"/>
      <c r="FI297" s="3625"/>
      <c r="FJ297" s="3625"/>
      <c r="FK297" s="3625"/>
      <c r="FL297" s="3625"/>
      <c r="FM297" s="3625"/>
      <c r="FN297" s="3625"/>
      <c r="FO297" s="3625"/>
      <c r="FP297" s="3625"/>
      <c r="FQ297" s="3625"/>
      <c r="FR297" s="3625"/>
      <c r="FS297" s="3625"/>
      <c r="FT297" s="3625"/>
      <c r="FU297" s="3625"/>
      <c r="FV297" s="3625"/>
      <c r="FW297" s="3625"/>
      <c r="FX297" s="3625"/>
      <c r="FY297" s="3625"/>
      <c r="FZ297" s="3625"/>
      <c r="GA297" s="3625"/>
      <c r="GB297" s="3625"/>
      <c r="GC297" s="3625"/>
      <c r="GD297" s="3625"/>
      <c r="GE297" s="3625"/>
      <c r="GF297" s="3625"/>
      <c r="GG297" s="3625"/>
      <c r="GH297" s="3625"/>
      <c r="GI297" s="3625"/>
      <c r="GJ297" s="3625"/>
      <c r="GK297" s="3625"/>
      <c r="GL297" s="3625"/>
      <c r="GM297" s="3625"/>
      <c r="GN297" s="3625"/>
      <c r="GO297" s="3625"/>
      <c r="GP297" s="3625"/>
      <c r="GQ297" s="3625"/>
      <c r="GR297" s="3625"/>
      <c r="GS297" s="3625"/>
      <c r="GT297" s="3625"/>
      <c r="GU297" s="3625"/>
      <c r="GV297" s="3625"/>
      <c r="GW297" s="3625"/>
      <c r="GX297" s="3625"/>
      <c r="GY297" s="3625"/>
      <c r="GZ297" s="3625"/>
      <c r="HA297" s="3625"/>
      <c r="HB297" s="3625"/>
      <c r="HC297" s="3625"/>
      <c r="HD297" s="3625"/>
      <c r="HE297" s="3625"/>
      <c r="HF297" s="3625"/>
      <c r="HG297" s="3625"/>
      <c r="HH297" s="3625"/>
      <c r="HI297" s="3625"/>
      <c r="HJ297" s="3625"/>
      <c r="HK297" s="3625"/>
      <c r="HL297" s="3625"/>
      <c r="HM297" s="3625"/>
      <c r="HN297" s="3625"/>
      <c r="HO297" s="3625"/>
      <c r="HP297" s="3625"/>
      <c r="HQ297" s="3625"/>
      <c r="HR297" s="3625"/>
      <c r="HS297" s="3625"/>
      <c r="HT297" s="3625"/>
      <c r="HU297" s="3625"/>
      <c r="HV297" s="3625"/>
      <c r="HW297" s="3625"/>
      <c r="HX297" s="3625"/>
      <c r="HY297" s="3625"/>
      <c r="HZ297" s="3625"/>
      <c r="IA297" s="3625"/>
      <c r="IB297" s="3625"/>
      <c r="IC297" s="3625"/>
      <c r="ID297" s="3625"/>
      <c r="IE297" s="3625"/>
      <c r="IF297" s="3625"/>
      <c r="IG297" s="3625"/>
      <c r="IH297" s="3625"/>
      <c r="II297" s="3625"/>
      <c r="IJ297" s="3625"/>
      <c r="IK297" s="3625"/>
      <c r="IL297" s="3625"/>
      <c r="IM297" s="3625"/>
      <c r="IN297" s="3625"/>
      <c r="IO297" s="3625"/>
      <c r="IP297" s="3625"/>
      <c r="IQ297" s="3625"/>
      <c r="IR297" s="3625"/>
      <c r="IS297" s="3625"/>
    </row>
    <row r="298" spans="1:253" s="3617" customFormat="1" hidden="1">
      <c r="A298" s="3485" t="s">
        <v>5894</v>
      </c>
      <c r="B298" s="3470" t="s">
        <v>5895</v>
      </c>
      <c r="C298" s="3481" t="s">
        <v>5896</v>
      </c>
      <c r="D298" s="3481" t="s">
        <v>5897</v>
      </c>
      <c r="E298" s="3470" t="s">
        <v>2736</v>
      </c>
      <c r="F298" s="3470" t="s">
        <v>3748</v>
      </c>
      <c r="G298" s="3470"/>
      <c r="H298" s="3470" t="s">
        <v>3788</v>
      </c>
      <c r="I298" s="3470"/>
      <c r="J298" s="3481" t="s">
        <v>5898</v>
      </c>
      <c r="K298" s="3470" t="s">
        <v>3751</v>
      </c>
      <c r="L298" s="3470">
        <v>99.93</v>
      </c>
      <c r="M298" s="3470">
        <v>14</v>
      </c>
      <c r="N298" s="3470" t="s">
        <v>3451</v>
      </c>
      <c r="O298" s="3470">
        <v>81.010000000000005</v>
      </c>
      <c r="P298" s="3470" t="s">
        <v>3452</v>
      </c>
      <c r="Q298" s="3457">
        <v>409633.05599999998</v>
      </c>
      <c r="R298" s="3470">
        <v>4099.2</v>
      </c>
      <c r="S298" s="3472">
        <v>40.47</v>
      </c>
      <c r="T298" s="3527">
        <v>404700</v>
      </c>
      <c r="U298" s="3470">
        <v>4050</v>
      </c>
      <c r="V298" s="3474">
        <v>0.1</v>
      </c>
      <c r="W298" s="3475">
        <v>36.42</v>
      </c>
      <c r="X298" s="3494">
        <v>364200</v>
      </c>
      <c r="Y298" s="3441">
        <v>2003</v>
      </c>
      <c r="Z298" s="3515">
        <v>4</v>
      </c>
      <c r="AA298" s="3470">
        <v>9</v>
      </c>
      <c r="AB298" s="3477">
        <v>1615</v>
      </c>
      <c r="AC298" s="3470" t="s">
        <v>3634</v>
      </c>
      <c r="AD298" s="3485"/>
      <c r="AE298" s="3441" t="s">
        <v>3663</v>
      </c>
      <c r="AF298" s="3470" t="s">
        <v>3799</v>
      </c>
      <c r="AG298" s="3522" t="s">
        <v>3466</v>
      </c>
      <c r="AH298" s="3485"/>
      <c r="AI298" s="3470" t="s">
        <v>3679</v>
      </c>
      <c r="AJ298" s="3523">
        <v>38138</v>
      </c>
      <c r="AK298" s="3500">
        <v>4</v>
      </c>
      <c r="AL298" s="3441">
        <v>67641700</v>
      </c>
      <c r="AM298" s="3441"/>
      <c r="AN298" s="3441" t="s">
        <v>3791</v>
      </c>
      <c r="AO298" s="3470" t="s">
        <v>5899</v>
      </c>
      <c r="AP298" s="3441" t="s">
        <v>3721</v>
      </c>
      <c r="AQ298" s="3441" t="s">
        <v>3571</v>
      </c>
      <c r="AR298" s="3441"/>
      <c r="AS298" s="3441"/>
      <c r="AT298" s="3441"/>
      <c r="AU298" s="3441"/>
      <c r="AV298" s="3441" t="s">
        <v>3568</v>
      </c>
      <c r="AW298" s="3441" t="s">
        <v>3572</v>
      </c>
      <c r="AX298" s="3441"/>
      <c r="AY298" s="3524" t="s">
        <v>5900</v>
      </c>
      <c r="AZ298" s="3441" t="s">
        <v>3793</v>
      </c>
      <c r="BA298" s="3441" t="s">
        <v>3781</v>
      </c>
      <c r="BB298" s="3524" t="s">
        <v>3803</v>
      </c>
      <c r="BC298" s="3441" t="s">
        <v>3772</v>
      </c>
      <c r="BD298" s="3525">
        <v>102483</v>
      </c>
      <c r="BE298" s="3441">
        <v>63023627</v>
      </c>
      <c r="BF298" s="3526">
        <v>2.8</v>
      </c>
      <c r="BG298" s="3518">
        <v>37682</v>
      </c>
      <c r="BH298" s="3470" t="s">
        <v>3437</v>
      </c>
      <c r="BI298" s="3441" t="s">
        <v>3700</v>
      </c>
      <c r="BJ298" s="3484">
        <v>37714</v>
      </c>
      <c r="BK298" s="3484"/>
      <c r="BL298" s="3441" t="s">
        <v>3670</v>
      </c>
      <c r="BM298" s="3441"/>
      <c r="BN298" s="3441"/>
      <c r="BO298" s="3441"/>
      <c r="BP298" s="3441"/>
      <c r="BQ298" s="3441"/>
      <c r="BR298" s="3441"/>
      <c r="BS298" s="3470"/>
      <c r="BT298" s="3470"/>
      <c r="BU298" s="3470"/>
      <c r="BV298" s="3604"/>
      <c r="BW298" s="3604"/>
      <c r="BX298" s="3604"/>
      <c r="BY298" s="3604"/>
      <c r="BZ298" s="3604"/>
      <c r="CA298" s="3604"/>
      <c r="CB298" s="3604"/>
      <c r="CC298" s="3604"/>
      <c r="CD298" s="3604"/>
      <c r="CE298" s="3604"/>
      <c r="CF298" s="3604"/>
      <c r="CG298" s="3604"/>
      <c r="CH298" s="3604"/>
      <c r="CI298" s="3604"/>
      <c r="CJ298" s="3604"/>
      <c r="CK298" s="3604"/>
      <c r="CL298" s="3604"/>
      <c r="CM298" s="3604"/>
      <c r="CN298" s="3604"/>
      <c r="CO298" s="3604"/>
      <c r="CP298" s="3604"/>
      <c r="CQ298" s="3604"/>
      <c r="CR298" s="3604"/>
      <c r="CS298" s="3604"/>
      <c r="CT298" s="3604"/>
      <c r="CU298" s="3604"/>
      <c r="CV298" s="3604"/>
      <c r="CW298" s="3604"/>
      <c r="CX298" s="3604"/>
      <c r="CY298" s="3604"/>
      <c r="CZ298" s="3604"/>
      <c r="DA298" s="3604"/>
      <c r="DB298" s="3604"/>
      <c r="DC298" s="3604"/>
      <c r="DD298" s="3604"/>
      <c r="DE298" s="3604"/>
      <c r="DF298" s="3604"/>
      <c r="DG298" s="3604"/>
      <c r="DH298" s="3604"/>
      <c r="DI298" s="3604"/>
      <c r="DJ298" s="3604"/>
      <c r="DK298" s="3604"/>
      <c r="DL298" s="3604"/>
      <c r="DM298" s="3604"/>
      <c r="DN298" s="3604"/>
      <c r="DO298" s="3604"/>
      <c r="DP298" s="3604"/>
      <c r="DQ298" s="3604"/>
      <c r="DR298" s="3604"/>
      <c r="DS298" s="3604"/>
      <c r="DT298" s="3604"/>
      <c r="DU298" s="3604"/>
      <c r="DV298" s="3604"/>
      <c r="DW298" s="3604"/>
      <c r="DX298" s="3604"/>
      <c r="DY298" s="3604"/>
      <c r="DZ298" s="3604"/>
      <c r="EA298" s="3604"/>
      <c r="EB298" s="3604"/>
      <c r="EC298" s="3604"/>
      <c r="ED298" s="3604"/>
      <c r="EE298" s="3604"/>
      <c r="EF298" s="3604"/>
      <c r="EG298" s="3604"/>
      <c r="EH298" s="3604"/>
      <c r="EI298" s="3604"/>
      <c r="EJ298" s="3604"/>
      <c r="EK298" s="3604"/>
      <c r="EL298" s="3604"/>
      <c r="EM298" s="3604"/>
      <c r="EN298" s="3604"/>
      <c r="EO298" s="3604"/>
      <c r="EP298" s="3604"/>
      <c r="EQ298" s="3604"/>
      <c r="ER298" s="3604"/>
      <c r="ES298" s="3604"/>
      <c r="ET298" s="3604"/>
      <c r="EU298" s="3604"/>
      <c r="EV298" s="3604"/>
      <c r="EW298" s="3604"/>
      <c r="EX298" s="3604"/>
      <c r="EY298" s="3604"/>
      <c r="EZ298" s="3604"/>
      <c r="FA298" s="3604"/>
      <c r="FB298" s="3604"/>
      <c r="FC298" s="3604"/>
      <c r="FD298" s="3604"/>
      <c r="FE298" s="3604"/>
      <c r="FF298" s="3604"/>
      <c r="FG298" s="3604"/>
      <c r="FH298" s="3604"/>
      <c r="FI298" s="3604"/>
      <c r="FJ298" s="3604"/>
      <c r="FK298" s="3604"/>
      <c r="FL298" s="3604"/>
      <c r="FM298" s="3604"/>
      <c r="FN298" s="3604"/>
      <c r="FO298" s="3604"/>
      <c r="FP298" s="3604"/>
      <c r="FQ298" s="3604"/>
      <c r="FR298" s="3604"/>
      <c r="FS298" s="3604"/>
      <c r="FT298" s="3604"/>
      <c r="FU298" s="3604"/>
      <c r="FV298" s="3604"/>
      <c r="FW298" s="3604"/>
      <c r="FX298" s="3604"/>
      <c r="FY298" s="3604"/>
      <c r="FZ298" s="3604"/>
      <c r="GA298" s="3604"/>
      <c r="GB298" s="3604"/>
      <c r="GC298" s="3604"/>
      <c r="GD298" s="3604"/>
      <c r="GE298" s="3604"/>
      <c r="GF298" s="3604"/>
      <c r="GG298" s="3604"/>
      <c r="GH298" s="3604"/>
      <c r="GI298" s="3604"/>
      <c r="GJ298" s="3604"/>
      <c r="GK298" s="3604"/>
      <c r="GL298" s="3604"/>
      <c r="GM298" s="3604"/>
      <c r="GN298" s="3604"/>
      <c r="GO298" s="3604"/>
      <c r="GP298" s="3604"/>
      <c r="GQ298" s="3604"/>
      <c r="GR298" s="3604"/>
      <c r="GS298" s="3604"/>
      <c r="GT298" s="3604"/>
      <c r="GU298" s="3604"/>
      <c r="GV298" s="3604"/>
      <c r="GW298" s="3604"/>
      <c r="GX298" s="3604"/>
      <c r="GY298" s="3604"/>
      <c r="GZ298" s="3604"/>
      <c r="HA298" s="3604"/>
      <c r="HB298" s="3604"/>
      <c r="HC298" s="3604"/>
      <c r="HD298" s="3604"/>
      <c r="HE298" s="3604"/>
      <c r="HF298" s="3604"/>
      <c r="HG298" s="3604"/>
      <c r="HH298" s="3604"/>
      <c r="HI298" s="3604"/>
      <c r="HJ298" s="3604"/>
      <c r="HK298" s="3604"/>
      <c r="HL298" s="3604"/>
      <c r="HM298" s="3604"/>
      <c r="HN298" s="3604"/>
      <c r="HO298" s="3604"/>
      <c r="HP298" s="3604"/>
      <c r="HQ298" s="3604"/>
      <c r="HR298" s="3604"/>
      <c r="HS298" s="3604"/>
      <c r="HT298" s="3604"/>
      <c r="HU298" s="3604"/>
      <c r="HV298" s="3604"/>
      <c r="HW298" s="3604"/>
      <c r="HX298" s="3604"/>
      <c r="HY298" s="3604"/>
      <c r="HZ298" s="3604"/>
      <c r="IA298" s="3604"/>
      <c r="IB298" s="3604"/>
      <c r="IC298" s="3604"/>
      <c r="ID298" s="3604"/>
      <c r="IE298" s="3604"/>
      <c r="IF298" s="3604"/>
      <c r="IG298" s="3604"/>
      <c r="IH298" s="3604"/>
      <c r="II298" s="3604"/>
      <c r="IJ298" s="3604"/>
      <c r="IK298" s="3604"/>
      <c r="IL298" s="3604"/>
      <c r="IM298" s="3604"/>
      <c r="IN298" s="3604"/>
      <c r="IO298" s="3604"/>
      <c r="IP298" s="3604"/>
      <c r="IQ298" s="3604"/>
      <c r="IR298" s="3604"/>
      <c r="IS298" s="3604"/>
    </row>
    <row r="299" spans="1:253" s="3617" customFormat="1" hidden="1">
      <c r="A299" s="3470" t="s">
        <v>5901</v>
      </c>
      <c r="B299" s="3470" t="s">
        <v>5902</v>
      </c>
      <c r="C299" s="3481" t="s">
        <v>5903</v>
      </c>
      <c r="D299" s="3481" t="s">
        <v>5904</v>
      </c>
      <c r="E299" s="3470" t="s">
        <v>2736</v>
      </c>
      <c r="F299" s="3528" t="s">
        <v>4514</v>
      </c>
      <c r="G299" s="3470"/>
      <c r="H299" s="3470" t="s">
        <v>4273</v>
      </c>
      <c r="I299" s="3470" t="s">
        <v>4217</v>
      </c>
      <c r="J299" s="3481" t="s">
        <v>3479</v>
      </c>
      <c r="K299" s="3470" t="s">
        <v>4286</v>
      </c>
      <c r="L299" s="3470">
        <v>72.94</v>
      </c>
      <c r="M299" s="3470">
        <v>1</v>
      </c>
      <c r="N299" s="3470" t="s">
        <v>3584</v>
      </c>
      <c r="O299" s="3470">
        <v>66.069999999999993</v>
      </c>
      <c r="P299" s="3470" t="s">
        <v>3452</v>
      </c>
      <c r="Q299" s="3510">
        <v>331877</v>
      </c>
      <c r="R299" s="3470">
        <v>4550</v>
      </c>
      <c r="S299" s="3472">
        <v>33.909999999999997</v>
      </c>
      <c r="T299" s="3527">
        <v>339100</v>
      </c>
      <c r="U299" s="3495">
        <v>4650</v>
      </c>
      <c r="V299" s="3512">
        <v>0.1</v>
      </c>
      <c r="W299" s="3475">
        <v>30.51</v>
      </c>
      <c r="X299" s="3473">
        <v>305100</v>
      </c>
      <c r="Y299" s="3470">
        <v>2003</v>
      </c>
      <c r="Z299" s="3515">
        <v>4</v>
      </c>
      <c r="AA299" s="3515">
        <v>7</v>
      </c>
      <c r="AB299" s="3485">
        <v>1695</v>
      </c>
      <c r="AC299" s="3470" t="s">
        <v>3544</v>
      </c>
      <c r="AD299" s="3485"/>
      <c r="AE299" s="3497" t="s">
        <v>3663</v>
      </c>
      <c r="AF299" s="3470" t="s">
        <v>3618</v>
      </c>
      <c r="AG299" s="3522" t="s">
        <v>3454</v>
      </c>
      <c r="AH299" s="3485"/>
      <c r="AI299" s="3561" t="s">
        <v>3679</v>
      </c>
      <c r="AJ299" s="3523">
        <v>37895</v>
      </c>
      <c r="AK299" s="3500">
        <v>4</v>
      </c>
      <c r="AL299" s="3501">
        <v>67641700</v>
      </c>
      <c r="AM299" s="3441"/>
      <c r="AN299" s="3469" t="s">
        <v>3468</v>
      </c>
      <c r="AO299" s="3441"/>
      <c r="AP299" s="3456" t="s">
        <v>3476</v>
      </c>
      <c r="AQ299" s="3441" t="s">
        <v>3571</v>
      </c>
      <c r="AR299" s="3441"/>
      <c r="AS299" s="3441"/>
      <c r="AT299" s="3441"/>
      <c r="AU299" s="3441"/>
      <c r="AV299" s="3441"/>
      <c r="AW299" s="3470" t="s">
        <v>3572</v>
      </c>
      <c r="AX299" s="3484" t="s">
        <v>2511</v>
      </c>
      <c r="AY299" s="3441">
        <v>265181</v>
      </c>
      <c r="AZ299" s="3441" t="s">
        <v>4286</v>
      </c>
      <c r="BA299" s="3441" t="s">
        <v>4287</v>
      </c>
      <c r="BB299" s="3524" t="s">
        <v>5905</v>
      </c>
      <c r="BC299" s="3441" t="s">
        <v>4443</v>
      </c>
      <c r="BD299" s="3441">
        <v>100873</v>
      </c>
      <c r="BE299" s="3441">
        <v>68498961</v>
      </c>
      <c r="BF299" s="3441">
        <v>2.8</v>
      </c>
      <c r="BG299" s="3518">
        <v>37638</v>
      </c>
      <c r="BH299" s="3470"/>
      <c r="BI299" s="3441" t="s">
        <v>3475</v>
      </c>
      <c r="BJ299" s="3484">
        <v>37712</v>
      </c>
      <c r="BK299" s="3518"/>
      <c r="BL299" s="3441" t="s">
        <v>3594</v>
      </c>
      <c r="BM299" s="3441"/>
      <c r="BN299" s="3441"/>
      <c r="BO299" s="3441"/>
      <c r="BP299" s="3441"/>
      <c r="BQ299" s="3441"/>
      <c r="BR299" s="3441"/>
      <c r="BS299" s="3470"/>
      <c r="BT299" s="3470"/>
      <c r="BU299" s="3470"/>
      <c r="BV299" s="3441"/>
      <c r="BW299" s="3441"/>
      <c r="BX299" s="3441"/>
      <c r="BY299" s="3441"/>
      <c r="BZ299" s="3441"/>
      <c r="CA299" s="3441"/>
      <c r="CB299" s="3441"/>
      <c r="CC299" s="3441"/>
      <c r="CD299" s="3441"/>
      <c r="CE299" s="3441"/>
      <c r="CF299" s="3441"/>
      <c r="CG299" s="3441"/>
      <c r="CH299" s="3441"/>
      <c r="CI299" s="3441"/>
      <c r="CJ299" s="3441"/>
      <c r="CK299" s="3441"/>
      <c r="CL299" s="3441"/>
      <c r="CM299" s="3441"/>
      <c r="CN299" s="3441"/>
      <c r="CO299" s="3441"/>
      <c r="CP299" s="3441"/>
      <c r="CQ299" s="3441"/>
      <c r="CR299" s="3441"/>
      <c r="CS299" s="3441"/>
      <c r="CT299" s="3441"/>
      <c r="CU299" s="3441"/>
      <c r="CV299" s="3441"/>
      <c r="CW299" s="3441"/>
      <c r="CX299" s="3441"/>
      <c r="CY299" s="3441"/>
      <c r="CZ299" s="3441"/>
      <c r="DA299" s="3441"/>
      <c r="DB299" s="3441"/>
      <c r="DC299" s="3441"/>
      <c r="DD299" s="3441"/>
      <c r="DE299" s="3441"/>
      <c r="DF299" s="3441"/>
      <c r="DG299" s="3441"/>
      <c r="DH299" s="3441"/>
      <c r="DI299" s="3441"/>
      <c r="DJ299" s="3441"/>
      <c r="DK299" s="3441"/>
      <c r="DL299" s="3441"/>
      <c r="DM299" s="3441"/>
      <c r="DN299" s="3441"/>
      <c r="DO299" s="3441"/>
      <c r="DP299" s="3441"/>
      <c r="DQ299" s="3441"/>
      <c r="DR299" s="3441"/>
      <c r="DS299" s="3441"/>
      <c r="DT299" s="3441"/>
      <c r="DU299" s="3441"/>
      <c r="DV299" s="3441"/>
      <c r="DW299" s="3441"/>
      <c r="DX299" s="3441"/>
      <c r="DY299" s="3441"/>
      <c r="DZ299" s="3441"/>
      <c r="EA299" s="3441"/>
      <c r="EB299" s="3441"/>
      <c r="EC299" s="3441"/>
      <c r="ED299" s="3441"/>
      <c r="EE299" s="3441"/>
      <c r="EF299" s="3441"/>
      <c r="EG299" s="3441"/>
      <c r="EH299" s="3441"/>
      <c r="EI299" s="3441"/>
      <c r="EJ299" s="3441"/>
      <c r="EK299" s="3441"/>
      <c r="EL299" s="3441"/>
      <c r="EM299" s="3441"/>
      <c r="EN299" s="3441"/>
      <c r="EO299" s="3441"/>
      <c r="EP299" s="3441"/>
      <c r="EQ299" s="3441"/>
      <c r="ER299" s="3441"/>
      <c r="ES299" s="3441"/>
      <c r="ET299" s="3441"/>
      <c r="EU299" s="3441"/>
      <c r="EV299" s="3441"/>
      <c r="EW299" s="3441"/>
      <c r="EX299" s="3441"/>
      <c r="EY299" s="3441"/>
      <c r="EZ299" s="3441"/>
      <c r="FA299" s="3441"/>
      <c r="FB299" s="3441"/>
      <c r="FC299" s="3441"/>
      <c r="FD299" s="3441"/>
      <c r="FE299" s="3441"/>
      <c r="FF299" s="3441"/>
      <c r="FG299" s="3441"/>
      <c r="FH299" s="3441"/>
      <c r="FI299" s="3441"/>
      <c r="FJ299" s="3441"/>
      <c r="FK299" s="3441"/>
      <c r="FL299" s="3441"/>
      <c r="FM299" s="3441"/>
      <c r="FN299" s="3441"/>
      <c r="FO299" s="3441"/>
      <c r="FP299" s="3441"/>
      <c r="FQ299" s="3441"/>
      <c r="FR299" s="3441"/>
      <c r="FS299" s="3441"/>
      <c r="FT299" s="3441"/>
      <c r="FU299" s="3441"/>
      <c r="FV299" s="3441"/>
      <c r="FW299" s="3441"/>
      <c r="FX299" s="3441"/>
      <c r="FY299" s="3441"/>
      <c r="FZ299" s="3441"/>
      <c r="GA299" s="3441"/>
      <c r="GB299" s="3441"/>
      <c r="GC299" s="3441"/>
      <c r="GD299" s="3441"/>
      <c r="GE299" s="3441"/>
      <c r="GF299" s="3441"/>
      <c r="GG299" s="3441"/>
      <c r="GH299" s="3441"/>
      <c r="GI299" s="3441"/>
      <c r="GJ299" s="3441"/>
      <c r="GK299" s="3441"/>
      <c r="GL299" s="3441"/>
      <c r="GM299" s="3441"/>
      <c r="GN299" s="3441"/>
      <c r="GO299" s="3441"/>
      <c r="GP299" s="3441"/>
      <c r="GQ299" s="3441"/>
      <c r="GR299" s="3441"/>
      <c r="GS299" s="3441"/>
      <c r="GT299" s="3441"/>
      <c r="GU299" s="3441"/>
      <c r="GV299" s="3441"/>
      <c r="GW299" s="3441"/>
      <c r="GX299" s="3441"/>
      <c r="GY299" s="3441"/>
      <c r="GZ299" s="3441"/>
      <c r="HA299" s="3441"/>
      <c r="HB299" s="3441"/>
      <c r="HC299" s="3441"/>
      <c r="HD299" s="3441"/>
      <c r="HE299" s="3441"/>
      <c r="HF299" s="3441"/>
      <c r="HG299" s="3441"/>
      <c r="HH299" s="3441"/>
      <c r="HI299" s="3441"/>
      <c r="HJ299" s="3441"/>
      <c r="HK299" s="3441"/>
      <c r="HL299" s="3441"/>
      <c r="HM299" s="3441"/>
      <c r="HN299" s="3441"/>
      <c r="HO299" s="3441"/>
      <c r="HP299" s="3441"/>
      <c r="HQ299" s="3441"/>
      <c r="HR299" s="3441"/>
      <c r="HS299" s="3441"/>
      <c r="HT299" s="3441"/>
      <c r="HU299" s="3441"/>
      <c r="HV299" s="3441"/>
      <c r="HW299" s="3441"/>
      <c r="HX299" s="3441"/>
      <c r="HY299" s="3441"/>
      <c r="HZ299" s="3441"/>
      <c r="IA299" s="3441"/>
      <c r="IB299" s="3441"/>
      <c r="IC299" s="3441"/>
      <c r="ID299" s="3441"/>
      <c r="IE299" s="3441"/>
      <c r="IF299" s="3441"/>
      <c r="IG299" s="3441"/>
      <c r="IH299" s="3441"/>
      <c r="II299" s="3441"/>
      <c r="IJ299" s="3441"/>
      <c r="IK299" s="3441"/>
      <c r="IL299" s="3441"/>
      <c r="IM299" s="3441"/>
      <c r="IN299" s="3441"/>
      <c r="IO299" s="3441"/>
      <c r="IP299" s="3441"/>
      <c r="IQ299" s="3441"/>
      <c r="IR299" s="3441"/>
      <c r="IS299" s="3441"/>
    </row>
    <row r="300" spans="1:253" s="3617" customFormat="1" hidden="1">
      <c r="A300" s="3470" t="s">
        <v>5906</v>
      </c>
      <c r="B300" s="3470" t="s">
        <v>5907</v>
      </c>
      <c r="C300" s="3481" t="s">
        <v>5908</v>
      </c>
      <c r="D300" s="3481" t="s">
        <v>5909</v>
      </c>
      <c r="E300" s="3470" t="s">
        <v>2736</v>
      </c>
      <c r="F300" s="3528" t="s">
        <v>5910</v>
      </c>
      <c r="G300" s="3470"/>
      <c r="H300" s="3470" t="s">
        <v>4418</v>
      </c>
      <c r="I300" s="3470" t="s">
        <v>4282</v>
      </c>
      <c r="J300" s="3481" t="s">
        <v>4434</v>
      </c>
      <c r="K300" s="3470" t="s">
        <v>5911</v>
      </c>
      <c r="L300" s="3470">
        <v>113.82</v>
      </c>
      <c r="M300" s="3470">
        <v>6</v>
      </c>
      <c r="N300" s="3470" t="s">
        <v>3661</v>
      </c>
      <c r="O300" s="3470">
        <v>103.1</v>
      </c>
      <c r="P300" s="3470" t="s">
        <v>3452</v>
      </c>
      <c r="Q300" s="3510">
        <v>563409</v>
      </c>
      <c r="R300" s="3470">
        <v>4950</v>
      </c>
      <c r="S300" s="3472">
        <v>57.47</v>
      </c>
      <c r="T300" s="3527">
        <v>574700</v>
      </c>
      <c r="U300" s="3495">
        <v>5050</v>
      </c>
      <c r="V300" s="3512">
        <v>0.1</v>
      </c>
      <c r="W300" s="3475">
        <v>51.72</v>
      </c>
      <c r="X300" s="3473">
        <v>517200</v>
      </c>
      <c r="Y300" s="3470">
        <v>2003</v>
      </c>
      <c r="Z300" s="3515">
        <v>4</v>
      </c>
      <c r="AA300" s="3515">
        <v>7</v>
      </c>
      <c r="AB300" s="3485">
        <v>2870</v>
      </c>
      <c r="AC300" s="3470" t="s">
        <v>3544</v>
      </c>
      <c r="AD300" s="3485"/>
      <c r="AE300" s="3497" t="s">
        <v>3663</v>
      </c>
      <c r="AF300" s="3470" t="s">
        <v>3587</v>
      </c>
      <c r="AG300" s="3522" t="s">
        <v>3454</v>
      </c>
      <c r="AH300" s="3485"/>
      <c r="AI300" s="3561" t="s">
        <v>3679</v>
      </c>
      <c r="AJ300" s="3523">
        <v>38078</v>
      </c>
      <c r="AK300" s="3500">
        <v>4</v>
      </c>
      <c r="AL300" s="3501">
        <v>67641700</v>
      </c>
      <c r="AM300" s="3441"/>
      <c r="AN300" s="3469" t="s">
        <v>3468</v>
      </c>
      <c r="AO300" s="3441"/>
      <c r="AP300" s="3456" t="s">
        <v>3476</v>
      </c>
      <c r="AQ300" s="3441" t="s">
        <v>3571</v>
      </c>
      <c r="AR300" s="3441"/>
      <c r="AS300" s="3441"/>
      <c r="AT300" s="3441"/>
      <c r="AU300" s="3441"/>
      <c r="AV300" s="3441"/>
      <c r="AW300" s="3470" t="s">
        <v>3572</v>
      </c>
      <c r="AX300" s="3484" t="s">
        <v>2511</v>
      </c>
      <c r="AY300" s="3441">
        <v>265195</v>
      </c>
      <c r="AZ300" s="3441" t="s">
        <v>4283</v>
      </c>
      <c r="BA300" s="3441" t="s">
        <v>5912</v>
      </c>
      <c r="BB300" s="3524" t="s">
        <v>5905</v>
      </c>
      <c r="BC300" s="3441" t="s">
        <v>4289</v>
      </c>
      <c r="BD300" s="3441">
        <v>100873</v>
      </c>
      <c r="BE300" s="3441">
        <v>68498961</v>
      </c>
      <c r="BF300" s="3441">
        <v>2.8</v>
      </c>
      <c r="BG300" s="3518">
        <v>37647</v>
      </c>
      <c r="BH300" s="3470"/>
      <c r="BI300" s="3441" t="s">
        <v>3922</v>
      </c>
      <c r="BJ300" s="3484">
        <v>37712</v>
      </c>
      <c r="BK300" s="3518"/>
      <c r="BL300" s="3441" t="s">
        <v>3594</v>
      </c>
      <c r="BM300" s="3441"/>
      <c r="BN300" s="3441"/>
      <c r="BO300" s="3441"/>
      <c r="BP300" s="3441"/>
      <c r="BQ300" s="3441"/>
      <c r="BR300" s="3441"/>
      <c r="BS300" s="3470"/>
      <c r="BT300" s="3470"/>
      <c r="BU300" s="3470"/>
      <c r="BV300" s="3441"/>
      <c r="BW300" s="3441"/>
      <c r="BX300" s="3441"/>
      <c r="BY300" s="3441"/>
      <c r="BZ300" s="3441"/>
      <c r="CA300" s="3441"/>
      <c r="CB300" s="3441"/>
      <c r="CC300" s="3441"/>
      <c r="CD300" s="3441"/>
      <c r="CE300" s="3441"/>
      <c r="CF300" s="3441"/>
      <c r="CG300" s="3441"/>
      <c r="CH300" s="3441"/>
      <c r="CI300" s="3441"/>
      <c r="CJ300" s="3441"/>
      <c r="CK300" s="3441"/>
      <c r="CL300" s="3441"/>
      <c r="CM300" s="3441"/>
      <c r="CN300" s="3441"/>
      <c r="CO300" s="3441"/>
      <c r="CP300" s="3441"/>
      <c r="CQ300" s="3441"/>
      <c r="CR300" s="3441"/>
      <c r="CS300" s="3441"/>
      <c r="CT300" s="3441"/>
      <c r="CU300" s="3441"/>
      <c r="CV300" s="3441"/>
      <c r="CW300" s="3441"/>
      <c r="CX300" s="3441"/>
      <c r="CY300" s="3441"/>
      <c r="CZ300" s="3441"/>
      <c r="DA300" s="3441"/>
      <c r="DB300" s="3441"/>
      <c r="DC300" s="3441"/>
      <c r="DD300" s="3441"/>
      <c r="DE300" s="3441"/>
      <c r="DF300" s="3441"/>
      <c r="DG300" s="3441"/>
      <c r="DH300" s="3441"/>
      <c r="DI300" s="3441"/>
      <c r="DJ300" s="3441"/>
      <c r="DK300" s="3441"/>
      <c r="DL300" s="3441"/>
      <c r="DM300" s="3441"/>
      <c r="DN300" s="3441"/>
      <c r="DO300" s="3441"/>
      <c r="DP300" s="3441"/>
      <c r="DQ300" s="3441"/>
      <c r="DR300" s="3441"/>
      <c r="DS300" s="3441"/>
      <c r="DT300" s="3441"/>
      <c r="DU300" s="3441"/>
      <c r="DV300" s="3441"/>
      <c r="DW300" s="3441"/>
      <c r="DX300" s="3441"/>
      <c r="DY300" s="3441"/>
      <c r="DZ300" s="3441"/>
      <c r="EA300" s="3441"/>
      <c r="EB300" s="3441"/>
      <c r="EC300" s="3441"/>
      <c r="ED300" s="3441"/>
      <c r="EE300" s="3441"/>
      <c r="EF300" s="3441"/>
      <c r="EG300" s="3441"/>
      <c r="EH300" s="3441"/>
      <c r="EI300" s="3441"/>
      <c r="EJ300" s="3441"/>
      <c r="EK300" s="3441"/>
      <c r="EL300" s="3441"/>
      <c r="EM300" s="3441"/>
      <c r="EN300" s="3441"/>
      <c r="EO300" s="3441"/>
      <c r="EP300" s="3441"/>
      <c r="EQ300" s="3441"/>
      <c r="ER300" s="3441"/>
      <c r="ES300" s="3441"/>
      <c r="ET300" s="3441"/>
      <c r="EU300" s="3441"/>
      <c r="EV300" s="3441"/>
      <c r="EW300" s="3441"/>
      <c r="EX300" s="3441"/>
      <c r="EY300" s="3441"/>
      <c r="EZ300" s="3441"/>
      <c r="FA300" s="3441"/>
      <c r="FB300" s="3441"/>
      <c r="FC300" s="3441"/>
      <c r="FD300" s="3441"/>
      <c r="FE300" s="3441"/>
      <c r="FF300" s="3441"/>
      <c r="FG300" s="3441"/>
      <c r="FH300" s="3441"/>
      <c r="FI300" s="3441"/>
      <c r="FJ300" s="3441"/>
      <c r="FK300" s="3441"/>
      <c r="FL300" s="3441"/>
      <c r="FM300" s="3441"/>
      <c r="FN300" s="3441"/>
      <c r="FO300" s="3441"/>
      <c r="FP300" s="3441"/>
      <c r="FQ300" s="3441"/>
      <c r="FR300" s="3441"/>
      <c r="FS300" s="3441"/>
      <c r="FT300" s="3441"/>
      <c r="FU300" s="3441"/>
      <c r="FV300" s="3441"/>
      <c r="FW300" s="3441"/>
      <c r="FX300" s="3441"/>
      <c r="FY300" s="3441"/>
      <c r="FZ300" s="3441"/>
      <c r="GA300" s="3441"/>
      <c r="GB300" s="3441"/>
      <c r="GC300" s="3441"/>
      <c r="GD300" s="3441"/>
      <c r="GE300" s="3441"/>
      <c r="GF300" s="3441"/>
      <c r="GG300" s="3441"/>
      <c r="GH300" s="3441"/>
      <c r="GI300" s="3441"/>
      <c r="GJ300" s="3441"/>
      <c r="GK300" s="3441"/>
      <c r="GL300" s="3441"/>
      <c r="GM300" s="3441"/>
      <c r="GN300" s="3441"/>
      <c r="GO300" s="3441"/>
      <c r="GP300" s="3441"/>
      <c r="GQ300" s="3441"/>
      <c r="GR300" s="3441"/>
      <c r="GS300" s="3441"/>
      <c r="GT300" s="3441"/>
      <c r="GU300" s="3441"/>
      <c r="GV300" s="3441"/>
      <c r="GW300" s="3441"/>
      <c r="GX300" s="3441"/>
      <c r="GY300" s="3441"/>
      <c r="GZ300" s="3441"/>
      <c r="HA300" s="3441"/>
      <c r="HB300" s="3441"/>
      <c r="HC300" s="3441"/>
      <c r="HD300" s="3441"/>
      <c r="HE300" s="3441"/>
      <c r="HF300" s="3441"/>
      <c r="HG300" s="3441"/>
      <c r="HH300" s="3441"/>
      <c r="HI300" s="3441"/>
      <c r="HJ300" s="3441"/>
      <c r="HK300" s="3441"/>
      <c r="HL300" s="3441"/>
      <c r="HM300" s="3441"/>
      <c r="HN300" s="3441"/>
      <c r="HO300" s="3441"/>
      <c r="HP300" s="3441"/>
      <c r="HQ300" s="3441"/>
      <c r="HR300" s="3441"/>
      <c r="HS300" s="3441"/>
      <c r="HT300" s="3441"/>
      <c r="HU300" s="3441"/>
      <c r="HV300" s="3441"/>
      <c r="HW300" s="3441"/>
      <c r="HX300" s="3441"/>
      <c r="HY300" s="3441"/>
      <c r="HZ300" s="3441"/>
      <c r="IA300" s="3441"/>
      <c r="IB300" s="3441"/>
      <c r="IC300" s="3441"/>
      <c r="ID300" s="3441"/>
      <c r="IE300" s="3441"/>
      <c r="IF300" s="3441"/>
      <c r="IG300" s="3441"/>
      <c r="IH300" s="3441"/>
      <c r="II300" s="3441"/>
      <c r="IJ300" s="3441"/>
      <c r="IK300" s="3441"/>
      <c r="IL300" s="3441"/>
      <c r="IM300" s="3441"/>
      <c r="IN300" s="3441"/>
      <c r="IO300" s="3441"/>
      <c r="IP300" s="3441"/>
      <c r="IQ300" s="3441"/>
      <c r="IR300" s="3441"/>
      <c r="IS300" s="3441"/>
    </row>
    <row r="301" spans="1:253" s="3617" customFormat="1" hidden="1">
      <c r="A301" s="3470" t="s">
        <v>5913</v>
      </c>
      <c r="B301" s="3470" t="s">
        <v>5914</v>
      </c>
      <c r="C301" s="3481" t="s">
        <v>5915</v>
      </c>
      <c r="D301" s="3470">
        <v>13671350719</v>
      </c>
      <c r="E301" s="3470" t="s">
        <v>3558</v>
      </c>
      <c r="F301" s="3470" t="s">
        <v>4025</v>
      </c>
      <c r="G301" s="3470"/>
      <c r="H301" s="3453" t="s">
        <v>4026</v>
      </c>
      <c r="I301" s="3453" t="s">
        <v>3599</v>
      </c>
      <c r="J301" s="3453" t="s">
        <v>5916</v>
      </c>
      <c r="K301" s="3470" t="s">
        <v>4029</v>
      </c>
      <c r="L301" s="3495">
        <v>82.81</v>
      </c>
      <c r="M301" s="3495">
        <v>13</v>
      </c>
      <c r="N301" s="3470" t="s">
        <v>4030</v>
      </c>
      <c r="O301" s="3495">
        <v>67.069999999999993</v>
      </c>
      <c r="P301" s="3470" t="s">
        <v>3452</v>
      </c>
      <c r="Q301" s="3457">
        <v>322959</v>
      </c>
      <c r="R301" s="3470">
        <v>3900</v>
      </c>
      <c r="S301" s="3532">
        <v>31.94</v>
      </c>
      <c r="T301" s="3554">
        <v>319400</v>
      </c>
      <c r="U301" s="3470">
        <v>3858</v>
      </c>
      <c r="V301" s="3474">
        <v>0.1</v>
      </c>
      <c r="W301" s="3475">
        <v>28.74</v>
      </c>
      <c r="X301" s="3473">
        <v>287400</v>
      </c>
      <c r="Y301" s="3441">
        <v>2003</v>
      </c>
      <c r="Z301" s="3441">
        <v>4</v>
      </c>
      <c r="AA301" s="3441">
        <v>8</v>
      </c>
      <c r="AB301" s="3477">
        <v>1595</v>
      </c>
      <c r="AC301" s="3470" t="s">
        <v>5917</v>
      </c>
      <c r="AD301" s="3470"/>
      <c r="AE301" s="3456" t="s">
        <v>3663</v>
      </c>
      <c r="AF301" s="3470" t="s">
        <v>4200</v>
      </c>
      <c r="AG301" s="3470" t="s">
        <v>3466</v>
      </c>
      <c r="AH301" s="3470" t="s">
        <v>3568</v>
      </c>
      <c r="AI301" s="3470" t="s">
        <v>3679</v>
      </c>
      <c r="AJ301" s="3478">
        <v>37742</v>
      </c>
      <c r="AK301" s="3479" t="s">
        <v>4427</v>
      </c>
      <c r="AL301" s="3495">
        <v>67641700</v>
      </c>
      <c r="AM301" s="3470"/>
      <c r="AN301" s="3480" t="s">
        <v>3468</v>
      </c>
      <c r="AO301" s="3470" t="s">
        <v>3568</v>
      </c>
      <c r="AP301" s="3441" t="s">
        <v>3713</v>
      </c>
      <c r="AQ301" s="3456" t="s">
        <v>3571</v>
      </c>
      <c r="AR301" s="3470"/>
      <c r="AS301" s="3470"/>
      <c r="AT301" s="3470"/>
      <c r="AU301" s="3470"/>
      <c r="AV301" s="3519"/>
      <c r="AW301" s="3470" t="s">
        <v>3572</v>
      </c>
      <c r="AX301" s="3470" t="s">
        <v>2511</v>
      </c>
      <c r="AY301" s="3495">
        <v>279384</v>
      </c>
      <c r="AZ301" s="3470" t="s">
        <v>4029</v>
      </c>
      <c r="BA301" s="3470" t="s">
        <v>4034</v>
      </c>
      <c r="BB301" s="3470" t="s">
        <v>4127</v>
      </c>
      <c r="BC301" s="3470" t="s">
        <v>4035</v>
      </c>
      <c r="BD301" s="3470">
        <v>100034</v>
      </c>
      <c r="BE301" s="3470">
        <v>66177078</v>
      </c>
      <c r="BF301" s="3520">
        <v>2.7</v>
      </c>
      <c r="BG301" s="3478">
        <v>37706</v>
      </c>
      <c r="BH301" s="3470"/>
      <c r="BI301" s="3441" t="s">
        <v>3700</v>
      </c>
      <c r="BJ301" s="3478">
        <v>37718</v>
      </c>
      <c r="BK301" s="3478"/>
      <c r="BL301" s="3441" t="s">
        <v>3670</v>
      </c>
      <c r="BM301" s="3441"/>
      <c r="BN301" s="3441"/>
      <c r="BO301" s="3441"/>
      <c r="BP301" s="3441"/>
      <c r="BQ301" s="3441"/>
      <c r="BR301" s="3441"/>
      <c r="BS301" s="3470"/>
      <c r="BT301" s="3470"/>
      <c r="BU301" s="3470"/>
      <c r="BV301" s="3605"/>
      <c r="BW301" s="3605"/>
      <c r="BX301" s="3605"/>
      <c r="BY301" s="3605"/>
      <c r="BZ301" s="3605"/>
      <c r="CA301" s="3605"/>
      <c r="CB301" s="3605"/>
      <c r="CC301" s="3605"/>
      <c r="CD301" s="3605"/>
      <c r="CE301" s="3605"/>
      <c r="CF301" s="3605"/>
      <c r="CG301" s="3605"/>
      <c r="CH301" s="3605"/>
      <c r="CI301" s="3605"/>
      <c r="CJ301" s="3605"/>
      <c r="CK301" s="3605"/>
      <c r="CL301" s="3605"/>
      <c r="CM301" s="3605"/>
      <c r="CN301" s="3605"/>
      <c r="CO301" s="3605"/>
      <c r="CP301" s="3605"/>
      <c r="CQ301" s="3605"/>
      <c r="CR301" s="3605"/>
      <c r="CS301" s="3605"/>
      <c r="CT301" s="3605"/>
      <c r="CU301" s="3605"/>
      <c r="CV301" s="3605"/>
      <c r="CW301" s="3605"/>
      <c r="CX301" s="3605"/>
      <c r="CY301" s="3605"/>
      <c r="CZ301" s="3605"/>
      <c r="DA301" s="3605"/>
      <c r="DB301" s="3605"/>
      <c r="DC301" s="3605"/>
      <c r="DD301" s="3605"/>
      <c r="DE301" s="3605"/>
      <c r="DF301" s="3605"/>
      <c r="DG301" s="3605"/>
      <c r="DH301" s="3605"/>
      <c r="DI301" s="3605"/>
      <c r="DJ301" s="3605"/>
      <c r="DK301" s="3605"/>
      <c r="DL301" s="3605"/>
      <c r="DM301" s="3605"/>
      <c r="DN301" s="3605"/>
      <c r="DO301" s="3605"/>
      <c r="DP301" s="3605"/>
      <c r="DQ301" s="3605"/>
      <c r="DR301" s="3605"/>
      <c r="DS301" s="3605"/>
      <c r="DT301" s="3605"/>
      <c r="DU301" s="3605"/>
      <c r="DV301" s="3605"/>
      <c r="DW301" s="3605"/>
      <c r="DX301" s="3605"/>
      <c r="DY301" s="3605"/>
      <c r="DZ301" s="3605"/>
      <c r="EA301" s="3605"/>
      <c r="EB301" s="3605"/>
      <c r="EC301" s="3605"/>
      <c r="ED301" s="3605"/>
      <c r="EE301" s="3605"/>
      <c r="EF301" s="3605"/>
      <c r="EG301" s="3605"/>
      <c r="EH301" s="3605"/>
      <c r="EI301" s="3605"/>
      <c r="EJ301" s="3605"/>
      <c r="EK301" s="3605"/>
      <c r="EL301" s="3605"/>
      <c r="EM301" s="3605"/>
      <c r="EN301" s="3605"/>
      <c r="EO301" s="3605"/>
      <c r="EP301" s="3605"/>
      <c r="EQ301" s="3605"/>
      <c r="ER301" s="3605"/>
      <c r="ES301" s="3605"/>
      <c r="ET301" s="3605"/>
      <c r="EU301" s="3605"/>
      <c r="EV301" s="3605"/>
      <c r="EW301" s="3605"/>
      <c r="EX301" s="3605"/>
      <c r="EY301" s="3605"/>
      <c r="EZ301" s="3605"/>
      <c r="FA301" s="3605"/>
      <c r="FB301" s="3605"/>
      <c r="FC301" s="3605"/>
      <c r="FD301" s="3605"/>
      <c r="FE301" s="3605"/>
      <c r="FF301" s="3605"/>
      <c r="FG301" s="3605"/>
      <c r="FH301" s="3605"/>
      <c r="FI301" s="3605"/>
      <c r="FJ301" s="3605"/>
      <c r="FK301" s="3605"/>
      <c r="FL301" s="3605"/>
      <c r="FM301" s="3605"/>
      <c r="FN301" s="3605"/>
      <c r="FO301" s="3605"/>
      <c r="FP301" s="3605"/>
      <c r="FQ301" s="3605"/>
      <c r="FR301" s="3605"/>
      <c r="FS301" s="3605"/>
      <c r="FT301" s="3605"/>
      <c r="FU301" s="3605"/>
      <c r="FV301" s="3605"/>
      <c r="FW301" s="3605"/>
      <c r="FX301" s="3605"/>
      <c r="FY301" s="3605"/>
      <c r="FZ301" s="3605"/>
      <c r="GA301" s="3605"/>
      <c r="GB301" s="3605"/>
      <c r="GC301" s="3605"/>
      <c r="GD301" s="3605"/>
      <c r="GE301" s="3605"/>
      <c r="GF301" s="3605"/>
      <c r="GG301" s="3605"/>
      <c r="GH301" s="3605"/>
      <c r="GI301" s="3605"/>
      <c r="GJ301" s="3605"/>
      <c r="GK301" s="3605"/>
      <c r="GL301" s="3605"/>
      <c r="GM301" s="3605"/>
      <c r="GN301" s="3605"/>
      <c r="GO301" s="3605"/>
      <c r="GP301" s="3605"/>
      <c r="GQ301" s="3605"/>
      <c r="GR301" s="3605"/>
      <c r="GS301" s="3605"/>
      <c r="GT301" s="3605"/>
      <c r="GU301" s="3605"/>
      <c r="GV301" s="3605"/>
      <c r="GW301" s="3605"/>
      <c r="GX301" s="3605"/>
      <c r="GY301" s="3605"/>
      <c r="GZ301" s="3605"/>
      <c r="HA301" s="3605"/>
      <c r="HB301" s="3605"/>
      <c r="HC301" s="3605"/>
      <c r="HD301" s="3605"/>
      <c r="HE301" s="3605"/>
      <c r="HF301" s="3605"/>
      <c r="HG301" s="3605"/>
      <c r="HH301" s="3605"/>
      <c r="HI301" s="3605"/>
      <c r="HJ301" s="3605"/>
      <c r="HK301" s="3605"/>
      <c r="HL301" s="3605"/>
      <c r="HM301" s="3605"/>
      <c r="HN301" s="3605"/>
      <c r="HO301" s="3605"/>
      <c r="HP301" s="3605"/>
      <c r="HQ301" s="3605"/>
      <c r="HR301" s="3605"/>
      <c r="HS301" s="3605"/>
      <c r="HT301" s="3605"/>
      <c r="HU301" s="3605"/>
      <c r="HV301" s="3605"/>
      <c r="HW301" s="3605"/>
      <c r="HX301" s="3605"/>
      <c r="HY301" s="3605"/>
      <c r="HZ301" s="3605"/>
      <c r="IA301" s="3605"/>
      <c r="IB301" s="3605"/>
      <c r="IC301" s="3605"/>
      <c r="ID301" s="3605"/>
      <c r="IE301" s="3605"/>
      <c r="IF301" s="3605"/>
      <c r="IG301" s="3605"/>
      <c r="IH301" s="3605"/>
      <c r="II301" s="3605"/>
      <c r="IJ301" s="3605"/>
      <c r="IK301" s="3605"/>
      <c r="IL301" s="3605"/>
      <c r="IM301" s="3605"/>
      <c r="IN301" s="3605"/>
      <c r="IO301" s="3605"/>
      <c r="IP301" s="3605"/>
      <c r="IQ301" s="3605"/>
      <c r="IR301" s="3605"/>
      <c r="IS301" s="3605"/>
    </row>
    <row r="302" spans="1:253" s="3441" customFormat="1" ht="12" hidden="1">
      <c r="A302" s="3470" t="s">
        <v>5918</v>
      </c>
      <c r="B302" s="3470" t="s">
        <v>5919</v>
      </c>
      <c r="C302" s="3481" t="s">
        <v>5920</v>
      </c>
      <c r="D302" s="3481" t="s">
        <v>5921</v>
      </c>
      <c r="E302" s="3470" t="s">
        <v>2736</v>
      </c>
      <c r="F302" s="3528" t="s">
        <v>5922</v>
      </c>
      <c r="G302" s="3470"/>
      <c r="H302" s="3470" t="s">
        <v>5822</v>
      </c>
      <c r="I302" s="3470" t="s">
        <v>5923</v>
      </c>
      <c r="J302" s="3481" t="s">
        <v>5924</v>
      </c>
      <c r="K302" s="3470"/>
      <c r="L302" s="3470">
        <v>76.819999999999993</v>
      </c>
      <c r="M302" s="3470">
        <v>3</v>
      </c>
      <c r="N302" s="3470" t="s">
        <v>4030</v>
      </c>
      <c r="O302" s="3470"/>
      <c r="P302" s="3470" t="s">
        <v>3452</v>
      </c>
      <c r="Q302" s="3457">
        <v>245824</v>
      </c>
      <c r="R302" s="3470">
        <v>3200</v>
      </c>
      <c r="S302" s="3472">
        <v>24.19</v>
      </c>
      <c r="T302" s="3527">
        <v>241900</v>
      </c>
      <c r="U302" s="3470">
        <v>3150</v>
      </c>
      <c r="V302" s="3474">
        <v>0.1</v>
      </c>
      <c r="W302" s="3475">
        <v>21.77</v>
      </c>
      <c r="X302" s="3473">
        <v>217700</v>
      </c>
      <c r="Y302" s="3441">
        <v>2003</v>
      </c>
      <c r="Z302" s="3441">
        <v>6</v>
      </c>
      <c r="AA302" s="3441">
        <v>2</v>
      </c>
      <c r="AB302" s="3485">
        <v>1205</v>
      </c>
      <c r="AC302" s="3470" t="s">
        <v>3634</v>
      </c>
      <c r="AD302" s="3485"/>
      <c r="AE302" s="3441" t="s">
        <v>3547</v>
      </c>
      <c r="AF302" s="3470" t="s">
        <v>3453</v>
      </c>
      <c r="AG302" s="3470" t="s">
        <v>3466</v>
      </c>
      <c r="AH302" s="3485"/>
      <c r="AI302" s="3470" t="s">
        <v>4834</v>
      </c>
      <c r="AJ302" s="3523"/>
      <c r="AK302" s="3479" t="s">
        <v>3455</v>
      </c>
      <c r="AL302" s="3441">
        <v>67641700</v>
      </c>
      <c r="AN302" s="3441" t="s">
        <v>3619</v>
      </c>
      <c r="AP302" s="3441" t="s">
        <v>5844</v>
      </c>
      <c r="AQ302" s="3441" t="s">
        <v>3457</v>
      </c>
      <c r="AW302" s="3441" t="s">
        <v>5925</v>
      </c>
      <c r="AY302" s="3524"/>
      <c r="AZ302" s="3441" t="s">
        <v>5474</v>
      </c>
      <c r="BA302" s="3441" t="s">
        <v>5475</v>
      </c>
      <c r="BB302" s="3524" t="s">
        <v>5926</v>
      </c>
      <c r="BD302" s="3525"/>
      <c r="BE302" s="3441">
        <v>64263637</v>
      </c>
      <c r="BF302" s="3526"/>
      <c r="BG302" s="3518">
        <v>37403</v>
      </c>
      <c r="BI302" s="3441" t="s">
        <v>2156</v>
      </c>
      <c r="BJ302" s="3484">
        <v>37768</v>
      </c>
      <c r="BK302" s="3484"/>
      <c r="BL302" s="3470"/>
      <c r="BS302" s="3470"/>
      <c r="BT302" s="3470"/>
      <c r="BU302" s="3470"/>
    </row>
    <row r="303" spans="1:253" s="3441" customFormat="1" ht="12" hidden="1">
      <c r="A303" s="3470" t="s">
        <v>5927</v>
      </c>
      <c r="B303" s="3470" t="s">
        <v>5928</v>
      </c>
      <c r="C303" s="3481" t="s">
        <v>5929</v>
      </c>
      <c r="D303" s="3481" t="s">
        <v>5930</v>
      </c>
      <c r="E303" s="3470" t="s">
        <v>2736</v>
      </c>
      <c r="F303" s="3521" t="s">
        <v>5931</v>
      </c>
      <c r="G303" s="3470"/>
      <c r="H303" s="3470" t="s">
        <v>5822</v>
      </c>
      <c r="I303" s="3470" t="s">
        <v>3582</v>
      </c>
      <c r="J303" s="3481" t="s">
        <v>5932</v>
      </c>
      <c r="K303" s="3470"/>
      <c r="L303" s="3470">
        <v>96.2</v>
      </c>
      <c r="M303" s="3470">
        <v>5</v>
      </c>
      <c r="N303" s="3470" t="s">
        <v>5890</v>
      </c>
      <c r="O303" s="3470">
        <v>86.98</v>
      </c>
      <c r="P303" s="3470" t="s">
        <v>3452</v>
      </c>
      <c r="Q303" s="3607">
        <v>303030</v>
      </c>
      <c r="R303" s="3570">
        <v>3150</v>
      </c>
      <c r="S303" s="3549">
        <v>29.82</v>
      </c>
      <c r="T303" s="3527">
        <v>298200</v>
      </c>
      <c r="U303" s="3470">
        <v>3100</v>
      </c>
      <c r="V303" s="3474">
        <v>0.1</v>
      </c>
      <c r="W303" s="3475">
        <v>26.83</v>
      </c>
      <c r="X303" s="3473">
        <v>268300</v>
      </c>
      <c r="Y303" s="3441">
        <v>2003</v>
      </c>
      <c r="Z303" s="3441">
        <v>6</v>
      </c>
      <c r="AA303" s="3441">
        <v>2</v>
      </c>
      <c r="AB303" s="3485">
        <v>1490</v>
      </c>
      <c r="AC303" s="3470" t="s">
        <v>3585</v>
      </c>
      <c r="AD303" s="3485"/>
      <c r="AE303" s="3441" t="s">
        <v>2156</v>
      </c>
      <c r="AF303" s="3470"/>
      <c r="AG303" s="3522" t="s">
        <v>3466</v>
      </c>
      <c r="AH303" s="3485"/>
      <c r="AI303" s="3470" t="s">
        <v>3664</v>
      </c>
      <c r="AJ303" s="3523"/>
      <c r="AK303" s="3479" t="s">
        <v>5933</v>
      </c>
      <c r="AL303" s="3441">
        <v>67641700</v>
      </c>
      <c r="AN303" s="3441" t="s">
        <v>3619</v>
      </c>
      <c r="AO303" s="3441" t="s">
        <v>5934</v>
      </c>
      <c r="AP303" s="3441" t="s">
        <v>3553</v>
      </c>
      <c r="AQ303" s="3441" t="s">
        <v>3650</v>
      </c>
      <c r="AW303" s="3441" t="s">
        <v>3458</v>
      </c>
      <c r="AY303" s="3524"/>
      <c r="BB303" s="3524"/>
      <c r="BD303" s="3525"/>
      <c r="BF303" s="3526"/>
      <c r="BG303" s="3626">
        <v>37400</v>
      </c>
      <c r="BI303" s="3441" t="s">
        <v>3711</v>
      </c>
      <c r="BJ303" s="3627">
        <v>37721</v>
      </c>
      <c r="BK303" s="3484"/>
      <c r="BL303" s="3470"/>
      <c r="BS303" s="3470"/>
      <c r="BT303" s="3470"/>
      <c r="BU303" s="3470"/>
    </row>
    <row r="304" spans="1:253" s="3604" customFormat="1" ht="12" hidden="1">
      <c r="A304" s="3470" t="s">
        <v>5935</v>
      </c>
      <c r="B304" s="3470" t="s">
        <v>5936</v>
      </c>
      <c r="C304" s="3481" t="s">
        <v>5937</v>
      </c>
      <c r="D304" s="3481" t="s">
        <v>5938</v>
      </c>
      <c r="E304" s="3470" t="s">
        <v>3538</v>
      </c>
      <c r="F304" s="3521" t="s">
        <v>5470</v>
      </c>
      <c r="G304" s="3470"/>
      <c r="H304" s="3470" t="s">
        <v>5471</v>
      </c>
      <c r="I304" s="3470" t="s">
        <v>4282</v>
      </c>
      <c r="J304" s="3481" t="s">
        <v>5939</v>
      </c>
      <c r="K304" s="3470"/>
      <c r="L304" s="3470">
        <v>57.95</v>
      </c>
      <c r="M304" s="3470">
        <v>4</v>
      </c>
      <c r="N304" s="3470" t="s">
        <v>3489</v>
      </c>
      <c r="O304" s="3470">
        <v>52.4</v>
      </c>
      <c r="P304" s="3470" t="s">
        <v>3452</v>
      </c>
      <c r="Q304" s="3607">
        <v>191235</v>
      </c>
      <c r="R304" s="3570">
        <v>3300</v>
      </c>
      <c r="S304" s="3549">
        <v>18.82</v>
      </c>
      <c r="T304" s="3527">
        <v>188200</v>
      </c>
      <c r="U304" s="3470">
        <v>3248</v>
      </c>
      <c r="V304" s="3474">
        <v>0.1</v>
      </c>
      <c r="W304" s="3475">
        <v>16.93</v>
      </c>
      <c r="X304" s="3473">
        <v>169300</v>
      </c>
      <c r="Y304" s="3441">
        <v>2003</v>
      </c>
      <c r="Z304" s="3441">
        <v>6</v>
      </c>
      <c r="AA304" s="3441">
        <v>2</v>
      </c>
      <c r="AB304" s="3485">
        <v>940</v>
      </c>
      <c r="AC304" s="3470" t="s">
        <v>3648</v>
      </c>
      <c r="AD304" s="3485"/>
      <c r="AE304" s="3441" t="s">
        <v>2156</v>
      </c>
      <c r="AF304" s="3470"/>
      <c r="AG304" s="3522" t="s">
        <v>3466</v>
      </c>
      <c r="AH304" s="3485"/>
      <c r="AI304" s="3470" t="s">
        <v>4955</v>
      </c>
      <c r="AJ304" s="3523"/>
      <c r="AK304" s="3479" t="s">
        <v>5933</v>
      </c>
      <c r="AL304" s="3441">
        <v>67641700</v>
      </c>
      <c r="AM304" s="3441"/>
      <c r="AN304" s="3441" t="s">
        <v>3456</v>
      </c>
      <c r="AO304" s="3441" t="s">
        <v>5940</v>
      </c>
      <c r="AP304" s="3441" t="s">
        <v>4834</v>
      </c>
      <c r="AQ304" s="3441" t="s">
        <v>3650</v>
      </c>
      <c r="AR304" s="3441"/>
      <c r="AS304" s="3441"/>
      <c r="AT304" s="3441"/>
      <c r="AU304" s="3441"/>
      <c r="AV304" s="3441"/>
      <c r="AW304" s="3441" t="s">
        <v>3548</v>
      </c>
      <c r="AX304" s="3441"/>
      <c r="AY304" s="3524"/>
      <c r="AZ304" s="3441"/>
      <c r="BA304" s="3441"/>
      <c r="BB304" s="3524"/>
      <c r="BC304" s="3441"/>
      <c r="BD304" s="3525"/>
      <c r="BE304" s="3441"/>
      <c r="BF304" s="3526"/>
      <c r="BG304" s="3626">
        <v>37400</v>
      </c>
      <c r="BH304" s="3441"/>
      <c r="BI304" s="3441" t="s">
        <v>3553</v>
      </c>
      <c r="BJ304" s="3627">
        <v>37768</v>
      </c>
      <c r="BK304" s="3484"/>
      <c r="BL304" s="3470"/>
      <c r="BM304" s="3441"/>
      <c r="BN304" s="3441"/>
      <c r="BO304" s="3441"/>
      <c r="BP304" s="3441"/>
      <c r="BQ304" s="3441"/>
      <c r="BR304" s="3441"/>
      <c r="BS304" s="3470"/>
      <c r="BT304" s="3470"/>
      <c r="BU304" s="3470"/>
    </row>
    <row r="305" spans="1:253" s="3604" customFormat="1" ht="12" hidden="1">
      <c r="A305" s="3470" t="s">
        <v>5941</v>
      </c>
      <c r="B305" s="3470" t="s">
        <v>5942</v>
      </c>
      <c r="C305" s="3481" t="s">
        <v>5943</v>
      </c>
      <c r="D305" s="3481" t="s">
        <v>5944</v>
      </c>
      <c r="E305" s="3470" t="s">
        <v>2736</v>
      </c>
      <c r="F305" s="3528" t="s">
        <v>5470</v>
      </c>
      <c r="G305" s="3470"/>
      <c r="H305" s="3470" t="s">
        <v>5471</v>
      </c>
      <c r="I305" s="3470" t="s">
        <v>3726</v>
      </c>
      <c r="J305" s="3481" t="s">
        <v>3871</v>
      </c>
      <c r="K305" s="3470"/>
      <c r="L305" s="3470">
        <v>82.23</v>
      </c>
      <c r="M305" s="3470">
        <v>4</v>
      </c>
      <c r="N305" s="3470" t="s">
        <v>4030</v>
      </c>
      <c r="O305" s="3470"/>
      <c r="P305" s="3470" t="s">
        <v>3452</v>
      </c>
      <c r="Q305" s="3457">
        <v>265602.90000000002</v>
      </c>
      <c r="R305" s="3470">
        <v>3230</v>
      </c>
      <c r="S305" s="3472">
        <v>26.14</v>
      </c>
      <c r="T305" s="3527">
        <v>261400</v>
      </c>
      <c r="U305" s="3470">
        <v>3180</v>
      </c>
      <c r="V305" s="3474">
        <v>0.1</v>
      </c>
      <c r="W305" s="3475">
        <v>23.52</v>
      </c>
      <c r="X305" s="3473">
        <v>235200</v>
      </c>
      <c r="Y305" s="3441">
        <v>2003</v>
      </c>
      <c r="Z305" s="3441">
        <v>6</v>
      </c>
      <c r="AA305" s="3441">
        <v>2</v>
      </c>
      <c r="AB305" s="3485">
        <v>1305</v>
      </c>
      <c r="AC305" s="3470" t="s">
        <v>3634</v>
      </c>
      <c r="AD305" s="3485"/>
      <c r="AE305" s="3441" t="s">
        <v>2156</v>
      </c>
      <c r="AF305" s="3470" t="s">
        <v>4501</v>
      </c>
      <c r="AG305" s="3470" t="s">
        <v>3466</v>
      </c>
      <c r="AH305" s="3485"/>
      <c r="AI305" s="3470" t="s">
        <v>4834</v>
      </c>
      <c r="AJ305" s="3523"/>
      <c r="AK305" s="3479" t="s">
        <v>3455</v>
      </c>
      <c r="AL305" s="3441">
        <v>67641700</v>
      </c>
      <c r="AM305" s="3441"/>
      <c r="AN305" s="3441" t="s">
        <v>3456</v>
      </c>
      <c r="AO305" s="3441"/>
      <c r="AP305" s="3441" t="s">
        <v>3922</v>
      </c>
      <c r="AQ305" s="3441" t="s">
        <v>3457</v>
      </c>
      <c r="AR305" s="3441"/>
      <c r="AS305" s="3441"/>
      <c r="AT305" s="3441"/>
      <c r="AU305" s="3441"/>
      <c r="AV305" s="3441"/>
      <c r="AW305" s="3441" t="s">
        <v>5925</v>
      </c>
      <c r="AX305" s="3441"/>
      <c r="AY305" s="3524"/>
      <c r="AZ305" s="3441" t="s">
        <v>5945</v>
      </c>
      <c r="BA305" s="3441" t="s">
        <v>5946</v>
      </c>
      <c r="BB305" s="3524" t="s">
        <v>5947</v>
      </c>
      <c r="BC305" s="3441"/>
      <c r="BD305" s="3525"/>
      <c r="BE305" s="3441">
        <v>64263637</v>
      </c>
      <c r="BF305" s="3526"/>
      <c r="BG305" s="3518">
        <v>37404</v>
      </c>
      <c r="BH305" s="3441"/>
      <c r="BI305" s="3441" t="s">
        <v>4914</v>
      </c>
      <c r="BJ305" s="3484">
        <v>37768</v>
      </c>
      <c r="BK305" s="3484"/>
      <c r="BL305" s="3470"/>
      <c r="BM305" s="3441"/>
      <c r="BN305" s="3441"/>
      <c r="BO305" s="3441"/>
      <c r="BP305" s="3441"/>
      <c r="BQ305" s="3441"/>
      <c r="BR305" s="3441"/>
      <c r="BS305" s="3470"/>
      <c r="BT305" s="3470"/>
      <c r="BU305" s="3470"/>
    </row>
    <row r="306" spans="1:253" s="3604" customFormat="1" ht="12" hidden="1">
      <c r="A306" s="3485" t="s">
        <v>5948</v>
      </c>
      <c r="B306" s="3470" t="s">
        <v>5949</v>
      </c>
      <c r="C306" s="3481" t="s">
        <v>5950</v>
      </c>
      <c r="D306" s="3453" t="s">
        <v>5951</v>
      </c>
      <c r="E306" s="3470" t="s">
        <v>3763</v>
      </c>
      <c r="F306" s="3528" t="s">
        <v>3628</v>
      </c>
      <c r="G306" s="3470"/>
      <c r="H306" s="3470" t="s">
        <v>4324</v>
      </c>
      <c r="I306" s="3470" t="s">
        <v>4854</v>
      </c>
      <c r="J306" s="3481" t="s">
        <v>4549</v>
      </c>
      <c r="K306" s="3470" t="s">
        <v>3647</v>
      </c>
      <c r="L306" s="3470">
        <v>115.05</v>
      </c>
      <c r="M306" s="3470">
        <v>3</v>
      </c>
      <c r="N306" s="3470" t="s">
        <v>3661</v>
      </c>
      <c r="O306" s="3470">
        <v>91.76</v>
      </c>
      <c r="P306" s="3470" t="s">
        <v>3452</v>
      </c>
      <c r="Q306" s="3457">
        <v>652333.5</v>
      </c>
      <c r="R306" s="3470">
        <v>5670</v>
      </c>
      <c r="S306" s="3472">
        <v>64.599999999999994</v>
      </c>
      <c r="T306" s="3527">
        <v>646000</v>
      </c>
      <c r="U306" s="3470">
        <v>5615</v>
      </c>
      <c r="V306" s="3474">
        <v>0.1</v>
      </c>
      <c r="W306" s="3475">
        <v>58.14</v>
      </c>
      <c r="X306" s="3473">
        <v>581400</v>
      </c>
      <c r="Y306" s="3441">
        <v>2003</v>
      </c>
      <c r="Z306" s="3515">
        <v>5</v>
      </c>
      <c r="AA306" s="3515">
        <v>16</v>
      </c>
      <c r="AB306" s="3485">
        <v>3230</v>
      </c>
      <c r="AC306" s="3470" t="s">
        <v>3585</v>
      </c>
      <c r="AD306" s="3485"/>
      <c r="AE306" s="3441" t="s">
        <v>2156</v>
      </c>
      <c r="AF306" s="3470" t="s">
        <v>3587</v>
      </c>
      <c r="AG306" s="3522" t="s">
        <v>3605</v>
      </c>
      <c r="AH306" s="3485"/>
      <c r="AI306" s="3470" t="s">
        <v>3664</v>
      </c>
      <c r="AJ306" s="3523">
        <v>37953</v>
      </c>
      <c r="AK306" s="3548">
        <v>5</v>
      </c>
      <c r="AL306" s="3515">
        <v>67641700</v>
      </c>
      <c r="AM306" s="3441"/>
      <c r="AN306" s="3469" t="s">
        <v>3695</v>
      </c>
      <c r="AO306" s="3470" t="s">
        <v>5952</v>
      </c>
      <c r="AP306" s="3456" t="s">
        <v>3476</v>
      </c>
      <c r="AQ306" s="3469" t="s">
        <v>3571</v>
      </c>
      <c r="AR306" s="3441"/>
      <c r="AS306" s="3441"/>
      <c r="AT306" s="3441"/>
      <c r="AU306" s="3441"/>
      <c r="AV306" s="3441"/>
      <c r="AW306" s="3441" t="s">
        <v>3458</v>
      </c>
      <c r="AX306" s="3484" t="s">
        <v>2420</v>
      </c>
      <c r="AY306" s="3524" t="s">
        <v>5953</v>
      </c>
      <c r="AZ306" s="3470" t="s">
        <v>3647</v>
      </c>
      <c r="BA306" s="3441" t="s">
        <v>4048</v>
      </c>
      <c r="BB306" s="3524" t="s">
        <v>3640</v>
      </c>
      <c r="BC306" s="3441" t="s">
        <v>4049</v>
      </c>
      <c r="BD306" s="3525">
        <v>100088</v>
      </c>
      <c r="BE306" s="3441">
        <v>82058259</v>
      </c>
      <c r="BF306" s="3526">
        <v>2.9</v>
      </c>
      <c r="BG306" s="3518">
        <v>37538</v>
      </c>
      <c r="BH306" s="3441"/>
      <c r="BI306" s="3470" t="s">
        <v>3476</v>
      </c>
      <c r="BJ306" s="3518">
        <v>37726</v>
      </c>
      <c r="BK306" s="3518">
        <v>37756</v>
      </c>
      <c r="BL306" s="3470" t="s">
        <v>3670</v>
      </c>
      <c r="BM306" s="3441"/>
      <c r="BN306" s="3441"/>
      <c r="BO306" s="3441"/>
      <c r="BP306" s="3441"/>
      <c r="BQ306" s="3441"/>
      <c r="BR306" s="3441"/>
      <c r="BS306" s="3470"/>
      <c r="BT306" s="3470"/>
      <c r="BU306" s="3470"/>
      <c r="BV306" s="3618"/>
      <c r="BW306" s="3618"/>
      <c r="BX306" s="3618"/>
      <c r="BY306" s="3618"/>
      <c r="BZ306" s="3618"/>
      <c r="CA306" s="3618"/>
      <c r="CB306" s="3618"/>
      <c r="CC306" s="3618"/>
      <c r="CD306" s="3618"/>
      <c r="CE306" s="3618"/>
      <c r="CF306" s="3618"/>
      <c r="CG306" s="3618"/>
      <c r="CH306" s="3618"/>
      <c r="CI306" s="3618"/>
      <c r="CJ306" s="3618"/>
      <c r="CK306" s="3618"/>
      <c r="CL306" s="3618"/>
      <c r="CM306" s="3618"/>
      <c r="CN306" s="3618"/>
      <c r="CO306" s="3618"/>
      <c r="CP306" s="3618"/>
      <c r="CQ306" s="3618"/>
      <c r="CR306" s="3618"/>
      <c r="CS306" s="3618"/>
      <c r="CT306" s="3618"/>
      <c r="CU306" s="3618"/>
      <c r="CV306" s="3618"/>
      <c r="CW306" s="3618"/>
      <c r="CX306" s="3618"/>
      <c r="CY306" s="3618"/>
      <c r="CZ306" s="3618"/>
      <c r="DA306" s="3618"/>
      <c r="DB306" s="3618"/>
      <c r="DC306" s="3618"/>
      <c r="DD306" s="3618"/>
      <c r="DE306" s="3618"/>
      <c r="DF306" s="3618"/>
      <c r="DG306" s="3618"/>
      <c r="DH306" s="3618"/>
      <c r="DI306" s="3618"/>
      <c r="DJ306" s="3618"/>
      <c r="DK306" s="3618"/>
      <c r="DL306" s="3618"/>
      <c r="DM306" s="3618"/>
      <c r="DN306" s="3618"/>
      <c r="DO306" s="3618"/>
      <c r="DP306" s="3618"/>
      <c r="DQ306" s="3618"/>
      <c r="DR306" s="3618"/>
      <c r="DS306" s="3618"/>
      <c r="DT306" s="3618"/>
      <c r="DU306" s="3618"/>
      <c r="DV306" s="3618"/>
      <c r="DW306" s="3618"/>
      <c r="DX306" s="3618"/>
      <c r="DY306" s="3618"/>
      <c r="DZ306" s="3618"/>
      <c r="EA306" s="3618"/>
      <c r="EB306" s="3618"/>
      <c r="EC306" s="3618"/>
      <c r="ED306" s="3618"/>
      <c r="EE306" s="3618"/>
      <c r="EF306" s="3618"/>
      <c r="EG306" s="3618"/>
      <c r="EH306" s="3618"/>
      <c r="EI306" s="3618"/>
      <c r="EJ306" s="3618"/>
      <c r="EK306" s="3618"/>
      <c r="EL306" s="3618"/>
      <c r="EM306" s="3618"/>
      <c r="EN306" s="3618"/>
      <c r="EO306" s="3618"/>
      <c r="EP306" s="3618"/>
      <c r="EQ306" s="3618"/>
      <c r="ER306" s="3618"/>
      <c r="ES306" s="3618"/>
      <c r="ET306" s="3618"/>
      <c r="EU306" s="3618"/>
      <c r="EV306" s="3618"/>
      <c r="EW306" s="3618"/>
      <c r="EX306" s="3618"/>
      <c r="EY306" s="3618"/>
      <c r="EZ306" s="3618"/>
      <c r="FA306" s="3618"/>
      <c r="FB306" s="3618"/>
      <c r="FC306" s="3618"/>
      <c r="FD306" s="3618"/>
      <c r="FE306" s="3618"/>
      <c r="FF306" s="3618"/>
      <c r="FG306" s="3618"/>
      <c r="FH306" s="3618"/>
      <c r="FI306" s="3618"/>
      <c r="FJ306" s="3618"/>
      <c r="FK306" s="3618"/>
      <c r="FL306" s="3618"/>
      <c r="FM306" s="3618"/>
      <c r="FN306" s="3618"/>
      <c r="FO306" s="3618"/>
      <c r="FP306" s="3618"/>
      <c r="FQ306" s="3618"/>
      <c r="FR306" s="3618"/>
      <c r="FS306" s="3618"/>
      <c r="FT306" s="3618"/>
      <c r="FU306" s="3618"/>
      <c r="FV306" s="3618"/>
      <c r="FW306" s="3618"/>
      <c r="FX306" s="3618"/>
      <c r="FY306" s="3618"/>
      <c r="FZ306" s="3618"/>
      <c r="GA306" s="3618"/>
      <c r="GB306" s="3618"/>
      <c r="GC306" s="3618"/>
      <c r="GD306" s="3618"/>
      <c r="GE306" s="3618"/>
      <c r="GF306" s="3618"/>
      <c r="GG306" s="3618"/>
      <c r="GH306" s="3618"/>
      <c r="GI306" s="3618"/>
      <c r="GJ306" s="3618"/>
      <c r="GK306" s="3618"/>
      <c r="GL306" s="3618"/>
      <c r="GM306" s="3618"/>
      <c r="GN306" s="3618"/>
      <c r="GO306" s="3618"/>
      <c r="GP306" s="3618"/>
      <c r="GQ306" s="3618"/>
      <c r="GR306" s="3618"/>
      <c r="GS306" s="3618"/>
      <c r="GT306" s="3618"/>
      <c r="GU306" s="3618"/>
      <c r="GV306" s="3618"/>
      <c r="GW306" s="3618"/>
      <c r="GX306" s="3618"/>
      <c r="GY306" s="3618"/>
      <c r="GZ306" s="3618"/>
      <c r="HA306" s="3618"/>
      <c r="HB306" s="3618"/>
      <c r="HC306" s="3618"/>
      <c r="HD306" s="3618"/>
      <c r="HE306" s="3618"/>
      <c r="HF306" s="3618"/>
      <c r="HG306" s="3618"/>
      <c r="HH306" s="3618"/>
      <c r="HI306" s="3618"/>
      <c r="HJ306" s="3618"/>
      <c r="HK306" s="3618"/>
      <c r="HL306" s="3618"/>
      <c r="HM306" s="3618"/>
      <c r="HN306" s="3618"/>
      <c r="HO306" s="3618"/>
      <c r="HP306" s="3618"/>
      <c r="HQ306" s="3618"/>
      <c r="HR306" s="3618"/>
      <c r="HS306" s="3618"/>
      <c r="HT306" s="3618"/>
      <c r="HU306" s="3618"/>
      <c r="HV306" s="3618"/>
      <c r="HW306" s="3618"/>
      <c r="HX306" s="3618"/>
      <c r="HY306" s="3618"/>
      <c r="HZ306" s="3618"/>
      <c r="IA306" s="3618"/>
      <c r="IB306" s="3618"/>
      <c r="IC306" s="3618"/>
      <c r="ID306" s="3618"/>
      <c r="IE306" s="3618"/>
      <c r="IF306" s="3618"/>
      <c r="IG306" s="3618"/>
      <c r="IH306" s="3618"/>
      <c r="II306" s="3618"/>
      <c r="IJ306" s="3618"/>
      <c r="IK306" s="3618"/>
      <c r="IL306" s="3618"/>
      <c r="IM306" s="3618"/>
      <c r="IN306" s="3618"/>
      <c r="IO306" s="3618"/>
      <c r="IP306" s="3618"/>
      <c r="IQ306" s="3618"/>
      <c r="IR306" s="3618"/>
      <c r="IS306" s="3618"/>
    </row>
    <row r="307" spans="1:253" s="3617" customFormat="1" hidden="1">
      <c r="A307" s="3470" t="s">
        <v>5954</v>
      </c>
      <c r="B307" s="3470" t="s">
        <v>5955</v>
      </c>
      <c r="C307" s="3481" t="s">
        <v>5956</v>
      </c>
      <c r="D307" s="3481" t="s">
        <v>5957</v>
      </c>
      <c r="E307" s="3470" t="s">
        <v>3558</v>
      </c>
      <c r="F307" s="3628" t="s">
        <v>5958</v>
      </c>
      <c r="G307" s="3470"/>
      <c r="H307" s="3470" t="s">
        <v>5959</v>
      </c>
      <c r="I307" s="3470" t="s">
        <v>4707</v>
      </c>
      <c r="J307" s="3481" t="s">
        <v>5960</v>
      </c>
      <c r="K307" s="3470" t="s">
        <v>5961</v>
      </c>
      <c r="L307" s="3470">
        <v>136.57</v>
      </c>
      <c r="M307" s="3470">
        <v>14</v>
      </c>
      <c r="N307" s="3470" t="s">
        <v>3969</v>
      </c>
      <c r="O307" s="3470">
        <v>114.54</v>
      </c>
      <c r="P307" s="3470" t="s">
        <v>3452</v>
      </c>
      <c r="Q307" s="3600">
        <v>935504.5</v>
      </c>
      <c r="R307" s="3470">
        <v>6850</v>
      </c>
      <c r="S307" s="3472">
        <v>92.78</v>
      </c>
      <c r="T307" s="3527">
        <v>927800</v>
      </c>
      <c r="U307" s="3470">
        <v>6794</v>
      </c>
      <c r="V307" s="3474">
        <v>0.1</v>
      </c>
      <c r="W307" s="3475">
        <v>83.5</v>
      </c>
      <c r="X307" s="3473">
        <v>835000</v>
      </c>
      <c r="Y307" s="3441">
        <v>2003</v>
      </c>
      <c r="Z307" s="3441">
        <v>4</v>
      </c>
      <c r="AA307" s="3470">
        <v>11</v>
      </c>
      <c r="AB307" s="3485">
        <v>4635</v>
      </c>
      <c r="AC307" s="3470" t="s">
        <v>3693</v>
      </c>
      <c r="AD307" s="3485"/>
      <c r="AE307" s="3441" t="s">
        <v>3663</v>
      </c>
      <c r="AF307" s="3453" t="s">
        <v>4501</v>
      </c>
      <c r="AG307" s="3522" t="s">
        <v>3466</v>
      </c>
      <c r="AH307" s="3485"/>
      <c r="AI307" s="3470" t="s">
        <v>3664</v>
      </c>
      <c r="AJ307" s="3523">
        <v>37695</v>
      </c>
      <c r="AK307" s="3500">
        <v>4</v>
      </c>
      <c r="AL307" s="3441">
        <v>67641700</v>
      </c>
      <c r="AM307" s="3441"/>
      <c r="AN307" s="3469" t="s">
        <v>3468</v>
      </c>
      <c r="AO307" s="3441"/>
      <c r="AP307" s="3441" t="s">
        <v>3476</v>
      </c>
      <c r="AQ307" s="3470" t="s">
        <v>3571</v>
      </c>
      <c r="AR307" s="3441"/>
      <c r="AS307" s="3441"/>
      <c r="AT307" s="3441"/>
      <c r="AU307" s="3441"/>
      <c r="AV307" s="3441"/>
      <c r="AW307" s="3441" t="s">
        <v>3572</v>
      </c>
      <c r="AX307" s="3441" t="s">
        <v>2511</v>
      </c>
      <c r="AY307" s="3524" t="s">
        <v>5962</v>
      </c>
      <c r="AZ307" s="3441" t="s">
        <v>5961</v>
      </c>
      <c r="BA307" s="3441" t="s">
        <v>5963</v>
      </c>
      <c r="BB307" s="3524" t="s">
        <v>5964</v>
      </c>
      <c r="BC307" s="3441" t="s">
        <v>5965</v>
      </c>
      <c r="BD307" s="3525">
        <v>100044</v>
      </c>
      <c r="BE307" s="3441">
        <v>62270195</v>
      </c>
      <c r="BF307" s="3526">
        <v>2.8</v>
      </c>
      <c r="BG307" s="3518">
        <v>37710</v>
      </c>
      <c r="BH307" s="3441"/>
      <c r="BI307" s="3441" t="s">
        <v>3476</v>
      </c>
      <c r="BJ307" s="3484">
        <v>37718</v>
      </c>
      <c r="BK307" s="3484"/>
      <c r="BL307" s="3470" t="s">
        <v>3670</v>
      </c>
      <c r="BM307" s="3441"/>
      <c r="BN307" s="3441"/>
      <c r="BO307" s="3441"/>
      <c r="BP307" s="3441"/>
      <c r="BQ307" s="3441"/>
      <c r="BR307" s="3441"/>
      <c r="BS307" s="3470"/>
      <c r="BT307" s="3470"/>
      <c r="BU307" s="3470"/>
      <c r="BV307" s="3604"/>
      <c r="BW307" s="3604"/>
      <c r="BX307" s="3604"/>
      <c r="BY307" s="3604"/>
      <c r="BZ307" s="3604"/>
      <c r="CA307" s="3604"/>
      <c r="CB307" s="3604"/>
      <c r="CC307" s="3604"/>
      <c r="CD307" s="3604"/>
      <c r="CE307" s="3604"/>
      <c r="CF307" s="3604"/>
      <c r="CG307" s="3604"/>
      <c r="CH307" s="3604"/>
      <c r="CI307" s="3604"/>
      <c r="CJ307" s="3604"/>
      <c r="CK307" s="3604"/>
      <c r="CL307" s="3604"/>
      <c r="CM307" s="3604"/>
      <c r="CN307" s="3604"/>
      <c r="CO307" s="3604"/>
      <c r="CP307" s="3604"/>
      <c r="CQ307" s="3604"/>
      <c r="CR307" s="3604"/>
      <c r="CS307" s="3604"/>
      <c r="CT307" s="3604"/>
      <c r="CU307" s="3604"/>
      <c r="CV307" s="3604"/>
      <c r="CW307" s="3604"/>
      <c r="CX307" s="3604"/>
      <c r="CY307" s="3604"/>
      <c r="CZ307" s="3604"/>
      <c r="DA307" s="3604"/>
      <c r="DB307" s="3604"/>
      <c r="DC307" s="3604"/>
      <c r="DD307" s="3604"/>
      <c r="DE307" s="3604"/>
      <c r="DF307" s="3604"/>
      <c r="DG307" s="3604"/>
      <c r="DH307" s="3604"/>
      <c r="DI307" s="3604"/>
      <c r="DJ307" s="3604"/>
      <c r="DK307" s="3604"/>
      <c r="DL307" s="3604"/>
      <c r="DM307" s="3604"/>
      <c r="DN307" s="3604"/>
      <c r="DO307" s="3604"/>
      <c r="DP307" s="3604"/>
      <c r="DQ307" s="3604"/>
      <c r="DR307" s="3604"/>
      <c r="DS307" s="3604"/>
      <c r="DT307" s="3604"/>
      <c r="DU307" s="3604"/>
      <c r="DV307" s="3604"/>
      <c r="DW307" s="3604"/>
      <c r="DX307" s="3604"/>
      <c r="DY307" s="3604"/>
      <c r="DZ307" s="3604"/>
      <c r="EA307" s="3604"/>
      <c r="EB307" s="3604"/>
      <c r="EC307" s="3604"/>
      <c r="ED307" s="3604"/>
      <c r="EE307" s="3604"/>
      <c r="EF307" s="3604"/>
      <c r="EG307" s="3604"/>
      <c r="EH307" s="3604"/>
      <c r="EI307" s="3604"/>
      <c r="EJ307" s="3604"/>
      <c r="EK307" s="3604"/>
      <c r="EL307" s="3604"/>
      <c r="EM307" s="3604"/>
      <c r="EN307" s="3604"/>
      <c r="EO307" s="3604"/>
      <c r="EP307" s="3604"/>
      <c r="EQ307" s="3604"/>
      <c r="ER307" s="3604"/>
      <c r="ES307" s="3604"/>
      <c r="ET307" s="3604"/>
      <c r="EU307" s="3604"/>
      <c r="EV307" s="3604"/>
      <c r="EW307" s="3604"/>
      <c r="EX307" s="3604"/>
      <c r="EY307" s="3604"/>
      <c r="EZ307" s="3604"/>
      <c r="FA307" s="3604"/>
      <c r="FB307" s="3604"/>
      <c r="FC307" s="3604"/>
      <c r="FD307" s="3604"/>
      <c r="FE307" s="3604"/>
      <c r="FF307" s="3604"/>
      <c r="FG307" s="3604"/>
      <c r="FH307" s="3604"/>
      <c r="FI307" s="3604"/>
      <c r="FJ307" s="3604"/>
      <c r="FK307" s="3604"/>
      <c r="FL307" s="3604"/>
      <c r="FM307" s="3604"/>
      <c r="FN307" s="3604"/>
      <c r="FO307" s="3604"/>
      <c r="FP307" s="3604"/>
      <c r="FQ307" s="3604"/>
      <c r="FR307" s="3604"/>
      <c r="FS307" s="3604"/>
      <c r="FT307" s="3604"/>
      <c r="FU307" s="3604"/>
      <c r="FV307" s="3604"/>
      <c r="FW307" s="3604"/>
      <c r="FX307" s="3604"/>
      <c r="FY307" s="3604"/>
      <c r="FZ307" s="3604"/>
      <c r="GA307" s="3604"/>
      <c r="GB307" s="3604"/>
      <c r="GC307" s="3604"/>
      <c r="GD307" s="3604"/>
      <c r="GE307" s="3604"/>
      <c r="GF307" s="3604"/>
      <c r="GG307" s="3604"/>
      <c r="GH307" s="3604"/>
      <c r="GI307" s="3604"/>
      <c r="GJ307" s="3604"/>
      <c r="GK307" s="3604"/>
      <c r="GL307" s="3604"/>
      <c r="GM307" s="3604"/>
      <c r="GN307" s="3604"/>
      <c r="GO307" s="3604"/>
      <c r="GP307" s="3604"/>
      <c r="GQ307" s="3604"/>
      <c r="GR307" s="3604"/>
      <c r="GS307" s="3604"/>
      <c r="GT307" s="3604"/>
      <c r="GU307" s="3604"/>
      <c r="GV307" s="3604"/>
      <c r="GW307" s="3604"/>
      <c r="GX307" s="3604"/>
      <c r="GY307" s="3604"/>
      <c r="GZ307" s="3604"/>
      <c r="HA307" s="3604"/>
      <c r="HB307" s="3604"/>
      <c r="HC307" s="3604"/>
      <c r="HD307" s="3604"/>
      <c r="HE307" s="3604"/>
      <c r="HF307" s="3604"/>
      <c r="HG307" s="3604"/>
      <c r="HH307" s="3604"/>
      <c r="HI307" s="3604"/>
      <c r="HJ307" s="3604"/>
      <c r="HK307" s="3604"/>
      <c r="HL307" s="3604"/>
      <c r="HM307" s="3604"/>
      <c r="HN307" s="3604"/>
      <c r="HO307" s="3604"/>
      <c r="HP307" s="3604"/>
      <c r="HQ307" s="3604"/>
      <c r="HR307" s="3604"/>
      <c r="HS307" s="3604"/>
      <c r="HT307" s="3604"/>
      <c r="HU307" s="3604"/>
      <c r="HV307" s="3604"/>
      <c r="HW307" s="3604"/>
      <c r="HX307" s="3604"/>
      <c r="HY307" s="3604"/>
      <c r="HZ307" s="3604"/>
      <c r="IA307" s="3604"/>
      <c r="IB307" s="3604"/>
      <c r="IC307" s="3604"/>
      <c r="ID307" s="3604"/>
      <c r="IE307" s="3604"/>
      <c r="IF307" s="3604"/>
      <c r="IG307" s="3604"/>
      <c r="IH307" s="3604"/>
      <c r="II307" s="3604"/>
      <c r="IJ307" s="3604"/>
      <c r="IK307" s="3604"/>
      <c r="IL307" s="3604"/>
      <c r="IM307" s="3604"/>
      <c r="IN307" s="3604"/>
      <c r="IO307" s="3604"/>
      <c r="IP307" s="3604"/>
      <c r="IQ307" s="3604"/>
      <c r="IR307" s="3604"/>
      <c r="IS307" s="3604"/>
    </row>
    <row r="308" spans="1:253" s="3565" customFormat="1" hidden="1">
      <c r="A308" s="3470" t="s">
        <v>5966</v>
      </c>
      <c r="B308" s="3470" t="s">
        <v>5967</v>
      </c>
      <c r="C308" s="3481" t="s">
        <v>5968</v>
      </c>
      <c r="D308" s="3470">
        <v>13910795771</v>
      </c>
      <c r="E308" s="3470" t="s">
        <v>3558</v>
      </c>
      <c r="F308" s="3470" t="s">
        <v>5001</v>
      </c>
      <c r="G308" s="3470"/>
      <c r="H308" s="3453" t="s">
        <v>5969</v>
      </c>
      <c r="I308" s="3453" t="s">
        <v>5970</v>
      </c>
      <c r="J308" s="3453" t="s">
        <v>5971</v>
      </c>
      <c r="K308" s="3470" t="s">
        <v>5004</v>
      </c>
      <c r="L308" s="3495">
        <v>132.76</v>
      </c>
      <c r="M308" s="3495" t="s">
        <v>5005</v>
      </c>
      <c r="N308" s="3470" t="s">
        <v>3632</v>
      </c>
      <c r="O308" s="3495">
        <v>117.05</v>
      </c>
      <c r="P308" s="3470" t="s">
        <v>4222</v>
      </c>
      <c r="Q308" s="3457">
        <v>398280</v>
      </c>
      <c r="R308" s="3470">
        <v>3000</v>
      </c>
      <c r="S308" s="3472">
        <v>39.25</v>
      </c>
      <c r="T308" s="3527">
        <v>392500</v>
      </c>
      <c r="U308" s="3470">
        <v>2957</v>
      </c>
      <c r="V308" s="3474">
        <v>0.1</v>
      </c>
      <c r="W308" s="3475">
        <v>35.32</v>
      </c>
      <c r="X308" s="3473">
        <v>353200</v>
      </c>
      <c r="Y308" s="3441">
        <v>2003</v>
      </c>
      <c r="Z308" s="3441">
        <v>4</v>
      </c>
      <c r="AA308" s="3470">
        <v>10</v>
      </c>
      <c r="AB308" s="3485">
        <v>1960</v>
      </c>
      <c r="AC308" s="3470" t="s">
        <v>5463</v>
      </c>
      <c r="AD308" s="3470"/>
      <c r="AE308" s="3456" t="s">
        <v>3663</v>
      </c>
      <c r="AF308" s="3453" t="s">
        <v>3493</v>
      </c>
      <c r="AG308" s="3470" t="s">
        <v>3466</v>
      </c>
      <c r="AH308" s="3470"/>
      <c r="AI308" s="3470" t="s">
        <v>3679</v>
      </c>
      <c r="AJ308" s="3478">
        <v>37621</v>
      </c>
      <c r="AK308" s="3548">
        <v>4</v>
      </c>
      <c r="AL308" s="3495">
        <v>67641700</v>
      </c>
      <c r="AM308" s="3470"/>
      <c r="AN308" s="3469" t="s">
        <v>3468</v>
      </c>
      <c r="AO308" s="3470" t="s">
        <v>3568</v>
      </c>
      <c r="AP308" s="3456" t="s">
        <v>3476</v>
      </c>
      <c r="AQ308" s="3456" t="s">
        <v>3571</v>
      </c>
      <c r="AR308" s="3470"/>
      <c r="AS308" s="3470"/>
      <c r="AT308" s="3470"/>
      <c r="AU308" s="3470"/>
      <c r="AV308" s="3519"/>
      <c r="AW308" s="3470" t="s">
        <v>3572</v>
      </c>
      <c r="AX308" s="3470" t="s">
        <v>2511</v>
      </c>
      <c r="AY308" s="3495">
        <v>232792</v>
      </c>
      <c r="AZ308" s="3470" t="s">
        <v>5004</v>
      </c>
      <c r="BA308" s="3470" t="s">
        <v>5007</v>
      </c>
      <c r="BB308" s="3470">
        <v>11506608</v>
      </c>
      <c r="BC308" s="3470" t="s">
        <v>5008</v>
      </c>
      <c r="BD308" s="3470">
        <v>100078</v>
      </c>
      <c r="BE308" s="3470">
        <v>68872458</v>
      </c>
      <c r="BF308" s="3520">
        <v>2.7</v>
      </c>
      <c r="BG308" s="3478">
        <v>37561</v>
      </c>
      <c r="BH308" s="3470"/>
      <c r="BI308" s="3470" t="s">
        <v>3476</v>
      </c>
      <c r="BJ308" s="3601">
        <v>37719</v>
      </c>
      <c r="BK308" s="3478"/>
      <c r="BL308" s="3441" t="s">
        <v>3670</v>
      </c>
      <c r="BM308" s="3441"/>
      <c r="BN308" s="3441"/>
      <c r="BO308" s="3441"/>
      <c r="BP308" s="3441"/>
      <c r="BQ308" s="3441"/>
      <c r="BR308" s="3441"/>
      <c r="BS308" s="3470"/>
      <c r="BT308" s="3470"/>
      <c r="BU308" s="3470"/>
      <c r="BV308" s="3470"/>
      <c r="BW308" s="3470"/>
      <c r="BX308" s="3470"/>
      <c r="BY308" s="3470"/>
      <c r="BZ308" s="3470"/>
      <c r="CA308" s="3470"/>
      <c r="CB308" s="3470"/>
      <c r="CC308" s="3470"/>
      <c r="CD308" s="3470"/>
      <c r="CE308" s="3470"/>
      <c r="CF308" s="3470"/>
      <c r="CG308" s="3470"/>
      <c r="CH308" s="3470"/>
      <c r="CI308" s="3470"/>
      <c r="CJ308" s="3470"/>
      <c r="CK308" s="3470"/>
      <c r="CL308" s="3470"/>
      <c r="CM308" s="3470"/>
      <c r="CN308" s="3470"/>
      <c r="CO308" s="3470"/>
      <c r="CP308" s="3470"/>
      <c r="CQ308" s="3470"/>
      <c r="CR308" s="3470"/>
      <c r="CS308" s="3470"/>
      <c r="CT308" s="3470"/>
      <c r="CU308" s="3470"/>
      <c r="CV308" s="3470"/>
      <c r="CW308" s="3470"/>
      <c r="CX308" s="3470"/>
      <c r="CY308" s="3470"/>
      <c r="CZ308" s="3470"/>
      <c r="DA308" s="3470"/>
      <c r="DB308" s="3470"/>
      <c r="DC308" s="3470"/>
      <c r="DD308" s="3470"/>
      <c r="DE308" s="3470"/>
      <c r="DF308" s="3470"/>
      <c r="DG308" s="3470"/>
      <c r="DH308" s="3470"/>
      <c r="DI308" s="3470"/>
      <c r="DJ308" s="3470"/>
      <c r="DK308" s="3470"/>
      <c r="DL308" s="3470"/>
      <c r="DM308" s="3470"/>
      <c r="DN308" s="3470"/>
      <c r="DO308" s="3470"/>
      <c r="DP308" s="3470"/>
      <c r="DQ308" s="3470"/>
      <c r="DR308" s="3470"/>
      <c r="DS308" s="3470"/>
      <c r="DT308" s="3470"/>
      <c r="DU308" s="3470"/>
      <c r="DV308" s="3470"/>
      <c r="DW308" s="3470"/>
      <c r="DX308" s="3470"/>
      <c r="DY308" s="3470"/>
      <c r="DZ308" s="3470"/>
      <c r="EA308" s="3470"/>
      <c r="EB308" s="3470"/>
      <c r="EC308" s="3470"/>
      <c r="ED308" s="3470"/>
      <c r="EE308" s="3470"/>
      <c r="EF308" s="3470"/>
      <c r="EG308" s="3470"/>
      <c r="EH308" s="3470"/>
      <c r="EI308" s="3470"/>
      <c r="EJ308" s="3470"/>
      <c r="EK308" s="3470"/>
      <c r="EL308" s="3470"/>
      <c r="EM308" s="3470"/>
      <c r="EN308" s="3470"/>
      <c r="EO308" s="3470"/>
      <c r="EP308" s="3470"/>
      <c r="EQ308" s="3470"/>
      <c r="ER308" s="3470"/>
      <c r="ES308" s="3470"/>
      <c r="ET308" s="3470"/>
      <c r="EU308" s="3470"/>
      <c r="EV308" s="3470"/>
      <c r="EW308" s="3470"/>
      <c r="EX308" s="3470"/>
      <c r="EY308" s="3470"/>
      <c r="EZ308" s="3470"/>
      <c r="FA308" s="3470"/>
      <c r="FB308" s="3470"/>
      <c r="FC308" s="3470"/>
      <c r="FD308" s="3470"/>
      <c r="FE308" s="3470"/>
      <c r="FF308" s="3470"/>
      <c r="FG308" s="3470"/>
      <c r="FH308" s="3470"/>
      <c r="FI308" s="3470"/>
      <c r="FJ308" s="3470"/>
      <c r="FK308" s="3470"/>
      <c r="FL308" s="3470"/>
      <c r="FM308" s="3470"/>
      <c r="FN308" s="3470"/>
      <c r="FO308" s="3470"/>
      <c r="FP308" s="3470"/>
      <c r="FQ308" s="3470"/>
      <c r="FR308" s="3470"/>
      <c r="FS308" s="3470"/>
      <c r="FT308" s="3470"/>
      <c r="FU308" s="3470"/>
      <c r="FV308" s="3470"/>
      <c r="FW308" s="3470"/>
      <c r="FX308" s="3470"/>
      <c r="FY308" s="3470"/>
      <c r="FZ308" s="3470"/>
      <c r="GA308" s="3470"/>
      <c r="GB308" s="3470"/>
      <c r="GC308" s="3470"/>
      <c r="GD308" s="3470"/>
      <c r="GE308" s="3470"/>
      <c r="GF308" s="3470"/>
      <c r="GG308" s="3470"/>
      <c r="GH308" s="3470"/>
      <c r="GI308" s="3470"/>
      <c r="GJ308" s="3470"/>
      <c r="GK308" s="3470"/>
      <c r="GL308" s="3470"/>
      <c r="GM308" s="3470"/>
      <c r="GN308" s="3470"/>
      <c r="GO308" s="3470"/>
      <c r="GP308" s="3470"/>
      <c r="GQ308" s="3470"/>
      <c r="GR308" s="3470"/>
      <c r="GS308" s="3470"/>
      <c r="GT308" s="3470"/>
      <c r="GU308" s="3470"/>
      <c r="GV308" s="3470"/>
      <c r="GW308" s="3470"/>
      <c r="GX308" s="3470"/>
      <c r="GY308" s="3470"/>
      <c r="GZ308" s="3470"/>
      <c r="HA308" s="3470"/>
      <c r="HB308" s="3470"/>
      <c r="HC308" s="3470"/>
      <c r="HD308" s="3470"/>
      <c r="HE308" s="3470"/>
      <c r="HF308" s="3470"/>
      <c r="HG308" s="3470"/>
      <c r="HH308" s="3470"/>
      <c r="HI308" s="3470"/>
      <c r="HJ308" s="3470"/>
      <c r="HK308" s="3470"/>
      <c r="HL308" s="3470"/>
      <c r="HM308" s="3470"/>
      <c r="HN308" s="3470"/>
      <c r="HO308" s="3470"/>
      <c r="HP308" s="3470"/>
      <c r="HQ308" s="3470"/>
      <c r="HR308" s="3470"/>
      <c r="HS308" s="3470"/>
      <c r="HT308" s="3470"/>
      <c r="HU308" s="3470"/>
      <c r="HV308" s="3470"/>
      <c r="HW308" s="3470"/>
      <c r="HX308" s="3470"/>
      <c r="HY308" s="3470"/>
      <c r="HZ308" s="3470"/>
      <c r="IA308" s="3470"/>
      <c r="IB308" s="3470"/>
      <c r="IC308" s="3470"/>
      <c r="ID308" s="3470"/>
      <c r="IE308" s="3470"/>
      <c r="IF308" s="3470"/>
      <c r="IG308" s="3470"/>
      <c r="IH308" s="3470"/>
      <c r="II308" s="3470"/>
      <c r="IJ308" s="3470"/>
      <c r="IK308" s="3470"/>
      <c r="IL308" s="3470"/>
      <c r="IM308" s="3470"/>
      <c r="IN308" s="3470"/>
      <c r="IO308" s="3470"/>
      <c r="IP308" s="3470"/>
      <c r="IQ308" s="3470"/>
      <c r="IR308" s="3470"/>
      <c r="IS308" s="3470"/>
    </row>
    <row r="309" spans="1:253" s="3617" customFormat="1" hidden="1">
      <c r="A309" s="3470" t="s">
        <v>5972</v>
      </c>
      <c r="B309" s="3470" t="s">
        <v>5973</v>
      </c>
      <c r="C309" s="3481" t="s">
        <v>5974</v>
      </c>
      <c r="D309" s="3470">
        <v>13671255030</v>
      </c>
      <c r="E309" s="3470" t="s">
        <v>3558</v>
      </c>
      <c r="F309" s="3470" t="s">
        <v>5975</v>
      </c>
      <c r="G309" s="3470"/>
      <c r="H309" s="3470" t="s">
        <v>5861</v>
      </c>
      <c r="I309" s="3470" t="s">
        <v>5976</v>
      </c>
      <c r="J309" s="3470" t="s">
        <v>5977</v>
      </c>
      <c r="K309" s="3470" t="s">
        <v>5978</v>
      </c>
      <c r="L309" s="3470">
        <v>114.62</v>
      </c>
      <c r="M309" s="3470">
        <v>5</v>
      </c>
      <c r="N309" s="3470" t="s">
        <v>3451</v>
      </c>
      <c r="O309" s="3470">
        <v>99.42</v>
      </c>
      <c r="P309" s="3470" t="s">
        <v>3452</v>
      </c>
      <c r="Q309" s="3457">
        <v>555448.52</v>
      </c>
      <c r="R309" s="3470">
        <v>4846</v>
      </c>
      <c r="S309" s="3472">
        <v>54.98</v>
      </c>
      <c r="T309" s="3527">
        <v>549800</v>
      </c>
      <c r="U309" s="3470">
        <v>4797</v>
      </c>
      <c r="V309" s="3474">
        <v>0.1</v>
      </c>
      <c r="W309" s="3475">
        <v>49.48</v>
      </c>
      <c r="X309" s="3494">
        <v>494800</v>
      </c>
      <c r="Y309" s="3470">
        <v>2003</v>
      </c>
      <c r="Z309" s="3470">
        <v>4</v>
      </c>
      <c r="AA309" s="3470">
        <v>10</v>
      </c>
      <c r="AB309" s="3477">
        <v>2745</v>
      </c>
      <c r="AC309" s="3470" t="s">
        <v>5110</v>
      </c>
      <c r="AD309" s="3470"/>
      <c r="AE309" s="3470" t="s">
        <v>3663</v>
      </c>
      <c r="AF309" s="3470" t="s">
        <v>4551</v>
      </c>
      <c r="AG309" s="3470" t="s">
        <v>3466</v>
      </c>
      <c r="AH309" s="3470" t="s">
        <v>3568</v>
      </c>
      <c r="AI309" s="3470" t="s">
        <v>3679</v>
      </c>
      <c r="AJ309" s="3523">
        <v>37772</v>
      </c>
      <c r="AK309" s="3500">
        <v>4</v>
      </c>
      <c r="AL309" s="3470">
        <v>67641700</v>
      </c>
      <c r="AM309" s="3470"/>
      <c r="AN309" s="3469" t="s">
        <v>3468</v>
      </c>
      <c r="AO309" s="3470" t="s">
        <v>2420</v>
      </c>
      <c r="AP309" s="3470" t="s">
        <v>3476</v>
      </c>
      <c r="AQ309" s="3470" t="s">
        <v>3571</v>
      </c>
      <c r="AR309" s="3470" t="s">
        <v>3568</v>
      </c>
      <c r="AS309" s="3470" t="s">
        <v>3568</v>
      </c>
      <c r="AT309" s="3470" t="s">
        <v>3568</v>
      </c>
      <c r="AU309" s="3470"/>
      <c r="AV309" s="3470"/>
      <c r="AW309" s="3470" t="s">
        <v>3572</v>
      </c>
      <c r="AX309" s="3470" t="s">
        <v>2511</v>
      </c>
      <c r="AY309" s="3481" t="s">
        <v>5979</v>
      </c>
      <c r="AZ309" s="3470" t="s">
        <v>5980</v>
      </c>
      <c r="BA309" s="3470" t="s">
        <v>5712</v>
      </c>
      <c r="BB309" s="3481">
        <v>1101082131202</v>
      </c>
      <c r="BC309" s="3470" t="s">
        <v>5436</v>
      </c>
      <c r="BD309" s="3482">
        <v>102400</v>
      </c>
      <c r="BE309" s="3470">
        <v>62842753</v>
      </c>
      <c r="BF309" s="3483">
        <v>2.8</v>
      </c>
      <c r="BG309" s="3478">
        <v>37696</v>
      </c>
      <c r="BH309" s="3470"/>
      <c r="BI309" s="3470" t="s">
        <v>3476</v>
      </c>
      <c r="BJ309" s="3514">
        <v>37719</v>
      </c>
      <c r="BK309" s="3508"/>
      <c r="BL309" s="3470" t="s">
        <v>3670</v>
      </c>
      <c r="BM309" s="3441"/>
      <c r="BN309" s="3441"/>
      <c r="BO309" s="3441"/>
      <c r="BP309" s="3441"/>
      <c r="BQ309" s="3441"/>
      <c r="BR309" s="3441"/>
      <c r="BS309" s="3470"/>
      <c r="BT309" s="3470"/>
      <c r="BU309" s="3470"/>
      <c r="BV309" s="3470"/>
      <c r="BW309" s="3470"/>
      <c r="BX309" s="3470"/>
      <c r="BY309" s="3470"/>
      <c r="BZ309" s="3470"/>
      <c r="CA309" s="3470"/>
      <c r="CB309" s="3470"/>
      <c r="CC309" s="3470"/>
      <c r="CD309" s="3470"/>
      <c r="CE309" s="3470"/>
      <c r="CF309" s="3470"/>
      <c r="CG309" s="3470"/>
      <c r="CH309" s="3470"/>
      <c r="CI309" s="3470"/>
      <c r="CJ309" s="3470"/>
      <c r="CK309" s="3470"/>
      <c r="CL309" s="3470"/>
      <c r="CM309" s="3470"/>
      <c r="CN309" s="3470"/>
      <c r="CO309" s="3470"/>
      <c r="CP309" s="3470"/>
      <c r="CQ309" s="3470"/>
      <c r="CR309" s="3470"/>
      <c r="CS309" s="3470"/>
      <c r="CT309" s="3470"/>
      <c r="CU309" s="3470"/>
      <c r="CV309" s="3470"/>
      <c r="CW309" s="3470"/>
      <c r="CX309" s="3470"/>
      <c r="CY309" s="3470"/>
      <c r="CZ309" s="3470"/>
      <c r="DA309" s="3470"/>
      <c r="DB309" s="3470"/>
      <c r="DC309" s="3470"/>
      <c r="DD309" s="3470"/>
      <c r="DE309" s="3470"/>
      <c r="DF309" s="3470"/>
      <c r="DG309" s="3470"/>
      <c r="DH309" s="3470"/>
      <c r="DI309" s="3470"/>
      <c r="DJ309" s="3470"/>
      <c r="DK309" s="3470"/>
      <c r="DL309" s="3470"/>
      <c r="DM309" s="3470"/>
      <c r="DN309" s="3470"/>
      <c r="DO309" s="3470"/>
      <c r="DP309" s="3470"/>
      <c r="DQ309" s="3470"/>
      <c r="DR309" s="3470"/>
      <c r="DS309" s="3470"/>
      <c r="DT309" s="3470"/>
      <c r="DU309" s="3470"/>
      <c r="DV309" s="3470"/>
      <c r="DW309" s="3470"/>
      <c r="DX309" s="3470"/>
      <c r="DY309" s="3470"/>
      <c r="DZ309" s="3470"/>
      <c r="EA309" s="3470"/>
      <c r="EB309" s="3470"/>
      <c r="EC309" s="3470"/>
      <c r="ED309" s="3470"/>
      <c r="EE309" s="3470"/>
      <c r="EF309" s="3470"/>
      <c r="EG309" s="3470"/>
      <c r="EH309" s="3470"/>
      <c r="EI309" s="3470"/>
      <c r="EJ309" s="3470"/>
      <c r="EK309" s="3470"/>
      <c r="EL309" s="3470"/>
      <c r="EM309" s="3470"/>
      <c r="EN309" s="3470"/>
      <c r="EO309" s="3470"/>
      <c r="EP309" s="3470"/>
      <c r="EQ309" s="3470"/>
      <c r="ER309" s="3470"/>
      <c r="ES309" s="3470"/>
      <c r="ET309" s="3470"/>
      <c r="EU309" s="3470"/>
      <c r="EV309" s="3470"/>
      <c r="EW309" s="3470"/>
      <c r="EX309" s="3470"/>
      <c r="EY309" s="3470"/>
      <c r="EZ309" s="3470"/>
      <c r="FA309" s="3470"/>
      <c r="FB309" s="3470"/>
      <c r="FC309" s="3470"/>
      <c r="FD309" s="3470"/>
      <c r="FE309" s="3470"/>
      <c r="FF309" s="3470"/>
      <c r="FG309" s="3470"/>
      <c r="FH309" s="3470"/>
      <c r="FI309" s="3470"/>
      <c r="FJ309" s="3470"/>
      <c r="FK309" s="3470"/>
      <c r="FL309" s="3470"/>
      <c r="FM309" s="3470"/>
      <c r="FN309" s="3470"/>
      <c r="FO309" s="3470"/>
      <c r="FP309" s="3470"/>
      <c r="FQ309" s="3470"/>
      <c r="FR309" s="3470"/>
      <c r="FS309" s="3470"/>
      <c r="FT309" s="3470"/>
      <c r="FU309" s="3470"/>
      <c r="FV309" s="3470"/>
      <c r="FW309" s="3470"/>
      <c r="FX309" s="3470"/>
      <c r="FY309" s="3470"/>
      <c r="FZ309" s="3470"/>
      <c r="GA309" s="3470"/>
      <c r="GB309" s="3470"/>
      <c r="GC309" s="3470"/>
      <c r="GD309" s="3470"/>
      <c r="GE309" s="3470"/>
      <c r="GF309" s="3470"/>
      <c r="GG309" s="3470"/>
      <c r="GH309" s="3470"/>
      <c r="GI309" s="3470"/>
      <c r="GJ309" s="3470"/>
      <c r="GK309" s="3470"/>
      <c r="GL309" s="3470"/>
      <c r="GM309" s="3470"/>
      <c r="GN309" s="3470"/>
      <c r="GO309" s="3470"/>
      <c r="GP309" s="3470"/>
      <c r="GQ309" s="3470"/>
      <c r="GR309" s="3470"/>
      <c r="GS309" s="3470"/>
      <c r="GT309" s="3470"/>
      <c r="GU309" s="3470"/>
      <c r="GV309" s="3470"/>
      <c r="GW309" s="3470"/>
      <c r="GX309" s="3470"/>
      <c r="GY309" s="3470"/>
      <c r="GZ309" s="3470"/>
      <c r="HA309" s="3470"/>
      <c r="HB309" s="3470"/>
      <c r="HC309" s="3470"/>
      <c r="HD309" s="3470"/>
      <c r="HE309" s="3470"/>
      <c r="HF309" s="3470"/>
      <c r="HG309" s="3470"/>
      <c r="HH309" s="3470"/>
      <c r="HI309" s="3470"/>
      <c r="HJ309" s="3470"/>
      <c r="HK309" s="3470"/>
      <c r="HL309" s="3470"/>
      <c r="HM309" s="3470"/>
      <c r="HN309" s="3470"/>
      <c r="HO309" s="3470"/>
      <c r="HP309" s="3470"/>
      <c r="HQ309" s="3470"/>
      <c r="HR309" s="3470"/>
      <c r="HS309" s="3470"/>
      <c r="HT309" s="3470"/>
      <c r="HU309" s="3470"/>
      <c r="HV309" s="3470"/>
      <c r="HW309" s="3470"/>
      <c r="HX309" s="3470"/>
      <c r="HY309" s="3470"/>
      <c r="HZ309" s="3470"/>
      <c r="IA309" s="3470"/>
      <c r="IB309" s="3470"/>
      <c r="IC309" s="3470"/>
      <c r="ID309" s="3470"/>
      <c r="IE309" s="3470"/>
      <c r="IF309" s="3470"/>
      <c r="IG309" s="3470"/>
      <c r="IH309" s="3470"/>
      <c r="II309" s="3470"/>
      <c r="IJ309" s="3470"/>
      <c r="IK309" s="3470"/>
      <c r="IL309" s="3470"/>
      <c r="IM309" s="3470"/>
      <c r="IN309" s="3470"/>
      <c r="IO309" s="3470"/>
      <c r="IP309" s="3470"/>
      <c r="IQ309" s="3470"/>
      <c r="IR309" s="3470"/>
      <c r="IS309" s="3470"/>
    </row>
    <row r="310" spans="1:253" s="3617" customFormat="1" hidden="1">
      <c r="A310" s="3470" t="s">
        <v>5981</v>
      </c>
      <c r="B310" s="3470" t="s">
        <v>5982</v>
      </c>
      <c r="C310" s="3481" t="s">
        <v>5983</v>
      </c>
      <c r="D310" s="3470">
        <v>13911189153</v>
      </c>
      <c r="E310" s="3470" t="s">
        <v>3558</v>
      </c>
      <c r="F310" s="3470" t="s">
        <v>5984</v>
      </c>
      <c r="G310" s="3470"/>
      <c r="H310" s="3470" t="s">
        <v>5985</v>
      </c>
      <c r="I310" s="3470" t="s">
        <v>5986</v>
      </c>
      <c r="J310" s="3470" t="s">
        <v>5987</v>
      </c>
      <c r="K310" s="3470" t="s">
        <v>5980</v>
      </c>
      <c r="L310" s="3470">
        <v>114.62</v>
      </c>
      <c r="M310" s="3470">
        <v>19</v>
      </c>
      <c r="N310" s="3470" t="s">
        <v>3451</v>
      </c>
      <c r="O310" s="3470">
        <v>99.42</v>
      </c>
      <c r="P310" s="3470" t="s">
        <v>3452</v>
      </c>
      <c r="Q310" s="3457">
        <v>575277.78</v>
      </c>
      <c r="R310" s="3470">
        <v>5019</v>
      </c>
      <c r="S310" s="3472">
        <v>56.93</v>
      </c>
      <c r="T310" s="3527">
        <v>569300</v>
      </c>
      <c r="U310" s="3470">
        <v>4967</v>
      </c>
      <c r="V310" s="3474">
        <v>0.1</v>
      </c>
      <c r="W310" s="3475">
        <v>51.23</v>
      </c>
      <c r="X310" s="3494">
        <v>512300</v>
      </c>
      <c r="Y310" s="3470">
        <v>2003</v>
      </c>
      <c r="Z310" s="3470">
        <v>4</v>
      </c>
      <c r="AA310" s="3470">
        <v>10</v>
      </c>
      <c r="AB310" s="3477">
        <v>2845</v>
      </c>
      <c r="AC310" s="3470" t="s">
        <v>3798</v>
      </c>
      <c r="AD310" s="3470"/>
      <c r="AE310" s="3470" t="s">
        <v>3663</v>
      </c>
      <c r="AF310" s="3470" t="s">
        <v>4126</v>
      </c>
      <c r="AG310" s="3470" t="s">
        <v>3466</v>
      </c>
      <c r="AH310" s="3470" t="s">
        <v>3568</v>
      </c>
      <c r="AI310" s="3470" t="s">
        <v>3679</v>
      </c>
      <c r="AJ310" s="3523">
        <v>37772</v>
      </c>
      <c r="AK310" s="3500">
        <v>4</v>
      </c>
      <c r="AL310" s="3470">
        <v>67641700</v>
      </c>
      <c r="AM310" s="3470"/>
      <c r="AN310" s="3469" t="s">
        <v>3791</v>
      </c>
      <c r="AO310" s="3470" t="s">
        <v>2420</v>
      </c>
      <c r="AP310" s="3470" t="s">
        <v>3476</v>
      </c>
      <c r="AQ310" s="3470" t="s">
        <v>3571</v>
      </c>
      <c r="AR310" s="3470" t="s">
        <v>3568</v>
      </c>
      <c r="AS310" s="3470" t="s">
        <v>3568</v>
      </c>
      <c r="AT310" s="3470" t="s">
        <v>3568</v>
      </c>
      <c r="AU310" s="3470"/>
      <c r="AV310" s="3470"/>
      <c r="AW310" s="3470" t="s">
        <v>3572</v>
      </c>
      <c r="AX310" s="3470" t="s">
        <v>2511</v>
      </c>
      <c r="AY310" s="3481" t="s">
        <v>5988</v>
      </c>
      <c r="AZ310" s="3470" t="s">
        <v>5978</v>
      </c>
      <c r="BA310" s="3470" t="s">
        <v>5712</v>
      </c>
      <c r="BB310" s="3481">
        <v>1101082131202</v>
      </c>
      <c r="BC310" s="3470" t="s">
        <v>5436</v>
      </c>
      <c r="BD310" s="3482">
        <v>102400</v>
      </c>
      <c r="BE310" s="3470">
        <v>62842753</v>
      </c>
      <c r="BF310" s="3483">
        <v>2.8</v>
      </c>
      <c r="BG310" s="3478">
        <v>37699</v>
      </c>
      <c r="BH310" s="3470"/>
      <c r="BI310" s="3470" t="s">
        <v>3476</v>
      </c>
      <c r="BJ310" s="3514">
        <v>37719</v>
      </c>
      <c r="BK310" s="3508"/>
      <c r="BL310" s="3470" t="s">
        <v>3670</v>
      </c>
      <c r="BM310" s="3441"/>
      <c r="BN310" s="3441"/>
      <c r="BO310" s="3441"/>
      <c r="BP310" s="3441"/>
      <c r="BQ310" s="3441"/>
      <c r="BR310" s="3441"/>
      <c r="BS310" s="3470"/>
      <c r="BT310" s="3470"/>
      <c r="BU310" s="3470"/>
      <c r="BV310" s="3470"/>
      <c r="BW310" s="3470"/>
      <c r="BX310" s="3470"/>
      <c r="BY310" s="3470"/>
      <c r="BZ310" s="3470"/>
      <c r="CA310" s="3470"/>
      <c r="CB310" s="3470"/>
      <c r="CC310" s="3470"/>
      <c r="CD310" s="3470"/>
      <c r="CE310" s="3470"/>
      <c r="CF310" s="3470"/>
      <c r="CG310" s="3470"/>
      <c r="CH310" s="3470"/>
      <c r="CI310" s="3470"/>
      <c r="CJ310" s="3470"/>
      <c r="CK310" s="3470"/>
      <c r="CL310" s="3470"/>
      <c r="CM310" s="3470"/>
      <c r="CN310" s="3470"/>
      <c r="CO310" s="3470"/>
      <c r="CP310" s="3470"/>
      <c r="CQ310" s="3470"/>
      <c r="CR310" s="3470"/>
      <c r="CS310" s="3470"/>
      <c r="CT310" s="3470"/>
      <c r="CU310" s="3470"/>
      <c r="CV310" s="3470"/>
      <c r="CW310" s="3470"/>
      <c r="CX310" s="3470"/>
      <c r="CY310" s="3470"/>
      <c r="CZ310" s="3470"/>
      <c r="DA310" s="3470"/>
      <c r="DB310" s="3470"/>
      <c r="DC310" s="3470"/>
      <c r="DD310" s="3470"/>
      <c r="DE310" s="3470"/>
      <c r="DF310" s="3470"/>
      <c r="DG310" s="3470"/>
      <c r="DH310" s="3470"/>
      <c r="DI310" s="3470"/>
      <c r="DJ310" s="3470"/>
      <c r="DK310" s="3470"/>
      <c r="DL310" s="3470"/>
      <c r="DM310" s="3470"/>
      <c r="DN310" s="3470"/>
      <c r="DO310" s="3470"/>
      <c r="DP310" s="3470"/>
      <c r="DQ310" s="3470"/>
      <c r="DR310" s="3470"/>
      <c r="DS310" s="3470"/>
      <c r="DT310" s="3470"/>
      <c r="DU310" s="3470"/>
      <c r="DV310" s="3470"/>
      <c r="DW310" s="3470"/>
      <c r="DX310" s="3470"/>
      <c r="DY310" s="3470"/>
      <c r="DZ310" s="3470"/>
      <c r="EA310" s="3470"/>
      <c r="EB310" s="3470"/>
      <c r="EC310" s="3470"/>
      <c r="ED310" s="3470"/>
      <c r="EE310" s="3470"/>
      <c r="EF310" s="3470"/>
      <c r="EG310" s="3470"/>
      <c r="EH310" s="3470"/>
      <c r="EI310" s="3470"/>
      <c r="EJ310" s="3470"/>
      <c r="EK310" s="3470"/>
      <c r="EL310" s="3470"/>
      <c r="EM310" s="3470"/>
      <c r="EN310" s="3470"/>
      <c r="EO310" s="3470"/>
      <c r="EP310" s="3470"/>
      <c r="EQ310" s="3470"/>
      <c r="ER310" s="3470"/>
      <c r="ES310" s="3470"/>
      <c r="ET310" s="3470"/>
      <c r="EU310" s="3470"/>
      <c r="EV310" s="3470"/>
      <c r="EW310" s="3470"/>
      <c r="EX310" s="3470"/>
      <c r="EY310" s="3470"/>
      <c r="EZ310" s="3470"/>
      <c r="FA310" s="3470"/>
      <c r="FB310" s="3470"/>
      <c r="FC310" s="3470"/>
      <c r="FD310" s="3470"/>
      <c r="FE310" s="3470"/>
      <c r="FF310" s="3470"/>
      <c r="FG310" s="3470"/>
      <c r="FH310" s="3470"/>
      <c r="FI310" s="3470"/>
      <c r="FJ310" s="3470"/>
      <c r="FK310" s="3470"/>
      <c r="FL310" s="3470"/>
      <c r="FM310" s="3470"/>
      <c r="FN310" s="3470"/>
      <c r="FO310" s="3470"/>
      <c r="FP310" s="3470"/>
      <c r="FQ310" s="3470"/>
      <c r="FR310" s="3470"/>
      <c r="FS310" s="3470"/>
      <c r="FT310" s="3470"/>
      <c r="FU310" s="3470"/>
      <c r="FV310" s="3470"/>
      <c r="FW310" s="3470"/>
      <c r="FX310" s="3470"/>
      <c r="FY310" s="3470"/>
      <c r="FZ310" s="3470"/>
      <c r="GA310" s="3470"/>
      <c r="GB310" s="3470"/>
      <c r="GC310" s="3470"/>
      <c r="GD310" s="3470"/>
      <c r="GE310" s="3470"/>
      <c r="GF310" s="3470"/>
      <c r="GG310" s="3470"/>
      <c r="GH310" s="3470"/>
      <c r="GI310" s="3470"/>
      <c r="GJ310" s="3470"/>
      <c r="GK310" s="3470"/>
      <c r="GL310" s="3470"/>
      <c r="GM310" s="3470"/>
      <c r="GN310" s="3470"/>
      <c r="GO310" s="3470"/>
      <c r="GP310" s="3470"/>
      <c r="GQ310" s="3470"/>
      <c r="GR310" s="3470"/>
      <c r="GS310" s="3470"/>
      <c r="GT310" s="3470"/>
      <c r="GU310" s="3470"/>
      <c r="GV310" s="3470"/>
      <c r="GW310" s="3470"/>
      <c r="GX310" s="3470"/>
      <c r="GY310" s="3470"/>
      <c r="GZ310" s="3470"/>
      <c r="HA310" s="3470"/>
      <c r="HB310" s="3470"/>
      <c r="HC310" s="3470"/>
      <c r="HD310" s="3470"/>
      <c r="HE310" s="3470"/>
      <c r="HF310" s="3470"/>
      <c r="HG310" s="3470"/>
      <c r="HH310" s="3470"/>
      <c r="HI310" s="3470"/>
      <c r="HJ310" s="3470"/>
      <c r="HK310" s="3470"/>
      <c r="HL310" s="3470"/>
      <c r="HM310" s="3470"/>
      <c r="HN310" s="3470"/>
      <c r="HO310" s="3470"/>
      <c r="HP310" s="3470"/>
      <c r="HQ310" s="3470"/>
      <c r="HR310" s="3470"/>
      <c r="HS310" s="3470"/>
      <c r="HT310" s="3470"/>
      <c r="HU310" s="3470"/>
      <c r="HV310" s="3470"/>
      <c r="HW310" s="3470"/>
      <c r="HX310" s="3470"/>
      <c r="HY310" s="3470"/>
      <c r="HZ310" s="3470"/>
      <c r="IA310" s="3470"/>
      <c r="IB310" s="3470"/>
      <c r="IC310" s="3470"/>
      <c r="ID310" s="3470"/>
      <c r="IE310" s="3470"/>
      <c r="IF310" s="3470"/>
      <c r="IG310" s="3470"/>
      <c r="IH310" s="3470"/>
      <c r="II310" s="3470"/>
      <c r="IJ310" s="3470"/>
      <c r="IK310" s="3470"/>
      <c r="IL310" s="3470"/>
      <c r="IM310" s="3470"/>
      <c r="IN310" s="3470"/>
      <c r="IO310" s="3470"/>
      <c r="IP310" s="3470"/>
      <c r="IQ310" s="3470"/>
      <c r="IR310" s="3470"/>
      <c r="IS310" s="3470"/>
    </row>
    <row r="311" spans="1:253" s="3441" customFormat="1" ht="12" hidden="1">
      <c r="A311" s="3470" t="s">
        <v>5989</v>
      </c>
      <c r="B311" s="3470" t="s">
        <v>5990</v>
      </c>
      <c r="C311" s="3481" t="s">
        <v>5991</v>
      </c>
      <c r="D311" s="3481" t="s">
        <v>5992</v>
      </c>
      <c r="E311" s="3470" t="s">
        <v>2736</v>
      </c>
      <c r="F311" s="3528" t="s">
        <v>5922</v>
      </c>
      <c r="G311" s="3470"/>
      <c r="H311" s="3470" t="s">
        <v>5471</v>
      </c>
      <c r="I311" s="3470" t="s">
        <v>3676</v>
      </c>
      <c r="J311" s="3481" t="s">
        <v>4310</v>
      </c>
      <c r="K311" s="3470"/>
      <c r="L311" s="3470">
        <v>76.38</v>
      </c>
      <c r="M311" s="3470">
        <v>2</v>
      </c>
      <c r="N311" s="3470" t="s">
        <v>4030</v>
      </c>
      <c r="O311" s="3470"/>
      <c r="P311" s="3470" t="s">
        <v>3452</v>
      </c>
      <c r="Q311" s="3457">
        <v>248235</v>
      </c>
      <c r="R311" s="3470">
        <v>3250</v>
      </c>
      <c r="S311" s="3472">
        <v>24.44</v>
      </c>
      <c r="T311" s="3527">
        <v>244400</v>
      </c>
      <c r="U311" s="3470">
        <v>3200</v>
      </c>
      <c r="V311" s="3474">
        <v>0.1</v>
      </c>
      <c r="W311" s="3475">
        <v>21.99</v>
      </c>
      <c r="X311" s="3473">
        <v>219900</v>
      </c>
      <c r="Y311" s="3441">
        <v>2003</v>
      </c>
      <c r="Z311" s="3441">
        <v>6</v>
      </c>
      <c r="AA311" s="3441">
        <v>2</v>
      </c>
      <c r="AB311" s="3485">
        <v>1220</v>
      </c>
      <c r="AC311" s="3470" t="s">
        <v>3634</v>
      </c>
      <c r="AD311" s="3485"/>
      <c r="AE311" s="3441" t="s">
        <v>2156</v>
      </c>
      <c r="AF311" s="3470" t="s">
        <v>4501</v>
      </c>
      <c r="AG311" s="3470" t="s">
        <v>3466</v>
      </c>
      <c r="AH311" s="3485"/>
      <c r="AI311" s="3470" t="s">
        <v>4834</v>
      </c>
      <c r="AJ311" s="3523"/>
      <c r="AK311" s="3479" t="s">
        <v>3455</v>
      </c>
      <c r="AL311" s="3441">
        <v>67641700</v>
      </c>
      <c r="AN311" s="3441" t="s">
        <v>3456</v>
      </c>
      <c r="AP311" s="3441" t="s">
        <v>5844</v>
      </c>
      <c r="AQ311" s="3441" t="s">
        <v>3457</v>
      </c>
      <c r="AW311" s="3441" t="s">
        <v>5925</v>
      </c>
      <c r="AY311" s="3524"/>
      <c r="AZ311" s="3441" t="s">
        <v>5474</v>
      </c>
      <c r="BA311" s="3441" t="s">
        <v>5946</v>
      </c>
      <c r="BB311" s="3524" t="s">
        <v>5993</v>
      </c>
      <c r="BD311" s="3525"/>
      <c r="BE311" s="3441">
        <v>64263637</v>
      </c>
      <c r="BF311" s="3526"/>
      <c r="BG311" s="3518">
        <v>37398</v>
      </c>
      <c r="BI311" s="3441" t="s">
        <v>2156</v>
      </c>
      <c r="BJ311" s="3484">
        <v>37768</v>
      </c>
      <c r="BK311" s="3484"/>
      <c r="BL311" s="3470"/>
      <c r="BS311" s="3470"/>
      <c r="BT311" s="3470"/>
      <c r="BU311" s="3470"/>
    </row>
    <row r="312" spans="1:253" s="3441" customFormat="1" ht="12" hidden="1">
      <c r="A312" s="3470" t="s">
        <v>5994</v>
      </c>
      <c r="B312" s="3470" t="s">
        <v>5995</v>
      </c>
      <c r="C312" s="3481" t="s">
        <v>5996</v>
      </c>
      <c r="D312" s="3481" t="s">
        <v>5997</v>
      </c>
      <c r="E312" s="3470" t="s">
        <v>2736</v>
      </c>
      <c r="F312" s="3521" t="s">
        <v>5922</v>
      </c>
      <c r="G312" s="3470"/>
      <c r="H312" s="3470" t="s">
        <v>5822</v>
      </c>
      <c r="I312" s="3470" t="s">
        <v>4995</v>
      </c>
      <c r="J312" s="3481" t="s">
        <v>5998</v>
      </c>
      <c r="K312" s="3470"/>
      <c r="L312" s="3470">
        <v>57.95</v>
      </c>
      <c r="M312" s="3470">
        <v>5</v>
      </c>
      <c r="N312" s="3470" t="s">
        <v>3489</v>
      </c>
      <c r="O312" s="3470">
        <v>52.4</v>
      </c>
      <c r="P312" s="3470" t="s">
        <v>3452</v>
      </c>
      <c r="Q312" s="3607">
        <v>191814.5</v>
      </c>
      <c r="R312" s="3570">
        <v>3310</v>
      </c>
      <c r="S312" s="3549">
        <v>18.88</v>
      </c>
      <c r="T312" s="3527">
        <v>188800</v>
      </c>
      <c r="U312" s="3470">
        <v>3258</v>
      </c>
      <c r="V312" s="3474">
        <v>0.1</v>
      </c>
      <c r="W312" s="3475">
        <v>16.989999999999998</v>
      </c>
      <c r="X312" s="3473">
        <v>169900</v>
      </c>
      <c r="Y312" s="3441">
        <v>2003</v>
      </c>
      <c r="Z312" s="3441">
        <v>6</v>
      </c>
      <c r="AA312" s="3441">
        <v>2</v>
      </c>
      <c r="AB312" s="3485">
        <v>940</v>
      </c>
      <c r="AC312" s="3470" t="s">
        <v>3798</v>
      </c>
      <c r="AD312" s="3485"/>
      <c r="AE312" s="3441" t="s">
        <v>2156</v>
      </c>
      <c r="AF312" s="3470"/>
      <c r="AG312" s="3522" t="s">
        <v>3466</v>
      </c>
      <c r="AH312" s="3485"/>
      <c r="AI312" s="3470" t="s">
        <v>3664</v>
      </c>
      <c r="AJ312" s="3523"/>
      <c r="AK312" s="3479" t="s">
        <v>5999</v>
      </c>
      <c r="AL312" s="3441">
        <v>67641700</v>
      </c>
      <c r="AN312" s="3441" t="s">
        <v>3456</v>
      </c>
      <c r="AO312" s="3441" t="s">
        <v>6000</v>
      </c>
      <c r="AP312" s="3441" t="s">
        <v>4834</v>
      </c>
      <c r="AQ312" s="3441" t="s">
        <v>3457</v>
      </c>
      <c r="AW312" s="3441" t="s">
        <v>4064</v>
      </c>
      <c r="AY312" s="3524"/>
      <c r="BB312" s="3524"/>
      <c r="BD312" s="3525"/>
      <c r="BF312" s="3526"/>
      <c r="BG312" s="3626">
        <v>37397</v>
      </c>
      <c r="BI312" s="3441" t="s">
        <v>4834</v>
      </c>
      <c r="BJ312" s="3627">
        <v>37768</v>
      </c>
      <c r="BK312" s="3484"/>
      <c r="BL312" s="3470"/>
      <c r="BS312" s="3470"/>
      <c r="BT312" s="3470"/>
      <c r="BU312" s="3470"/>
    </row>
    <row r="313" spans="1:253" s="3565" customFormat="1" hidden="1">
      <c r="A313" s="3470" t="s">
        <v>6001</v>
      </c>
      <c r="B313" s="3470" t="s">
        <v>6002</v>
      </c>
      <c r="C313" s="3454" t="s">
        <v>6003</v>
      </c>
      <c r="D313" s="3470">
        <v>68849245</v>
      </c>
      <c r="E313" s="3470" t="s">
        <v>2736</v>
      </c>
      <c r="F313" s="3470" t="s">
        <v>5592</v>
      </c>
      <c r="G313" s="3470" t="s">
        <v>3588</v>
      </c>
      <c r="H313" s="3470" t="s">
        <v>6004</v>
      </c>
      <c r="I313" s="3453" t="s">
        <v>3464</v>
      </c>
      <c r="J313" s="3453" t="s">
        <v>5452</v>
      </c>
      <c r="K313" s="3470" t="s">
        <v>5586</v>
      </c>
      <c r="L313" s="3495">
        <v>92.66</v>
      </c>
      <c r="M313" s="3495">
        <v>4</v>
      </c>
      <c r="N313" s="3453" t="s">
        <v>3451</v>
      </c>
      <c r="O313" s="3495">
        <v>82.39</v>
      </c>
      <c r="P313" s="3470" t="s">
        <v>3452</v>
      </c>
      <c r="Q313" s="3457">
        <v>347475</v>
      </c>
      <c r="R313" s="3470">
        <v>3750</v>
      </c>
      <c r="S313" s="3472">
        <v>34.299999999999997</v>
      </c>
      <c r="T313" s="3527">
        <v>343000</v>
      </c>
      <c r="U313" s="3470">
        <v>3702</v>
      </c>
      <c r="V313" s="3474">
        <v>0.1</v>
      </c>
      <c r="W313" s="3475">
        <v>30.87</v>
      </c>
      <c r="X313" s="3473">
        <v>308700</v>
      </c>
      <c r="Y313" s="3441">
        <v>2003</v>
      </c>
      <c r="Z313" s="3441">
        <v>4</v>
      </c>
      <c r="AA313" s="3441">
        <v>11</v>
      </c>
      <c r="AB313" s="3485">
        <v>1715</v>
      </c>
      <c r="AC313" s="3470" t="s">
        <v>5110</v>
      </c>
      <c r="AD313" s="3470"/>
      <c r="AE313" s="3456" t="s">
        <v>3663</v>
      </c>
      <c r="AF313" s="3470" t="s">
        <v>6005</v>
      </c>
      <c r="AG313" s="3470" t="s">
        <v>3466</v>
      </c>
      <c r="AH313" s="3470"/>
      <c r="AI313" s="3470" t="s">
        <v>3679</v>
      </c>
      <c r="AJ313" s="3478">
        <v>38108</v>
      </c>
      <c r="AK313" s="3548">
        <v>4</v>
      </c>
      <c r="AL313" s="3495">
        <v>67641700</v>
      </c>
      <c r="AM313" s="3470"/>
      <c r="AN313" s="3469" t="s">
        <v>3791</v>
      </c>
      <c r="AO313" s="3441"/>
      <c r="AP313" s="3456" t="s">
        <v>3713</v>
      </c>
      <c r="AQ313" s="3456" t="s">
        <v>3571</v>
      </c>
      <c r="AR313" s="3470"/>
      <c r="AS313" s="3470"/>
      <c r="AT313" s="3470"/>
      <c r="AU313" s="3470"/>
      <c r="AV313" s="3519"/>
      <c r="AW313" s="3470" t="s">
        <v>3572</v>
      </c>
      <c r="AX313" s="3470" t="s">
        <v>2420</v>
      </c>
      <c r="AY313" s="3495">
        <v>274448</v>
      </c>
      <c r="AZ313" s="3470" t="s">
        <v>5584</v>
      </c>
      <c r="BA313" s="3470" t="s">
        <v>5587</v>
      </c>
      <c r="BB313" s="3619">
        <v>1102281326100</v>
      </c>
      <c r="BC313" s="3470" t="s">
        <v>5596</v>
      </c>
      <c r="BD313" s="3470">
        <v>100055</v>
      </c>
      <c r="BE313" s="3470">
        <v>82951881</v>
      </c>
      <c r="BF313" s="3520">
        <v>2.8</v>
      </c>
      <c r="BG313" s="3478">
        <v>37706</v>
      </c>
      <c r="BH313" s="3470"/>
      <c r="BI313" s="3486" t="s">
        <v>3721</v>
      </c>
      <c r="BJ313" s="3484">
        <v>37721</v>
      </c>
      <c r="BK313" s="3478"/>
      <c r="BL313" s="3441" t="s">
        <v>3670</v>
      </c>
      <c r="BM313" s="3441"/>
      <c r="BN313" s="3441"/>
      <c r="BO313" s="3441"/>
      <c r="BP313" s="3441"/>
      <c r="BQ313" s="3441"/>
      <c r="BR313" s="3441"/>
      <c r="BS313" s="3470"/>
      <c r="BT313" s="3470"/>
      <c r="BU313" s="3470"/>
      <c r="BV313" s="3470"/>
      <c r="BW313" s="3470"/>
      <c r="BX313" s="3470"/>
      <c r="BY313" s="3470"/>
      <c r="BZ313" s="3470"/>
      <c r="CA313" s="3470"/>
      <c r="CB313" s="3470"/>
      <c r="CC313" s="3470"/>
      <c r="CD313" s="3470"/>
      <c r="CE313" s="3470"/>
      <c r="CF313" s="3470"/>
      <c r="CG313" s="3470"/>
      <c r="CH313" s="3470"/>
      <c r="CI313" s="3470"/>
      <c r="CJ313" s="3470"/>
      <c r="CK313" s="3470"/>
      <c r="CL313" s="3470"/>
      <c r="CM313" s="3470"/>
      <c r="CN313" s="3470"/>
      <c r="CO313" s="3470"/>
      <c r="CP313" s="3470"/>
      <c r="CQ313" s="3470"/>
      <c r="CR313" s="3470"/>
      <c r="CS313" s="3470"/>
      <c r="CT313" s="3470"/>
      <c r="CU313" s="3470"/>
      <c r="CV313" s="3470"/>
      <c r="CW313" s="3470"/>
      <c r="CX313" s="3470"/>
      <c r="CY313" s="3470"/>
      <c r="CZ313" s="3470"/>
      <c r="DA313" s="3470"/>
      <c r="DB313" s="3470"/>
      <c r="DC313" s="3470"/>
      <c r="DD313" s="3470"/>
      <c r="DE313" s="3470"/>
      <c r="DF313" s="3470"/>
      <c r="DG313" s="3470"/>
      <c r="DH313" s="3470"/>
      <c r="DI313" s="3470"/>
      <c r="DJ313" s="3470"/>
      <c r="DK313" s="3470"/>
      <c r="DL313" s="3470"/>
      <c r="DM313" s="3470"/>
      <c r="DN313" s="3470"/>
      <c r="DO313" s="3470"/>
      <c r="DP313" s="3470"/>
      <c r="DQ313" s="3470"/>
      <c r="DR313" s="3470"/>
      <c r="DS313" s="3470"/>
      <c r="DT313" s="3470"/>
      <c r="DU313" s="3470"/>
      <c r="DV313" s="3470"/>
      <c r="DW313" s="3470"/>
      <c r="DX313" s="3470"/>
      <c r="DY313" s="3470"/>
      <c r="DZ313" s="3470"/>
      <c r="EA313" s="3470"/>
      <c r="EB313" s="3470"/>
      <c r="EC313" s="3470"/>
      <c r="ED313" s="3470"/>
      <c r="EE313" s="3470"/>
      <c r="EF313" s="3470"/>
      <c r="EG313" s="3470"/>
      <c r="EH313" s="3470"/>
      <c r="EI313" s="3470"/>
      <c r="EJ313" s="3470"/>
      <c r="EK313" s="3470"/>
      <c r="EL313" s="3470"/>
      <c r="EM313" s="3470"/>
      <c r="EN313" s="3470"/>
      <c r="EO313" s="3470"/>
      <c r="EP313" s="3470"/>
      <c r="EQ313" s="3470"/>
      <c r="ER313" s="3470"/>
      <c r="ES313" s="3470"/>
      <c r="ET313" s="3470"/>
      <c r="EU313" s="3470"/>
      <c r="EV313" s="3470"/>
      <c r="EW313" s="3470"/>
      <c r="EX313" s="3470"/>
      <c r="EY313" s="3470"/>
      <c r="EZ313" s="3470"/>
      <c r="FA313" s="3470"/>
      <c r="FB313" s="3470"/>
      <c r="FC313" s="3470"/>
      <c r="FD313" s="3470"/>
      <c r="FE313" s="3470"/>
      <c r="FF313" s="3470"/>
      <c r="FG313" s="3470"/>
      <c r="FH313" s="3470"/>
      <c r="FI313" s="3470"/>
      <c r="FJ313" s="3470"/>
      <c r="FK313" s="3470"/>
      <c r="FL313" s="3470"/>
      <c r="FM313" s="3470"/>
      <c r="FN313" s="3470"/>
      <c r="FO313" s="3470"/>
      <c r="FP313" s="3470"/>
      <c r="FQ313" s="3470"/>
      <c r="FR313" s="3470"/>
      <c r="FS313" s="3470"/>
      <c r="FT313" s="3470"/>
      <c r="FU313" s="3470"/>
      <c r="FV313" s="3470"/>
      <c r="FW313" s="3470"/>
      <c r="FX313" s="3470"/>
      <c r="FY313" s="3470"/>
      <c r="FZ313" s="3470"/>
      <c r="GA313" s="3470"/>
      <c r="GB313" s="3470"/>
      <c r="GC313" s="3470"/>
      <c r="GD313" s="3470"/>
      <c r="GE313" s="3470"/>
      <c r="GF313" s="3470"/>
      <c r="GG313" s="3470"/>
      <c r="GH313" s="3470"/>
      <c r="GI313" s="3470"/>
      <c r="GJ313" s="3470"/>
      <c r="GK313" s="3470"/>
      <c r="GL313" s="3470"/>
      <c r="GM313" s="3470"/>
      <c r="GN313" s="3470"/>
      <c r="GO313" s="3470"/>
      <c r="GP313" s="3470"/>
      <c r="GQ313" s="3470"/>
      <c r="GR313" s="3470"/>
      <c r="GS313" s="3470"/>
      <c r="GT313" s="3470"/>
      <c r="GU313" s="3470"/>
      <c r="GV313" s="3470"/>
      <c r="GW313" s="3470"/>
      <c r="GX313" s="3470"/>
      <c r="GY313" s="3470"/>
      <c r="GZ313" s="3470"/>
      <c r="HA313" s="3470"/>
      <c r="HB313" s="3470"/>
      <c r="HC313" s="3470"/>
      <c r="HD313" s="3470"/>
      <c r="HE313" s="3470"/>
      <c r="HF313" s="3470"/>
      <c r="HG313" s="3470"/>
      <c r="HH313" s="3470"/>
      <c r="HI313" s="3470"/>
      <c r="HJ313" s="3470"/>
      <c r="HK313" s="3470"/>
      <c r="HL313" s="3470"/>
      <c r="HM313" s="3470"/>
      <c r="HN313" s="3470"/>
      <c r="HO313" s="3470"/>
      <c r="HP313" s="3470"/>
      <c r="HQ313" s="3470"/>
      <c r="HR313" s="3470"/>
      <c r="HS313" s="3470"/>
      <c r="HT313" s="3470"/>
      <c r="HU313" s="3470"/>
      <c r="HV313" s="3470"/>
      <c r="HW313" s="3470"/>
      <c r="HX313" s="3470"/>
      <c r="HY313" s="3470"/>
      <c r="HZ313" s="3470"/>
      <c r="IA313" s="3470"/>
      <c r="IB313" s="3470"/>
      <c r="IC313" s="3470"/>
      <c r="ID313" s="3470"/>
      <c r="IE313" s="3470"/>
      <c r="IF313" s="3470"/>
      <c r="IG313" s="3470"/>
      <c r="IH313" s="3470"/>
      <c r="II313" s="3470"/>
      <c r="IJ313" s="3470"/>
      <c r="IK313" s="3470"/>
      <c r="IL313" s="3470"/>
      <c r="IM313" s="3470"/>
      <c r="IN313" s="3470"/>
      <c r="IO313" s="3470"/>
      <c r="IP313" s="3470"/>
      <c r="IQ313" s="3470"/>
      <c r="IR313" s="3470"/>
      <c r="IS313" s="3470"/>
    </row>
    <row r="314" spans="1:253" s="3565" customFormat="1" hidden="1">
      <c r="A314" s="3470" t="s">
        <v>6006</v>
      </c>
      <c r="B314" s="3470" t="s">
        <v>6007</v>
      </c>
      <c r="C314" s="3481" t="s">
        <v>6008</v>
      </c>
      <c r="D314" s="3481" t="s">
        <v>6009</v>
      </c>
      <c r="E314" s="3470" t="s">
        <v>3558</v>
      </c>
      <c r="F314" s="3528" t="s">
        <v>4111</v>
      </c>
      <c r="G314" s="3470"/>
      <c r="H314" s="3470" t="s">
        <v>4471</v>
      </c>
      <c r="I314" s="3470" t="s">
        <v>6010</v>
      </c>
      <c r="J314" s="3481" t="s">
        <v>6011</v>
      </c>
      <c r="K314" s="3470" t="s">
        <v>4115</v>
      </c>
      <c r="L314" s="3470">
        <v>112.95</v>
      </c>
      <c r="M314" s="3470">
        <v>21</v>
      </c>
      <c r="N314" s="3470" t="s">
        <v>3486</v>
      </c>
      <c r="O314" s="3470">
        <v>92.63</v>
      </c>
      <c r="P314" s="3470" t="s">
        <v>3452</v>
      </c>
      <c r="Q314" s="3457">
        <v>709000.70400000003</v>
      </c>
      <c r="R314" s="3470">
        <v>6277.12</v>
      </c>
      <c r="S314" s="3472">
        <v>70.19</v>
      </c>
      <c r="T314" s="3527">
        <v>701900</v>
      </c>
      <c r="U314" s="3470">
        <v>6215</v>
      </c>
      <c r="V314" s="3474">
        <v>0.1</v>
      </c>
      <c r="W314" s="3475">
        <v>63.17</v>
      </c>
      <c r="X314" s="3476">
        <v>631700</v>
      </c>
      <c r="Y314" s="3441">
        <v>2003</v>
      </c>
      <c r="Z314" s="3515">
        <v>4</v>
      </c>
      <c r="AA314" s="3515">
        <v>17</v>
      </c>
      <c r="AB314" s="3477">
        <v>3505</v>
      </c>
      <c r="AC314" s="3470" t="s">
        <v>3544</v>
      </c>
      <c r="AD314" s="3485"/>
      <c r="AE314" s="3441" t="s">
        <v>3663</v>
      </c>
      <c r="AF314" s="3470" t="s">
        <v>3493</v>
      </c>
      <c r="AG314" s="3522" t="s">
        <v>3466</v>
      </c>
      <c r="AH314" s="3485"/>
      <c r="AI314" s="3470" t="s">
        <v>4955</v>
      </c>
      <c r="AJ314" s="3523"/>
      <c r="AK314" s="3500">
        <v>4</v>
      </c>
      <c r="AL314" s="3495">
        <v>67641700</v>
      </c>
      <c r="AM314" s="3441"/>
      <c r="AN314" s="3480" t="s">
        <v>4210</v>
      </c>
      <c r="AO314" s="3470" t="s">
        <v>6012</v>
      </c>
      <c r="AP314" s="3441" t="s">
        <v>3476</v>
      </c>
      <c r="AQ314" s="3441" t="s">
        <v>3571</v>
      </c>
      <c r="AR314" s="3441"/>
      <c r="AS314" s="3441"/>
      <c r="AT314" s="3441"/>
      <c r="AU314" s="3441"/>
      <c r="AV314" s="3441"/>
      <c r="AW314" s="3441" t="s">
        <v>3572</v>
      </c>
      <c r="AX314" s="3441" t="s">
        <v>2511</v>
      </c>
      <c r="AY314" s="3524" t="s">
        <v>6013</v>
      </c>
      <c r="AZ314" s="3441" t="s">
        <v>4115</v>
      </c>
      <c r="BA314" s="3441" t="s">
        <v>4118</v>
      </c>
      <c r="BB314" s="3524" t="s">
        <v>4119</v>
      </c>
      <c r="BC314" s="3441" t="s">
        <v>4120</v>
      </c>
      <c r="BD314" s="3525">
        <v>100086</v>
      </c>
      <c r="BE314" s="3441">
        <v>63260460</v>
      </c>
      <c r="BF314" s="3526">
        <v>2.7</v>
      </c>
      <c r="BG314" s="3518">
        <v>37605</v>
      </c>
      <c r="BH314" s="3441"/>
      <c r="BI314" s="3441" t="s">
        <v>3475</v>
      </c>
      <c r="BJ314" s="3484">
        <v>37727</v>
      </c>
      <c r="BK314" s="3518"/>
      <c r="BL314" s="3441" t="s">
        <v>3670</v>
      </c>
      <c r="BM314" s="3441"/>
      <c r="BN314" s="3441"/>
      <c r="BO314" s="3441"/>
      <c r="BP314" s="3441"/>
      <c r="BQ314" s="3441"/>
      <c r="BR314" s="3441"/>
      <c r="BS314" s="3470"/>
      <c r="BT314" s="3470"/>
      <c r="BU314" s="3470"/>
      <c r="BV314" s="3441"/>
      <c r="BW314" s="3441"/>
      <c r="BX314" s="3441"/>
      <c r="BY314" s="3441"/>
      <c r="BZ314" s="3441"/>
      <c r="CA314" s="3441"/>
      <c r="CB314" s="3441"/>
      <c r="CC314" s="3441"/>
      <c r="CD314" s="3441"/>
      <c r="CE314" s="3441"/>
      <c r="CF314" s="3441"/>
      <c r="CG314" s="3441"/>
      <c r="CH314" s="3441"/>
      <c r="CI314" s="3441"/>
      <c r="CJ314" s="3441"/>
      <c r="CK314" s="3441"/>
      <c r="CL314" s="3441"/>
      <c r="CM314" s="3441"/>
      <c r="CN314" s="3441"/>
      <c r="CO314" s="3441"/>
      <c r="CP314" s="3441"/>
      <c r="CQ314" s="3441"/>
      <c r="CR314" s="3441"/>
      <c r="CS314" s="3441"/>
      <c r="CT314" s="3441"/>
      <c r="CU314" s="3441"/>
      <c r="CV314" s="3441"/>
      <c r="CW314" s="3441"/>
      <c r="CX314" s="3441"/>
      <c r="CY314" s="3441"/>
      <c r="CZ314" s="3441"/>
      <c r="DA314" s="3441"/>
      <c r="DB314" s="3441"/>
      <c r="DC314" s="3441"/>
      <c r="DD314" s="3441"/>
      <c r="DE314" s="3441"/>
      <c r="DF314" s="3441"/>
      <c r="DG314" s="3441"/>
      <c r="DH314" s="3441"/>
      <c r="DI314" s="3441"/>
      <c r="DJ314" s="3441"/>
      <c r="DK314" s="3441"/>
      <c r="DL314" s="3441"/>
      <c r="DM314" s="3441"/>
      <c r="DN314" s="3441"/>
      <c r="DO314" s="3441"/>
      <c r="DP314" s="3441"/>
      <c r="DQ314" s="3441"/>
      <c r="DR314" s="3441"/>
      <c r="DS314" s="3441"/>
      <c r="DT314" s="3441"/>
      <c r="DU314" s="3441"/>
      <c r="DV314" s="3441"/>
      <c r="DW314" s="3441"/>
      <c r="DX314" s="3441"/>
      <c r="DY314" s="3441"/>
      <c r="DZ314" s="3441"/>
      <c r="EA314" s="3441"/>
      <c r="EB314" s="3441"/>
      <c r="EC314" s="3441"/>
      <c r="ED314" s="3441"/>
      <c r="EE314" s="3441"/>
      <c r="EF314" s="3441"/>
      <c r="EG314" s="3441"/>
      <c r="EH314" s="3441"/>
      <c r="EI314" s="3441"/>
      <c r="EJ314" s="3441"/>
      <c r="EK314" s="3441"/>
      <c r="EL314" s="3441"/>
      <c r="EM314" s="3441"/>
      <c r="EN314" s="3441"/>
      <c r="EO314" s="3441"/>
      <c r="EP314" s="3441"/>
      <c r="EQ314" s="3441"/>
      <c r="ER314" s="3441"/>
      <c r="ES314" s="3441"/>
      <c r="ET314" s="3441"/>
      <c r="EU314" s="3441"/>
      <c r="EV314" s="3441"/>
      <c r="EW314" s="3441"/>
      <c r="EX314" s="3441"/>
      <c r="EY314" s="3441"/>
      <c r="EZ314" s="3441"/>
      <c r="FA314" s="3441"/>
      <c r="FB314" s="3441"/>
      <c r="FC314" s="3441"/>
      <c r="FD314" s="3441"/>
      <c r="FE314" s="3441"/>
      <c r="FF314" s="3441"/>
      <c r="FG314" s="3441"/>
      <c r="FH314" s="3441"/>
      <c r="FI314" s="3441"/>
      <c r="FJ314" s="3441"/>
      <c r="FK314" s="3441"/>
      <c r="FL314" s="3441"/>
      <c r="FM314" s="3441"/>
      <c r="FN314" s="3441"/>
      <c r="FO314" s="3441"/>
      <c r="FP314" s="3441"/>
      <c r="FQ314" s="3441"/>
      <c r="FR314" s="3441"/>
      <c r="FS314" s="3441"/>
      <c r="FT314" s="3441"/>
      <c r="FU314" s="3441"/>
      <c r="FV314" s="3441"/>
      <c r="FW314" s="3441"/>
      <c r="FX314" s="3441"/>
      <c r="FY314" s="3441"/>
      <c r="FZ314" s="3441"/>
      <c r="GA314" s="3441"/>
      <c r="GB314" s="3441"/>
      <c r="GC314" s="3441"/>
      <c r="GD314" s="3441"/>
      <c r="GE314" s="3441"/>
      <c r="GF314" s="3441"/>
      <c r="GG314" s="3441"/>
      <c r="GH314" s="3441"/>
      <c r="GI314" s="3441"/>
      <c r="GJ314" s="3441"/>
      <c r="GK314" s="3441"/>
      <c r="GL314" s="3441"/>
      <c r="GM314" s="3441"/>
      <c r="GN314" s="3441"/>
      <c r="GO314" s="3441"/>
      <c r="GP314" s="3441"/>
      <c r="GQ314" s="3441"/>
      <c r="GR314" s="3441"/>
      <c r="GS314" s="3441"/>
      <c r="GT314" s="3441"/>
      <c r="GU314" s="3441"/>
      <c r="GV314" s="3441"/>
      <c r="GW314" s="3441"/>
      <c r="GX314" s="3441"/>
      <c r="GY314" s="3441"/>
      <c r="GZ314" s="3441"/>
      <c r="HA314" s="3441"/>
      <c r="HB314" s="3441"/>
      <c r="HC314" s="3441"/>
      <c r="HD314" s="3441"/>
      <c r="HE314" s="3441"/>
      <c r="HF314" s="3441"/>
      <c r="HG314" s="3441"/>
      <c r="HH314" s="3441"/>
      <c r="HI314" s="3441"/>
      <c r="HJ314" s="3441"/>
      <c r="HK314" s="3441"/>
      <c r="HL314" s="3441"/>
      <c r="HM314" s="3441"/>
      <c r="HN314" s="3441"/>
      <c r="HO314" s="3441"/>
      <c r="HP314" s="3441"/>
      <c r="HQ314" s="3441"/>
      <c r="HR314" s="3441"/>
      <c r="HS314" s="3441"/>
      <c r="HT314" s="3441"/>
      <c r="HU314" s="3441"/>
      <c r="HV314" s="3441"/>
      <c r="HW314" s="3441"/>
      <c r="HX314" s="3441"/>
      <c r="HY314" s="3441"/>
      <c r="HZ314" s="3441"/>
      <c r="IA314" s="3441"/>
      <c r="IB314" s="3441"/>
      <c r="IC314" s="3441"/>
      <c r="ID314" s="3441"/>
      <c r="IE314" s="3441"/>
      <c r="IF314" s="3441"/>
      <c r="IG314" s="3441"/>
      <c r="IH314" s="3441"/>
      <c r="II314" s="3441"/>
      <c r="IJ314" s="3441"/>
      <c r="IK314" s="3441"/>
      <c r="IL314" s="3441"/>
      <c r="IM314" s="3441"/>
      <c r="IN314" s="3441"/>
      <c r="IO314" s="3441"/>
      <c r="IP314" s="3441"/>
      <c r="IQ314" s="3441"/>
      <c r="IR314" s="3441"/>
      <c r="IS314" s="3441"/>
    </row>
    <row r="315" spans="1:253" s="3565" customFormat="1" hidden="1">
      <c r="A315" s="3485" t="s">
        <v>6014</v>
      </c>
      <c r="B315" s="3470" t="s">
        <v>6015</v>
      </c>
      <c r="C315" s="3481" t="s">
        <v>6016</v>
      </c>
      <c r="D315" s="3481" t="s">
        <v>6017</v>
      </c>
      <c r="E315" s="3470" t="s">
        <v>3558</v>
      </c>
      <c r="F315" s="3528" t="s">
        <v>3559</v>
      </c>
      <c r="G315" s="3470"/>
      <c r="H315" s="3470" t="s">
        <v>4869</v>
      </c>
      <c r="I315" s="3470" t="s">
        <v>3726</v>
      </c>
      <c r="J315" s="3481" t="s">
        <v>6018</v>
      </c>
      <c r="K315" s="3470" t="s">
        <v>3563</v>
      </c>
      <c r="L315" s="3470">
        <v>62.63</v>
      </c>
      <c r="M315" s="3470">
        <v>4</v>
      </c>
      <c r="N315" s="3470" t="s">
        <v>3790</v>
      </c>
      <c r="O315" s="3470">
        <v>50.74</v>
      </c>
      <c r="P315" s="3470" t="s">
        <v>3452</v>
      </c>
      <c r="Q315" s="3457">
        <v>292732.62</v>
      </c>
      <c r="R315" s="3470">
        <v>4674</v>
      </c>
      <c r="S315" s="3472">
        <v>28.96</v>
      </c>
      <c r="T315" s="3527">
        <v>289600</v>
      </c>
      <c r="U315" s="3470">
        <v>4625</v>
      </c>
      <c r="V315" s="3474">
        <v>0.1</v>
      </c>
      <c r="W315" s="3475">
        <v>26.06</v>
      </c>
      <c r="X315" s="3473">
        <v>260600</v>
      </c>
      <c r="Y315" s="3441">
        <v>2003</v>
      </c>
      <c r="Z315" s="3441">
        <v>4</v>
      </c>
      <c r="AA315" s="3441">
        <v>17</v>
      </c>
      <c r="AB315" s="3485">
        <v>1445</v>
      </c>
      <c r="AC315" s="3470" t="s">
        <v>6019</v>
      </c>
      <c r="AD315" s="3485"/>
      <c r="AE315" s="3441" t="s">
        <v>3663</v>
      </c>
      <c r="AF315" s="3470" t="s">
        <v>4442</v>
      </c>
      <c r="AG315" s="3522" t="s">
        <v>3466</v>
      </c>
      <c r="AH315" s="3485" t="s">
        <v>3568</v>
      </c>
      <c r="AI315" s="3470" t="s">
        <v>3664</v>
      </c>
      <c r="AJ315" s="3523">
        <v>37894</v>
      </c>
      <c r="AK315" s="3500">
        <v>4</v>
      </c>
      <c r="AL315" s="3441">
        <v>67641700</v>
      </c>
      <c r="AM315" s="3441" t="s">
        <v>3568</v>
      </c>
      <c r="AN315" s="3470" t="s">
        <v>4210</v>
      </c>
      <c r="AO315" s="3441" t="s">
        <v>3568</v>
      </c>
      <c r="AP315" s="3469" t="s">
        <v>3476</v>
      </c>
      <c r="AQ315" s="3441" t="s">
        <v>3571</v>
      </c>
      <c r="AR315" s="3441"/>
      <c r="AS315" s="3441"/>
      <c r="AT315" s="3441"/>
      <c r="AU315" s="3441"/>
      <c r="AV315" s="3441"/>
      <c r="AW315" s="3441" t="s">
        <v>3572</v>
      </c>
      <c r="AX315" s="3441"/>
      <c r="AY315" s="3524" t="s">
        <v>6020</v>
      </c>
      <c r="AZ315" s="3441" t="s">
        <v>3563</v>
      </c>
      <c r="BA315" s="3441" t="s">
        <v>3574</v>
      </c>
      <c r="BB315" s="3524" t="s">
        <v>3683</v>
      </c>
      <c r="BC315" s="3441" t="s">
        <v>3576</v>
      </c>
      <c r="BD315" s="3525">
        <v>100037</v>
      </c>
      <c r="BE315" s="3441">
        <v>84050046</v>
      </c>
      <c r="BF315" s="3526">
        <v>2.8</v>
      </c>
      <c r="BG315" s="3518">
        <v>37674</v>
      </c>
      <c r="BH315" s="3441" t="s">
        <v>6021</v>
      </c>
      <c r="BI315" s="3441" t="s">
        <v>3476</v>
      </c>
      <c r="BJ315" s="3478">
        <v>37722</v>
      </c>
      <c r="BK315" s="3484">
        <v>37726</v>
      </c>
      <c r="BL315" s="3441" t="s">
        <v>3623</v>
      </c>
      <c r="BM315" s="3441"/>
      <c r="BN315" s="3441"/>
      <c r="BO315" s="3441"/>
      <c r="BP315" s="3441"/>
      <c r="BQ315" s="3441"/>
      <c r="BR315" s="3441"/>
      <c r="BS315" s="3470"/>
      <c r="BT315" s="3470"/>
      <c r="BU315" s="3470"/>
      <c r="BV315" s="3441"/>
      <c r="BW315" s="3441"/>
      <c r="BX315" s="3441"/>
      <c r="BY315" s="3441"/>
      <c r="BZ315" s="3441"/>
      <c r="CA315" s="3441"/>
      <c r="CB315" s="3441"/>
      <c r="CC315" s="3441"/>
      <c r="CD315" s="3441"/>
      <c r="CE315" s="3441"/>
      <c r="CF315" s="3441"/>
      <c r="CG315" s="3441"/>
      <c r="CH315" s="3441"/>
      <c r="CI315" s="3441"/>
      <c r="CJ315" s="3441"/>
      <c r="CK315" s="3441"/>
      <c r="CL315" s="3441"/>
      <c r="CM315" s="3441"/>
      <c r="CN315" s="3441"/>
      <c r="CO315" s="3441"/>
      <c r="CP315" s="3441"/>
      <c r="CQ315" s="3441"/>
      <c r="CR315" s="3441"/>
      <c r="CS315" s="3441"/>
      <c r="CT315" s="3441"/>
      <c r="CU315" s="3441"/>
      <c r="CV315" s="3441"/>
      <c r="CW315" s="3441"/>
      <c r="CX315" s="3441"/>
      <c r="CY315" s="3441"/>
      <c r="CZ315" s="3441"/>
      <c r="DA315" s="3441"/>
      <c r="DB315" s="3441"/>
      <c r="DC315" s="3441"/>
      <c r="DD315" s="3441"/>
      <c r="DE315" s="3441"/>
      <c r="DF315" s="3441"/>
      <c r="DG315" s="3441"/>
      <c r="DH315" s="3441"/>
      <c r="DI315" s="3441"/>
      <c r="DJ315" s="3441"/>
      <c r="DK315" s="3441"/>
      <c r="DL315" s="3441"/>
      <c r="DM315" s="3441"/>
      <c r="DN315" s="3441"/>
      <c r="DO315" s="3441"/>
      <c r="DP315" s="3441"/>
      <c r="DQ315" s="3441"/>
      <c r="DR315" s="3441"/>
      <c r="DS315" s="3441"/>
      <c r="DT315" s="3441"/>
      <c r="DU315" s="3441"/>
      <c r="DV315" s="3441"/>
      <c r="DW315" s="3441"/>
      <c r="DX315" s="3441"/>
      <c r="DY315" s="3441"/>
      <c r="DZ315" s="3441"/>
      <c r="EA315" s="3441"/>
      <c r="EB315" s="3441"/>
      <c r="EC315" s="3441"/>
      <c r="ED315" s="3441"/>
      <c r="EE315" s="3441"/>
      <c r="EF315" s="3441"/>
      <c r="EG315" s="3441"/>
      <c r="EH315" s="3441"/>
      <c r="EI315" s="3441"/>
      <c r="EJ315" s="3441"/>
      <c r="EK315" s="3441"/>
      <c r="EL315" s="3441"/>
      <c r="EM315" s="3441"/>
      <c r="EN315" s="3441"/>
      <c r="EO315" s="3441"/>
      <c r="EP315" s="3441"/>
      <c r="EQ315" s="3441"/>
      <c r="ER315" s="3441"/>
      <c r="ES315" s="3441"/>
      <c r="ET315" s="3441"/>
      <c r="EU315" s="3441"/>
      <c r="EV315" s="3441"/>
      <c r="EW315" s="3441"/>
      <c r="EX315" s="3441"/>
      <c r="EY315" s="3441"/>
      <c r="EZ315" s="3441"/>
      <c r="FA315" s="3441"/>
      <c r="FB315" s="3441"/>
      <c r="FC315" s="3441"/>
      <c r="FD315" s="3441"/>
      <c r="FE315" s="3441"/>
      <c r="FF315" s="3441"/>
      <c r="FG315" s="3441"/>
      <c r="FH315" s="3441"/>
      <c r="FI315" s="3441"/>
      <c r="FJ315" s="3441"/>
      <c r="FK315" s="3441"/>
      <c r="FL315" s="3441"/>
      <c r="FM315" s="3441"/>
      <c r="FN315" s="3441"/>
      <c r="FO315" s="3441"/>
      <c r="FP315" s="3441"/>
      <c r="FQ315" s="3441"/>
      <c r="FR315" s="3441"/>
      <c r="FS315" s="3441"/>
      <c r="FT315" s="3441"/>
      <c r="FU315" s="3441"/>
      <c r="FV315" s="3441"/>
      <c r="FW315" s="3441"/>
      <c r="FX315" s="3441"/>
      <c r="FY315" s="3441"/>
      <c r="FZ315" s="3441"/>
      <c r="GA315" s="3441"/>
      <c r="GB315" s="3441"/>
      <c r="GC315" s="3441"/>
      <c r="GD315" s="3441"/>
      <c r="GE315" s="3441"/>
      <c r="GF315" s="3441"/>
      <c r="GG315" s="3441"/>
      <c r="GH315" s="3441"/>
      <c r="GI315" s="3441"/>
      <c r="GJ315" s="3441"/>
      <c r="GK315" s="3441"/>
      <c r="GL315" s="3441"/>
      <c r="GM315" s="3441"/>
      <c r="GN315" s="3441"/>
      <c r="GO315" s="3441"/>
      <c r="GP315" s="3441"/>
      <c r="GQ315" s="3441"/>
      <c r="GR315" s="3441"/>
      <c r="GS315" s="3441"/>
      <c r="GT315" s="3441"/>
      <c r="GU315" s="3441"/>
      <c r="GV315" s="3441"/>
      <c r="GW315" s="3441"/>
      <c r="GX315" s="3441"/>
      <c r="GY315" s="3441"/>
      <c r="GZ315" s="3441"/>
      <c r="HA315" s="3441"/>
      <c r="HB315" s="3441"/>
      <c r="HC315" s="3441"/>
      <c r="HD315" s="3441"/>
      <c r="HE315" s="3441"/>
      <c r="HF315" s="3441"/>
      <c r="HG315" s="3441"/>
      <c r="HH315" s="3441"/>
      <c r="HI315" s="3441"/>
      <c r="HJ315" s="3441"/>
      <c r="HK315" s="3441"/>
      <c r="HL315" s="3441"/>
      <c r="HM315" s="3441"/>
      <c r="HN315" s="3441"/>
      <c r="HO315" s="3441"/>
      <c r="HP315" s="3441"/>
      <c r="HQ315" s="3441"/>
      <c r="HR315" s="3441"/>
      <c r="HS315" s="3441"/>
      <c r="HT315" s="3441"/>
      <c r="HU315" s="3441"/>
      <c r="HV315" s="3441"/>
      <c r="HW315" s="3441"/>
      <c r="HX315" s="3441"/>
      <c r="HY315" s="3441"/>
      <c r="HZ315" s="3441"/>
      <c r="IA315" s="3441"/>
      <c r="IB315" s="3441"/>
      <c r="IC315" s="3441"/>
      <c r="ID315" s="3441"/>
      <c r="IE315" s="3441"/>
      <c r="IF315" s="3441"/>
      <c r="IG315" s="3441"/>
      <c r="IH315" s="3441"/>
      <c r="II315" s="3441"/>
      <c r="IJ315" s="3441"/>
      <c r="IK315" s="3441"/>
      <c r="IL315" s="3441"/>
      <c r="IM315" s="3441"/>
      <c r="IN315" s="3441"/>
      <c r="IO315" s="3441"/>
      <c r="IP315" s="3441"/>
      <c r="IQ315" s="3441"/>
      <c r="IR315" s="3441"/>
      <c r="IS315" s="3441"/>
    </row>
    <row r="316" spans="1:253" s="3565" customFormat="1" hidden="1">
      <c r="A316" s="3470" t="s">
        <v>6022</v>
      </c>
      <c r="B316" s="3470" t="s">
        <v>6023</v>
      </c>
      <c r="C316" s="3481" t="s">
        <v>6024</v>
      </c>
      <c r="D316" s="3470">
        <v>13911198070</v>
      </c>
      <c r="E316" s="3470" t="s">
        <v>3558</v>
      </c>
      <c r="F316" s="3470" t="s">
        <v>4025</v>
      </c>
      <c r="G316" s="3470"/>
      <c r="H316" s="3453" t="s">
        <v>4026</v>
      </c>
      <c r="I316" s="3453" t="s">
        <v>5663</v>
      </c>
      <c r="J316" s="3453" t="s">
        <v>6025</v>
      </c>
      <c r="K316" s="3470" t="s">
        <v>4029</v>
      </c>
      <c r="L316" s="3495">
        <v>82.81</v>
      </c>
      <c r="M316" s="3495">
        <v>13</v>
      </c>
      <c r="N316" s="3470" t="s">
        <v>4030</v>
      </c>
      <c r="O316" s="3495">
        <v>67.069999999999993</v>
      </c>
      <c r="P316" s="3470" t="s">
        <v>3452</v>
      </c>
      <c r="Q316" s="3457">
        <v>322959</v>
      </c>
      <c r="R316" s="3470">
        <v>3900</v>
      </c>
      <c r="S316" s="3532">
        <v>31.92</v>
      </c>
      <c r="T316" s="3554">
        <v>319200</v>
      </c>
      <c r="U316" s="3470">
        <v>3855</v>
      </c>
      <c r="V316" s="3474">
        <v>0.1</v>
      </c>
      <c r="W316" s="3475">
        <v>28.72</v>
      </c>
      <c r="X316" s="3473">
        <v>287200</v>
      </c>
      <c r="Y316" s="3441">
        <v>2003</v>
      </c>
      <c r="Z316" s="3441">
        <v>4</v>
      </c>
      <c r="AA316" s="3470">
        <v>17</v>
      </c>
      <c r="AB316" s="3477">
        <v>1595</v>
      </c>
      <c r="AC316" s="3470" t="s">
        <v>4922</v>
      </c>
      <c r="AD316" s="3470"/>
      <c r="AE316" s="3441" t="s">
        <v>3663</v>
      </c>
      <c r="AF316" s="3470" t="s">
        <v>4200</v>
      </c>
      <c r="AG316" s="3470" t="s">
        <v>3466</v>
      </c>
      <c r="AH316" s="3470" t="s">
        <v>3568</v>
      </c>
      <c r="AI316" s="3470" t="s">
        <v>3664</v>
      </c>
      <c r="AJ316" s="3478">
        <v>37742</v>
      </c>
      <c r="AK316" s="3500">
        <v>4</v>
      </c>
      <c r="AL316" s="3495">
        <v>67641700</v>
      </c>
      <c r="AM316" s="3470"/>
      <c r="AN316" s="3480" t="s">
        <v>3482</v>
      </c>
      <c r="AO316" s="3470" t="s">
        <v>6026</v>
      </c>
      <c r="AP316" s="3441" t="s">
        <v>3476</v>
      </c>
      <c r="AQ316" s="3456" t="s">
        <v>3571</v>
      </c>
      <c r="AR316" s="3470"/>
      <c r="AS316" s="3470"/>
      <c r="AT316" s="3470"/>
      <c r="AU316" s="3470"/>
      <c r="AV316" s="3519"/>
      <c r="AW316" s="3470" t="s">
        <v>3572</v>
      </c>
      <c r="AX316" s="3470" t="s">
        <v>2511</v>
      </c>
      <c r="AY316" s="3495">
        <v>279383</v>
      </c>
      <c r="AZ316" s="3470" t="s">
        <v>4029</v>
      </c>
      <c r="BA316" s="3470" t="s">
        <v>4034</v>
      </c>
      <c r="BB316" s="3470" t="s">
        <v>4127</v>
      </c>
      <c r="BC316" s="3470" t="s">
        <v>4035</v>
      </c>
      <c r="BD316" s="3470">
        <v>100034</v>
      </c>
      <c r="BE316" s="3470">
        <v>66177078</v>
      </c>
      <c r="BF316" s="3520">
        <v>2.7</v>
      </c>
      <c r="BG316" s="3478">
        <v>37709</v>
      </c>
      <c r="BH316" s="3470"/>
      <c r="BI316" s="3441" t="s">
        <v>3475</v>
      </c>
      <c r="BJ316" s="3484">
        <v>37727</v>
      </c>
      <c r="BK316" s="3478"/>
      <c r="BL316" s="3441" t="s">
        <v>3670</v>
      </c>
      <c r="BM316" s="3441"/>
      <c r="BN316" s="3441"/>
      <c r="BO316" s="3441"/>
      <c r="BP316" s="3441"/>
      <c r="BQ316" s="3441"/>
      <c r="BR316" s="3441"/>
      <c r="BS316" s="3470"/>
      <c r="BT316" s="3470"/>
      <c r="BU316" s="3470"/>
      <c r="BV316" s="3470"/>
      <c r="BW316" s="3470"/>
      <c r="BX316" s="3470"/>
      <c r="BY316" s="3470"/>
      <c r="BZ316" s="3470"/>
      <c r="CA316" s="3470"/>
      <c r="CB316" s="3470"/>
      <c r="CC316" s="3470"/>
      <c r="CD316" s="3470"/>
      <c r="CE316" s="3470"/>
      <c r="CF316" s="3470"/>
      <c r="CG316" s="3470"/>
      <c r="CH316" s="3470"/>
      <c r="CI316" s="3470"/>
      <c r="CJ316" s="3470"/>
      <c r="CK316" s="3470"/>
      <c r="CL316" s="3470"/>
      <c r="CM316" s="3470"/>
      <c r="CN316" s="3470"/>
      <c r="CO316" s="3470"/>
      <c r="CP316" s="3470"/>
      <c r="CQ316" s="3470"/>
      <c r="CR316" s="3470"/>
      <c r="CS316" s="3470"/>
      <c r="CT316" s="3470"/>
      <c r="CU316" s="3470"/>
      <c r="CV316" s="3470"/>
      <c r="CW316" s="3470"/>
      <c r="CX316" s="3470"/>
      <c r="CY316" s="3470"/>
      <c r="CZ316" s="3470"/>
      <c r="DA316" s="3470"/>
      <c r="DB316" s="3470"/>
      <c r="DC316" s="3470"/>
      <c r="DD316" s="3470"/>
      <c r="DE316" s="3470"/>
      <c r="DF316" s="3470"/>
      <c r="DG316" s="3470"/>
      <c r="DH316" s="3470"/>
      <c r="DI316" s="3470"/>
      <c r="DJ316" s="3470"/>
      <c r="DK316" s="3470"/>
      <c r="DL316" s="3470"/>
      <c r="DM316" s="3470"/>
      <c r="DN316" s="3470"/>
      <c r="DO316" s="3470"/>
      <c r="DP316" s="3470"/>
      <c r="DQ316" s="3470"/>
      <c r="DR316" s="3470"/>
      <c r="DS316" s="3470"/>
      <c r="DT316" s="3470"/>
      <c r="DU316" s="3470"/>
      <c r="DV316" s="3470"/>
      <c r="DW316" s="3470"/>
      <c r="DX316" s="3470"/>
      <c r="DY316" s="3470"/>
      <c r="DZ316" s="3470"/>
      <c r="EA316" s="3470"/>
      <c r="EB316" s="3470"/>
      <c r="EC316" s="3470"/>
      <c r="ED316" s="3470"/>
      <c r="EE316" s="3470"/>
      <c r="EF316" s="3470"/>
      <c r="EG316" s="3470"/>
      <c r="EH316" s="3470"/>
      <c r="EI316" s="3470"/>
      <c r="EJ316" s="3470"/>
      <c r="EK316" s="3470"/>
      <c r="EL316" s="3470"/>
      <c r="EM316" s="3470"/>
      <c r="EN316" s="3470"/>
      <c r="EO316" s="3470"/>
      <c r="EP316" s="3470"/>
      <c r="EQ316" s="3470"/>
      <c r="ER316" s="3470"/>
      <c r="ES316" s="3470"/>
      <c r="ET316" s="3470"/>
      <c r="EU316" s="3470"/>
      <c r="EV316" s="3470"/>
      <c r="EW316" s="3470"/>
      <c r="EX316" s="3470"/>
      <c r="EY316" s="3470"/>
      <c r="EZ316" s="3470"/>
      <c r="FA316" s="3470"/>
      <c r="FB316" s="3470"/>
      <c r="FC316" s="3470"/>
      <c r="FD316" s="3470"/>
      <c r="FE316" s="3470"/>
      <c r="FF316" s="3470"/>
      <c r="FG316" s="3470"/>
      <c r="FH316" s="3470"/>
      <c r="FI316" s="3470"/>
      <c r="FJ316" s="3470"/>
      <c r="FK316" s="3470"/>
      <c r="FL316" s="3470"/>
      <c r="FM316" s="3470"/>
      <c r="FN316" s="3470"/>
      <c r="FO316" s="3470"/>
      <c r="FP316" s="3470"/>
      <c r="FQ316" s="3470"/>
      <c r="FR316" s="3470"/>
      <c r="FS316" s="3470"/>
      <c r="FT316" s="3470"/>
      <c r="FU316" s="3470"/>
      <c r="FV316" s="3470"/>
      <c r="FW316" s="3470"/>
      <c r="FX316" s="3470"/>
      <c r="FY316" s="3470"/>
      <c r="FZ316" s="3470"/>
      <c r="GA316" s="3470"/>
      <c r="GB316" s="3470"/>
      <c r="GC316" s="3470"/>
      <c r="GD316" s="3470"/>
      <c r="GE316" s="3470"/>
      <c r="GF316" s="3470"/>
      <c r="GG316" s="3470"/>
      <c r="GH316" s="3470"/>
      <c r="GI316" s="3470"/>
      <c r="GJ316" s="3470"/>
      <c r="GK316" s="3470"/>
      <c r="GL316" s="3470"/>
      <c r="GM316" s="3470"/>
      <c r="GN316" s="3470"/>
      <c r="GO316" s="3470"/>
      <c r="GP316" s="3470"/>
      <c r="GQ316" s="3470"/>
      <c r="GR316" s="3470"/>
      <c r="GS316" s="3470"/>
      <c r="GT316" s="3470"/>
      <c r="GU316" s="3470"/>
      <c r="GV316" s="3470"/>
      <c r="GW316" s="3470"/>
      <c r="GX316" s="3470"/>
      <c r="GY316" s="3470"/>
      <c r="GZ316" s="3470"/>
      <c r="HA316" s="3470"/>
      <c r="HB316" s="3470"/>
      <c r="HC316" s="3470"/>
      <c r="HD316" s="3470"/>
      <c r="HE316" s="3470"/>
      <c r="HF316" s="3470"/>
      <c r="HG316" s="3470"/>
      <c r="HH316" s="3470"/>
      <c r="HI316" s="3470"/>
      <c r="HJ316" s="3470"/>
      <c r="HK316" s="3470"/>
      <c r="HL316" s="3470"/>
      <c r="HM316" s="3470"/>
      <c r="HN316" s="3470"/>
      <c r="HO316" s="3470"/>
      <c r="HP316" s="3470"/>
      <c r="HQ316" s="3470"/>
      <c r="HR316" s="3470"/>
      <c r="HS316" s="3470"/>
      <c r="HT316" s="3470"/>
      <c r="HU316" s="3470"/>
      <c r="HV316" s="3470"/>
      <c r="HW316" s="3470"/>
      <c r="HX316" s="3470"/>
      <c r="HY316" s="3470"/>
      <c r="HZ316" s="3470"/>
      <c r="IA316" s="3470"/>
      <c r="IB316" s="3470"/>
      <c r="IC316" s="3470"/>
      <c r="ID316" s="3470"/>
      <c r="IE316" s="3470"/>
      <c r="IF316" s="3470"/>
      <c r="IG316" s="3470"/>
      <c r="IH316" s="3470"/>
      <c r="II316" s="3470"/>
      <c r="IJ316" s="3470"/>
      <c r="IK316" s="3470"/>
      <c r="IL316" s="3470"/>
      <c r="IM316" s="3470"/>
      <c r="IN316" s="3470"/>
      <c r="IO316" s="3470"/>
      <c r="IP316" s="3470"/>
      <c r="IQ316" s="3470"/>
      <c r="IR316" s="3470"/>
      <c r="IS316" s="3470"/>
    </row>
    <row r="317" spans="1:253" s="3565" customFormat="1" hidden="1">
      <c r="A317" s="3453" t="s">
        <v>6027</v>
      </c>
      <c r="B317" s="3470" t="s">
        <v>6028</v>
      </c>
      <c r="C317" s="3481" t="s">
        <v>6029</v>
      </c>
      <c r="D317" s="3481" t="s">
        <v>6030</v>
      </c>
      <c r="E317" s="3470" t="s">
        <v>3558</v>
      </c>
      <c r="F317" s="3470" t="s">
        <v>4403</v>
      </c>
      <c r="G317" s="3470" t="s">
        <v>3568</v>
      </c>
      <c r="H317" s="3470" t="s">
        <v>4465</v>
      </c>
      <c r="I317" s="3470" t="s">
        <v>4217</v>
      </c>
      <c r="J317" s="3481" t="s">
        <v>3449</v>
      </c>
      <c r="K317" s="3470" t="s">
        <v>4406</v>
      </c>
      <c r="L317" s="3470">
        <v>129.66999999999999</v>
      </c>
      <c r="M317" s="3470">
        <v>4</v>
      </c>
      <c r="N317" s="3470" t="s">
        <v>3632</v>
      </c>
      <c r="O317" s="3470">
        <v>116.27</v>
      </c>
      <c r="P317" s="3470" t="s">
        <v>3452</v>
      </c>
      <c r="Q317" s="3457">
        <v>657271.29599999997</v>
      </c>
      <c r="R317" s="3470">
        <v>5068.8</v>
      </c>
      <c r="S317" s="3472">
        <v>65.06</v>
      </c>
      <c r="T317" s="3527">
        <v>650600</v>
      </c>
      <c r="U317" s="3470">
        <v>5018</v>
      </c>
      <c r="V317" s="3474">
        <v>0.1</v>
      </c>
      <c r="W317" s="3475">
        <v>58.55</v>
      </c>
      <c r="X317" s="3473">
        <v>585500</v>
      </c>
      <c r="Y317" s="3441">
        <v>2003</v>
      </c>
      <c r="Z317" s="3441">
        <v>4</v>
      </c>
      <c r="AA317" s="3470">
        <v>15</v>
      </c>
      <c r="AB317" s="3477">
        <v>3250</v>
      </c>
      <c r="AC317" s="3470" t="s">
        <v>4922</v>
      </c>
      <c r="AD317" s="3485"/>
      <c r="AE317" s="3441" t="s">
        <v>3663</v>
      </c>
      <c r="AF317" s="3470" t="s">
        <v>3728</v>
      </c>
      <c r="AG317" s="3522" t="s">
        <v>3466</v>
      </c>
      <c r="AH317" s="3485"/>
      <c r="AI317" s="3470" t="s">
        <v>4849</v>
      </c>
      <c r="AJ317" s="3523">
        <v>37833</v>
      </c>
      <c r="AK317" s="3548">
        <v>4</v>
      </c>
      <c r="AL317" s="3441">
        <v>67641700</v>
      </c>
      <c r="AM317" s="3441"/>
      <c r="AN317" s="3441" t="s">
        <v>3482</v>
      </c>
      <c r="AO317" s="3470" t="s">
        <v>3715</v>
      </c>
      <c r="AP317" s="3441" t="s">
        <v>3476</v>
      </c>
      <c r="AQ317" s="3441" t="s">
        <v>3571</v>
      </c>
      <c r="AR317" s="3441"/>
      <c r="AS317" s="3441"/>
      <c r="AT317" s="3441"/>
      <c r="AU317" s="3441"/>
      <c r="AV317" s="3441"/>
      <c r="AW317" s="3441" t="s">
        <v>3572</v>
      </c>
      <c r="AX317" s="3441" t="s">
        <v>3568</v>
      </c>
      <c r="AY317" s="3524" t="s">
        <v>6031</v>
      </c>
      <c r="AZ317" s="3441" t="s">
        <v>4406</v>
      </c>
      <c r="BA317" s="3441" t="s">
        <v>4409</v>
      </c>
      <c r="BB317" s="3524" t="s">
        <v>4410</v>
      </c>
      <c r="BC317" s="3441" t="s">
        <v>4411</v>
      </c>
      <c r="BD317" s="3525" t="s">
        <v>3568</v>
      </c>
      <c r="BE317" s="3441">
        <v>68152860</v>
      </c>
      <c r="BF317" s="3526">
        <v>2.8</v>
      </c>
      <c r="BG317" s="3518">
        <v>37649</v>
      </c>
      <c r="BH317" s="3441" t="s">
        <v>4412</v>
      </c>
      <c r="BI317" s="3470" t="s">
        <v>3476</v>
      </c>
      <c r="BJ317" s="3514">
        <v>37722</v>
      </c>
      <c r="BK317" s="3484"/>
      <c r="BL317" s="3470" t="s">
        <v>3670</v>
      </c>
      <c r="BM317" s="3441"/>
      <c r="BN317" s="3441"/>
      <c r="BO317" s="3441"/>
      <c r="BP317" s="3441"/>
      <c r="BQ317" s="3441"/>
      <c r="BR317" s="3441"/>
      <c r="BS317" s="3470"/>
      <c r="BT317" s="3470"/>
      <c r="BU317" s="3470"/>
      <c r="BV317" s="3441"/>
      <c r="BW317" s="3441"/>
      <c r="BX317" s="3441"/>
      <c r="BY317" s="3441"/>
      <c r="BZ317" s="3441"/>
      <c r="CA317" s="3441"/>
      <c r="CB317" s="3441"/>
      <c r="CC317" s="3441"/>
      <c r="CD317" s="3441"/>
      <c r="CE317" s="3441"/>
      <c r="CF317" s="3441"/>
      <c r="CG317" s="3441"/>
      <c r="CH317" s="3441"/>
      <c r="CI317" s="3441"/>
      <c r="CJ317" s="3441"/>
      <c r="CK317" s="3441"/>
      <c r="CL317" s="3441"/>
      <c r="CM317" s="3441"/>
      <c r="CN317" s="3441"/>
      <c r="CO317" s="3441"/>
      <c r="CP317" s="3441"/>
      <c r="CQ317" s="3441"/>
      <c r="CR317" s="3441"/>
      <c r="CS317" s="3441"/>
      <c r="CT317" s="3441"/>
      <c r="CU317" s="3441"/>
      <c r="CV317" s="3441"/>
      <c r="CW317" s="3441"/>
      <c r="CX317" s="3441"/>
      <c r="CY317" s="3441"/>
      <c r="CZ317" s="3441"/>
      <c r="DA317" s="3441"/>
      <c r="DB317" s="3441"/>
      <c r="DC317" s="3441"/>
      <c r="DD317" s="3441"/>
      <c r="DE317" s="3441"/>
      <c r="DF317" s="3441"/>
      <c r="DG317" s="3441"/>
      <c r="DH317" s="3441"/>
      <c r="DI317" s="3441"/>
      <c r="DJ317" s="3441"/>
      <c r="DK317" s="3441"/>
      <c r="DL317" s="3441"/>
      <c r="DM317" s="3441"/>
      <c r="DN317" s="3441"/>
      <c r="DO317" s="3441"/>
      <c r="DP317" s="3441"/>
      <c r="DQ317" s="3441"/>
      <c r="DR317" s="3441"/>
      <c r="DS317" s="3441"/>
      <c r="DT317" s="3441"/>
      <c r="DU317" s="3441"/>
      <c r="DV317" s="3441"/>
      <c r="DW317" s="3441"/>
      <c r="DX317" s="3441"/>
      <c r="DY317" s="3441"/>
      <c r="DZ317" s="3441"/>
      <c r="EA317" s="3441"/>
      <c r="EB317" s="3441"/>
      <c r="EC317" s="3441"/>
      <c r="ED317" s="3441"/>
      <c r="EE317" s="3441"/>
      <c r="EF317" s="3441"/>
      <c r="EG317" s="3441"/>
      <c r="EH317" s="3441"/>
      <c r="EI317" s="3441"/>
      <c r="EJ317" s="3441"/>
      <c r="EK317" s="3441"/>
      <c r="EL317" s="3441"/>
      <c r="EM317" s="3441"/>
      <c r="EN317" s="3441"/>
      <c r="EO317" s="3441"/>
      <c r="EP317" s="3441"/>
      <c r="EQ317" s="3441"/>
      <c r="ER317" s="3441"/>
      <c r="ES317" s="3441"/>
      <c r="ET317" s="3441"/>
      <c r="EU317" s="3441"/>
      <c r="EV317" s="3441"/>
      <c r="EW317" s="3441"/>
      <c r="EX317" s="3441"/>
      <c r="EY317" s="3441"/>
      <c r="EZ317" s="3441"/>
      <c r="FA317" s="3441"/>
      <c r="FB317" s="3441"/>
      <c r="FC317" s="3441"/>
      <c r="FD317" s="3441"/>
      <c r="FE317" s="3441"/>
      <c r="FF317" s="3441"/>
      <c r="FG317" s="3441"/>
      <c r="FH317" s="3441"/>
      <c r="FI317" s="3441"/>
      <c r="FJ317" s="3441"/>
      <c r="FK317" s="3441"/>
      <c r="FL317" s="3441"/>
      <c r="FM317" s="3441"/>
      <c r="FN317" s="3441"/>
      <c r="FO317" s="3441"/>
      <c r="FP317" s="3441"/>
      <c r="FQ317" s="3441"/>
      <c r="FR317" s="3441"/>
      <c r="FS317" s="3441"/>
      <c r="FT317" s="3441"/>
      <c r="FU317" s="3441"/>
      <c r="FV317" s="3441"/>
      <c r="FW317" s="3441"/>
      <c r="FX317" s="3441"/>
      <c r="FY317" s="3441"/>
      <c r="FZ317" s="3441"/>
      <c r="GA317" s="3441"/>
      <c r="GB317" s="3441"/>
      <c r="GC317" s="3441"/>
      <c r="GD317" s="3441"/>
      <c r="GE317" s="3441"/>
      <c r="GF317" s="3441"/>
      <c r="GG317" s="3441"/>
      <c r="GH317" s="3441"/>
      <c r="GI317" s="3441"/>
      <c r="GJ317" s="3441"/>
      <c r="GK317" s="3441"/>
      <c r="GL317" s="3441"/>
      <c r="GM317" s="3441"/>
      <c r="GN317" s="3441"/>
      <c r="GO317" s="3441"/>
      <c r="GP317" s="3441"/>
      <c r="GQ317" s="3441"/>
      <c r="GR317" s="3441"/>
      <c r="GS317" s="3441"/>
      <c r="GT317" s="3441"/>
      <c r="GU317" s="3441"/>
      <c r="GV317" s="3441"/>
      <c r="GW317" s="3441"/>
      <c r="GX317" s="3441"/>
      <c r="GY317" s="3441"/>
      <c r="GZ317" s="3441"/>
      <c r="HA317" s="3441"/>
      <c r="HB317" s="3441"/>
      <c r="HC317" s="3441"/>
      <c r="HD317" s="3441"/>
      <c r="HE317" s="3441"/>
      <c r="HF317" s="3441"/>
      <c r="HG317" s="3441"/>
      <c r="HH317" s="3441"/>
      <c r="HI317" s="3441"/>
      <c r="HJ317" s="3441"/>
      <c r="HK317" s="3441"/>
      <c r="HL317" s="3441"/>
      <c r="HM317" s="3441"/>
      <c r="HN317" s="3441"/>
      <c r="HO317" s="3441"/>
      <c r="HP317" s="3441"/>
      <c r="HQ317" s="3441"/>
      <c r="HR317" s="3441"/>
      <c r="HS317" s="3441"/>
      <c r="HT317" s="3441"/>
      <c r="HU317" s="3441"/>
      <c r="HV317" s="3441"/>
      <c r="HW317" s="3441"/>
      <c r="HX317" s="3441"/>
      <c r="HY317" s="3441"/>
      <c r="HZ317" s="3441"/>
      <c r="IA317" s="3441"/>
      <c r="IB317" s="3441"/>
      <c r="IC317" s="3441"/>
      <c r="ID317" s="3441"/>
      <c r="IE317" s="3441"/>
      <c r="IF317" s="3441"/>
      <c r="IG317" s="3441"/>
      <c r="IH317" s="3441"/>
      <c r="II317" s="3441"/>
      <c r="IJ317" s="3441"/>
      <c r="IK317" s="3441"/>
      <c r="IL317" s="3441"/>
      <c r="IM317" s="3441"/>
      <c r="IN317" s="3441"/>
      <c r="IO317" s="3441"/>
      <c r="IP317" s="3441"/>
      <c r="IQ317" s="3441"/>
      <c r="IR317" s="3441"/>
      <c r="IS317" s="3441"/>
    </row>
    <row r="318" spans="1:253" s="3565" customFormat="1" hidden="1">
      <c r="A318" s="3470" t="s">
        <v>6032</v>
      </c>
      <c r="B318" s="3470" t="s">
        <v>6033</v>
      </c>
      <c r="C318" s="3481" t="s">
        <v>6034</v>
      </c>
      <c r="D318" s="3470">
        <v>13621158718</v>
      </c>
      <c r="E318" s="3470" t="s">
        <v>3558</v>
      </c>
      <c r="F318" s="3470" t="s">
        <v>5679</v>
      </c>
      <c r="G318" s="3470"/>
      <c r="H318" s="3453" t="s">
        <v>4519</v>
      </c>
      <c r="I318" s="3453" t="s">
        <v>3464</v>
      </c>
      <c r="J318" s="3453" t="s">
        <v>6035</v>
      </c>
      <c r="K318" s="3470" t="s">
        <v>5680</v>
      </c>
      <c r="L318" s="3495">
        <v>95.36</v>
      </c>
      <c r="M318" s="3495">
        <v>1</v>
      </c>
      <c r="N318" s="3470" t="s">
        <v>3451</v>
      </c>
      <c r="O318" s="3495">
        <v>86.9</v>
      </c>
      <c r="P318" s="3470" t="s">
        <v>3452</v>
      </c>
      <c r="Q318" s="3457">
        <v>476800</v>
      </c>
      <c r="R318" s="3495">
        <v>5000</v>
      </c>
      <c r="S318" s="3472">
        <v>47.2</v>
      </c>
      <c r="T318" s="3527">
        <v>472000</v>
      </c>
      <c r="U318" s="3495">
        <v>4950</v>
      </c>
      <c r="V318" s="3512">
        <v>0.1</v>
      </c>
      <c r="W318" s="3475">
        <v>42.48</v>
      </c>
      <c r="X318" s="3473">
        <v>424800</v>
      </c>
      <c r="Y318" s="3495">
        <v>2003</v>
      </c>
      <c r="Z318" s="3515">
        <v>4</v>
      </c>
      <c r="AA318" s="3441">
        <v>15</v>
      </c>
      <c r="AB318" s="3477">
        <v>2360</v>
      </c>
      <c r="AC318" s="3470" t="s">
        <v>3693</v>
      </c>
      <c r="AD318" s="3470"/>
      <c r="AE318" s="3456" t="s">
        <v>3663</v>
      </c>
      <c r="AF318" s="3453" t="s">
        <v>4200</v>
      </c>
      <c r="AG318" s="3470" t="s">
        <v>3466</v>
      </c>
      <c r="AH318" s="3470"/>
      <c r="AI318" s="3470" t="s">
        <v>4955</v>
      </c>
      <c r="AJ318" s="3478">
        <v>37741</v>
      </c>
      <c r="AK318" s="3500">
        <v>4</v>
      </c>
      <c r="AL318" s="3495" t="s">
        <v>3957</v>
      </c>
      <c r="AM318" s="3470"/>
      <c r="AN318" s="3456" t="s">
        <v>3482</v>
      </c>
      <c r="AO318" s="3470"/>
      <c r="AP318" s="3456" t="s">
        <v>3476</v>
      </c>
      <c r="AQ318" s="3456" t="s">
        <v>3571</v>
      </c>
      <c r="AR318" s="3470"/>
      <c r="AS318" s="3470"/>
      <c r="AT318" s="3470"/>
      <c r="AU318" s="3470"/>
      <c r="AV318" s="3519"/>
      <c r="AW318" s="3470" t="s">
        <v>3572</v>
      </c>
      <c r="AX318" s="3470" t="s">
        <v>2511</v>
      </c>
      <c r="AY318" s="3524" t="s">
        <v>6036</v>
      </c>
      <c r="AZ318" s="3470" t="s">
        <v>5680</v>
      </c>
      <c r="BA318" s="3470" t="s">
        <v>5682</v>
      </c>
      <c r="BB318" s="3470">
        <v>1101081434031</v>
      </c>
      <c r="BC318" s="3470" t="s">
        <v>5683</v>
      </c>
      <c r="BD318" s="3470">
        <v>100094</v>
      </c>
      <c r="BE318" s="3470">
        <v>62962485</v>
      </c>
      <c r="BF318" s="3520">
        <v>2.7</v>
      </c>
      <c r="BG318" s="3478">
        <v>37706</v>
      </c>
      <c r="BH318" s="3470"/>
      <c r="BI318" s="3470" t="s">
        <v>3476</v>
      </c>
      <c r="BJ318" s="3478">
        <v>37725</v>
      </c>
      <c r="BK318" s="3470"/>
      <c r="BL318" s="3441" t="s">
        <v>3670</v>
      </c>
      <c r="BM318" s="3441"/>
      <c r="BN318" s="3441"/>
      <c r="BO318" s="3441"/>
      <c r="BP318" s="3441"/>
      <c r="BQ318" s="3441"/>
      <c r="BR318" s="3441"/>
      <c r="BS318" s="3470"/>
      <c r="BT318" s="3470"/>
      <c r="BU318" s="3470"/>
      <c r="BV318" s="3470"/>
      <c r="BW318" s="3470"/>
      <c r="BX318" s="3470"/>
      <c r="BY318" s="3470"/>
      <c r="BZ318" s="3470"/>
      <c r="CA318" s="3470"/>
      <c r="CB318" s="3470"/>
      <c r="CC318" s="3470"/>
      <c r="CD318" s="3470"/>
      <c r="CE318" s="3470"/>
      <c r="CF318" s="3470"/>
      <c r="CG318" s="3470"/>
      <c r="CH318" s="3470"/>
      <c r="CI318" s="3470"/>
      <c r="CJ318" s="3470"/>
      <c r="CK318" s="3470"/>
      <c r="CL318" s="3470"/>
      <c r="CM318" s="3470"/>
      <c r="CN318" s="3470"/>
      <c r="CO318" s="3470"/>
      <c r="CP318" s="3470"/>
      <c r="CQ318" s="3470"/>
      <c r="CR318" s="3470"/>
      <c r="CS318" s="3470"/>
      <c r="CT318" s="3470"/>
      <c r="CU318" s="3470"/>
      <c r="CV318" s="3470"/>
      <c r="CW318" s="3470"/>
      <c r="CX318" s="3470"/>
      <c r="CY318" s="3470"/>
      <c r="CZ318" s="3470"/>
      <c r="DA318" s="3470"/>
      <c r="DB318" s="3470"/>
      <c r="DC318" s="3470"/>
      <c r="DD318" s="3470"/>
      <c r="DE318" s="3470"/>
      <c r="DF318" s="3470"/>
      <c r="DG318" s="3470"/>
      <c r="DH318" s="3470"/>
      <c r="DI318" s="3470"/>
      <c r="DJ318" s="3470"/>
      <c r="DK318" s="3470"/>
      <c r="DL318" s="3470"/>
      <c r="DM318" s="3470"/>
      <c r="DN318" s="3470"/>
      <c r="DO318" s="3470"/>
      <c r="DP318" s="3470"/>
      <c r="DQ318" s="3470"/>
      <c r="DR318" s="3470"/>
      <c r="DS318" s="3470"/>
      <c r="DT318" s="3470"/>
      <c r="DU318" s="3470"/>
      <c r="DV318" s="3470"/>
      <c r="DW318" s="3470"/>
      <c r="DX318" s="3470"/>
      <c r="DY318" s="3470"/>
      <c r="DZ318" s="3470"/>
      <c r="EA318" s="3470"/>
      <c r="EB318" s="3470"/>
      <c r="EC318" s="3470"/>
      <c r="ED318" s="3470"/>
      <c r="EE318" s="3470"/>
      <c r="EF318" s="3470"/>
      <c r="EG318" s="3470"/>
      <c r="EH318" s="3470"/>
      <c r="EI318" s="3470"/>
      <c r="EJ318" s="3470"/>
      <c r="EK318" s="3470"/>
      <c r="EL318" s="3470"/>
      <c r="EM318" s="3470"/>
      <c r="EN318" s="3470"/>
      <c r="EO318" s="3470"/>
      <c r="EP318" s="3470"/>
      <c r="EQ318" s="3470"/>
      <c r="ER318" s="3470"/>
      <c r="ES318" s="3470"/>
      <c r="ET318" s="3470"/>
      <c r="EU318" s="3470"/>
      <c r="EV318" s="3470"/>
      <c r="EW318" s="3470"/>
      <c r="EX318" s="3470"/>
      <c r="EY318" s="3470"/>
      <c r="EZ318" s="3470"/>
      <c r="FA318" s="3470"/>
      <c r="FB318" s="3470"/>
      <c r="FC318" s="3470"/>
      <c r="FD318" s="3470"/>
      <c r="FE318" s="3470"/>
      <c r="FF318" s="3470"/>
      <c r="FG318" s="3470"/>
      <c r="FH318" s="3470"/>
      <c r="FI318" s="3470"/>
      <c r="FJ318" s="3470"/>
      <c r="FK318" s="3470"/>
      <c r="FL318" s="3470"/>
      <c r="FM318" s="3470"/>
      <c r="FN318" s="3470"/>
      <c r="FO318" s="3470"/>
      <c r="FP318" s="3470"/>
      <c r="FQ318" s="3470"/>
      <c r="FR318" s="3470"/>
      <c r="FS318" s="3470"/>
      <c r="FT318" s="3470"/>
      <c r="FU318" s="3470"/>
      <c r="FV318" s="3470"/>
      <c r="FW318" s="3470"/>
      <c r="FX318" s="3470"/>
      <c r="FY318" s="3470"/>
      <c r="FZ318" s="3470"/>
      <c r="GA318" s="3470"/>
      <c r="GB318" s="3470"/>
      <c r="GC318" s="3470"/>
      <c r="GD318" s="3470"/>
      <c r="GE318" s="3470"/>
      <c r="GF318" s="3470"/>
      <c r="GG318" s="3470"/>
      <c r="GH318" s="3470"/>
      <c r="GI318" s="3470"/>
      <c r="GJ318" s="3470"/>
      <c r="GK318" s="3470"/>
      <c r="GL318" s="3470"/>
      <c r="GM318" s="3470"/>
      <c r="GN318" s="3470"/>
      <c r="GO318" s="3470"/>
      <c r="GP318" s="3470"/>
      <c r="GQ318" s="3470"/>
      <c r="GR318" s="3470"/>
      <c r="GS318" s="3470"/>
      <c r="GT318" s="3470"/>
      <c r="GU318" s="3470"/>
      <c r="GV318" s="3470"/>
      <c r="GW318" s="3470"/>
      <c r="GX318" s="3470"/>
      <c r="GY318" s="3470"/>
      <c r="GZ318" s="3470"/>
      <c r="HA318" s="3470"/>
      <c r="HB318" s="3470"/>
      <c r="HC318" s="3470"/>
      <c r="HD318" s="3470"/>
      <c r="HE318" s="3470"/>
      <c r="HF318" s="3470"/>
      <c r="HG318" s="3470"/>
      <c r="HH318" s="3470"/>
      <c r="HI318" s="3470"/>
      <c r="HJ318" s="3470"/>
      <c r="HK318" s="3470"/>
      <c r="HL318" s="3470"/>
      <c r="HM318" s="3470"/>
      <c r="HN318" s="3470"/>
      <c r="HO318" s="3470"/>
      <c r="HP318" s="3470"/>
      <c r="HQ318" s="3470"/>
      <c r="HR318" s="3470"/>
      <c r="HS318" s="3470"/>
      <c r="HT318" s="3470"/>
      <c r="HU318" s="3470"/>
      <c r="HV318" s="3470"/>
      <c r="HW318" s="3470"/>
      <c r="HX318" s="3470"/>
      <c r="HY318" s="3470"/>
      <c r="HZ318" s="3470"/>
      <c r="IA318" s="3470"/>
      <c r="IB318" s="3470"/>
      <c r="IC318" s="3470"/>
      <c r="ID318" s="3470"/>
      <c r="IE318" s="3470"/>
      <c r="IF318" s="3470"/>
      <c r="IG318" s="3470"/>
      <c r="IH318" s="3470"/>
      <c r="II318" s="3470"/>
      <c r="IJ318" s="3470"/>
      <c r="IK318" s="3470"/>
      <c r="IL318" s="3470"/>
      <c r="IM318" s="3470"/>
      <c r="IN318" s="3470"/>
      <c r="IO318" s="3470"/>
      <c r="IP318" s="3470"/>
      <c r="IQ318" s="3470"/>
      <c r="IR318" s="3470"/>
      <c r="IS318" s="3470"/>
    </row>
    <row r="319" spans="1:253" s="3565" customFormat="1" hidden="1">
      <c r="A319" s="3470" t="s">
        <v>6037</v>
      </c>
      <c r="B319" s="3470" t="s">
        <v>6038</v>
      </c>
      <c r="C319" s="3481" t="s">
        <v>6039</v>
      </c>
      <c r="D319" s="3481" t="s">
        <v>6040</v>
      </c>
      <c r="E319" s="3470" t="s">
        <v>3558</v>
      </c>
      <c r="F319" s="3528" t="s">
        <v>3613</v>
      </c>
      <c r="G319" s="3470"/>
      <c r="H319" s="3470" t="s">
        <v>6041</v>
      </c>
      <c r="I319" s="3470" t="s">
        <v>4854</v>
      </c>
      <c r="J319" s="3481" t="s">
        <v>4218</v>
      </c>
      <c r="K319" s="3470" t="s">
        <v>3968</v>
      </c>
      <c r="L319" s="3470">
        <v>178.33</v>
      </c>
      <c r="M319" s="3470">
        <v>1</v>
      </c>
      <c r="N319" s="3470" t="s">
        <v>3767</v>
      </c>
      <c r="O319" s="3470">
        <v>162.36000000000001</v>
      </c>
      <c r="P319" s="3470" t="s">
        <v>3452</v>
      </c>
      <c r="Q319" s="3457">
        <v>825667.9</v>
      </c>
      <c r="R319" s="3495">
        <v>4630</v>
      </c>
      <c r="S319" s="3472">
        <v>81.67</v>
      </c>
      <c r="T319" s="3527">
        <v>816700</v>
      </c>
      <c r="U319" s="3495">
        <v>4580</v>
      </c>
      <c r="V319" s="3512">
        <v>0.1</v>
      </c>
      <c r="W319" s="3475">
        <v>73.5</v>
      </c>
      <c r="X319" s="3494">
        <v>735000</v>
      </c>
      <c r="Y319" s="3441">
        <v>2003</v>
      </c>
      <c r="Z319" s="3441">
        <v>4</v>
      </c>
      <c r="AA319" s="3470">
        <v>15</v>
      </c>
      <c r="AB319" s="3485">
        <v>4080</v>
      </c>
      <c r="AC319" s="3470" t="s">
        <v>4922</v>
      </c>
      <c r="AD319" s="3485"/>
      <c r="AE319" s="3441" t="s">
        <v>3663</v>
      </c>
      <c r="AF319" s="3453" t="s">
        <v>3604</v>
      </c>
      <c r="AG319" s="3522" t="s">
        <v>3466</v>
      </c>
      <c r="AH319" s="3485"/>
      <c r="AI319" s="3470" t="s">
        <v>3664</v>
      </c>
      <c r="AJ319" s="3523">
        <v>37894</v>
      </c>
      <c r="AK319" s="3548">
        <v>4</v>
      </c>
      <c r="AL319" s="3441">
        <v>67641700</v>
      </c>
      <c r="AM319" s="3441"/>
      <c r="AN319" s="3456" t="s">
        <v>3482</v>
      </c>
      <c r="AO319" s="3441" t="s">
        <v>3568</v>
      </c>
      <c r="AP319" s="3441" t="s">
        <v>3476</v>
      </c>
      <c r="AQ319" s="3441" t="s">
        <v>3571</v>
      </c>
      <c r="AR319" s="3441"/>
      <c r="AS319" s="3441"/>
      <c r="AT319" s="3441"/>
      <c r="AU319" s="3441"/>
      <c r="AV319" s="3441"/>
      <c r="AW319" s="3441" t="s">
        <v>3572</v>
      </c>
      <c r="AX319" s="3441" t="s">
        <v>2511</v>
      </c>
      <c r="AY319" s="3524" t="s">
        <v>6042</v>
      </c>
      <c r="AZ319" s="3441" t="s">
        <v>3968</v>
      </c>
      <c r="BA319" s="3441" t="s">
        <v>3971</v>
      </c>
      <c r="BB319" s="3524" t="s">
        <v>3972</v>
      </c>
      <c r="BC319" s="3441" t="s">
        <v>3973</v>
      </c>
      <c r="BD319" s="3525">
        <v>100096</v>
      </c>
      <c r="BE319" s="3441">
        <v>82919961</v>
      </c>
      <c r="BF319" s="3526">
        <v>2.9</v>
      </c>
      <c r="BG319" s="3518">
        <v>37686</v>
      </c>
      <c r="BH319" s="3441"/>
      <c r="BI319" s="3441" t="s">
        <v>3922</v>
      </c>
      <c r="BJ319" s="3478">
        <v>37725</v>
      </c>
      <c r="BK319" s="3484"/>
      <c r="BL319" s="3470" t="s">
        <v>3670</v>
      </c>
      <c r="BM319" s="3441"/>
      <c r="BN319" s="3441"/>
      <c r="BO319" s="3441"/>
      <c r="BP319" s="3441"/>
      <c r="BQ319" s="3441"/>
      <c r="BR319" s="3441"/>
      <c r="BS319" s="3470"/>
      <c r="BT319" s="3470"/>
      <c r="BU319" s="3470"/>
      <c r="BV319" s="3441"/>
      <c r="BW319" s="3441"/>
      <c r="BX319" s="3441"/>
      <c r="BY319" s="3441"/>
      <c r="BZ319" s="3441"/>
      <c r="CA319" s="3441"/>
      <c r="CB319" s="3441"/>
      <c r="CC319" s="3441"/>
      <c r="CD319" s="3441"/>
      <c r="CE319" s="3441"/>
      <c r="CF319" s="3441"/>
      <c r="CG319" s="3441"/>
      <c r="CH319" s="3441"/>
      <c r="CI319" s="3441"/>
      <c r="CJ319" s="3441"/>
      <c r="CK319" s="3441"/>
      <c r="CL319" s="3441"/>
      <c r="CM319" s="3441"/>
      <c r="CN319" s="3441"/>
      <c r="CO319" s="3441"/>
      <c r="CP319" s="3441"/>
      <c r="CQ319" s="3441"/>
      <c r="CR319" s="3441"/>
      <c r="CS319" s="3441"/>
      <c r="CT319" s="3441"/>
      <c r="CU319" s="3441"/>
      <c r="CV319" s="3441"/>
      <c r="CW319" s="3441"/>
      <c r="CX319" s="3441"/>
      <c r="CY319" s="3441"/>
      <c r="CZ319" s="3441"/>
      <c r="DA319" s="3441"/>
      <c r="DB319" s="3441"/>
      <c r="DC319" s="3441"/>
      <c r="DD319" s="3441"/>
      <c r="DE319" s="3441"/>
      <c r="DF319" s="3441"/>
      <c r="DG319" s="3441"/>
      <c r="DH319" s="3441"/>
      <c r="DI319" s="3441"/>
      <c r="DJ319" s="3441"/>
      <c r="DK319" s="3441"/>
      <c r="DL319" s="3441"/>
      <c r="DM319" s="3441"/>
      <c r="DN319" s="3441"/>
      <c r="DO319" s="3441"/>
      <c r="DP319" s="3441"/>
      <c r="DQ319" s="3441"/>
      <c r="DR319" s="3441"/>
      <c r="DS319" s="3441"/>
      <c r="DT319" s="3441"/>
      <c r="DU319" s="3441"/>
      <c r="DV319" s="3441"/>
      <c r="DW319" s="3441"/>
      <c r="DX319" s="3441"/>
      <c r="DY319" s="3441"/>
      <c r="DZ319" s="3441"/>
      <c r="EA319" s="3441"/>
      <c r="EB319" s="3441"/>
      <c r="EC319" s="3441"/>
      <c r="ED319" s="3441"/>
      <c r="EE319" s="3441"/>
      <c r="EF319" s="3441"/>
      <c r="EG319" s="3441"/>
      <c r="EH319" s="3441"/>
      <c r="EI319" s="3441"/>
      <c r="EJ319" s="3441"/>
      <c r="EK319" s="3441"/>
      <c r="EL319" s="3441"/>
      <c r="EM319" s="3441"/>
      <c r="EN319" s="3441"/>
      <c r="EO319" s="3441"/>
      <c r="EP319" s="3441"/>
      <c r="EQ319" s="3441"/>
      <c r="ER319" s="3441"/>
      <c r="ES319" s="3441"/>
      <c r="ET319" s="3441"/>
      <c r="EU319" s="3441"/>
      <c r="EV319" s="3441"/>
      <c r="EW319" s="3441"/>
      <c r="EX319" s="3441"/>
      <c r="EY319" s="3441"/>
      <c r="EZ319" s="3441"/>
      <c r="FA319" s="3441"/>
      <c r="FB319" s="3441"/>
      <c r="FC319" s="3441"/>
      <c r="FD319" s="3441"/>
      <c r="FE319" s="3441"/>
      <c r="FF319" s="3441"/>
      <c r="FG319" s="3441"/>
      <c r="FH319" s="3441"/>
      <c r="FI319" s="3441"/>
      <c r="FJ319" s="3441"/>
      <c r="FK319" s="3441"/>
      <c r="FL319" s="3441"/>
      <c r="FM319" s="3441"/>
      <c r="FN319" s="3441"/>
      <c r="FO319" s="3441"/>
      <c r="FP319" s="3441"/>
      <c r="FQ319" s="3441"/>
      <c r="FR319" s="3441"/>
      <c r="FS319" s="3441"/>
      <c r="FT319" s="3441"/>
      <c r="FU319" s="3441"/>
      <c r="FV319" s="3441"/>
      <c r="FW319" s="3441"/>
      <c r="FX319" s="3441"/>
      <c r="FY319" s="3441"/>
      <c r="FZ319" s="3441"/>
      <c r="GA319" s="3441"/>
      <c r="GB319" s="3441"/>
      <c r="GC319" s="3441"/>
      <c r="GD319" s="3441"/>
      <c r="GE319" s="3441"/>
      <c r="GF319" s="3441"/>
      <c r="GG319" s="3441"/>
      <c r="GH319" s="3441"/>
      <c r="GI319" s="3441"/>
      <c r="GJ319" s="3441"/>
      <c r="GK319" s="3441"/>
      <c r="GL319" s="3441"/>
      <c r="GM319" s="3441"/>
      <c r="GN319" s="3441"/>
      <c r="GO319" s="3441"/>
      <c r="GP319" s="3441"/>
      <c r="GQ319" s="3441"/>
      <c r="GR319" s="3441"/>
      <c r="GS319" s="3441"/>
      <c r="GT319" s="3441"/>
      <c r="GU319" s="3441"/>
      <c r="GV319" s="3441"/>
      <c r="GW319" s="3441"/>
      <c r="GX319" s="3441"/>
      <c r="GY319" s="3441"/>
      <c r="GZ319" s="3441"/>
      <c r="HA319" s="3441"/>
      <c r="HB319" s="3441"/>
      <c r="HC319" s="3441"/>
      <c r="HD319" s="3441"/>
      <c r="HE319" s="3441"/>
      <c r="HF319" s="3441"/>
      <c r="HG319" s="3441"/>
      <c r="HH319" s="3441"/>
      <c r="HI319" s="3441"/>
      <c r="HJ319" s="3441"/>
      <c r="HK319" s="3441"/>
      <c r="HL319" s="3441"/>
      <c r="HM319" s="3441"/>
      <c r="HN319" s="3441"/>
      <c r="HO319" s="3441"/>
      <c r="HP319" s="3441"/>
      <c r="HQ319" s="3441"/>
      <c r="HR319" s="3441"/>
      <c r="HS319" s="3441"/>
      <c r="HT319" s="3441"/>
      <c r="HU319" s="3441"/>
      <c r="HV319" s="3441"/>
      <c r="HW319" s="3441"/>
      <c r="HX319" s="3441"/>
      <c r="HY319" s="3441"/>
      <c r="HZ319" s="3441"/>
      <c r="IA319" s="3441"/>
      <c r="IB319" s="3441"/>
      <c r="IC319" s="3441"/>
      <c r="ID319" s="3441"/>
      <c r="IE319" s="3441"/>
      <c r="IF319" s="3441"/>
      <c r="IG319" s="3441"/>
      <c r="IH319" s="3441"/>
      <c r="II319" s="3441"/>
      <c r="IJ319" s="3441"/>
      <c r="IK319" s="3441"/>
      <c r="IL319" s="3441"/>
      <c r="IM319" s="3441"/>
      <c r="IN319" s="3441"/>
      <c r="IO319" s="3441"/>
      <c r="IP319" s="3441"/>
      <c r="IQ319" s="3441"/>
      <c r="IR319" s="3441"/>
      <c r="IS319" s="3441"/>
    </row>
    <row r="320" spans="1:253" s="3441" customFormat="1" ht="12" hidden="1">
      <c r="A320" s="3485" t="s">
        <v>6043</v>
      </c>
      <c r="B320" s="3470" t="s">
        <v>6044</v>
      </c>
      <c r="C320" s="3481" t="s">
        <v>6045</v>
      </c>
      <c r="D320" s="3481" t="s">
        <v>6046</v>
      </c>
      <c r="E320" s="3470" t="s">
        <v>3538</v>
      </c>
      <c r="F320" s="3528" t="s">
        <v>3628</v>
      </c>
      <c r="G320" s="3470"/>
      <c r="H320" s="3470" t="s">
        <v>6047</v>
      </c>
      <c r="I320" s="3470" t="s">
        <v>3676</v>
      </c>
      <c r="J320" s="3481" t="s">
        <v>6048</v>
      </c>
      <c r="K320" s="3470" t="s">
        <v>3647</v>
      </c>
      <c r="L320" s="3470">
        <v>159.37</v>
      </c>
      <c r="M320" s="3470">
        <v>10</v>
      </c>
      <c r="N320" s="3470" t="s">
        <v>3632</v>
      </c>
      <c r="O320" s="3470">
        <v>126.37</v>
      </c>
      <c r="P320" s="3470" t="s">
        <v>3633</v>
      </c>
      <c r="Q320" s="3457">
        <v>1031123.9</v>
      </c>
      <c r="R320" s="3470">
        <v>6470</v>
      </c>
      <c r="S320" s="3472">
        <v>102.15</v>
      </c>
      <c r="T320" s="3527">
        <v>1021500</v>
      </c>
      <c r="U320" s="3470">
        <v>6410</v>
      </c>
      <c r="V320" s="3474">
        <v>0.1</v>
      </c>
      <c r="W320" s="3475">
        <v>91.93</v>
      </c>
      <c r="X320" s="3473">
        <v>919300.00000000012</v>
      </c>
      <c r="Y320" s="3441">
        <v>2003</v>
      </c>
      <c r="Z320" s="3515">
        <v>5</v>
      </c>
      <c r="AA320" s="3515">
        <v>16</v>
      </c>
      <c r="AB320" s="3485">
        <v>5050</v>
      </c>
      <c r="AC320" s="3470" t="s">
        <v>3710</v>
      </c>
      <c r="AD320" s="3485"/>
      <c r="AE320" s="3441" t="s">
        <v>3547</v>
      </c>
      <c r="AF320" s="3470" t="s">
        <v>4152</v>
      </c>
      <c r="AG320" s="3522" t="s">
        <v>3454</v>
      </c>
      <c r="AH320" s="3485"/>
      <c r="AI320" s="3470" t="s">
        <v>3664</v>
      </c>
      <c r="AJ320" s="3523">
        <v>38027</v>
      </c>
      <c r="AK320" s="3548">
        <v>5</v>
      </c>
      <c r="AL320" s="3515">
        <v>67641700</v>
      </c>
      <c r="AN320" s="3469" t="s">
        <v>3695</v>
      </c>
      <c r="AO320" s="3470"/>
      <c r="AP320" s="3456" t="s">
        <v>3476</v>
      </c>
      <c r="AQ320" s="3469" t="s">
        <v>3571</v>
      </c>
      <c r="AW320" s="3441" t="s">
        <v>3458</v>
      </c>
      <c r="AX320" s="3484" t="s">
        <v>3715</v>
      </c>
      <c r="AY320" s="3524" t="s">
        <v>6049</v>
      </c>
      <c r="AZ320" s="3470" t="s">
        <v>3647</v>
      </c>
      <c r="BA320" s="3441" t="s">
        <v>4048</v>
      </c>
      <c r="BB320" s="3524" t="s">
        <v>3997</v>
      </c>
      <c r="BC320" s="3441" t="s">
        <v>4339</v>
      </c>
      <c r="BD320" s="3525">
        <v>100088</v>
      </c>
      <c r="BE320" s="3441">
        <v>82058259</v>
      </c>
      <c r="BF320" s="3526">
        <v>2.9</v>
      </c>
      <c r="BG320" s="3518">
        <v>37704</v>
      </c>
      <c r="BI320" s="3470" t="s">
        <v>3476</v>
      </c>
      <c r="BJ320" s="3518">
        <v>37725</v>
      </c>
      <c r="BK320" s="3518">
        <v>37719</v>
      </c>
      <c r="BL320" s="3470" t="s">
        <v>3670</v>
      </c>
      <c r="BS320" s="3470"/>
      <c r="BT320" s="3470"/>
      <c r="BU320" s="3470"/>
    </row>
    <row r="321" spans="1:253" s="3441" customFormat="1" ht="12" hidden="1">
      <c r="A321" s="3485" t="s">
        <v>6050</v>
      </c>
      <c r="B321" s="3470" t="s">
        <v>6051</v>
      </c>
      <c r="C321" s="3481" t="s">
        <v>6052</v>
      </c>
      <c r="D321" s="3481" t="s">
        <v>6053</v>
      </c>
      <c r="E321" s="3470" t="s">
        <v>2736</v>
      </c>
      <c r="F321" s="3528" t="s">
        <v>3990</v>
      </c>
      <c r="G321" s="3470"/>
      <c r="H321" s="3470" t="s">
        <v>4370</v>
      </c>
      <c r="I321" s="3453" t="s">
        <v>5052</v>
      </c>
      <c r="J321" s="3481" t="s">
        <v>4075</v>
      </c>
      <c r="K321" s="3470" t="s">
        <v>3638</v>
      </c>
      <c r="L321" s="3470">
        <v>101.19</v>
      </c>
      <c r="M321" s="3470">
        <v>4</v>
      </c>
      <c r="N321" s="3470" t="s">
        <v>4871</v>
      </c>
      <c r="O321" s="3470">
        <v>81.96</v>
      </c>
      <c r="P321" s="3470" t="s">
        <v>3633</v>
      </c>
      <c r="Q321" s="3457">
        <v>611187.6</v>
      </c>
      <c r="R321" s="3470">
        <v>6040</v>
      </c>
      <c r="S321" s="3472">
        <v>60.51</v>
      </c>
      <c r="T321" s="3527">
        <v>605100</v>
      </c>
      <c r="U321" s="3470">
        <v>5980</v>
      </c>
      <c r="V321" s="3474">
        <v>0.1</v>
      </c>
      <c r="W321" s="3475">
        <v>54.45</v>
      </c>
      <c r="X321" s="3473">
        <v>544500</v>
      </c>
      <c r="Y321" s="3441">
        <v>2003</v>
      </c>
      <c r="Z321" s="3515">
        <v>5</v>
      </c>
      <c r="AA321" s="3515">
        <v>16</v>
      </c>
      <c r="AB321" s="3485">
        <v>3025</v>
      </c>
      <c r="AC321" s="3470" t="s">
        <v>3710</v>
      </c>
      <c r="AD321" s="3485"/>
      <c r="AE321" s="3441" t="s">
        <v>3547</v>
      </c>
      <c r="AF321" s="3470" t="s">
        <v>3587</v>
      </c>
      <c r="AG321" s="3522" t="s">
        <v>3546</v>
      </c>
      <c r="AH321" s="3485"/>
      <c r="AI321" s="3470" t="s">
        <v>4849</v>
      </c>
      <c r="AJ321" s="3523">
        <v>37992</v>
      </c>
      <c r="AK321" s="3548">
        <v>5</v>
      </c>
      <c r="AL321" s="3515">
        <v>67641700</v>
      </c>
      <c r="AN321" s="3469" t="s">
        <v>3695</v>
      </c>
      <c r="AO321" s="3470" t="s">
        <v>2420</v>
      </c>
      <c r="AP321" s="3456" t="s">
        <v>3476</v>
      </c>
      <c r="AQ321" s="3469" t="s">
        <v>3571</v>
      </c>
      <c r="AW321" s="3441" t="s">
        <v>3458</v>
      </c>
      <c r="AX321" s="3484" t="s">
        <v>2420</v>
      </c>
      <c r="AY321" s="3524" t="s">
        <v>6054</v>
      </c>
      <c r="AZ321" s="3470" t="s">
        <v>3631</v>
      </c>
      <c r="BA321" s="3441" t="s">
        <v>4327</v>
      </c>
      <c r="BB321" s="3524" t="s">
        <v>3640</v>
      </c>
      <c r="BC321" s="3441" t="s">
        <v>4339</v>
      </c>
      <c r="BD321" s="3525">
        <v>100088</v>
      </c>
      <c r="BE321" s="3441">
        <v>82058259</v>
      </c>
      <c r="BF321" s="3526">
        <v>2.9</v>
      </c>
      <c r="BG321" s="3518">
        <v>37642</v>
      </c>
      <c r="BI321" s="3470" t="s">
        <v>3476</v>
      </c>
      <c r="BJ321" s="3518">
        <v>37726</v>
      </c>
      <c r="BK321" s="3518">
        <v>37756</v>
      </c>
      <c r="BL321" s="3470" t="s">
        <v>3670</v>
      </c>
      <c r="BS321" s="3470"/>
      <c r="BT321" s="3470"/>
      <c r="BU321" s="3470"/>
    </row>
    <row r="322" spans="1:253" s="3565" customFormat="1" hidden="1">
      <c r="A322" s="3485" t="s">
        <v>6055</v>
      </c>
      <c r="B322" s="3470" t="s">
        <v>6056</v>
      </c>
      <c r="C322" s="3481" t="s">
        <v>6057</v>
      </c>
      <c r="D322" s="3481" t="s">
        <v>6058</v>
      </c>
      <c r="E322" s="3470" t="s">
        <v>3558</v>
      </c>
      <c r="F322" s="3528" t="s">
        <v>3559</v>
      </c>
      <c r="G322" s="3470"/>
      <c r="H322" s="3470" t="s">
        <v>3560</v>
      </c>
      <c r="I322" s="3470" t="s">
        <v>4854</v>
      </c>
      <c r="J322" s="3481" t="s">
        <v>6059</v>
      </c>
      <c r="K322" s="3470" t="s">
        <v>3563</v>
      </c>
      <c r="L322" s="3470">
        <v>71.52</v>
      </c>
      <c r="M322" s="3470">
        <v>11</v>
      </c>
      <c r="N322" s="3470" t="s">
        <v>3489</v>
      </c>
      <c r="O322" s="3470">
        <v>57.94</v>
      </c>
      <c r="P322" s="3470" t="s">
        <v>3452</v>
      </c>
      <c r="Q322" s="3457">
        <v>333283.20000000001</v>
      </c>
      <c r="R322" s="3470">
        <v>4660</v>
      </c>
      <c r="S322" s="3495">
        <v>32.97</v>
      </c>
      <c r="T322" s="3511">
        <v>329700</v>
      </c>
      <c r="U322" s="3495">
        <v>4610</v>
      </c>
      <c r="V322" s="3512">
        <v>0.1</v>
      </c>
      <c r="W322" s="3475">
        <v>29.67</v>
      </c>
      <c r="X322" s="3527">
        <v>296700</v>
      </c>
      <c r="Y322" s="3515">
        <v>2003</v>
      </c>
      <c r="Z322" s="3515">
        <v>4</v>
      </c>
      <c r="AA322" s="3470">
        <v>16</v>
      </c>
      <c r="AB322" s="3477">
        <v>1645</v>
      </c>
      <c r="AC322" s="3470" t="s">
        <v>4231</v>
      </c>
      <c r="AD322" s="3485"/>
      <c r="AE322" s="3441" t="s">
        <v>3663</v>
      </c>
      <c r="AF322" s="3470" t="s">
        <v>3728</v>
      </c>
      <c r="AG322" s="3522" t="s">
        <v>3466</v>
      </c>
      <c r="AH322" s="3485" t="s">
        <v>3568</v>
      </c>
      <c r="AI322" s="3470" t="s">
        <v>3664</v>
      </c>
      <c r="AJ322" s="3523">
        <v>37894</v>
      </c>
      <c r="AK322" s="3500">
        <v>4</v>
      </c>
      <c r="AL322" s="3441">
        <v>67641700</v>
      </c>
      <c r="AM322" s="3441" t="s">
        <v>3568</v>
      </c>
      <c r="AN322" s="3456" t="s">
        <v>3739</v>
      </c>
      <c r="AO322" s="3441" t="s">
        <v>3568</v>
      </c>
      <c r="AP322" s="3470" t="s">
        <v>3476</v>
      </c>
      <c r="AQ322" s="3441" t="s">
        <v>3571</v>
      </c>
      <c r="AR322" s="3441"/>
      <c r="AS322" s="3441"/>
      <c r="AT322" s="3441"/>
      <c r="AU322" s="3441"/>
      <c r="AV322" s="3441"/>
      <c r="AW322" s="3441" t="s">
        <v>3572</v>
      </c>
      <c r="AX322" s="3441" t="s">
        <v>2511</v>
      </c>
      <c r="AY322" s="3524" t="s">
        <v>6060</v>
      </c>
      <c r="AZ322" s="3441" t="s">
        <v>3563</v>
      </c>
      <c r="BA322" s="3441" t="s">
        <v>3574</v>
      </c>
      <c r="BB322" s="3524">
        <v>1101021053367</v>
      </c>
      <c r="BC322" s="3441" t="s">
        <v>3576</v>
      </c>
      <c r="BD322" s="3525">
        <v>100037</v>
      </c>
      <c r="BE322" s="3441">
        <v>84050046</v>
      </c>
      <c r="BF322" s="3526">
        <v>2.8</v>
      </c>
      <c r="BG322" s="3518">
        <v>37700</v>
      </c>
      <c r="BH322" s="3441"/>
      <c r="BI322" s="3463" t="s">
        <v>3475</v>
      </c>
      <c r="BJ322" s="3514">
        <v>37726</v>
      </c>
      <c r="BK322" s="3484">
        <v>37719</v>
      </c>
      <c r="BL322" s="3441" t="s">
        <v>3670</v>
      </c>
      <c r="BM322" s="3441"/>
      <c r="BN322" s="3441"/>
      <c r="BO322" s="3441"/>
      <c r="BP322" s="3441"/>
      <c r="BQ322" s="3441"/>
      <c r="BR322" s="3441"/>
      <c r="BS322" s="3470"/>
      <c r="BT322" s="3470"/>
      <c r="BU322" s="3470"/>
      <c r="BV322" s="3441"/>
      <c r="BW322" s="3441"/>
      <c r="BX322" s="3441"/>
      <c r="BY322" s="3441"/>
      <c r="BZ322" s="3441"/>
      <c r="CA322" s="3441"/>
      <c r="CB322" s="3441"/>
      <c r="CC322" s="3441"/>
      <c r="CD322" s="3441"/>
      <c r="CE322" s="3441"/>
      <c r="CF322" s="3441"/>
      <c r="CG322" s="3441"/>
      <c r="CH322" s="3441"/>
      <c r="CI322" s="3441"/>
      <c r="CJ322" s="3441"/>
      <c r="CK322" s="3441"/>
      <c r="CL322" s="3441"/>
      <c r="CM322" s="3441"/>
      <c r="CN322" s="3441"/>
      <c r="CO322" s="3441"/>
      <c r="CP322" s="3441"/>
      <c r="CQ322" s="3441"/>
      <c r="CR322" s="3441"/>
      <c r="CS322" s="3441"/>
      <c r="CT322" s="3441"/>
      <c r="CU322" s="3441"/>
      <c r="CV322" s="3441"/>
      <c r="CW322" s="3441"/>
      <c r="CX322" s="3441"/>
      <c r="CY322" s="3441"/>
      <c r="CZ322" s="3441"/>
      <c r="DA322" s="3441"/>
      <c r="DB322" s="3441"/>
      <c r="DC322" s="3441"/>
      <c r="DD322" s="3441"/>
      <c r="DE322" s="3441"/>
      <c r="DF322" s="3441"/>
      <c r="DG322" s="3441"/>
      <c r="DH322" s="3441"/>
      <c r="DI322" s="3441"/>
      <c r="DJ322" s="3441"/>
      <c r="DK322" s="3441"/>
      <c r="DL322" s="3441"/>
      <c r="DM322" s="3441"/>
      <c r="DN322" s="3441"/>
      <c r="DO322" s="3441"/>
      <c r="DP322" s="3441"/>
      <c r="DQ322" s="3441"/>
      <c r="DR322" s="3441"/>
      <c r="DS322" s="3441"/>
      <c r="DT322" s="3441"/>
      <c r="DU322" s="3441"/>
      <c r="DV322" s="3441"/>
      <c r="DW322" s="3441"/>
      <c r="DX322" s="3441"/>
      <c r="DY322" s="3441"/>
      <c r="DZ322" s="3441"/>
      <c r="EA322" s="3441"/>
      <c r="EB322" s="3441"/>
      <c r="EC322" s="3441"/>
      <c r="ED322" s="3441"/>
      <c r="EE322" s="3441"/>
      <c r="EF322" s="3441"/>
      <c r="EG322" s="3441"/>
      <c r="EH322" s="3441"/>
      <c r="EI322" s="3441"/>
      <c r="EJ322" s="3441"/>
      <c r="EK322" s="3441"/>
      <c r="EL322" s="3441"/>
      <c r="EM322" s="3441"/>
      <c r="EN322" s="3441"/>
      <c r="EO322" s="3441"/>
      <c r="EP322" s="3441"/>
      <c r="EQ322" s="3441"/>
      <c r="ER322" s="3441"/>
      <c r="ES322" s="3441"/>
      <c r="ET322" s="3441"/>
      <c r="EU322" s="3441"/>
      <c r="EV322" s="3441"/>
      <c r="EW322" s="3441"/>
      <c r="EX322" s="3441"/>
      <c r="EY322" s="3441"/>
      <c r="EZ322" s="3441"/>
      <c r="FA322" s="3441"/>
      <c r="FB322" s="3441"/>
      <c r="FC322" s="3441"/>
      <c r="FD322" s="3441"/>
      <c r="FE322" s="3441"/>
      <c r="FF322" s="3441"/>
      <c r="FG322" s="3441"/>
      <c r="FH322" s="3441"/>
      <c r="FI322" s="3441"/>
      <c r="FJ322" s="3441"/>
      <c r="FK322" s="3441"/>
      <c r="FL322" s="3441"/>
      <c r="FM322" s="3441"/>
      <c r="FN322" s="3441"/>
      <c r="FO322" s="3441"/>
      <c r="FP322" s="3441"/>
      <c r="FQ322" s="3441"/>
      <c r="FR322" s="3441"/>
      <c r="FS322" s="3441"/>
      <c r="FT322" s="3441"/>
      <c r="FU322" s="3441"/>
      <c r="FV322" s="3441"/>
      <c r="FW322" s="3441"/>
      <c r="FX322" s="3441"/>
      <c r="FY322" s="3441"/>
      <c r="FZ322" s="3441"/>
      <c r="GA322" s="3441"/>
      <c r="GB322" s="3441"/>
      <c r="GC322" s="3441"/>
      <c r="GD322" s="3441"/>
      <c r="GE322" s="3441"/>
      <c r="GF322" s="3441"/>
      <c r="GG322" s="3441"/>
      <c r="GH322" s="3441"/>
      <c r="GI322" s="3441"/>
      <c r="GJ322" s="3441"/>
      <c r="GK322" s="3441"/>
      <c r="GL322" s="3441"/>
      <c r="GM322" s="3441"/>
      <c r="GN322" s="3441"/>
      <c r="GO322" s="3441"/>
      <c r="GP322" s="3441"/>
      <c r="GQ322" s="3441"/>
      <c r="GR322" s="3441"/>
      <c r="GS322" s="3441"/>
      <c r="GT322" s="3441"/>
      <c r="GU322" s="3441"/>
      <c r="GV322" s="3441"/>
      <c r="GW322" s="3441"/>
      <c r="GX322" s="3441"/>
      <c r="GY322" s="3441"/>
      <c r="GZ322" s="3441"/>
      <c r="HA322" s="3441"/>
      <c r="HB322" s="3441"/>
      <c r="HC322" s="3441"/>
      <c r="HD322" s="3441"/>
      <c r="HE322" s="3441"/>
      <c r="HF322" s="3441"/>
      <c r="HG322" s="3441"/>
      <c r="HH322" s="3441"/>
      <c r="HI322" s="3441"/>
      <c r="HJ322" s="3441"/>
      <c r="HK322" s="3441"/>
      <c r="HL322" s="3441"/>
      <c r="HM322" s="3441"/>
      <c r="HN322" s="3441"/>
      <c r="HO322" s="3441"/>
      <c r="HP322" s="3441"/>
      <c r="HQ322" s="3441"/>
      <c r="HR322" s="3441"/>
      <c r="HS322" s="3441"/>
      <c r="HT322" s="3441"/>
      <c r="HU322" s="3441"/>
      <c r="HV322" s="3441"/>
      <c r="HW322" s="3441"/>
      <c r="HX322" s="3441"/>
      <c r="HY322" s="3441"/>
      <c r="HZ322" s="3441"/>
      <c r="IA322" s="3441"/>
      <c r="IB322" s="3441"/>
      <c r="IC322" s="3441"/>
      <c r="ID322" s="3441"/>
      <c r="IE322" s="3441"/>
      <c r="IF322" s="3441"/>
      <c r="IG322" s="3441"/>
      <c r="IH322" s="3441"/>
      <c r="II322" s="3441"/>
      <c r="IJ322" s="3441"/>
      <c r="IK322" s="3441"/>
      <c r="IL322" s="3441"/>
      <c r="IM322" s="3441"/>
      <c r="IN322" s="3441"/>
      <c r="IO322" s="3441"/>
      <c r="IP322" s="3441"/>
      <c r="IQ322" s="3441"/>
      <c r="IR322" s="3441"/>
      <c r="IS322" s="3441"/>
    </row>
    <row r="323" spans="1:253" s="3565" customFormat="1" hidden="1">
      <c r="A323" s="3485" t="s">
        <v>6061</v>
      </c>
      <c r="B323" s="3453" t="s">
        <v>6062</v>
      </c>
      <c r="C323" s="3454" t="s">
        <v>6063</v>
      </c>
      <c r="D323" s="3453">
        <v>67601205</v>
      </c>
      <c r="E323" s="3498" t="s">
        <v>2736</v>
      </c>
      <c r="F323" s="3573" t="s">
        <v>6064</v>
      </c>
      <c r="G323" s="3561"/>
      <c r="H323" s="3470" t="s">
        <v>4484</v>
      </c>
      <c r="I323" s="3498" t="s">
        <v>4011</v>
      </c>
      <c r="J323" s="3498" t="s">
        <v>5145</v>
      </c>
      <c r="K323" s="3555" t="s">
        <v>4489</v>
      </c>
      <c r="L323" s="3574">
        <v>98.62</v>
      </c>
      <c r="M323" s="3574">
        <v>9</v>
      </c>
      <c r="N323" s="3496" t="s">
        <v>3451</v>
      </c>
      <c r="O323" s="3574">
        <v>81.739999999999995</v>
      </c>
      <c r="P323" s="3496" t="s">
        <v>3452</v>
      </c>
      <c r="Q323" s="3510">
        <v>374756</v>
      </c>
      <c r="R323" s="3574">
        <v>3800</v>
      </c>
      <c r="S323" s="3472">
        <v>37.03</v>
      </c>
      <c r="T323" s="3527">
        <v>370300</v>
      </c>
      <c r="U323" s="3470">
        <v>3755</v>
      </c>
      <c r="V323" s="3474">
        <v>0.1</v>
      </c>
      <c r="W323" s="3475">
        <v>33.32</v>
      </c>
      <c r="X323" s="3572">
        <v>333200</v>
      </c>
      <c r="Y323" s="3495">
        <v>2003</v>
      </c>
      <c r="Z323" s="3441">
        <v>4</v>
      </c>
      <c r="AA323" s="3441">
        <v>22</v>
      </c>
      <c r="AB323" s="3477">
        <v>1850</v>
      </c>
      <c r="AC323" s="3490" t="s">
        <v>4583</v>
      </c>
      <c r="AD323" s="3561"/>
      <c r="AE323" s="3497" t="s">
        <v>2156</v>
      </c>
      <c r="AF323" s="3470" t="s">
        <v>6065</v>
      </c>
      <c r="AG323" s="3555" t="s">
        <v>3546</v>
      </c>
      <c r="AH323" s="3555"/>
      <c r="AI323" s="3470" t="s">
        <v>4849</v>
      </c>
      <c r="AJ323" s="3575">
        <v>37651</v>
      </c>
      <c r="AK323" s="3500">
        <v>4</v>
      </c>
      <c r="AL323" s="3501">
        <v>67641700</v>
      </c>
      <c r="AM323" s="3502"/>
      <c r="AN323" s="3470" t="s">
        <v>3484</v>
      </c>
      <c r="AO323" s="3470" t="s">
        <v>3715</v>
      </c>
      <c r="AP323" s="3456" t="s">
        <v>3476</v>
      </c>
      <c r="AQ323" s="3480" t="s">
        <v>3457</v>
      </c>
      <c r="AR323" s="3497"/>
      <c r="AS323" s="3497"/>
      <c r="AT323" s="3497"/>
      <c r="AU323" s="3497"/>
      <c r="AV323" s="3556"/>
      <c r="AW323" s="3490" t="s">
        <v>4064</v>
      </c>
      <c r="AX323" s="3502" t="s">
        <v>3606</v>
      </c>
      <c r="AY323" s="3503" t="s">
        <v>6066</v>
      </c>
      <c r="AZ323" s="3555" t="s">
        <v>4486</v>
      </c>
      <c r="BA323" s="3552" t="s">
        <v>5149</v>
      </c>
      <c r="BB323" s="3466">
        <v>1102211135488</v>
      </c>
      <c r="BC323" s="3552" t="s">
        <v>5150</v>
      </c>
      <c r="BD323" s="3569">
        <v>102202</v>
      </c>
      <c r="BE323" s="3501">
        <v>69711228</v>
      </c>
      <c r="BF323" s="3506">
        <v>2.7</v>
      </c>
      <c r="BG323" s="3539">
        <v>37570</v>
      </c>
      <c r="BH323" s="3497"/>
      <c r="BI323" s="3470" t="s">
        <v>3476</v>
      </c>
      <c r="BJ323" s="3566">
        <v>37726</v>
      </c>
      <c r="BK323" s="3441" t="s">
        <v>3715</v>
      </c>
      <c r="BL323" s="3470" t="s">
        <v>3670</v>
      </c>
      <c r="BM323" s="3441"/>
      <c r="BN323" s="3441"/>
      <c r="BO323" s="3441"/>
      <c r="BP323" s="3441"/>
      <c r="BQ323" s="3441"/>
      <c r="BR323" s="3441"/>
      <c r="BS323" s="3470"/>
      <c r="BT323" s="3470"/>
      <c r="BU323" s="3470"/>
      <c r="BV323" s="3497"/>
      <c r="BW323" s="3497"/>
      <c r="BX323" s="3497"/>
      <c r="BY323" s="3497"/>
      <c r="BZ323" s="3497"/>
      <c r="CA323" s="3497"/>
      <c r="CB323" s="3497"/>
      <c r="CC323" s="3497"/>
      <c r="CD323" s="3497"/>
      <c r="CE323" s="3497"/>
      <c r="CF323" s="3497"/>
      <c r="CG323" s="3497"/>
      <c r="CH323" s="3497"/>
      <c r="CI323" s="3497"/>
      <c r="CJ323" s="3497"/>
      <c r="CK323" s="3497"/>
      <c r="CL323" s="3497"/>
      <c r="CM323" s="3497"/>
      <c r="CN323" s="3497"/>
      <c r="CO323" s="3497"/>
      <c r="CP323" s="3497"/>
      <c r="CQ323" s="3497"/>
      <c r="CR323" s="3497"/>
      <c r="CS323" s="3497"/>
      <c r="CT323" s="3497"/>
      <c r="CU323" s="3497"/>
      <c r="CV323" s="3497"/>
      <c r="CW323" s="3497"/>
      <c r="CX323" s="3497"/>
      <c r="CY323" s="3497"/>
      <c r="CZ323" s="3497"/>
      <c r="DA323" s="3497"/>
      <c r="DB323" s="3497"/>
      <c r="DC323" s="3497"/>
      <c r="DD323" s="3497"/>
      <c r="DE323" s="3497"/>
      <c r="DF323" s="3497"/>
      <c r="DG323" s="3497"/>
      <c r="DH323" s="3497"/>
      <c r="DI323" s="3497"/>
      <c r="DJ323" s="3497"/>
      <c r="DK323" s="3497"/>
      <c r="DL323" s="3497"/>
      <c r="DM323" s="3497"/>
      <c r="DN323" s="3497"/>
      <c r="DO323" s="3497"/>
      <c r="DP323" s="3497"/>
      <c r="DQ323" s="3497"/>
      <c r="DR323" s="3497"/>
      <c r="DS323" s="3497"/>
      <c r="DT323" s="3497"/>
      <c r="DU323" s="3497"/>
      <c r="DV323" s="3497"/>
      <c r="DW323" s="3497"/>
      <c r="DX323" s="3497"/>
      <c r="DY323" s="3497"/>
      <c r="DZ323" s="3497"/>
      <c r="EA323" s="3497"/>
      <c r="EB323" s="3497"/>
      <c r="EC323" s="3497"/>
      <c r="ED323" s="3497"/>
      <c r="EE323" s="3497"/>
      <c r="EF323" s="3497"/>
      <c r="EG323" s="3497"/>
      <c r="EH323" s="3497"/>
      <c r="EI323" s="3497"/>
      <c r="EJ323" s="3497"/>
      <c r="EK323" s="3497"/>
      <c r="EL323" s="3497"/>
      <c r="EM323" s="3497"/>
      <c r="EN323" s="3497"/>
      <c r="EO323" s="3497"/>
      <c r="EP323" s="3497"/>
      <c r="EQ323" s="3497"/>
      <c r="ER323" s="3497"/>
      <c r="ES323" s="3497"/>
      <c r="ET323" s="3497"/>
      <c r="EU323" s="3497"/>
      <c r="EV323" s="3497"/>
      <c r="EW323" s="3497"/>
      <c r="EX323" s="3497"/>
      <c r="EY323" s="3497"/>
      <c r="EZ323" s="3497"/>
      <c r="FA323" s="3497"/>
      <c r="FB323" s="3497"/>
      <c r="FC323" s="3497"/>
      <c r="FD323" s="3497"/>
      <c r="FE323" s="3497"/>
      <c r="FF323" s="3497"/>
      <c r="FG323" s="3497"/>
      <c r="FH323" s="3497"/>
      <c r="FI323" s="3497"/>
      <c r="FJ323" s="3497"/>
      <c r="FK323" s="3497"/>
      <c r="FL323" s="3497"/>
      <c r="FM323" s="3497"/>
      <c r="FN323" s="3497"/>
      <c r="FO323" s="3497"/>
      <c r="FP323" s="3497"/>
      <c r="FQ323" s="3497"/>
      <c r="FR323" s="3497"/>
      <c r="FS323" s="3497"/>
      <c r="FT323" s="3497"/>
      <c r="FU323" s="3497"/>
      <c r="FV323" s="3497"/>
      <c r="FW323" s="3497"/>
      <c r="FX323" s="3497"/>
      <c r="FY323" s="3497"/>
      <c r="FZ323" s="3497"/>
      <c r="GA323" s="3497"/>
      <c r="GB323" s="3497"/>
      <c r="GC323" s="3497"/>
      <c r="GD323" s="3497"/>
      <c r="GE323" s="3497"/>
      <c r="GF323" s="3497"/>
      <c r="GG323" s="3497"/>
      <c r="GH323" s="3497"/>
      <c r="GI323" s="3497"/>
      <c r="GJ323" s="3497"/>
      <c r="GK323" s="3497"/>
      <c r="GL323" s="3497"/>
      <c r="GM323" s="3497"/>
      <c r="GN323" s="3497"/>
      <c r="GO323" s="3497"/>
      <c r="GP323" s="3497"/>
      <c r="GQ323" s="3497"/>
      <c r="GR323" s="3497"/>
      <c r="GS323" s="3497"/>
      <c r="GT323" s="3497"/>
      <c r="GU323" s="3497"/>
      <c r="GV323" s="3497"/>
      <c r="GW323" s="3497"/>
      <c r="GX323" s="3497"/>
      <c r="GY323" s="3497"/>
      <c r="GZ323" s="3497"/>
      <c r="HA323" s="3497"/>
      <c r="HB323" s="3497"/>
      <c r="HC323" s="3497"/>
      <c r="HD323" s="3497"/>
      <c r="HE323" s="3497"/>
      <c r="HF323" s="3497"/>
      <c r="HG323" s="3497"/>
      <c r="HH323" s="3497"/>
      <c r="HI323" s="3497"/>
      <c r="HJ323" s="3497"/>
      <c r="HK323" s="3497"/>
      <c r="HL323" s="3497"/>
      <c r="HM323" s="3497"/>
      <c r="HN323" s="3497"/>
      <c r="HO323" s="3497"/>
      <c r="HP323" s="3497"/>
      <c r="HQ323" s="3497"/>
      <c r="HR323" s="3497"/>
      <c r="HS323" s="3497"/>
      <c r="HT323" s="3497"/>
      <c r="HU323" s="3497"/>
      <c r="HV323" s="3497"/>
      <c r="HW323" s="3497"/>
      <c r="HX323" s="3497"/>
      <c r="HY323" s="3497"/>
      <c r="HZ323" s="3497"/>
      <c r="IA323" s="3497"/>
      <c r="IB323" s="3497"/>
      <c r="IC323" s="3497"/>
      <c r="ID323" s="3497"/>
      <c r="IE323" s="3497"/>
      <c r="IF323" s="3497"/>
      <c r="IG323" s="3497"/>
      <c r="IH323" s="3497"/>
      <c r="II323" s="3497"/>
      <c r="IJ323" s="3497"/>
      <c r="IK323" s="3497"/>
      <c r="IL323" s="3497"/>
      <c r="IM323" s="3497"/>
      <c r="IN323" s="3497"/>
      <c r="IO323" s="3497"/>
      <c r="IP323" s="3497"/>
      <c r="IQ323" s="3497"/>
      <c r="IR323" s="3497"/>
      <c r="IS323" s="3497"/>
    </row>
    <row r="324" spans="1:253" s="3441" customFormat="1" ht="12" hidden="1">
      <c r="A324" s="3485" t="s">
        <v>6067</v>
      </c>
      <c r="B324" s="3470" t="s">
        <v>6068</v>
      </c>
      <c r="C324" s="3481" t="s">
        <v>6069</v>
      </c>
      <c r="D324" s="3453">
        <v>13910564837</v>
      </c>
      <c r="E324" s="3470" t="s">
        <v>3763</v>
      </c>
      <c r="F324" s="3528" t="s">
        <v>4333</v>
      </c>
      <c r="G324" s="3470"/>
      <c r="H324" s="3470" t="s">
        <v>4010</v>
      </c>
      <c r="I324" s="3470" t="s">
        <v>4255</v>
      </c>
      <c r="J324" s="3481" t="s">
        <v>4862</v>
      </c>
      <c r="K324" s="3470" t="s">
        <v>3638</v>
      </c>
      <c r="L324" s="3470">
        <v>113.18</v>
      </c>
      <c r="M324" s="3470">
        <v>8</v>
      </c>
      <c r="N324" s="3470" t="s">
        <v>3994</v>
      </c>
      <c r="O324" s="3470">
        <v>91.76</v>
      </c>
      <c r="P324" s="3470" t="s">
        <v>3452</v>
      </c>
      <c r="Q324" s="3457">
        <v>700584.20000000007</v>
      </c>
      <c r="R324" s="3470">
        <v>6190</v>
      </c>
      <c r="S324" s="3472">
        <v>69.37</v>
      </c>
      <c r="T324" s="3527">
        <v>693700</v>
      </c>
      <c r="U324" s="3470">
        <v>6130</v>
      </c>
      <c r="V324" s="3474">
        <v>0.1</v>
      </c>
      <c r="W324" s="3475">
        <v>62.43</v>
      </c>
      <c r="X324" s="3473">
        <v>624300</v>
      </c>
      <c r="Y324" s="3441">
        <v>2003</v>
      </c>
      <c r="Z324" s="3515">
        <v>5</v>
      </c>
      <c r="AA324" s="3515">
        <v>16</v>
      </c>
      <c r="AB324" s="3485">
        <v>3465</v>
      </c>
      <c r="AC324" s="3470" t="s">
        <v>3544</v>
      </c>
      <c r="AD324" s="3485"/>
      <c r="AE324" s="3441" t="s">
        <v>3547</v>
      </c>
      <c r="AF324" s="3470" t="s">
        <v>3618</v>
      </c>
      <c r="AG324" s="3522" t="s">
        <v>3454</v>
      </c>
      <c r="AH324" s="3485"/>
      <c r="AI324" s="3470" t="s">
        <v>3664</v>
      </c>
      <c r="AJ324" s="3523">
        <v>37965</v>
      </c>
      <c r="AK324" s="3548">
        <v>5</v>
      </c>
      <c r="AL324" s="3515">
        <v>67641700</v>
      </c>
      <c r="AN324" s="3469" t="s">
        <v>3468</v>
      </c>
      <c r="AO324" s="3470"/>
      <c r="AP324" s="3456" t="s">
        <v>3476</v>
      </c>
      <c r="AQ324" s="3469" t="s">
        <v>3571</v>
      </c>
      <c r="AW324" s="3441" t="s">
        <v>3458</v>
      </c>
      <c r="AX324" s="3484"/>
      <c r="AY324" s="3524" t="s">
        <v>6070</v>
      </c>
      <c r="AZ324" s="3470" t="s">
        <v>3638</v>
      </c>
      <c r="BA324" s="3441" t="s">
        <v>4048</v>
      </c>
      <c r="BB324" s="3524" t="s">
        <v>3997</v>
      </c>
      <c r="BC324" s="3441" t="s">
        <v>4436</v>
      </c>
      <c r="BD324" s="3525">
        <v>100088</v>
      </c>
      <c r="BE324" s="3441">
        <v>82058259</v>
      </c>
      <c r="BF324" s="3526">
        <v>2.9</v>
      </c>
      <c r="BG324" s="3518">
        <v>37669</v>
      </c>
      <c r="BH324" s="3470" t="s">
        <v>6021</v>
      </c>
      <c r="BI324" s="3470" t="s">
        <v>3476</v>
      </c>
      <c r="BJ324" s="3518">
        <v>37728</v>
      </c>
      <c r="BK324" s="3518">
        <v>37756</v>
      </c>
      <c r="BL324" s="3470" t="s">
        <v>3670</v>
      </c>
      <c r="BS324" s="3470"/>
      <c r="BT324" s="3470"/>
      <c r="BU324" s="3470"/>
    </row>
    <row r="325" spans="1:253" s="3565" customFormat="1" hidden="1">
      <c r="A325" s="3470" t="s">
        <v>6071</v>
      </c>
      <c r="B325" s="3470" t="s">
        <v>6072</v>
      </c>
      <c r="C325" s="3481" t="s">
        <v>6073</v>
      </c>
      <c r="D325" s="3481" t="s">
        <v>6074</v>
      </c>
      <c r="E325" s="3470" t="s">
        <v>3558</v>
      </c>
      <c r="F325" s="3528" t="s">
        <v>3613</v>
      </c>
      <c r="G325" s="3470"/>
      <c r="H325" s="3470" t="s">
        <v>3581</v>
      </c>
      <c r="I325" s="3470" t="s">
        <v>3615</v>
      </c>
      <c r="J325" s="3481" t="s">
        <v>6035</v>
      </c>
      <c r="K325" s="3470" t="s">
        <v>3968</v>
      </c>
      <c r="L325" s="3470">
        <v>177.76</v>
      </c>
      <c r="M325" s="3470">
        <v>1</v>
      </c>
      <c r="N325" s="3470" t="s">
        <v>3816</v>
      </c>
      <c r="O325" s="3470">
        <v>162.36000000000001</v>
      </c>
      <c r="P325" s="3470" t="s">
        <v>3452</v>
      </c>
      <c r="Q325" s="3457">
        <v>823028.8</v>
      </c>
      <c r="R325" s="3495">
        <v>4630</v>
      </c>
      <c r="S325" s="3472">
        <v>81.5</v>
      </c>
      <c r="T325" s="3527">
        <v>815000</v>
      </c>
      <c r="U325" s="3495">
        <v>4585</v>
      </c>
      <c r="V325" s="3512">
        <v>0.1</v>
      </c>
      <c r="W325" s="3475">
        <v>73.349999999999994</v>
      </c>
      <c r="X325" s="3494">
        <v>733500</v>
      </c>
      <c r="Y325" s="3441">
        <v>2003</v>
      </c>
      <c r="Z325" s="3441">
        <v>4</v>
      </c>
      <c r="AA325" s="3470">
        <v>21</v>
      </c>
      <c r="AB325" s="3485">
        <v>4075</v>
      </c>
      <c r="AC325" s="3470" t="s">
        <v>3544</v>
      </c>
      <c r="AD325" s="3485"/>
      <c r="AE325" s="3441" t="s">
        <v>3663</v>
      </c>
      <c r="AF325" s="3453" t="s">
        <v>4442</v>
      </c>
      <c r="AG325" s="3522" t="s">
        <v>3466</v>
      </c>
      <c r="AH325" s="3485"/>
      <c r="AI325" s="3470" t="s">
        <v>4955</v>
      </c>
      <c r="AJ325" s="3523">
        <v>37894</v>
      </c>
      <c r="AK325" s="3548">
        <v>4</v>
      </c>
      <c r="AL325" s="3441">
        <v>67641700</v>
      </c>
      <c r="AM325" s="3441"/>
      <c r="AN325" s="3480" t="s">
        <v>3768</v>
      </c>
      <c r="AO325" s="3441" t="s">
        <v>3568</v>
      </c>
      <c r="AP325" s="3441" t="s">
        <v>3476</v>
      </c>
      <c r="AQ325" s="3441" t="s">
        <v>3571</v>
      </c>
      <c r="AR325" s="3441"/>
      <c r="AS325" s="3441"/>
      <c r="AT325" s="3441"/>
      <c r="AU325" s="3441"/>
      <c r="AV325" s="3441"/>
      <c r="AW325" s="3441" t="s">
        <v>3572</v>
      </c>
      <c r="AX325" s="3441" t="s">
        <v>2511</v>
      </c>
      <c r="AY325" s="3524" t="s">
        <v>6075</v>
      </c>
      <c r="AZ325" s="3441" t="s">
        <v>3968</v>
      </c>
      <c r="BA325" s="3441" t="s">
        <v>3971</v>
      </c>
      <c r="BB325" s="3524" t="s">
        <v>3972</v>
      </c>
      <c r="BC325" s="3441" t="s">
        <v>3973</v>
      </c>
      <c r="BD325" s="3525">
        <v>100096</v>
      </c>
      <c r="BE325" s="3441">
        <v>82919961</v>
      </c>
      <c r="BF325" s="3526">
        <v>2.9</v>
      </c>
      <c r="BG325" s="3518">
        <v>37631</v>
      </c>
      <c r="BH325" s="3441"/>
      <c r="BI325" s="3441" t="s">
        <v>5844</v>
      </c>
      <c r="BJ325" s="3484">
        <v>37728</v>
      </c>
      <c r="BK325" s="3484"/>
      <c r="BL325" s="3470" t="s">
        <v>3670</v>
      </c>
      <c r="BM325" s="3441"/>
      <c r="BN325" s="3441"/>
      <c r="BO325" s="3441"/>
      <c r="BP325" s="3441"/>
      <c r="BQ325" s="3441"/>
      <c r="BR325" s="3441"/>
      <c r="BS325" s="3470"/>
      <c r="BT325" s="3470"/>
      <c r="BU325" s="3470"/>
      <c r="BV325" s="3441"/>
      <c r="BW325" s="3441"/>
      <c r="BX325" s="3441"/>
      <c r="BY325" s="3441"/>
      <c r="BZ325" s="3441"/>
      <c r="CA325" s="3441"/>
      <c r="CB325" s="3441"/>
      <c r="CC325" s="3441"/>
      <c r="CD325" s="3441"/>
      <c r="CE325" s="3441"/>
      <c r="CF325" s="3441"/>
      <c r="CG325" s="3441"/>
      <c r="CH325" s="3441"/>
      <c r="CI325" s="3441"/>
      <c r="CJ325" s="3441"/>
      <c r="CK325" s="3441"/>
      <c r="CL325" s="3441"/>
      <c r="CM325" s="3441"/>
      <c r="CN325" s="3441"/>
      <c r="CO325" s="3441"/>
      <c r="CP325" s="3441"/>
      <c r="CQ325" s="3441"/>
      <c r="CR325" s="3441"/>
      <c r="CS325" s="3441"/>
      <c r="CT325" s="3441"/>
      <c r="CU325" s="3441"/>
      <c r="CV325" s="3441"/>
      <c r="CW325" s="3441"/>
      <c r="CX325" s="3441"/>
      <c r="CY325" s="3441"/>
      <c r="CZ325" s="3441"/>
      <c r="DA325" s="3441"/>
      <c r="DB325" s="3441"/>
      <c r="DC325" s="3441"/>
      <c r="DD325" s="3441"/>
      <c r="DE325" s="3441"/>
      <c r="DF325" s="3441"/>
      <c r="DG325" s="3441"/>
      <c r="DH325" s="3441"/>
      <c r="DI325" s="3441"/>
      <c r="DJ325" s="3441"/>
      <c r="DK325" s="3441"/>
      <c r="DL325" s="3441"/>
      <c r="DM325" s="3441"/>
      <c r="DN325" s="3441"/>
      <c r="DO325" s="3441"/>
      <c r="DP325" s="3441"/>
      <c r="DQ325" s="3441"/>
      <c r="DR325" s="3441"/>
      <c r="DS325" s="3441"/>
      <c r="DT325" s="3441"/>
      <c r="DU325" s="3441"/>
      <c r="DV325" s="3441"/>
      <c r="DW325" s="3441"/>
      <c r="DX325" s="3441"/>
      <c r="DY325" s="3441"/>
      <c r="DZ325" s="3441"/>
      <c r="EA325" s="3441"/>
      <c r="EB325" s="3441"/>
      <c r="EC325" s="3441"/>
      <c r="ED325" s="3441"/>
      <c r="EE325" s="3441"/>
      <c r="EF325" s="3441"/>
      <c r="EG325" s="3441"/>
      <c r="EH325" s="3441"/>
      <c r="EI325" s="3441"/>
      <c r="EJ325" s="3441"/>
      <c r="EK325" s="3441"/>
      <c r="EL325" s="3441"/>
      <c r="EM325" s="3441"/>
      <c r="EN325" s="3441"/>
      <c r="EO325" s="3441"/>
      <c r="EP325" s="3441"/>
      <c r="EQ325" s="3441"/>
      <c r="ER325" s="3441"/>
      <c r="ES325" s="3441"/>
      <c r="ET325" s="3441"/>
      <c r="EU325" s="3441"/>
      <c r="EV325" s="3441"/>
      <c r="EW325" s="3441"/>
      <c r="EX325" s="3441"/>
      <c r="EY325" s="3441"/>
      <c r="EZ325" s="3441"/>
      <c r="FA325" s="3441"/>
      <c r="FB325" s="3441"/>
      <c r="FC325" s="3441"/>
      <c r="FD325" s="3441"/>
      <c r="FE325" s="3441"/>
      <c r="FF325" s="3441"/>
      <c r="FG325" s="3441"/>
      <c r="FH325" s="3441"/>
      <c r="FI325" s="3441"/>
      <c r="FJ325" s="3441"/>
      <c r="FK325" s="3441"/>
      <c r="FL325" s="3441"/>
      <c r="FM325" s="3441"/>
      <c r="FN325" s="3441"/>
      <c r="FO325" s="3441"/>
      <c r="FP325" s="3441"/>
      <c r="FQ325" s="3441"/>
      <c r="FR325" s="3441"/>
      <c r="FS325" s="3441"/>
      <c r="FT325" s="3441"/>
      <c r="FU325" s="3441"/>
      <c r="FV325" s="3441"/>
      <c r="FW325" s="3441"/>
      <c r="FX325" s="3441"/>
      <c r="FY325" s="3441"/>
      <c r="FZ325" s="3441"/>
      <c r="GA325" s="3441"/>
      <c r="GB325" s="3441"/>
      <c r="GC325" s="3441"/>
      <c r="GD325" s="3441"/>
      <c r="GE325" s="3441"/>
      <c r="GF325" s="3441"/>
      <c r="GG325" s="3441"/>
      <c r="GH325" s="3441"/>
      <c r="GI325" s="3441"/>
      <c r="GJ325" s="3441"/>
      <c r="GK325" s="3441"/>
      <c r="GL325" s="3441"/>
      <c r="GM325" s="3441"/>
      <c r="GN325" s="3441"/>
      <c r="GO325" s="3441"/>
      <c r="GP325" s="3441"/>
      <c r="GQ325" s="3441"/>
      <c r="GR325" s="3441"/>
      <c r="GS325" s="3441"/>
      <c r="GT325" s="3441"/>
      <c r="GU325" s="3441"/>
      <c r="GV325" s="3441"/>
      <c r="GW325" s="3441"/>
      <c r="GX325" s="3441"/>
      <c r="GY325" s="3441"/>
      <c r="GZ325" s="3441"/>
      <c r="HA325" s="3441"/>
      <c r="HB325" s="3441"/>
      <c r="HC325" s="3441"/>
      <c r="HD325" s="3441"/>
      <c r="HE325" s="3441"/>
      <c r="HF325" s="3441"/>
      <c r="HG325" s="3441"/>
      <c r="HH325" s="3441"/>
      <c r="HI325" s="3441"/>
      <c r="HJ325" s="3441"/>
      <c r="HK325" s="3441"/>
      <c r="HL325" s="3441"/>
      <c r="HM325" s="3441"/>
      <c r="HN325" s="3441"/>
      <c r="HO325" s="3441"/>
      <c r="HP325" s="3441"/>
      <c r="HQ325" s="3441"/>
      <c r="HR325" s="3441"/>
      <c r="HS325" s="3441"/>
      <c r="HT325" s="3441"/>
      <c r="HU325" s="3441"/>
      <c r="HV325" s="3441"/>
      <c r="HW325" s="3441"/>
      <c r="HX325" s="3441"/>
      <c r="HY325" s="3441"/>
      <c r="HZ325" s="3441"/>
      <c r="IA325" s="3441"/>
      <c r="IB325" s="3441"/>
      <c r="IC325" s="3441"/>
      <c r="ID325" s="3441"/>
      <c r="IE325" s="3441"/>
      <c r="IF325" s="3441"/>
      <c r="IG325" s="3441"/>
      <c r="IH325" s="3441"/>
      <c r="II325" s="3441"/>
      <c r="IJ325" s="3441"/>
      <c r="IK325" s="3441"/>
      <c r="IL325" s="3441"/>
      <c r="IM325" s="3441"/>
      <c r="IN325" s="3441"/>
      <c r="IO325" s="3441"/>
      <c r="IP325" s="3441"/>
      <c r="IQ325" s="3441"/>
      <c r="IR325" s="3441"/>
      <c r="IS325" s="3441"/>
    </row>
    <row r="326" spans="1:253" s="3441" customFormat="1" ht="12" hidden="1">
      <c r="A326" s="3485" t="s">
        <v>6076</v>
      </c>
      <c r="B326" s="3470" t="s">
        <v>6077</v>
      </c>
      <c r="C326" s="3481" t="s">
        <v>6078</v>
      </c>
      <c r="D326" s="3453">
        <v>13311063023</v>
      </c>
      <c r="E326" s="3470" t="s">
        <v>2736</v>
      </c>
      <c r="F326" s="3528" t="s">
        <v>3628</v>
      </c>
      <c r="G326" s="3470"/>
      <c r="H326" s="3470" t="s">
        <v>4370</v>
      </c>
      <c r="I326" s="3470" t="s">
        <v>4433</v>
      </c>
      <c r="J326" s="3481" t="s">
        <v>3492</v>
      </c>
      <c r="K326" s="3470" t="s">
        <v>3631</v>
      </c>
      <c r="L326" s="3470">
        <v>156.02000000000001</v>
      </c>
      <c r="M326" s="3470">
        <v>6</v>
      </c>
      <c r="N326" s="3470" t="s">
        <v>3632</v>
      </c>
      <c r="O326" s="3470">
        <v>126.37</v>
      </c>
      <c r="P326" s="3470" t="s">
        <v>3633</v>
      </c>
      <c r="Q326" s="3457">
        <v>886193.60000000009</v>
      </c>
      <c r="R326" s="3470">
        <v>5680</v>
      </c>
      <c r="S326" s="3472">
        <v>87.74</v>
      </c>
      <c r="T326" s="3527">
        <v>877400</v>
      </c>
      <c r="U326" s="3470">
        <v>5624</v>
      </c>
      <c r="V326" s="3474">
        <v>0.1</v>
      </c>
      <c r="W326" s="3475">
        <v>78.959999999999994</v>
      </c>
      <c r="X326" s="3473">
        <v>789599.99999999988</v>
      </c>
      <c r="Y326" s="3441">
        <v>2003</v>
      </c>
      <c r="Z326" s="3515">
        <v>5</v>
      </c>
      <c r="AA326" s="3515">
        <v>16</v>
      </c>
      <c r="AB326" s="3485">
        <v>4385</v>
      </c>
      <c r="AC326" s="3470" t="s">
        <v>4922</v>
      </c>
      <c r="AD326" s="3485"/>
      <c r="AE326" s="3441" t="s">
        <v>2156</v>
      </c>
      <c r="AF326" s="3470" t="s">
        <v>3587</v>
      </c>
      <c r="AG326" s="3522" t="s">
        <v>3605</v>
      </c>
      <c r="AH326" s="3485"/>
      <c r="AI326" s="3470" t="s">
        <v>3664</v>
      </c>
      <c r="AJ326" s="3523">
        <v>37992</v>
      </c>
      <c r="AK326" s="3548">
        <v>5</v>
      </c>
      <c r="AL326" s="3515">
        <v>67641700</v>
      </c>
      <c r="AN326" s="3469" t="s">
        <v>3695</v>
      </c>
      <c r="AO326" s="3470"/>
      <c r="AP326" s="3456" t="s">
        <v>3476</v>
      </c>
      <c r="AQ326" s="3469" t="s">
        <v>3571</v>
      </c>
      <c r="AW326" s="3441" t="s">
        <v>4064</v>
      </c>
      <c r="AX326" s="3484"/>
      <c r="AY326" s="3524" t="s">
        <v>6079</v>
      </c>
      <c r="AZ326" s="3470" t="s">
        <v>3647</v>
      </c>
      <c r="BA326" s="3441" t="s">
        <v>4338</v>
      </c>
      <c r="BB326" s="3524" t="s">
        <v>3997</v>
      </c>
      <c r="BC326" s="3441" t="s">
        <v>4049</v>
      </c>
      <c r="BD326" s="3525">
        <v>100088</v>
      </c>
      <c r="BE326" s="3441">
        <v>82058259</v>
      </c>
      <c r="BF326" s="3526" t="s">
        <v>6080</v>
      </c>
      <c r="BG326" s="3518">
        <v>37643</v>
      </c>
      <c r="BH326" s="3470" t="s">
        <v>4711</v>
      </c>
      <c r="BI326" s="3470" t="s">
        <v>3476</v>
      </c>
      <c r="BJ326" s="3518">
        <v>37729</v>
      </c>
      <c r="BK326" s="3518">
        <v>37756</v>
      </c>
      <c r="BL326" s="3470" t="s">
        <v>3670</v>
      </c>
      <c r="BS326" s="3470"/>
      <c r="BT326" s="3470"/>
      <c r="BU326" s="3470"/>
    </row>
    <row r="327" spans="1:253" s="3441" customFormat="1" ht="12" hidden="1">
      <c r="A327" s="3485" t="s">
        <v>6081</v>
      </c>
      <c r="B327" s="3470" t="s">
        <v>6082</v>
      </c>
      <c r="C327" s="3481" t="s">
        <v>6083</v>
      </c>
      <c r="D327" s="3453">
        <v>13801118254</v>
      </c>
      <c r="E327" s="3470" t="s">
        <v>3538</v>
      </c>
      <c r="F327" s="3528" t="s">
        <v>3628</v>
      </c>
      <c r="G327" s="3470"/>
      <c r="H327" s="3470" t="s">
        <v>5537</v>
      </c>
      <c r="I327" s="3470" t="s">
        <v>3726</v>
      </c>
      <c r="J327" s="3481" t="s">
        <v>6084</v>
      </c>
      <c r="K327" s="3470" t="s">
        <v>3647</v>
      </c>
      <c r="L327" s="3470">
        <v>158.44999999999999</v>
      </c>
      <c r="M327" s="3470">
        <v>11</v>
      </c>
      <c r="N327" s="3470" t="s">
        <v>3632</v>
      </c>
      <c r="O327" s="3470">
        <v>126.37</v>
      </c>
      <c r="P327" s="3470" t="s">
        <v>3452</v>
      </c>
      <c r="Q327" s="3457">
        <v>1006157.4999999999</v>
      </c>
      <c r="R327" s="3470">
        <v>6350</v>
      </c>
      <c r="S327" s="3472">
        <v>99.66</v>
      </c>
      <c r="T327" s="3527">
        <v>996600</v>
      </c>
      <c r="U327" s="3470">
        <v>6290</v>
      </c>
      <c r="V327" s="3474">
        <v>0.1</v>
      </c>
      <c r="W327" s="3475">
        <v>89.69</v>
      </c>
      <c r="X327" s="3473">
        <v>896900</v>
      </c>
      <c r="Y327" s="3441">
        <v>2003</v>
      </c>
      <c r="Z327" s="3515">
        <v>5</v>
      </c>
      <c r="AA327" s="3515">
        <v>16</v>
      </c>
      <c r="AB327" s="3485">
        <v>4980</v>
      </c>
      <c r="AC327" s="3470" t="s">
        <v>3544</v>
      </c>
      <c r="AD327" s="3485"/>
      <c r="AE327" s="3441" t="s">
        <v>3547</v>
      </c>
      <c r="AF327" s="3470" t="s">
        <v>3618</v>
      </c>
      <c r="AG327" s="3522" t="s">
        <v>3454</v>
      </c>
      <c r="AH327" s="3485"/>
      <c r="AI327" s="3470" t="s">
        <v>3664</v>
      </c>
      <c r="AJ327" s="3523">
        <v>37953</v>
      </c>
      <c r="AK327" s="3548">
        <v>5</v>
      </c>
      <c r="AL327" s="3515">
        <v>67641700</v>
      </c>
      <c r="AN327" s="3469" t="s">
        <v>3695</v>
      </c>
      <c r="AO327" s="3470" t="s">
        <v>6085</v>
      </c>
      <c r="AP327" s="3456" t="s">
        <v>3476</v>
      </c>
      <c r="AQ327" s="3469" t="s">
        <v>3571</v>
      </c>
      <c r="AW327" s="3441" t="s">
        <v>4064</v>
      </c>
      <c r="AX327" s="3484"/>
      <c r="AY327" s="3524" t="s">
        <v>6086</v>
      </c>
      <c r="AZ327" s="3470" t="s">
        <v>3647</v>
      </c>
      <c r="BA327" s="3441" t="s">
        <v>4338</v>
      </c>
      <c r="BB327" s="3524" t="s">
        <v>3640</v>
      </c>
      <c r="BC327" s="3441" t="s">
        <v>4339</v>
      </c>
      <c r="BD327" s="3525">
        <v>100088</v>
      </c>
      <c r="BE327" s="3441">
        <v>82058259</v>
      </c>
      <c r="BF327" s="3526" t="s">
        <v>6080</v>
      </c>
      <c r="BG327" s="3518">
        <v>37705</v>
      </c>
      <c r="BH327" s="3470" t="s">
        <v>6021</v>
      </c>
      <c r="BI327" s="3470" t="s">
        <v>3476</v>
      </c>
      <c r="BJ327" s="3518">
        <v>37734</v>
      </c>
      <c r="BK327" s="3518">
        <v>37719</v>
      </c>
      <c r="BL327" s="3470" t="s">
        <v>3670</v>
      </c>
      <c r="BS327" s="3470"/>
      <c r="BT327" s="3470"/>
      <c r="BU327" s="3470"/>
    </row>
    <row r="328" spans="1:253" s="3441" customFormat="1" ht="12" hidden="1">
      <c r="A328" s="3485" t="s">
        <v>6087</v>
      </c>
      <c r="B328" s="3470" t="s">
        <v>6088</v>
      </c>
      <c r="C328" s="3481" t="s">
        <v>6089</v>
      </c>
      <c r="D328" s="3453">
        <v>13501294412</v>
      </c>
      <c r="E328" s="3470" t="s">
        <v>3558</v>
      </c>
      <c r="F328" s="3470" t="s">
        <v>4403</v>
      </c>
      <c r="G328" s="3470" t="s">
        <v>3568</v>
      </c>
      <c r="H328" s="3470" t="s">
        <v>4901</v>
      </c>
      <c r="I328" s="3470" t="s">
        <v>4943</v>
      </c>
      <c r="J328" s="3481" t="s">
        <v>3492</v>
      </c>
      <c r="K328" s="3470" t="s">
        <v>4406</v>
      </c>
      <c r="L328" s="3470">
        <v>129.18</v>
      </c>
      <c r="M328" s="3470">
        <v>6</v>
      </c>
      <c r="N328" s="3470" t="s">
        <v>3632</v>
      </c>
      <c r="O328" s="3470">
        <v>115.83</v>
      </c>
      <c r="P328" s="3470" t="s">
        <v>3452</v>
      </c>
      <c r="Q328" s="3457">
        <v>663985.20000000007</v>
      </c>
      <c r="R328" s="3470">
        <v>5140</v>
      </c>
      <c r="S328" s="3472">
        <v>65.75</v>
      </c>
      <c r="T328" s="3527">
        <v>657500</v>
      </c>
      <c r="U328" s="3470">
        <v>5090</v>
      </c>
      <c r="V328" s="3474">
        <v>0.1</v>
      </c>
      <c r="W328" s="3475">
        <v>59.17</v>
      </c>
      <c r="X328" s="3473">
        <v>591700</v>
      </c>
      <c r="Y328" s="3441">
        <v>2003</v>
      </c>
      <c r="Z328" s="3441">
        <v>5</v>
      </c>
      <c r="AA328" s="3470">
        <v>26</v>
      </c>
      <c r="AB328" s="3477">
        <v>3285</v>
      </c>
      <c r="AC328" s="3470" t="s">
        <v>3710</v>
      </c>
      <c r="AD328" s="3485"/>
      <c r="AE328" s="3441" t="s">
        <v>3663</v>
      </c>
      <c r="AF328" s="3470" t="s">
        <v>3604</v>
      </c>
      <c r="AG328" s="3522" t="s">
        <v>3466</v>
      </c>
      <c r="AH328" s="3485"/>
      <c r="AI328" s="3470" t="s">
        <v>3664</v>
      </c>
      <c r="AJ328" s="3523">
        <v>37833</v>
      </c>
      <c r="AK328" s="3548">
        <v>5</v>
      </c>
      <c r="AL328" s="3441">
        <v>67641700</v>
      </c>
      <c r="AN328" s="3480" t="s">
        <v>3484</v>
      </c>
      <c r="AO328" s="3470" t="s">
        <v>6090</v>
      </c>
      <c r="AP328" s="3456" t="s">
        <v>3476</v>
      </c>
      <c r="AQ328" s="3441" t="s">
        <v>3571</v>
      </c>
      <c r="AW328" s="3441" t="s">
        <v>3572</v>
      </c>
      <c r="AX328" s="3441" t="s">
        <v>3568</v>
      </c>
      <c r="AY328" s="3524" t="s">
        <v>6091</v>
      </c>
      <c r="AZ328" s="3441" t="s">
        <v>4406</v>
      </c>
      <c r="BA328" s="3441" t="s">
        <v>4409</v>
      </c>
      <c r="BB328" s="3524" t="s">
        <v>4410</v>
      </c>
      <c r="BC328" s="3441" t="s">
        <v>4411</v>
      </c>
      <c r="BD328" s="3525" t="s">
        <v>3568</v>
      </c>
      <c r="BE328" s="3441">
        <v>68152860</v>
      </c>
      <c r="BF328" s="3526">
        <v>2.8</v>
      </c>
      <c r="BG328" s="3518">
        <v>37696</v>
      </c>
      <c r="BH328" s="3441" t="s">
        <v>4412</v>
      </c>
      <c r="BI328" s="3441" t="s">
        <v>5844</v>
      </c>
      <c r="BJ328" s="3478">
        <v>37764</v>
      </c>
      <c r="BK328" s="3484"/>
      <c r="BL328" s="3470" t="s">
        <v>3670</v>
      </c>
      <c r="BS328" s="3470"/>
      <c r="BT328" s="3470"/>
      <c r="BU328" s="3470"/>
    </row>
    <row r="329" spans="1:253" s="3565" customFormat="1" hidden="1">
      <c r="A329" s="3485" t="s">
        <v>6092</v>
      </c>
      <c r="B329" s="3470" t="s">
        <v>6093</v>
      </c>
      <c r="C329" s="3481" t="s">
        <v>6094</v>
      </c>
      <c r="D329" s="3481" t="s">
        <v>6095</v>
      </c>
      <c r="E329" s="3470" t="s">
        <v>3558</v>
      </c>
      <c r="F329" s="3528" t="s">
        <v>3559</v>
      </c>
      <c r="G329" s="3470"/>
      <c r="H329" s="3470" t="s">
        <v>4134</v>
      </c>
      <c r="I329" s="3470" t="s">
        <v>4282</v>
      </c>
      <c r="J329" s="3481" t="s">
        <v>6096</v>
      </c>
      <c r="K329" s="3470" t="s">
        <v>3563</v>
      </c>
      <c r="L329" s="3470">
        <v>71.319999999999993</v>
      </c>
      <c r="M329" s="3470">
        <v>13</v>
      </c>
      <c r="N329" s="3470" t="s">
        <v>3489</v>
      </c>
      <c r="O329" s="3470">
        <v>57.28</v>
      </c>
      <c r="P329" s="3470" t="s">
        <v>3452</v>
      </c>
      <c r="Q329" s="3457">
        <v>336630.4</v>
      </c>
      <c r="R329" s="3470">
        <v>4720</v>
      </c>
      <c r="S329" s="3472">
        <v>33.299999999999997</v>
      </c>
      <c r="T329" s="3527">
        <v>333000</v>
      </c>
      <c r="U329" s="3470">
        <v>4670</v>
      </c>
      <c r="V329" s="3474">
        <v>0.1</v>
      </c>
      <c r="W329" s="3475">
        <v>29.97</v>
      </c>
      <c r="X329" s="3473">
        <v>299700</v>
      </c>
      <c r="Y329" s="3441">
        <v>2003</v>
      </c>
      <c r="Z329" s="3441">
        <v>4</v>
      </c>
      <c r="AA329" s="3441">
        <v>22</v>
      </c>
      <c r="AB329" s="3485">
        <v>1665</v>
      </c>
      <c r="AC329" s="3470" t="s">
        <v>3585</v>
      </c>
      <c r="AD329" s="3485"/>
      <c r="AE329" s="3441" t="s">
        <v>3663</v>
      </c>
      <c r="AF329" s="3470" t="s">
        <v>4295</v>
      </c>
      <c r="AG329" s="3522" t="s">
        <v>3466</v>
      </c>
      <c r="AH329" s="3485" t="s">
        <v>3568</v>
      </c>
      <c r="AI329" s="3470" t="s">
        <v>4955</v>
      </c>
      <c r="AJ329" s="3523">
        <v>37894</v>
      </c>
      <c r="AK329" s="3500">
        <v>4</v>
      </c>
      <c r="AL329" s="3441">
        <v>67641700</v>
      </c>
      <c r="AM329" s="3441" t="s">
        <v>3568</v>
      </c>
      <c r="AN329" s="3441" t="s">
        <v>3680</v>
      </c>
      <c r="AO329" s="3441" t="s">
        <v>3568</v>
      </c>
      <c r="AP329" s="3469" t="s">
        <v>3476</v>
      </c>
      <c r="AQ329" s="3441" t="s">
        <v>3571</v>
      </c>
      <c r="AR329" s="3441"/>
      <c r="AS329" s="3441"/>
      <c r="AT329" s="3441"/>
      <c r="AU329" s="3441"/>
      <c r="AV329" s="3441"/>
      <c r="AW329" s="3441" t="s">
        <v>3572</v>
      </c>
      <c r="AX329" s="3441"/>
      <c r="AY329" s="3524" t="s">
        <v>6097</v>
      </c>
      <c r="AZ329" s="3441" t="s">
        <v>3563</v>
      </c>
      <c r="BA329" s="3441" t="s">
        <v>3574</v>
      </c>
      <c r="BB329" s="3524" t="s">
        <v>6098</v>
      </c>
      <c r="BC329" s="3441" t="s">
        <v>3576</v>
      </c>
      <c r="BD329" s="3525">
        <v>100037</v>
      </c>
      <c r="BE329" s="3441">
        <v>84050046</v>
      </c>
      <c r="BF329" s="3526">
        <v>2.8</v>
      </c>
      <c r="BG329" s="3518">
        <v>37691</v>
      </c>
      <c r="BH329" s="3441" t="s">
        <v>6099</v>
      </c>
      <c r="BI329" s="3441" t="s">
        <v>3476</v>
      </c>
      <c r="BJ329" s="3478">
        <v>37708</v>
      </c>
      <c r="BK329" s="3484">
        <v>37711</v>
      </c>
      <c r="BL329" s="3441" t="s">
        <v>3833</v>
      </c>
      <c r="BM329" s="3441"/>
      <c r="BN329" s="3441"/>
      <c r="BO329" s="3441"/>
      <c r="BP329" s="3441"/>
      <c r="BQ329" s="3441"/>
      <c r="BR329" s="3441"/>
      <c r="BS329" s="3470"/>
      <c r="BT329" s="3470"/>
      <c r="BU329" s="3470"/>
      <c r="BV329" s="3441"/>
      <c r="BW329" s="3441"/>
      <c r="BX329" s="3441"/>
      <c r="BY329" s="3441"/>
      <c r="BZ329" s="3441"/>
      <c r="CA329" s="3441"/>
      <c r="CB329" s="3441"/>
      <c r="CC329" s="3441"/>
      <c r="CD329" s="3441"/>
      <c r="CE329" s="3441"/>
      <c r="CF329" s="3441"/>
      <c r="CG329" s="3441"/>
      <c r="CH329" s="3441"/>
      <c r="CI329" s="3441"/>
      <c r="CJ329" s="3441"/>
      <c r="CK329" s="3441"/>
      <c r="CL329" s="3441"/>
      <c r="CM329" s="3441"/>
      <c r="CN329" s="3441"/>
      <c r="CO329" s="3441"/>
      <c r="CP329" s="3441"/>
      <c r="CQ329" s="3441"/>
      <c r="CR329" s="3441"/>
      <c r="CS329" s="3441"/>
      <c r="CT329" s="3441"/>
      <c r="CU329" s="3441"/>
      <c r="CV329" s="3441"/>
      <c r="CW329" s="3441"/>
      <c r="CX329" s="3441"/>
      <c r="CY329" s="3441"/>
      <c r="CZ329" s="3441"/>
      <c r="DA329" s="3441"/>
      <c r="DB329" s="3441"/>
      <c r="DC329" s="3441"/>
      <c r="DD329" s="3441"/>
      <c r="DE329" s="3441"/>
      <c r="DF329" s="3441"/>
      <c r="DG329" s="3441"/>
      <c r="DH329" s="3441"/>
      <c r="DI329" s="3441"/>
      <c r="DJ329" s="3441"/>
      <c r="DK329" s="3441"/>
      <c r="DL329" s="3441"/>
      <c r="DM329" s="3441"/>
      <c r="DN329" s="3441"/>
      <c r="DO329" s="3441"/>
      <c r="DP329" s="3441"/>
      <c r="DQ329" s="3441"/>
      <c r="DR329" s="3441"/>
      <c r="DS329" s="3441"/>
      <c r="DT329" s="3441"/>
      <c r="DU329" s="3441"/>
      <c r="DV329" s="3441"/>
      <c r="DW329" s="3441"/>
      <c r="DX329" s="3441"/>
      <c r="DY329" s="3441"/>
      <c r="DZ329" s="3441"/>
      <c r="EA329" s="3441"/>
      <c r="EB329" s="3441"/>
      <c r="EC329" s="3441"/>
      <c r="ED329" s="3441"/>
      <c r="EE329" s="3441"/>
      <c r="EF329" s="3441"/>
      <c r="EG329" s="3441"/>
      <c r="EH329" s="3441"/>
      <c r="EI329" s="3441"/>
      <c r="EJ329" s="3441"/>
      <c r="EK329" s="3441"/>
      <c r="EL329" s="3441"/>
      <c r="EM329" s="3441"/>
      <c r="EN329" s="3441"/>
      <c r="EO329" s="3441"/>
      <c r="EP329" s="3441"/>
      <c r="EQ329" s="3441"/>
      <c r="ER329" s="3441"/>
      <c r="ES329" s="3441"/>
      <c r="ET329" s="3441"/>
      <c r="EU329" s="3441"/>
      <c r="EV329" s="3441"/>
      <c r="EW329" s="3441"/>
      <c r="EX329" s="3441"/>
      <c r="EY329" s="3441"/>
      <c r="EZ329" s="3441"/>
      <c r="FA329" s="3441"/>
      <c r="FB329" s="3441"/>
      <c r="FC329" s="3441"/>
      <c r="FD329" s="3441"/>
      <c r="FE329" s="3441"/>
      <c r="FF329" s="3441"/>
      <c r="FG329" s="3441"/>
      <c r="FH329" s="3441"/>
      <c r="FI329" s="3441"/>
      <c r="FJ329" s="3441"/>
      <c r="FK329" s="3441"/>
      <c r="FL329" s="3441"/>
      <c r="FM329" s="3441"/>
      <c r="FN329" s="3441"/>
      <c r="FO329" s="3441"/>
      <c r="FP329" s="3441"/>
      <c r="FQ329" s="3441"/>
      <c r="FR329" s="3441"/>
      <c r="FS329" s="3441"/>
      <c r="FT329" s="3441"/>
      <c r="FU329" s="3441"/>
      <c r="FV329" s="3441"/>
      <c r="FW329" s="3441"/>
      <c r="FX329" s="3441"/>
      <c r="FY329" s="3441"/>
      <c r="FZ329" s="3441"/>
      <c r="GA329" s="3441"/>
      <c r="GB329" s="3441"/>
      <c r="GC329" s="3441"/>
      <c r="GD329" s="3441"/>
      <c r="GE329" s="3441"/>
      <c r="GF329" s="3441"/>
      <c r="GG329" s="3441"/>
      <c r="GH329" s="3441"/>
      <c r="GI329" s="3441"/>
      <c r="GJ329" s="3441"/>
      <c r="GK329" s="3441"/>
      <c r="GL329" s="3441"/>
      <c r="GM329" s="3441"/>
      <c r="GN329" s="3441"/>
      <c r="GO329" s="3441"/>
      <c r="GP329" s="3441"/>
      <c r="GQ329" s="3441"/>
      <c r="GR329" s="3441"/>
      <c r="GS329" s="3441"/>
      <c r="GT329" s="3441"/>
      <c r="GU329" s="3441"/>
      <c r="GV329" s="3441"/>
      <c r="GW329" s="3441"/>
      <c r="GX329" s="3441"/>
      <c r="GY329" s="3441"/>
      <c r="GZ329" s="3441"/>
      <c r="HA329" s="3441"/>
      <c r="HB329" s="3441"/>
      <c r="HC329" s="3441"/>
      <c r="HD329" s="3441"/>
      <c r="HE329" s="3441"/>
      <c r="HF329" s="3441"/>
      <c r="HG329" s="3441"/>
      <c r="HH329" s="3441"/>
      <c r="HI329" s="3441"/>
      <c r="HJ329" s="3441"/>
      <c r="HK329" s="3441"/>
      <c r="HL329" s="3441"/>
      <c r="HM329" s="3441"/>
      <c r="HN329" s="3441"/>
      <c r="HO329" s="3441"/>
      <c r="HP329" s="3441"/>
      <c r="HQ329" s="3441"/>
      <c r="HR329" s="3441"/>
      <c r="HS329" s="3441"/>
      <c r="HT329" s="3441"/>
      <c r="HU329" s="3441"/>
      <c r="HV329" s="3441"/>
      <c r="HW329" s="3441"/>
      <c r="HX329" s="3441"/>
      <c r="HY329" s="3441"/>
      <c r="HZ329" s="3441"/>
      <c r="IA329" s="3441"/>
      <c r="IB329" s="3441"/>
      <c r="IC329" s="3441"/>
      <c r="ID329" s="3441"/>
      <c r="IE329" s="3441"/>
      <c r="IF329" s="3441"/>
      <c r="IG329" s="3441"/>
      <c r="IH329" s="3441"/>
      <c r="II329" s="3441"/>
      <c r="IJ329" s="3441"/>
      <c r="IK329" s="3441"/>
      <c r="IL329" s="3441"/>
      <c r="IM329" s="3441"/>
      <c r="IN329" s="3441"/>
      <c r="IO329" s="3441"/>
      <c r="IP329" s="3441"/>
      <c r="IQ329" s="3441"/>
      <c r="IR329" s="3441"/>
      <c r="IS329" s="3441"/>
    </row>
    <row r="330" spans="1:253" s="3617" customFormat="1" hidden="1">
      <c r="A330" s="3485" t="s">
        <v>6100</v>
      </c>
      <c r="B330" s="3470" t="s">
        <v>6101</v>
      </c>
      <c r="C330" s="3454" t="s">
        <v>6102</v>
      </c>
      <c r="D330" s="3470">
        <v>13681285025</v>
      </c>
      <c r="E330" s="3470" t="s">
        <v>3763</v>
      </c>
      <c r="F330" s="3470" t="s">
        <v>5592</v>
      </c>
      <c r="G330" s="3470" t="s">
        <v>3715</v>
      </c>
      <c r="H330" s="3470" t="s">
        <v>6103</v>
      </c>
      <c r="I330" s="3453" t="s">
        <v>3676</v>
      </c>
      <c r="J330" s="3453" t="s">
        <v>4208</v>
      </c>
      <c r="K330" s="3470" t="s">
        <v>5586</v>
      </c>
      <c r="L330" s="3495">
        <v>98.22</v>
      </c>
      <c r="M330" s="3495">
        <v>8</v>
      </c>
      <c r="N330" s="3453" t="s">
        <v>3451</v>
      </c>
      <c r="O330" s="3495">
        <v>83.29</v>
      </c>
      <c r="P330" s="3470" t="s">
        <v>3452</v>
      </c>
      <c r="Q330" s="3457">
        <v>393862.2</v>
      </c>
      <c r="R330" s="3470">
        <v>4010</v>
      </c>
      <c r="S330" s="3472">
        <v>38.89</v>
      </c>
      <c r="T330" s="3527">
        <v>388900</v>
      </c>
      <c r="U330" s="3470">
        <v>3960</v>
      </c>
      <c r="V330" s="3474">
        <v>0.1</v>
      </c>
      <c r="W330" s="3475">
        <v>35</v>
      </c>
      <c r="X330" s="3473">
        <v>350000</v>
      </c>
      <c r="Y330" s="3441">
        <v>2003</v>
      </c>
      <c r="Z330" s="3441">
        <v>4</v>
      </c>
      <c r="AA330" s="3441">
        <v>22</v>
      </c>
      <c r="AB330" s="3485">
        <v>1940</v>
      </c>
      <c r="AC330" s="3453" t="s">
        <v>5110</v>
      </c>
      <c r="AD330" s="3470"/>
      <c r="AE330" s="3456" t="s">
        <v>3663</v>
      </c>
      <c r="AF330" s="3470" t="s">
        <v>6104</v>
      </c>
      <c r="AG330" s="3470" t="s">
        <v>3466</v>
      </c>
      <c r="AH330" s="3470"/>
      <c r="AI330" s="3470" t="s">
        <v>3664</v>
      </c>
      <c r="AJ330" s="3478">
        <v>38108</v>
      </c>
      <c r="AK330" s="3548">
        <v>4</v>
      </c>
      <c r="AL330" s="3495">
        <v>67641700</v>
      </c>
      <c r="AM330" s="3470"/>
      <c r="AN330" s="3441" t="s">
        <v>3680</v>
      </c>
      <c r="AO330" s="3441" t="s">
        <v>3715</v>
      </c>
      <c r="AP330" s="3456" t="s">
        <v>3476</v>
      </c>
      <c r="AQ330" s="3456" t="s">
        <v>3571</v>
      </c>
      <c r="AR330" s="3470"/>
      <c r="AS330" s="3470"/>
      <c r="AT330" s="3470"/>
      <c r="AU330" s="3470"/>
      <c r="AV330" s="3519"/>
      <c r="AW330" s="3470" t="s">
        <v>3572</v>
      </c>
      <c r="AX330" s="3470" t="s">
        <v>3588</v>
      </c>
      <c r="AY330" s="3495">
        <v>274415</v>
      </c>
      <c r="AZ330" s="3470" t="s">
        <v>5586</v>
      </c>
      <c r="BA330" s="3470" t="s">
        <v>5603</v>
      </c>
      <c r="BB330" s="3619">
        <v>1102281326100</v>
      </c>
      <c r="BC330" s="3470" t="s">
        <v>5604</v>
      </c>
      <c r="BD330" s="3470">
        <v>100055</v>
      </c>
      <c r="BE330" s="3470">
        <v>82951881</v>
      </c>
      <c r="BF330" s="3520">
        <v>2.8</v>
      </c>
      <c r="BG330" s="3478">
        <v>37705</v>
      </c>
      <c r="BH330" s="3470"/>
      <c r="BI330" s="3470" t="s">
        <v>3476</v>
      </c>
      <c r="BJ330" s="3514">
        <v>37732</v>
      </c>
      <c r="BK330" s="3478"/>
      <c r="BL330" s="3441" t="s">
        <v>3670</v>
      </c>
      <c r="BM330" s="3441"/>
      <c r="BN330" s="3441"/>
      <c r="BO330" s="3441"/>
      <c r="BP330" s="3441"/>
      <c r="BQ330" s="3441"/>
      <c r="BR330" s="3441"/>
      <c r="BS330" s="3470"/>
      <c r="BT330" s="3470"/>
      <c r="BU330" s="3470"/>
      <c r="BV330" s="3605"/>
      <c r="BW330" s="3605"/>
      <c r="BX330" s="3605"/>
      <c r="BY330" s="3605"/>
      <c r="BZ330" s="3605"/>
      <c r="CA330" s="3605"/>
      <c r="CB330" s="3605"/>
      <c r="CC330" s="3605"/>
      <c r="CD330" s="3605"/>
      <c r="CE330" s="3605"/>
      <c r="CF330" s="3605"/>
      <c r="CG330" s="3605"/>
      <c r="CH330" s="3605"/>
      <c r="CI330" s="3605"/>
      <c r="CJ330" s="3605"/>
      <c r="CK330" s="3605"/>
      <c r="CL330" s="3605"/>
      <c r="CM330" s="3605"/>
      <c r="CN330" s="3605"/>
      <c r="CO330" s="3605"/>
      <c r="CP330" s="3605"/>
      <c r="CQ330" s="3605"/>
      <c r="CR330" s="3605"/>
      <c r="CS330" s="3605"/>
      <c r="CT330" s="3605"/>
      <c r="CU330" s="3605"/>
      <c r="CV330" s="3605"/>
      <c r="CW330" s="3605"/>
      <c r="CX330" s="3605"/>
      <c r="CY330" s="3605"/>
      <c r="CZ330" s="3605"/>
      <c r="DA330" s="3605"/>
      <c r="DB330" s="3605"/>
      <c r="DC330" s="3605"/>
      <c r="DD330" s="3605"/>
      <c r="DE330" s="3605"/>
      <c r="DF330" s="3605"/>
      <c r="DG330" s="3605"/>
      <c r="DH330" s="3605"/>
      <c r="DI330" s="3605"/>
      <c r="DJ330" s="3605"/>
      <c r="DK330" s="3605"/>
      <c r="DL330" s="3605"/>
      <c r="DM330" s="3605"/>
      <c r="DN330" s="3605"/>
      <c r="DO330" s="3605"/>
      <c r="DP330" s="3605"/>
      <c r="DQ330" s="3605"/>
      <c r="DR330" s="3605"/>
      <c r="DS330" s="3605"/>
      <c r="DT330" s="3605"/>
      <c r="DU330" s="3605"/>
      <c r="DV330" s="3605"/>
      <c r="DW330" s="3605"/>
      <c r="DX330" s="3605"/>
      <c r="DY330" s="3605"/>
      <c r="DZ330" s="3605"/>
      <c r="EA330" s="3605"/>
      <c r="EB330" s="3605"/>
      <c r="EC330" s="3605"/>
      <c r="ED330" s="3605"/>
      <c r="EE330" s="3605"/>
      <c r="EF330" s="3605"/>
      <c r="EG330" s="3605"/>
      <c r="EH330" s="3605"/>
      <c r="EI330" s="3605"/>
      <c r="EJ330" s="3605"/>
      <c r="EK330" s="3605"/>
      <c r="EL330" s="3605"/>
      <c r="EM330" s="3605"/>
      <c r="EN330" s="3605"/>
      <c r="EO330" s="3605"/>
      <c r="EP330" s="3605"/>
      <c r="EQ330" s="3605"/>
      <c r="ER330" s="3605"/>
      <c r="ES330" s="3605"/>
      <c r="ET330" s="3605"/>
      <c r="EU330" s="3605"/>
      <c r="EV330" s="3605"/>
      <c r="EW330" s="3605"/>
      <c r="EX330" s="3605"/>
      <c r="EY330" s="3605"/>
      <c r="EZ330" s="3605"/>
      <c r="FA330" s="3605"/>
      <c r="FB330" s="3605"/>
      <c r="FC330" s="3605"/>
      <c r="FD330" s="3605"/>
      <c r="FE330" s="3605"/>
      <c r="FF330" s="3605"/>
      <c r="FG330" s="3605"/>
      <c r="FH330" s="3605"/>
      <c r="FI330" s="3605"/>
      <c r="FJ330" s="3605"/>
      <c r="FK330" s="3605"/>
      <c r="FL330" s="3605"/>
      <c r="FM330" s="3605"/>
      <c r="FN330" s="3605"/>
      <c r="FO330" s="3605"/>
      <c r="FP330" s="3605"/>
      <c r="FQ330" s="3605"/>
      <c r="FR330" s="3605"/>
      <c r="FS330" s="3605"/>
      <c r="FT330" s="3605"/>
      <c r="FU330" s="3605"/>
      <c r="FV330" s="3605"/>
      <c r="FW330" s="3605"/>
      <c r="FX330" s="3605"/>
      <c r="FY330" s="3605"/>
      <c r="FZ330" s="3605"/>
      <c r="GA330" s="3605"/>
      <c r="GB330" s="3605"/>
      <c r="GC330" s="3605"/>
      <c r="GD330" s="3605"/>
      <c r="GE330" s="3605"/>
      <c r="GF330" s="3605"/>
      <c r="GG330" s="3605"/>
      <c r="GH330" s="3605"/>
      <c r="GI330" s="3605"/>
      <c r="GJ330" s="3605"/>
      <c r="GK330" s="3605"/>
      <c r="GL330" s="3605"/>
      <c r="GM330" s="3605"/>
      <c r="GN330" s="3605"/>
      <c r="GO330" s="3605"/>
      <c r="GP330" s="3605"/>
      <c r="GQ330" s="3605"/>
      <c r="GR330" s="3605"/>
      <c r="GS330" s="3605"/>
      <c r="GT330" s="3605"/>
      <c r="GU330" s="3605"/>
      <c r="GV330" s="3605"/>
      <c r="GW330" s="3605"/>
      <c r="GX330" s="3605"/>
      <c r="GY330" s="3605"/>
      <c r="GZ330" s="3605"/>
      <c r="HA330" s="3605"/>
      <c r="HB330" s="3605"/>
      <c r="HC330" s="3605"/>
      <c r="HD330" s="3605"/>
      <c r="HE330" s="3605"/>
      <c r="HF330" s="3605"/>
      <c r="HG330" s="3605"/>
      <c r="HH330" s="3605"/>
      <c r="HI330" s="3605"/>
      <c r="HJ330" s="3605"/>
      <c r="HK330" s="3605"/>
      <c r="HL330" s="3605"/>
      <c r="HM330" s="3605"/>
      <c r="HN330" s="3605"/>
      <c r="HO330" s="3605"/>
      <c r="HP330" s="3605"/>
      <c r="HQ330" s="3605"/>
      <c r="HR330" s="3605"/>
      <c r="HS330" s="3605"/>
      <c r="HT330" s="3605"/>
      <c r="HU330" s="3605"/>
      <c r="HV330" s="3605"/>
      <c r="HW330" s="3605"/>
      <c r="HX330" s="3605"/>
      <c r="HY330" s="3605"/>
      <c r="HZ330" s="3605"/>
      <c r="IA330" s="3605"/>
      <c r="IB330" s="3605"/>
      <c r="IC330" s="3605"/>
      <c r="ID330" s="3605"/>
      <c r="IE330" s="3605"/>
      <c r="IF330" s="3605"/>
      <c r="IG330" s="3605"/>
      <c r="IH330" s="3605"/>
      <c r="II330" s="3605"/>
      <c r="IJ330" s="3605"/>
      <c r="IK330" s="3605"/>
      <c r="IL330" s="3605"/>
      <c r="IM330" s="3605"/>
      <c r="IN330" s="3605"/>
      <c r="IO330" s="3605"/>
      <c r="IP330" s="3605"/>
      <c r="IQ330" s="3605"/>
      <c r="IR330" s="3605"/>
      <c r="IS330" s="3605"/>
    </row>
    <row r="331" spans="1:253" s="3470" customFormat="1" ht="12" hidden="1">
      <c r="A331" s="3485" t="s">
        <v>6105</v>
      </c>
      <c r="B331" s="3470" t="s">
        <v>6106</v>
      </c>
      <c r="C331" s="3454" t="s">
        <v>6107</v>
      </c>
      <c r="D331" s="3453">
        <v>13661168867</v>
      </c>
      <c r="E331" s="3470" t="s">
        <v>2736</v>
      </c>
      <c r="F331" s="3470" t="s">
        <v>5583</v>
      </c>
      <c r="G331" s="3470" t="s">
        <v>3715</v>
      </c>
      <c r="H331" s="3470" t="s">
        <v>6004</v>
      </c>
      <c r="I331" s="3453" t="s">
        <v>3676</v>
      </c>
      <c r="J331" s="3453" t="s">
        <v>5452</v>
      </c>
      <c r="K331" s="3470" t="s">
        <v>5584</v>
      </c>
      <c r="L331" s="3495">
        <v>90.69</v>
      </c>
      <c r="M331" s="3495">
        <v>4</v>
      </c>
      <c r="N331" s="3453" t="s">
        <v>3709</v>
      </c>
      <c r="O331" s="3495">
        <v>80.64</v>
      </c>
      <c r="P331" s="3470" t="s">
        <v>3452</v>
      </c>
      <c r="Q331" s="3457">
        <v>340087.5</v>
      </c>
      <c r="R331" s="3470">
        <v>3750</v>
      </c>
      <c r="S331" s="3472">
        <v>33.57</v>
      </c>
      <c r="T331" s="3527">
        <v>335700</v>
      </c>
      <c r="U331" s="3470">
        <v>3702</v>
      </c>
      <c r="V331" s="3474">
        <v>0.1</v>
      </c>
      <c r="W331" s="3475">
        <v>30.21</v>
      </c>
      <c r="X331" s="3473">
        <v>302100</v>
      </c>
      <c r="Y331" s="3441">
        <v>2003</v>
      </c>
      <c r="Z331" s="3441">
        <v>5</v>
      </c>
      <c r="AA331" s="3441">
        <v>14</v>
      </c>
      <c r="AB331" s="3485">
        <v>1675</v>
      </c>
      <c r="AC331" s="3453" t="s">
        <v>4044</v>
      </c>
      <c r="AE331" s="3456" t="s">
        <v>3663</v>
      </c>
      <c r="AF331" s="3470" t="s">
        <v>6104</v>
      </c>
      <c r="AG331" s="3470" t="s">
        <v>3466</v>
      </c>
      <c r="AI331" s="3470" t="s">
        <v>3664</v>
      </c>
      <c r="AJ331" s="3478">
        <v>38108</v>
      </c>
      <c r="AK331" s="3548">
        <v>5</v>
      </c>
      <c r="AL331" s="3495">
        <v>67641700</v>
      </c>
      <c r="AN331" s="3469" t="s">
        <v>3468</v>
      </c>
      <c r="AO331" s="3453" t="s">
        <v>6108</v>
      </c>
      <c r="AP331" s="3470" t="s">
        <v>2153</v>
      </c>
      <c r="AQ331" s="3456" t="s">
        <v>3571</v>
      </c>
      <c r="AV331" s="3519"/>
      <c r="AW331" s="3470" t="s">
        <v>3572</v>
      </c>
      <c r="AX331" s="3470" t="s">
        <v>2420</v>
      </c>
      <c r="AY331" s="3495">
        <v>274463</v>
      </c>
      <c r="AZ331" s="3470" t="s">
        <v>5586</v>
      </c>
      <c r="BA331" s="3470" t="s">
        <v>5595</v>
      </c>
      <c r="BB331" s="3619">
        <v>1102281326100</v>
      </c>
      <c r="BC331" s="3470" t="s">
        <v>5596</v>
      </c>
      <c r="BD331" s="3470">
        <v>100055</v>
      </c>
      <c r="BE331" s="3470">
        <v>82951881</v>
      </c>
      <c r="BF331" s="3520">
        <v>2.8</v>
      </c>
      <c r="BG331" s="3478">
        <v>37727</v>
      </c>
      <c r="BH331" s="3470" t="s">
        <v>3437</v>
      </c>
      <c r="BI331" s="3470" t="s">
        <v>6109</v>
      </c>
      <c r="BJ331" s="3514">
        <v>37748</v>
      </c>
      <c r="BK331" s="3478"/>
      <c r="BL331" s="3441" t="s">
        <v>3670</v>
      </c>
      <c r="BM331" s="3441"/>
      <c r="BN331" s="3441"/>
      <c r="BO331" s="3441"/>
      <c r="BP331" s="3441"/>
      <c r="BQ331" s="3441"/>
      <c r="BR331" s="3441"/>
    </row>
    <row r="332" spans="1:253" s="3565" customFormat="1" hidden="1">
      <c r="A332" s="3470" t="s">
        <v>6110</v>
      </c>
      <c r="B332" s="3470" t="s">
        <v>6111</v>
      </c>
      <c r="C332" s="3454" t="s">
        <v>6112</v>
      </c>
      <c r="D332" s="3470">
        <v>13693219486</v>
      </c>
      <c r="E332" s="3470" t="s">
        <v>3763</v>
      </c>
      <c r="F332" s="3470" t="s">
        <v>6113</v>
      </c>
      <c r="G332" s="3470" t="s">
        <v>2420</v>
      </c>
      <c r="H332" s="3470" t="s">
        <v>6114</v>
      </c>
      <c r="I332" s="3453" t="s">
        <v>3615</v>
      </c>
      <c r="J332" s="3453" t="s">
        <v>4325</v>
      </c>
      <c r="K332" s="3470" t="s">
        <v>5586</v>
      </c>
      <c r="L332" s="3495">
        <v>117.1</v>
      </c>
      <c r="M332" s="3495">
        <v>5</v>
      </c>
      <c r="N332" s="3453" t="s">
        <v>3488</v>
      </c>
      <c r="O332" s="3495">
        <v>105.92</v>
      </c>
      <c r="P332" s="3470" t="s">
        <v>3452</v>
      </c>
      <c r="Q332" s="3457">
        <v>468400</v>
      </c>
      <c r="R332" s="3470">
        <v>4000</v>
      </c>
      <c r="S332" s="3472">
        <v>46.25</v>
      </c>
      <c r="T332" s="3527">
        <v>462500</v>
      </c>
      <c r="U332" s="3470">
        <v>3950</v>
      </c>
      <c r="V332" s="3474">
        <v>0.1</v>
      </c>
      <c r="W332" s="3475">
        <v>41.62</v>
      </c>
      <c r="X332" s="3473">
        <v>416200</v>
      </c>
      <c r="Y332" s="3441">
        <v>2003</v>
      </c>
      <c r="Z332" s="3441">
        <v>4</v>
      </c>
      <c r="AA332" s="3441">
        <v>29</v>
      </c>
      <c r="AB332" s="3485">
        <v>2310</v>
      </c>
      <c r="AC332" s="3470" t="s">
        <v>3544</v>
      </c>
      <c r="AD332" s="3470"/>
      <c r="AE332" s="3456" t="s">
        <v>3663</v>
      </c>
      <c r="AF332" s="3470" t="s">
        <v>6115</v>
      </c>
      <c r="AG332" s="3470" t="s">
        <v>3466</v>
      </c>
      <c r="AH332" s="3470"/>
      <c r="AI332" s="3470" t="s">
        <v>3664</v>
      </c>
      <c r="AJ332" s="3478">
        <v>38108</v>
      </c>
      <c r="AK332" s="3548">
        <v>4</v>
      </c>
      <c r="AL332" s="3495">
        <v>67641700</v>
      </c>
      <c r="AM332" s="3470"/>
      <c r="AN332" s="3456" t="s">
        <v>3487</v>
      </c>
      <c r="AO332" s="3470" t="s">
        <v>6116</v>
      </c>
      <c r="AP332" s="3456" t="s">
        <v>3713</v>
      </c>
      <c r="AQ332" s="3456" t="s">
        <v>3571</v>
      </c>
      <c r="AR332" s="3470"/>
      <c r="AS332" s="3470"/>
      <c r="AT332" s="3470"/>
      <c r="AU332" s="3470"/>
      <c r="AV332" s="3519"/>
      <c r="AW332" s="3470" t="s">
        <v>3572</v>
      </c>
      <c r="AX332" s="3470" t="s">
        <v>2420</v>
      </c>
      <c r="AY332" s="3495">
        <v>274461</v>
      </c>
      <c r="AZ332" s="3463" t="s">
        <v>6117</v>
      </c>
      <c r="BA332" s="3470" t="s">
        <v>5587</v>
      </c>
      <c r="BB332" s="3619">
        <v>1102281326100</v>
      </c>
      <c r="BC332" s="3470" t="s">
        <v>5604</v>
      </c>
      <c r="BD332" s="3470">
        <v>100055</v>
      </c>
      <c r="BE332" s="3470">
        <v>82951881</v>
      </c>
      <c r="BF332" s="3520">
        <v>2.8</v>
      </c>
      <c r="BG332" s="3478">
        <v>37727</v>
      </c>
      <c r="BH332" s="3470"/>
      <c r="BI332" s="3486" t="s">
        <v>3896</v>
      </c>
      <c r="BJ332" s="3484">
        <v>37739</v>
      </c>
      <c r="BK332" s="3478"/>
      <c r="BL332" s="3441" t="s">
        <v>3670</v>
      </c>
      <c r="BM332" s="3441"/>
      <c r="BN332" s="3441"/>
      <c r="BO332" s="3441"/>
      <c r="BP332" s="3441"/>
      <c r="BQ332" s="3441"/>
      <c r="BR332" s="3441"/>
      <c r="BS332" s="3470"/>
      <c r="BT332" s="3470"/>
      <c r="BU332" s="3470"/>
      <c r="BV332" s="3470"/>
      <c r="BW332" s="3470"/>
      <c r="BX332" s="3470"/>
      <c r="BY332" s="3470"/>
      <c r="BZ332" s="3470"/>
      <c r="CA332" s="3470"/>
      <c r="CB332" s="3470"/>
      <c r="CC332" s="3470"/>
      <c r="CD332" s="3470"/>
      <c r="CE332" s="3470"/>
      <c r="CF332" s="3470"/>
      <c r="CG332" s="3470"/>
      <c r="CH332" s="3470"/>
      <c r="CI332" s="3470"/>
      <c r="CJ332" s="3470"/>
      <c r="CK332" s="3470"/>
      <c r="CL332" s="3470"/>
      <c r="CM332" s="3470"/>
      <c r="CN332" s="3470"/>
      <c r="CO332" s="3470"/>
      <c r="CP332" s="3470"/>
      <c r="CQ332" s="3470"/>
      <c r="CR332" s="3470"/>
      <c r="CS332" s="3470"/>
      <c r="CT332" s="3470"/>
      <c r="CU332" s="3470"/>
      <c r="CV332" s="3470"/>
      <c r="CW332" s="3470"/>
      <c r="CX332" s="3470"/>
      <c r="CY332" s="3470"/>
      <c r="CZ332" s="3470"/>
      <c r="DA332" s="3470"/>
      <c r="DB332" s="3470"/>
      <c r="DC332" s="3470"/>
      <c r="DD332" s="3470"/>
      <c r="DE332" s="3470"/>
      <c r="DF332" s="3470"/>
      <c r="DG332" s="3470"/>
      <c r="DH332" s="3470"/>
      <c r="DI332" s="3470"/>
      <c r="DJ332" s="3470"/>
      <c r="DK332" s="3470"/>
      <c r="DL332" s="3470"/>
      <c r="DM332" s="3470"/>
      <c r="DN332" s="3470"/>
      <c r="DO332" s="3470"/>
      <c r="DP332" s="3470"/>
      <c r="DQ332" s="3470"/>
      <c r="DR332" s="3470"/>
      <c r="DS332" s="3470"/>
      <c r="DT332" s="3470"/>
      <c r="DU332" s="3470"/>
      <c r="DV332" s="3470"/>
      <c r="DW332" s="3470"/>
      <c r="DX332" s="3470"/>
      <c r="DY332" s="3470"/>
      <c r="DZ332" s="3470"/>
      <c r="EA332" s="3470"/>
      <c r="EB332" s="3470"/>
      <c r="EC332" s="3470"/>
      <c r="ED332" s="3470"/>
      <c r="EE332" s="3470"/>
      <c r="EF332" s="3470"/>
      <c r="EG332" s="3470"/>
      <c r="EH332" s="3470"/>
      <c r="EI332" s="3470"/>
      <c r="EJ332" s="3470"/>
      <c r="EK332" s="3470"/>
      <c r="EL332" s="3470"/>
      <c r="EM332" s="3470"/>
      <c r="EN332" s="3470"/>
      <c r="EO332" s="3470"/>
      <c r="EP332" s="3470"/>
      <c r="EQ332" s="3470"/>
      <c r="ER332" s="3470"/>
      <c r="ES332" s="3470"/>
      <c r="ET332" s="3470"/>
      <c r="EU332" s="3470"/>
      <c r="EV332" s="3470"/>
      <c r="EW332" s="3470"/>
      <c r="EX332" s="3470"/>
      <c r="EY332" s="3470"/>
      <c r="EZ332" s="3470"/>
      <c r="FA332" s="3470"/>
      <c r="FB332" s="3470"/>
      <c r="FC332" s="3470"/>
      <c r="FD332" s="3470"/>
      <c r="FE332" s="3470"/>
      <c r="FF332" s="3470"/>
      <c r="FG332" s="3470"/>
      <c r="FH332" s="3470"/>
      <c r="FI332" s="3470"/>
      <c r="FJ332" s="3470"/>
      <c r="FK332" s="3470"/>
      <c r="FL332" s="3470"/>
      <c r="FM332" s="3470"/>
      <c r="FN332" s="3470"/>
      <c r="FO332" s="3470"/>
      <c r="FP332" s="3470"/>
      <c r="FQ332" s="3470"/>
      <c r="FR332" s="3470"/>
      <c r="FS332" s="3470"/>
      <c r="FT332" s="3470"/>
      <c r="FU332" s="3470"/>
      <c r="FV332" s="3470"/>
      <c r="FW332" s="3470"/>
      <c r="FX332" s="3470"/>
      <c r="FY332" s="3470"/>
      <c r="FZ332" s="3470"/>
      <c r="GA332" s="3470"/>
      <c r="GB332" s="3470"/>
      <c r="GC332" s="3470"/>
      <c r="GD332" s="3470"/>
      <c r="GE332" s="3470"/>
      <c r="GF332" s="3470"/>
      <c r="GG332" s="3470"/>
      <c r="GH332" s="3470"/>
      <c r="GI332" s="3470"/>
      <c r="GJ332" s="3470"/>
      <c r="GK332" s="3470"/>
      <c r="GL332" s="3470"/>
      <c r="GM332" s="3470"/>
      <c r="GN332" s="3470"/>
      <c r="GO332" s="3470"/>
      <c r="GP332" s="3470"/>
      <c r="GQ332" s="3470"/>
      <c r="GR332" s="3470"/>
      <c r="GS332" s="3470"/>
      <c r="GT332" s="3470"/>
      <c r="GU332" s="3470"/>
      <c r="GV332" s="3470"/>
      <c r="GW332" s="3470"/>
      <c r="GX332" s="3470"/>
      <c r="GY332" s="3470"/>
      <c r="GZ332" s="3470"/>
      <c r="HA332" s="3470"/>
      <c r="HB332" s="3470"/>
      <c r="HC332" s="3470"/>
      <c r="HD332" s="3470"/>
      <c r="HE332" s="3470"/>
      <c r="HF332" s="3470"/>
      <c r="HG332" s="3470"/>
      <c r="HH332" s="3470"/>
      <c r="HI332" s="3470"/>
      <c r="HJ332" s="3470"/>
      <c r="HK332" s="3470"/>
      <c r="HL332" s="3470"/>
      <c r="HM332" s="3470"/>
      <c r="HN332" s="3470"/>
      <c r="HO332" s="3470"/>
      <c r="HP332" s="3470"/>
      <c r="HQ332" s="3470"/>
      <c r="HR332" s="3470"/>
      <c r="HS332" s="3470"/>
      <c r="HT332" s="3470"/>
      <c r="HU332" s="3470"/>
      <c r="HV332" s="3470"/>
      <c r="HW332" s="3470"/>
      <c r="HX332" s="3470"/>
      <c r="HY332" s="3470"/>
      <c r="HZ332" s="3470"/>
      <c r="IA332" s="3470"/>
      <c r="IB332" s="3470"/>
      <c r="IC332" s="3470"/>
      <c r="ID332" s="3470"/>
      <c r="IE332" s="3470"/>
      <c r="IF332" s="3470"/>
      <c r="IG332" s="3470"/>
      <c r="IH332" s="3470"/>
      <c r="II332" s="3470"/>
      <c r="IJ332" s="3470"/>
      <c r="IK332" s="3470"/>
      <c r="IL332" s="3470"/>
      <c r="IM332" s="3470"/>
      <c r="IN332" s="3470"/>
      <c r="IO332" s="3470"/>
      <c r="IP332" s="3470"/>
      <c r="IQ332" s="3470"/>
      <c r="IR332" s="3470"/>
      <c r="IS332" s="3470"/>
    </row>
    <row r="333" spans="1:253" s="3470" customFormat="1" ht="12" hidden="1">
      <c r="A333" s="3485" t="s">
        <v>6118</v>
      </c>
      <c r="B333" s="3470" t="s">
        <v>6119</v>
      </c>
      <c r="C333" s="3481" t="s">
        <v>6120</v>
      </c>
      <c r="D333" s="3453">
        <v>13501350678</v>
      </c>
      <c r="E333" s="3470" t="s">
        <v>2736</v>
      </c>
      <c r="F333" s="3470" t="s">
        <v>6121</v>
      </c>
      <c r="H333" s="3453" t="s">
        <v>6122</v>
      </c>
      <c r="I333" s="3453" t="s">
        <v>3992</v>
      </c>
      <c r="J333" s="3453" t="s">
        <v>6123</v>
      </c>
      <c r="K333" s="3470" t="s">
        <v>6124</v>
      </c>
      <c r="L333" s="3495">
        <v>57.67</v>
      </c>
      <c r="M333" s="3495">
        <v>5</v>
      </c>
      <c r="N333" s="3470" t="s">
        <v>3584</v>
      </c>
      <c r="O333" s="3495">
        <v>45.96</v>
      </c>
      <c r="P333" s="3470" t="s">
        <v>3452</v>
      </c>
      <c r="Q333" s="3457">
        <v>508363.93349999998</v>
      </c>
      <c r="R333" s="3495">
        <v>8815.0499999999993</v>
      </c>
      <c r="S333" s="3472">
        <v>50.4</v>
      </c>
      <c r="T333" s="3527">
        <v>504000</v>
      </c>
      <c r="U333" s="3470">
        <v>8740</v>
      </c>
      <c r="V333" s="3474">
        <v>0.1</v>
      </c>
      <c r="W333" s="3475">
        <v>45.36</v>
      </c>
      <c r="X333" s="3476">
        <v>453600</v>
      </c>
      <c r="Y333" s="3470">
        <v>2003</v>
      </c>
      <c r="Z333" s="3441">
        <v>5</v>
      </c>
      <c r="AA333" s="3470">
        <v>9</v>
      </c>
      <c r="AB333" s="3477">
        <v>2520</v>
      </c>
      <c r="AC333" s="3470" t="s">
        <v>6125</v>
      </c>
      <c r="AE333" s="3456" t="s">
        <v>3663</v>
      </c>
      <c r="AF333" s="3470" t="s">
        <v>3728</v>
      </c>
      <c r="AG333" s="3470" t="s">
        <v>3466</v>
      </c>
      <c r="AI333" s="3470" t="s">
        <v>3664</v>
      </c>
      <c r="AJ333" s="3478">
        <v>37864</v>
      </c>
      <c r="AK333" s="3500">
        <v>5</v>
      </c>
      <c r="AL333" s="3495">
        <v>67641700</v>
      </c>
      <c r="AN333" s="3456" t="s">
        <v>3456</v>
      </c>
      <c r="AP333" s="3456" t="s">
        <v>3476</v>
      </c>
      <c r="AQ333" s="3456" t="s">
        <v>3571</v>
      </c>
      <c r="AV333" s="3519"/>
      <c r="AW333" s="3441" t="s">
        <v>3572</v>
      </c>
      <c r="AY333" s="3495">
        <v>235540</v>
      </c>
      <c r="AZ333" s="3470" t="s">
        <v>6126</v>
      </c>
      <c r="BA333" s="3470" t="s">
        <v>6127</v>
      </c>
      <c r="BB333" s="3481" t="s">
        <v>6128</v>
      </c>
      <c r="BC333" s="3470" t="s">
        <v>6129</v>
      </c>
      <c r="BD333" s="3470">
        <v>100089</v>
      </c>
      <c r="BE333" s="3470">
        <v>62637089</v>
      </c>
      <c r="BF333" s="3520">
        <v>3.2</v>
      </c>
      <c r="BG333" s="3478">
        <v>37678</v>
      </c>
      <c r="BH333" s="3470" t="s">
        <v>6130</v>
      </c>
      <c r="BI333" s="3441" t="s">
        <v>3476</v>
      </c>
      <c r="BJ333" s="3478">
        <v>37729</v>
      </c>
      <c r="BL333" s="3470" t="s">
        <v>3670</v>
      </c>
      <c r="BM333" s="3441"/>
      <c r="BN333" s="3441"/>
      <c r="BO333" s="3441"/>
      <c r="BP333" s="3441"/>
      <c r="BQ333" s="3441"/>
      <c r="BR333" s="3441"/>
    </row>
    <row r="334" spans="1:253" s="3617" customFormat="1" hidden="1">
      <c r="A334" s="3470" t="s">
        <v>6131</v>
      </c>
      <c r="B334" s="3470" t="s">
        <v>6132</v>
      </c>
      <c r="C334" s="3481" t="s">
        <v>6133</v>
      </c>
      <c r="D334" s="3481" t="s">
        <v>6134</v>
      </c>
      <c r="E334" s="3470" t="s">
        <v>2736</v>
      </c>
      <c r="F334" s="3528" t="s">
        <v>5910</v>
      </c>
      <c r="G334" s="3470"/>
      <c r="H334" s="3470" t="s">
        <v>3952</v>
      </c>
      <c r="I334" s="3470" t="s">
        <v>4433</v>
      </c>
      <c r="J334" s="3481" t="s">
        <v>4549</v>
      </c>
      <c r="K334" s="3470" t="s">
        <v>4286</v>
      </c>
      <c r="L334" s="3470">
        <v>100.02</v>
      </c>
      <c r="M334" s="3470">
        <v>3</v>
      </c>
      <c r="N334" s="3470" t="s">
        <v>4043</v>
      </c>
      <c r="O334" s="3470">
        <v>90.66</v>
      </c>
      <c r="P334" s="3470" t="s">
        <v>4222</v>
      </c>
      <c r="Q334" s="3510">
        <v>558111.6</v>
      </c>
      <c r="R334" s="3470">
        <v>5580</v>
      </c>
      <c r="S334" s="3472">
        <v>55.28</v>
      </c>
      <c r="T334" s="3527">
        <v>552800</v>
      </c>
      <c r="U334" s="3495">
        <v>5527</v>
      </c>
      <c r="V334" s="3512">
        <v>0.1</v>
      </c>
      <c r="W334" s="3475">
        <v>49.75</v>
      </c>
      <c r="X334" s="3473">
        <v>497500</v>
      </c>
      <c r="Y334" s="3470">
        <v>2003</v>
      </c>
      <c r="Z334" s="3515">
        <v>4</v>
      </c>
      <c r="AA334" s="3515">
        <v>22</v>
      </c>
      <c r="AB334" s="3485">
        <v>2760</v>
      </c>
      <c r="AC334" s="3470" t="s">
        <v>3648</v>
      </c>
      <c r="AD334" s="3485"/>
      <c r="AE334" s="3497" t="s">
        <v>3663</v>
      </c>
      <c r="AF334" s="3470" t="s">
        <v>4152</v>
      </c>
      <c r="AG334" s="3522" t="s">
        <v>3454</v>
      </c>
      <c r="AH334" s="3485"/>
      <c r="AI334" s="3470" t="s">
        <v>4955</v>
      </c>
      <c r="AJ334" s="3523">
        <v>38078</v>
      </c>
      <c r="AK334" s="3500">
        <v>4</v>
      </c>
      <c r="AL334" s="3501">
        <v>67641700</v>
      </c>
      <c r="AM334" s="3441"/>
      <c r="AN334" s="3480" t="s">
        <v>3484</v>
      </c>
      <c r="AO334" s="3441"/>
      <c r="AP334" s="3456" t="s">
        <v>3476</v>
      </c>
      <c r="AQ334" s="3441" t="s">
        <v>3571</v>
      </c>
      <c r="AR334" s="3441"/>
      <c r="AS334" s="3441"/>
      <c r="AT334" s="3441"/>
      <c r="AU334" s="3441"/>
      <c r="AV334" s="3441"/>
      <c r="AW334" s="3470" t="s">
        <v>3572</v>
      </c>
      <c r="AX334" s="3484" t="s">
        <v>2511</v>
      </c>
      <c r="AY334" s="3441">
        <v>282013</v>
      </c>
      <c r="AZ334" s="3441" t="s">
        <v>5911</v>
      </c>
      <c r="BA334" s="3441" t="s">
        <v>4287</v>
      </c>
      <c r="BB334" s="3524" t="s">
        <v>4515</v>
      </c>
      <c r="BC334" s="3441" t="s">
        <v>6135</v>
      </c>
      <c r="BD334" s="3441">
        <v>100873</v>
      </c>
      <c r="BE334" s="3441">
        <v>68498961</v>
      </c>
      <c r="BF334" s="3441">
        <v>2.8</v>
      </c>
      <c r="BG334" s="3518">
        <v>37710</v>
      </c>
      <c r="BH334" s="3470"/>
      <c r="BI334" s="3441" t="s">
        <v>3475</v>
      </c>
      <c r="BJ334" s="3484">
        <v>37728</v>
      </c>
      <c r="BK334" s="3518"/>
      <c r="BL334" s="3441" t="s">
        <v>3594</v>
      </c>
      <c r="BM334" s="3441"/>
      <c r="BN334" s="3441"/>
      <c r="BO334" s="3441"/>
      <c r="BP334" s="3441"/>
      <c r="BQ334" s="3441"/>
      <c r="BR334" s="3441"/>
      <c r="BS334" s="3470"/>
      <c r="BT334" s="3470"/>
      <c r="BU334" s="3470"/>
      <c r="BV334" s="3604"/>
      <c r="BW334" s="3604"/>
      <c r="BX334" s="3604"/>
      <c r="BY334" s="3604"/>
      <c r="BZ334" s="3604"/>
      <c r="CA334" s="3604"/>
      <c r="CB334" s="3604"/>
      <c r="CC334" s="3604"/>
      <c r="CD334" s="3604"/>
      <c r="CE334" s="3604"/>
      <c r="CF334" s="3604"/>
      <c r="CG334" s="3604"/>
      <c r="CH334" s="3604"/>
      <c r="CI334" s="3604"/>
      <c r="CJ334" s="3604"/>
      <c r="CK334" s="3604"/>
      <c r="CL334" s="3604"/>
      <c r="CM334" s="3604"/>
      <c r="CN334" s="3604"/>
      <c r="CO334" s="3604"/>
      <c r="CP334" s="3604"/>
      <c r="CQ334" s="3604"/>
      <c r="CR334" s="3604"/>
      <c r="CS334" s="3604"/>
      <c r="CT334" s="3604"/>
      <c r="CU334" s="3604"/>
      <c r="CV334" s="3604"/>
      <c r="CW334" s="3604"/>
      <c r="CX334" s="3604"/>
      <c r="CY334" s="3604"/>
      <c r="CZ334" s="3604"/>
      <c r="DA334" s="3604"/>
      <c r="DB334" s="3604"/>
      <c r="DC334" s="3604"/>
      <c r="DD334" s="3604"/>
      <c r="DE334" s="3604"/>
      <c r="DF334" s="3604"/>
      <c r="DG334" s="3604"/>
      <c r="DH334" s="3604"/>
      <c r="DI334" s="3604"/>
      <c r="DJ334" s="3604"/>
      <c r="DK334" s="3604"/>
      <c r="DL334" s="3604"/>
      <c r="DM334" s="3604"/>
      <c r="DN334" s="3604"/>
      <c r="DO334" s="3604"/>
      <c r="DP334" s="3604"/>
      <c r="DQ334" s="3604"/>
      <c r="DR334" s="3604"/>
      <c r="DS334" s="3604"/>
      <c r="DT334" s="3604"/>
      <c r="DU334" s="3604"/>
      <c r="DV334" s="3604"/>
      <c r="DW334" s="3604"/>
      <c r="DX334" s="3604"/>
      <c r="DY334" s="3604"/>
      <c r="DZ334" s="3604"/>
      <c r="EA334" s="3604"/>
      <c r="EB334" s="3604"/>
      <c r="EC334" s="3604"/>
      <c r="ED334" s="3604"/>
      <c r="EE334" s="3604"/>
      <c r="EF334" s="3604"/>
      <c r="EG334" s="3604"/>
      <c r="EH334" s="3604"/>
      <c r="EI334" s="3604"/>
      <c r="EJ334" s="3604"/>
      <c r="EK334" s="3604"/>
      <c r="EL334" s="3604"/>
      <c r="EM334" s="3604"/>
      <c r="EN334" s="3604"/>
      <c r="EO334" s="3604"/>
      <c r="EP334" s="3604"/>
      <c r="EQ334" s="3604"/>
      <c r="ER334" s="3604"/>
      <c r="ES334" s="3604"/>
      <c r="ET334" s="3604"/>
      <c r="EU334" s="3604"/>
      <c r="EV334" s="3604"/>
      <c r="EW334" s="3604"/>
      <c r="EX334" s="3604"/>
      <c r="EY334" s="3604"/>
      <c r="EZ334" s="3604"/>
      <c r="FA334" s="3604"/>
      <c r="FB334" s="3604"/>
      <c r="FC334" s="3604"/>
      <c r="FD334" s="3604"/>
      <c r="FE334" s="3604"/>
      <c r="FF334" s="3604"/>
      <c r="FG334" s="3604"/>
      <c r="FH334" s="3604"/>
      <c r="FI334" s="3604"/>
      <c r="FJ334" s="3604"/>
      <c r="FK334" s="3604"/>
      <c r="FL334" s="3604"/>
      <c r="FM334" s="3604"/>
      <c r="FN334" s="3604"/>
      <c r="FO334" s="3604"/>
      <c r="FP334" s="3604"/>
      <c r="FQ334" s="3604"/>
      <c r="FR334" s="3604"/>
      <c r="FS334" s="3604"/>
      <c r="FT334" s="3604"/>
      <c r="FU334" s="3604"/>
      <c r="FV334" s="3604"/>
      <c r="FW334" s="3604"/>
      <c r="FX334" s="3604"/>
      <c r="FY334" s="3604"/>
      <c r="FZ334" s="3604"/>
      <c r="GA334" s="3604"/>
      <c r="GB334" s="3604"/>
      <c r="GC334" s="3604"/>
      <c r="GD334" s="3604"/>
      <c r="GE334" s="3604"/>
      <c r="GF334" s="3604"/>
      <c r="GG334" s="3604"/>
      <c r="GH334" s="3604"/>
      <c r="GI334" s="3604"/>
      <c r="GJ334" s="3604"/>
      <c r="GK334" s="3604"/>
      <c r="GL334" s="3604"/>
      <c r="GM334" s="3604"/>
      <c r="GN334" s="3604"/>
      <c r="GO334" s="3604"/>
      <c r="GP334" s="3604"/>
      <c r="GQ334" s="3604"/>
      <c r="GR334" s="3604"/>
      <c r="GS334" s="3604"/>
      <c r="GT334" s="3604"/>
      <c r="GU334" s="3604"/>
      <c r="GV334" s="3604"/>
      <c r="GW334" s="3604"/>
      <c r="GX334" s="3604"/>
      <c r="GY334" s="3604"/>
      <c r="GZ334" s="3604"/>
      <c r="HA334" s="3604"/>
      <c r="HB334" s="3604"/>
      <c r="HC334" s="3604"/>
      <c r="HD334" s="3604"/>
      <c r="HE334" s="3604"/>
      <c r="HF334" s="3604"/>
      <c r="HG334" s="3604"/>
      <c r="HH334" s="3604"/>
      <c r="HI334" s="3604"/>
      <c r="HJ334" s="3604"/>
      <c r="HK334" s="3604"/>
      <c r="HL334" s="3604"/>
      <c r="HM334" s="3604"/>
      <c r="HN334" s="3604"/>
      <c r="HO334" s="3604"/>
      <c r="HP334" s="3604"/>
      <c r="HQ334" s="3604"/>
      <c r="HR334" s="3604"/>
      <c r="HS334" s="3604"/>
      <c r="HT334" s="3604"/>
      <c r="HU334" s="3604"/>
      <c r="HV334" s="3604"/>
      <c r="HW334" s="3604"/>
      <c r="HX334" s="3604"/>
      <c r="HY334" s="3604"/>
      <c r="HZ334" s="3604"/>
      <c r="IA334" s="3604"/>
      <c r="IB334" s="3604"/>
      <c r="IC334" s="3604"/>
      <c r="ID334" s="3604"/>
      <c r="IE334" s="3604"/>
      <c r="IF334" s="3604"/>
      <c r="IG334" s="3604"/>
      <c r="IH334" s="3604"/>
      <c r="II334" s="3604"/>
      <c r="IJ334" s="3604"/>
      <c r="IK334" s="3604"/>
      <c r="IL334" s="3604"/>
      <c r="IM334" s="3604"/>
      <c r="IN334" s="3604"/>
      <c r="IO334" s="3604"/>
      <c r="IP334" s="3604"/>
      <c r="IQ334" s="3604"/>
      <c r="IR334" s="3604"/>
      <c r="IS334" s="3604"/>
    </row>
    <row r="335" spans="1:253" s="3565" customFormat="1" hidden="1">
      <c r="A335" s="3470" t="s">
        <v>6136</v>
      </c>
      <c r="B335" s="3470" t="s">
        <v>6137</v>
      </c>
      <c r="C335" s="3481" t="s">
        <v>6138</v>
      </c>
      <c r="D335" s="3481" t="s">
        <v>6139</v>
      </c>
      <c r="E335" s="3470" t="s">
        <v>3558</v>
      </c>
      <c r="F335" s="3528" t="s">
        <v>3613</v>
      </c>
      <c r="G335" s="3470"/>
      <c r="H335" s="3470" t="s">
        <v>6140</v>
      </c>
      <c r="I335" s="3470" t="s">
        <v>4441</v>
      </c>
      <c r="J335" s="3481" t="s">
        <v>4405</v>
      </c>
      <c r="K335" s="3470" t="s">
        <v>3968</v>
      </c>
      <c r="L335" s="3470">
        <v>129.18</v>
      </c>
      <c r="M335" s="3470">
        <v>3</v>
      </c>
      <c r="N335" s="3470" t="s">
        <v>4003</v>
      </c>
      <c r="O335" s="3470">
        <v>117.88</v>
      </c>
      <c r="P335" s="3470" t="s">
        <v>3452</v>
      </c>
      <c r="Q335" s="3457">
        <v>598800.97199999995</v>
      </c>
      <c r="R335" s="3495">
        <v>4635.3999999999996</v>
      </c>
      <c r="S335" s="3472">
        <v>59.22</v>
      </c>
      <c r="T335" s="3527">
        <v>592200</v>
      </c>
      <c r="U335" s="3495">
        <v>4585</v>
      </c>
      <c r="V335" s="3512">
        <v>0.1</v>
      </c>
      <c r="W335" s="3475">
        <v>53.29</v>
      </c>
      <c r="X335" s="3494">
        <v>532900</v>
      </c>
      <c r="Y335" s="3441">
        <v>2003</v>
      </c>
      <c r="Z335" s="3441">
        <v>4</v>
      </c>
      <c r="AA335" s="3470">
        <v>22</v>
      </c>
      <c r="AB335" s="3485">
        <v>2960</v>
      </c>
      <c r="AC335" s="3470" t="s">
        <v>3710</v>
      </c>
      <c r="AD335" s="3485"/>
      <c r="AE335" s="3441" t="s">
        <v>3663</v>
      </c>
      <c r="AF335" s="3453" t="s">
        <v>3618</v>
      </c>
      <c r="AG335" s="3522" t="s">
        <v>3466</v>
      </c>
      <c r="AH335" s="3485"/>
      <c r="AI335" s="3470" t="s">
        <v>3664</v>
      </c>
      <c r="AJ335" s="3523">
        <v>37894</v>
      </c>
      <c r="AK335" s="3548">
        <v>4</v>
      </c>
      <c r="AL335" s="3441">
        <v>67641700</v>
      </c>
      <c r="AM335" s="3441"/>
      <c r="AN335" s="3441" t="s">
        <v>3768</v>
      </c>
      <c r="AO335" s="3441" t="s">
        <v>3568</v>
      </c>
      <c r="AP335" s="3441" t="s">
        <v>3476</v>
      </c>
      <c r="AQ335" s="3441" t="s">
        <v>3571</v>
      </c>
      <c r="AR335" s="3441"/>
      <c r="AS335" s="3441"/>
      <c r="AT335" s="3441"/>
      <c r="AU335" s="3441"/>
      <c r="AV335" s="3441"/>
      <c r="AW335" s="3441" t="s">
        <v>3572</v>
      </c>
      <c r="AX335" s="3441" t="s">
        <v>2511</v>
      </c>
      <c r="AY335" s="3524" t="s">
        <v>6141</v>
      </c>
      <c r="AZ335" s="3441" t="s">
        <v>3968</v>
      </c>
      <c r="BA335" s="3441" t="s">
        <v>3971</v>
      </c>
      <c r="BB335" s="3524" t="s">
        <v>3972</v>
      </c>
      <c r="BC335" s="3441" t="s">
        <v>3973</v>
      </c>
      <c r="BD335" s="3525">
        <v>100096</v>
      </c>
      <c r="BE335" s="3441">
        <v>82919961</v>
      </c>
      <c r="BF335" s="3526">
        <v>2.9</v>
      </c>
      <c r="BG335" s="3518">
        <v>37728</v>
      </c>
      <c r="BH335" s="3441"/>
      <c r="BI335" s="3441" t="s">
        <v>3475</v>
      </c>
      <c r="BJ335" s="3514">
        <v>37732</v>
      </c>
      <c r="BK335" s="3484"/>
      <c r="BL335" s="3470" t="s">
        <v>3670</v>
      </c>
      <c r="BM335" s="3441"/>
      <c r="BN335" s="3441"/>
      <c r="BO335" s="3441"/>
      <c r="BP335" s="3441"/>
      <c r="BQ335" s="3441"/>
      <c r="BR335" s="3441"/>
      <c r="BS335" s="3470"/>
      <c r="BT335" s="3470"/>
      <c r="BU335" s="3470"/>
      <c r="BV335" s="3441"/>
      <c r="BW335" s="3441"/>
      <c r="BX335" s="3441"/>
      <c r="BY335" s="3441"/>
      <c r="BZ335" s="3441"/>
      <c r="CA335" s="3441"/>
      <c r="CB335" s="3441"/>
      <c r="CC335" s="3441"/>
      <c r="CD335" s="3441"/>
      <c r="CE335" s="3441"/>
      <c r="CF335" s="3441"/>
      <c r="CG335" s="3441"/>
      <c r="CH335" s="3441"/>
      <c r="CI335" s="3441"/>
      <c r="CJ335" s="3441"/>
      <c r="CK335" s="3441"/>
      <c r="CL335" s="3441"/>
      <c r="CM335" s="3441"/>
      <c r="CN335" s="3441"/>
      <c r="CO335" s="3441"/>
      <c r="CP335" s="3441"/>
      <c r="CQ335" s="3441"/>
      <c r="CR335" s="3441"/>
      <c r="CS335" s="3441"/>
      <c r="CT335" s="3441"/>
      <c r="CU335" s="3441"/>
      <c r="CV335" s="3441"/>
      <c r="CW335" s="3441"/>
      <c r="CX335" s="3441"/>
      <c r="CY335" s="3441"/>
      <c r="CZ335" s="3441"/>
      <c r="DA335" s="3441"/>
      <c r="DB335" s="3441"/>
      <c r="DC335" s="3441"/>
      <c r="DD335" s="3441"/>
      <c r="DE335" s="3441"/>
      <c r="DF335" s="3441"/>
      <c r="DG335" s="3441"/>
      <c r="DH335" s="3441"/>
      <c r="DI335" s="3441"/>
      <c r="DJ335" s="3441"/>
      <c r="DK335" s="3441"/>
      <c r="DL335" s="3441"/>
      <c r="DM335" s="3441"/>
      <c r="DN335" s="3441"/>
      <c r="DO335" s="3441"/>
      <c r="DP335" s="3441"/>
      <c r="DQ335" s="3441"/>
      <c r="DR335" s="3441"/>
      <c r="DS335" s="3441"/>
      <c r="DT335" s="3441"/>
      <c r="DU335" s="3441"/>
      <c r="DV335" s="3441"/>
      <c r="DW335" s="3441"/>
      <c r="DX335" s="3441"/>
      <c r="DY335" s="3441"/>
      <c r="DZ335" s="3441"/>
      <c r="EA335" s="3441"/>
      <c r="EB335" s="3441"/>
      <c r="EC335" s="3441"/>
      <c r="ED335" s="3441"/>
      <c r="EE335" s="3441"/>
      <c r="EF335" s="3441"/>
      <c r="EG335" s="3441"/>
      <c r="EH335" s="3441"/>
      <c r="EI335" s="3441"/>
      <c r="EJ335" s="3441"/>
      <c r="EK335" s="3441"/>
      <c r="EL335" s="3441"/>
      <c r="EM335" s="3441"/>
      <c r="EN335" s="3441"/>
      <c r="EO335" s="3441"/>
      <c r="EP335" s="3441"/>
      <c r="EQ335" s="3441"/>
      <c r="ER335" s="3441"/>
      <c r="ES335" s="3441"/>
      <c r="ET335" s="3441"/>
      <c r="EU335" s="3441"/>
      <c r="EV335" s="3441"/>
      <c r="EW335" s="3441"/>
      <c r="EX335" s="3441"/>
      <c r="EY335" s="3441"/>
      <c r="EZ335" s="3441"/>
      <c r="FA335" s="3441"/>
      <c r="FB335" s="3441"/>
      <c r="FC335" s="3441"/>
      <c r="FD335" s="3441"/>
      <c r="FE335" s="3441"/>
      <c r="FF335" s="3441"/>
      <c r="FG335" s="3441"/>
      <c r="FH335" s="3441"/>
      <c r="FI335" s="3441"/>
      <c r="FJ335" s="3441"/>
      <c r="FK335" s="3441"/>
      <c r="FL335" s="3441"/>
      <c r="FM335" s="3441"/>
      <c r="FN335" s="3441"/>
      <c r="FO335" s="3441"/>
      <c r="FP335" s="3441"/>
      <c r="FQ335" s="3441"/>
      <c r="FR335" s="3441"/>
      <c r="FS335" s="3441"/>
      <c r="FT335" s="3441"/>
      <c r="FU335" s="3441"/>
      <c r="FV335" s="3441"/>
      <c r="FW335" s="3441"/>
      <c r="FX335" s="3441"/>
      <c r="FY335" s="3441"/>
      <c r="FZ335" s="3441"/>
      <c r="GA335" s="3441"/>
      <c r="GB335" s="3441"/>
      <c r="GC335" s="3441"/>
      <c r="GD335" s="3441"/>
      <c r="GE335" s="3441"/>
      <c r="GF335" s="3441"/>
      <c r="GG335" s="3441"/>
      <c r="GH335" s="3441"/>
      <c r="GI335" s="3441"/>
      <c r="GJ335" s="3441"/>
      <c r="GK335" s="3441"/>
      <c r="GL335" s="3441"/>
      <c r="GM335" s="3441"/>
      <c r="GN335" s="3441"/>
      <c r="GO335" s="3441"/>
      <c r="GP335" s="3441"/>
      <c r="GQ335" s="3441"/>
      <c r="GR335" s="3441"/>
      <c r="GS335" s="3441"/>
      <c r="GT335" s="3441"/>
      <c r="GU335" s="3441"/>
      <c r="GV335" s="3441"/>
      <c r="GW335" s="3441"/>
      <c r="GX335" s="3441"/>
      <c r="GY335" s="3441"/>
      <c r="GZ335" s="3441"/>
      <c r="HA335" s="3441"/>
      <c r="HB335" s="3441"/>
      <c r="HC335" s="3441"/>
      <c r="HD335" s="3441"/>
      <c r="HE335" s="3441"/>
      <c r="HF335" s="3441"/>
      <c r="HG335" s="3441"/>
      <c r="HH335" s="3441"/>
      <c r="HI335" s="3441"/>
      <c r="HJ335" s="3441"/>
      <c r="HK335" s="3441"/>
      <c r="HL335" s="3441"/>
      <c r="HM335" s="3441"/>
      <c r="HN335" s="3441"/>
      <c r="HO335" s="3441"/>
      <c r="HP335" s="3441"/>
      <c r="HQ335" s="3441"/>
      <c r="HR335" s="3441"/>
      <c r="HS335" s="3441"/>
      <c r="HT335" s="3441"/>
      <c r="HU335" s="3441"/>
      <c r="HV335" s="3441"/>
      <c r="HW335" s="3441"/>
      <c r="HX335" s="3441"/>
      <c r="HY335" s="3441"/>
      <c r="HZ335" s="3441"/>
      <c r="IA335" s="3441"/>
      <c r="IB335" s="3441"/>
      <c r="IC335" s="3441"/>
      <c r="ID335" s="3441"/>
      <c r="IE335" s="3441"/>
      <c r="IF335" s="3441"/>
      <c r="IG335" s="3441"/>
      <c r="IH335" s="3441"/>
      <c r="II335" s="3441"/>
      <c r="IJ335" s="3441"/>
      <c r="IK335" s="3441"/>
      <c r="IL335" s="3441"/>
      <c r="IM335" s="3441"/>
      <c r="IN335" s="3441"/>
      <c r="IO335" s="3441"/>
      <c r="IP335" s="3441"/>
      <c r="IQ335" s="3441"/>
      <c r="IR335" s="3441"/>
      <c r="IS335" s="3441"/>
    </row>
    <row r="336" spans="1:253" s="3565" customFormat="1" hidden="1">
      <c r="A336" s="3485" t="s">
        <v>6142</v>
      </c>
      <c r="B336" s="3470" t="s">
        <v>6143</v>
      </c>
      <c r="C336" s="3454" t="s">
        <v>6144</v>
      </c>
      <c r="D336" s="3470">
        <v>13311067853</v>
      </c>
      <c r="E336" s="3470" t="s">
        <v>3763</v>
      </c>
      <c r="F336" s="3470" t="s">
        <v>5592</v>
      </c>
      <c r="G336" s="3470" t="s">
        <v>2420</v>
      </c>
      <c r="H336" s="3470" t="s">
        <v>4471</v>
      </c>
      <c r="I336" s="3453" t="s">
        <v>3726</v>
      </c>
      <c r="J336" s="3453" t="s">
        <v>4042</v>
      </c>
      <c r="K336" s="3470" t="s">
        <v>5586</v>
      </c>
      <c r="L336" s="3495">
        <v>117.1</v>
      </c>
      <c r="M336" s="3495">
        <v>3</v>
      </c>
      <c r="N336" s="3470" t="s">
        <v>4003</v>
      </c>
      <c r="O336" s="3495">
        <v>105.92</v>
      </c>
      <c r="P336" s="3470" t="s">
        <v>3452</v>
      </c>
      <c r="Q336" s="3457">
        <v>503530</v>
      </c>
      <c r="R336" s="3470">
        <v>4300</v>
      </c>
      <c r="S336" s="3472">
        <v>49.76</v>
      </c>
      <c r="T336" s="3527">
        <v>497600</v>
      </c>
      <c r="U336" s="3470">
        <v>4250</v>
      </c>
      <c r="V336" s="3474">
        <v>0.1</v>
      </c>
      <c r="W336" s="3475">
        <v>44.78</v>
      </c>
      <c r="X336" s="3473">
        <v>447800</v>
      </c>
      <c r="Y336" s="3441">
        <v>2003</v>
      </c>
      <c r="Z336" s="3441">
        <v>4</v>
      </c>
      <c r="AA336" s="3441">
        <v>25</v>
      </c>
      <c r="AB336" s="3485">
        <v>2485</v>
      </c>
      <c r="AC336" s="3470" t="s">
        <v>3585</v>
      </c>
      <c r="AD336" s="3470"/>
      <c r="AE336" s="3456" t="s">
        <v>3663</v>
      </c>
      <c r="AF336" s="3470" t="s">
        <v>6104</v>
      </c>
      <c r="AG336" s="3470" t="s">
        <v>3466</v>
      </c>
      <c r="AH336" s="3470"/>
      <c r="AI336" s="3470" t="s">
        <v>3664</v>
      </c>
      <c r="AJ336" s="3478">
        <v>38108</v>
      </c>
      <c r="AK336" s="3548">
        <v>4</v>
      </c>
      <c r="AL336" s="3495">
        <v>67641700</v>
      </c>
      <c r="AM336" s="3470"/>
      <c r="AN336" s="3441" t="s">
        <v>3680</v>
      </c>
      <c r="AO336" s="3441" t="s">
        <v>3588</v>
      </c>
      <c r="AP336" s="3456" t="s">
        <v>3476</v>
      </c>
      <c r="AQ336" s="3456" t="s">
        <v>3571</v>
      </c>
      <c r="AR336" s="3470"/>
      <c r="AS336" s="3470"/>
      <c r="AT336" s="3470"/>
      <c r="AU336" s="3470"/>
      <c r="AV336" s="3519"/>
      <c r="AW336" s="3470" t="s">
        <v>3572</v>
      </c>
      <c r="AX336" s="3470" t="s">
        <v>2420</v>
      </c>
      <c r="AY336" s="3495">
        <v>274441</v>
      </c>
      <c r="AZ336" s="3470" t="s">
        <v>5586</v>
      </c>
      <c r="BA336" s="3470" t="s">
        <v>5595</v>
      </c>
      <c r="BB336" s="3619">
        <v>1102281326100</v>
      </c>
      <c r="BC336" s="3470" t="s">
        <v>5604</v>
      </c>
      <c r="BD336" s="3470">
        <v>100055</v>
      </c>
      <c r="BE336" s="3470">
        <v>82951881</v>
      </c>
      <c r="BF336" s="3520">
        <v>2.8</v>
      </c>
      <c r="BG336" s="3478">
        <v>37714</v>
      </c>
      <c r="BH336" s="3470"/>
      <c r="BI336" s="3470" t="s">
        <v>3476</v>
      </c>
      <c r="BJ336" s="3484">
        <v>37734</v>
      </c>
      <c r="BK336" s="3478"/>
      <c r="BL336" s="3441" t="s">
        <v>3670</v>
      </c>
      <c r="BM336" s="3441"/>
      <c r="BN336" s="3441"/>
      <c r="BO336" s="3441"/>
      <c r="BP336" s="3441"/>
      <c r="BQ336" s="3441"/>
      <c r="BR336" s="3441"/>
      <c r="BS336" s="3470"/>
      <c r="BT336" s="3470"/>
      <c r="BU336" s="3470"/>
    </row>
    <row r="337" spans="1:73" s="3565" customFormat="1" hidden="1">
      <c r="A337" s="3485" t="s">
        <v>6145</v>
      </c>
      <c r="B337" s="3470" t="s">
        <v>6146</v>
      </c>
      <c r="C337" s="3454" t="s">
        <v>6147</v>
      </c>
      <c r="D337" s="3470">
        <v>62005701</v>
      </c>
      <c r="E337" s="3470" t="s">
        <v>3538</v>
      </c>
      <c r="F337" s="3470" t="s">
        <v>5592</v>
      </c>
      <c r="G337" s="3470" t="s">
        <v>3588</v>
      </c>
      <c r="H337" s="3470" t="s">
        <v>6148</v>
      </c>
      <c r="I337" s="3453" t="s">
        <v>3582</v>
      </c>
      <c r="J337" s="3453" t="s">
        <v>4218</v>
      </c>
      <c r="K337" s="3470" t="s">
        <v>5584</v>
      </c>
      <c r="L337" s="3495">
        <v>66.12</v>
      </c>
      <c r="M337" s="3495">
        <v>1</v>
      </c>
      <c r="N337" s="3454" t="s">
        <v>3489</v>
      </c>
      <c r="O337" s="3495">
        <v>58.2</v>
      </c>
      <c r="P337" s="3470" t="s">
        <v>3452</v>
      </c>
      <c r="Q337" s="3457">
        <v>238032</v>
      </c>
      <c r="R337" s="3470">
        <v>3600</v>
      </c>
      <c r="S337" s="3472">
        <v>23.49</v>
      </c>
      <c r="T337" s="3527">
        <v>234900</v>
      </c>
      <c r="U337" s="3470">
        <v>3553</v>
      </c>
      <c r="V337" s="3474">
        <v>0.1</v>
      </c>
      <c r="W337" s="3475">
        <v>21.14</v>
      </c>
      <c r="X337" s="3473">
        <v>211400</v>
      </c>
      <c r="Y337" s="3441">
        <v>2003</v>
      </c>
      <c r="Z337" s="3441">
        <v>4</v>
      </c>
      <c r="AA337" s="3441">
        <v>25</v>
      </c>
      <c r="AB337" s="3485">
        <v>1170</v>
      </c>
      <c r="AC337" s="3470" t="s">
        <v>3585</v>
      </c>
      <c r="AD337" s="3470"/>
      <c r="AE337" s="3456" t="s">
        <v>3663</v>
      </c>
      <c r="AF337" s="3470" t="s">
        <v>6104</v>
      </c>
      <c r="AG337" s="3470" t="s">
        <v>3466</v>
      </c>
      <c r="AH337" s="3470"/>
      <c r="AI337" s="3470" t="s">
        <v>3664</v>
      </c>
      <c r="AJ337" s="3478">
        <v>38108</v>
      </c>
      <c r="AK337" s="3548">
        <v>4</v>
      </c>
      <c r="AL337" s="3495">
        <v>67641700</v>
      </c>
      <c r="AM337" s="3470"/>
      <c r="AN337" s="3441" t="s">
        <v>3680</v>
      </c>
      <c r="AO337" s="3441" t="s">
        <v>3715</v>
      </c>
      <c r="AP337" s="3456" t="s">
        <v>3476</v>
      </c>
      <c r="AQ337" s="3456" t="s">
        <v>3571</v>
      </c>
      <c r="AR337" s="3470"/>
      <c r="AS337" s="3470"/>
      <c r="AT337" s="3470"/>
      <c r="AU337" s="3470"/>
      <c r="AV337" s="3519"/>
      <c r="AW337" s="3470" t="s">
        <v>3572</v>
      </c>
      <c r="AX337" s="3470" t="s">
        <v>3588</v>
      </c>
      <c r="AY337" s="3495">
        <v>274446</v>
      </c>
      <c r="AZ337" s="3470" t="s">
        <v>5586</v>
      </c>
      <c r="BA337" s="3470" t="s">
        <v>5595</v>
      </c>
      <c r="BB337" s="3619">
        <v>1102281326100</v>
      </c>
      <c r="BC337" s="3470" t="s">
        <v>5596</v>
      </c>
      <c r="BD337" s="3470">
        <v>100055</v>
      </c>
      <c r="BE337" s="3470">
        <v>82951881</v>
      </c>
      <c r="BF337" s="3520">
        <v>2.8</v>
      </c>
      <c r="BG337" s="3478">
        <v>37727</v>
      </c>
      <c r="BH337" s="3470"/>
      <c r="BI337" s="3470" t="s">
        <v>3476</v>
      </c>
      <c r="BJ337" s="3484">
        <v>37734</v>
      </c>
      <c r="BK337" s="3478"/>
      <c r="BL337" s="3441" t="s">
        <v>3670</v>
      </c>
      <c r="BM337" s="3441"/>
      <c r="BN337" s="3441"/>
      <c r="BO337" s="3441"/>
      <c r="BP337" s="3441"/>
      <c r="BQ337" s="3441"/>
      <c r="BR337" s="3441"/>
      <c r="BS337" s="3470"/>
      <c r="BT337" s="3470"/>
      <c r="BU337" s="3470"/>
    </row>
    <row r="338" spans="1:73" s="3565" customFormat="1" hidden="1">
      <c r="A338" s="3470" t="s">
        <v>6149</v>
      </c>
      <c r="B338" s="3470" t="s">
        <v>6150</v>
      </c>
      <c r="C338" s="3481" t="s">
        <v>6151</v>
      </c>
      <c r="D338" s="3481" t="s">
        <v>6152</v>
      </c>
      <c r="E338" s="3470" t="s">
        <v>3558</v>
      </c>
      <c r="F338" s="3528" t="s">
        <v>3951</v>
      </c>
      <c r="G338" s="3470"/>
      <c r="H338" s="3470" t="s">
        <v>4281</v>
      </c>
      <c r="I338" s="3470" t="s">
        <v>3464</v>
      </c>
      <c r="J338" s="3481" t="s">
        <v>6153</v>
      </c>
      <c r="K338" s="3470" t="s">
        <v>3955</v>
      </c>
      <c r="L338" s="3470">
        <v>96.94</v>
      </c>
      <c r="M338" s="3470">
        <v>13</v>
      </c>
      <c r="N338" s="3453" t="s">
        <v>4871</v>
      </c>
      <c r="O338" s="3470">
        <v>80.23</v>
      </c>
      <c r="P338" s="3470" t="s">
        <v>3452</v>
      </c>
      <c r="Q338" s="3457">
        <v>427001.31200000003</v>
      </c>
      <c r="R338" s="3470">
        <v>4404.8</v>
      </c>
      <c r="S338" s="3472">
        <v>42.21</v>
      </c>
      <c r="T338" s="3527">
        <v>422100</v>
      </c>
      <c r="U338" s="3470">
        <v>4355</v>
      </c>
      <c r="V338" s="3474">
        <v>0.1</v>
      </c>
      <c r="W338" s="3475">
        <v>37.979999999999997</v>
      </c>
      <c r="X338" s="3476">
        <v>379800</v>
      </c>
      <c r="Y338" s="3441">
        <v>2003</v>
      </c>
      <c r="Z338" s="3441">
        <v>4</v>
      </c>
      <c r="AA338" s="3495">
        <v>25</v>
      </c>
      <c r="AB338" s="3477">
        <v>2110</v>
      </c>
      <c r="AC338" s="3470" t="s">
        <v>4044</v>
      </c>
      <c r="AD338" s="3485"/>
      <c r="AE338" s="3441" t="s">
        <v>3663</v>
      </c>
      <c r="AF338" s="3470" t="s">
        <v>3453</v>
      </c>
      <c r="AG338" s="3522" t="s">
        <v>3466</v>
      </c>
      <c r="AH338" s="3485"/>
      <c r="AI338" s="3470" t="s">
        <v>3664</v>
      </c>
      <c r="AJ338" s="3523">
        <v>37802</v>
      </c>
      <c r="AK338" s="3500">
        <v>4</v>
      </c>
      <c r="AL338" s="3441" t="s">
        <v>3957</v>
      </c>
      <c r="AM338" s="3441"/>
      <c r="AN338" s="3469" t="s">
        <v>4427</v>
      </c>
      <c r="AO338" s="3441"/>
      <c r="AP338" s="3441" t="s">
        <v>3721</v>
      </c>
      <c r="AQ338" s="3441" t="s">
        <v>3571</v>
      </c>
      <c r="AR338" s="3441"/>
      <c r="AS338" s="3441"/>
      <c r="AT338" s="3441"/>
      <c r="AU338" s="3441"/>
      <c r="AV338" s="3441" t="s">
        <v>3568</v>
      </c>
      <c r="AW338" s="3441" t="s">
        <v>3572</v>
      </c>
      <c r="AX338" s="3441" t="s">
        <v>2511</v>
      </c>
      <c r="AY338" s="3524" t="s">
        <v>6154</v>
      </c>
      <c r="AZ338" s="3441" t="s">
        <v>3955</v>
      </c>
      <c r="BA338" s="3441" t="s">
        <v>3959</v>
      </c>
      <c r="BB338" s="3524" t="s">
        <v>3960</v>
      </c>
      <c r="BC338" s="3441" t="s">
        <v>3961</v>
      </c>
      <c r="BD338" s="3525">
        <v>102100</v>
      </c>
      <c r="BE338" s="3441">
        <v>62998398</v>
      </c>
      <c r="BF338" s="3526">
        <v>2.8</v>
      </c>
      <c r="BG338" s="3518">
        <v>37690</v>
      </c>
      <c r="BH338" s="3441"/>
      <c r="BI338" s="3486" t="s">
        <v>3721</v>
      </c>
      <c r="BJ338" s="3484">
        <v>37734</v>
      </c>
      <c r="BK338" s="3484"/>
      <c r="BL338" s="3470" t="s">
        <v>3670</v>
      </c>
      <c r="BM338" s="3441"/>
      <c r="BN338" s="3441"/>
      <c r="BO338" s="3441"/>
      <c r="BP338" s="3441"/>
      <c r="BQ338" s="3441"/>
      <c r="BR338" s="3441"/>
      <c r="BS338" s="3470"/>
      <c r="BT338" s="3470"/>
      <c r="BU338" s="3470"/>
    </row>
    <row r="339" spans="1:73" s="3605" customFormat="1" ht="12" hidden="1">
      <c r="A339" s="3485" t="s">
        <v>6155</v>
      </c>
      <c r="B339" s="3470" t="s">
        <v>6156</v>
      </c>
      <c r="C339" s="3481" t="s">
        <v>6157</v>
      </c>
      <c r="D339" s="3453" t="s">
        <v>6158</v>
      </c>
      <c r="E339" s="3470" t="s">
        <v>3538</v>
      </c>
      <c r="F339" s="3470" t="s">
        <v>6159</v>
      </c>
      <c r="G339" s="3470"/>
      <c r="H339" s="3453" t="s">
        <v>4281</v>
      </c>
      <c r="I339" s="3453" t="s">
        <v>4282</v>
      </c>
      <c r="J339" s="3453" t="s">
        <v>4061</v>
      </c>
      <c r="K339" s="3470" t="s">
        <v>6160</v>
      </c>
      <c r="L339" s="3495">
        <v>116.81</v>
      </c>
      <c r="M339" s="3495">
        <v>5</v>
      </c>
      <c r="N339" s="3470" t="s">
        <v>3486</v>
      </c>
      <c r="O339" s="3495">
        <v>96.3</v>
      </c>
      <c r="P339" s="3453" t="s">
        <v>3452</v>
      </c>
      <c r="Q339" s="3457">
        <v>664999.32999999996</v>
      </c>
      <c r="R339" s="3495">
        <v>5693</v>
      </c>
      <c r="S339" s="3472">
        <v>65.88</v>
      </c>
      <c r="T339" s="3527">
        <v>658800</v>
      </c>
      <c r="U339" s="3470">
        <v>5640</v>
      </c>
      <c r="V339" s="3512">
        <v>0.1</v>
      </c>
      <c r="W339" s="3475">
        <v>59.29</v>
      </c>
      <c r="X339" s="3473">
        <v>592900</v>
      </c>
      <c r="Y339" s="3495">
        <v>2003</v>
      </c>
      <c r="Z339" s="3515">
        <v>5</v>
      </c>
      <c r="AA339" s="3515">
        <v>16</v>
      </c>
      <c r="AB339" s="3485">
        <v>3290</v>
      </c>
      <c r="AC339" s="3470" t="s">
        <v>3585</v>
      </c>
      <c r="AD339" s="3470"/>
      <c r="AE339" s="3456" t="s">
        <v>3663</v>
      </c>
      <c r="AF339" s="3453" t="s">
        <v>4152</v>
      </c>
      <c r="AG339" s="3470" t="s">
        <v>3466</v>
      </c>
      <c r="AH339" s="3470" t="s">
        <v>3568</v>
      </c>
      <c r="AI339" s="3470" t="s">
        <v>4849</v>
      </c>
      <c r="AJ339" s="3478">
        <v>37864</v>
      </c>
      <c r="AK339" s="3548">
        <v>5</v>
      </c>
      <c r="AL339" s="3495">
        <v>67641700</v>
      </c>
      <c r="AM339" s="3470"/>
      <c r="AN339" s="3469" t="s">
        <v>3800</v>
      </c>
      <c r="AO339" s="3470"/>
      <c r="AP339" s="3456" t="s">
        <v>3476</v>
      </c>
      <c r="AQ339" s="3456" t="s">
        <v>3571</v>
      </c>
      <c r="AR339" s="3470"/>
      <c r="AS339" s="3470"/>
      <c r="AT339" s="3470"/>
      <c r="AU339" s="3470" t="s">
        <v>3568</v>
      </c>
      <c r="AV339" s="3495"/>
      <c r="AW339" s="3470" t="s">
        <v>3572</v>
      </c>
      <c r="AX339" s="3484"/>
      <c r="AY339" s="3495">
        <v>271351</v>
      </c>
      <c r="AZ339" s="3470" t="s">
        <v>4419</v>
      </c>
      <c r="BA339" s="3470" t="s">
        <v>6161</v>
      </c>
      <c r="BB339" s="3481" t="s">
        <v>6162</v>
      </c>
      <c r="BC339" s="3470" t="s">
        <v>6163</v>
      </c>
      <c r="BD339" s="3470">
        <v>100085</v>
      </c>
      <c r="BE339" s="3470">
        <v>62976699</v>
      </c>
      <c r="BF339" s="3520">
        <v>2.7</v>
      </c>
      <c r="BG339" s="3478">
        <v>37694</v>
      </c>
      <c r="BH339" s="3470" t="s">
        <v>6130</v>
      </c>
      <c r="BI339" s="3470" t="s">
        <v>3476</v>
      </c>
      <c r="BJ339" s="3478">
        <v>37734</v>
      </c>
      <c r="BK339" s="3470"/>
      <c r="BL339" s="3470" t="s">
        <v>3670</v>
      </c>
      <c r="BM339" s="3441"/>
      <c r="BN339" s="3441"/>
      <c r="BO339" s="3441"/>
      <c r="BP339" s="3441"/>
      <c r="BQ339" s="3441"/>
      <c r="BR339" s="3441"/>
      <c r="BS339" s="3470"/>
      <c r="BT339" s="3470"/>
      <c r="BU339" s="3470"/>
    </row>
    <row r="340" spans="1:73" s="3565" customFormat="1" hidden="1">
      <c r="A340" s="3470" t="s">
        <v>6164</v>
      </c>
      <c r="B340" s="3470" t="s">
        <v>6165</v>
      </c>
      <c r="C340" s="3481" t="s">
        <v>6166</v>
      </c>
      <c r="D340" s="3470">
        <v>69620758</v>
      </c>
      <c r="E340" s="3470" t="s">
        <v>3558</v>
      </c>
      <c r="F340" s="3470" t="s">
        <v>4025</v>
      </c>
      <c r="G340" s="3470"/>
      <c r="H340" s="3453" t="s">
        <v>4026</v>
      </c>
      <c r="I340" s="3453" t="s">
        <v>3599</v>
      </c>
      <c r="J340" s="3453">
        <v>1303</v>
      </c>
      <c r="K340" s="3470" t="s">
        <v>4029</v>
      </c>
      <c r="L340" s="3495">
        <v>82.81</v>
      </c>
      <c r="M340" s="3495">
        <v>13</v>
      </c>
      <c r="N340" s="3470" t="s">
        <v>4030</v>
      </c>
      <c r="O340" s="3495">
        <v>67.069999999999993</v>
      </c>
      <c r="P340" s="3470" t="s">
        <v>3452</v>
      </c>
      <c r="Q340" s="3457">
        <v>322959</v>
      </c>
      <c r="R340" s="3470">
        <v>3900</v>
      </c>
      <c r="S340" s="3532">
        <v>31.89</v>
      </c>
      <c r="T340" s="3554">
        <v>318900</v>
      </c>
      <c r="U340" s="3470">
        <v>3852</v>
      </c>
      <c r="V340" s="3474">
        <v>0.1</v>
      </c>
      <c r="W340" s="3475">
        <v>28.7</v>
      </c>
      <c r="X340" s="3473">
        <v>287000</v>
      </c>
      <c r="Y340" s="3441">
        <v>2003</v>
      </c>
      <c r="Z340" s="3441">
        <v>4</v>
      </c>
      <c r="AA340" s="3470">
        <v>28</v>
      </c>
      <c r="AB340" s="3477">
        <v>1590</v>
      </c>
      <c r="AC340" s="3470" t="s">
        <v>6167</v>
      </c>
      <c r="AD340" s="3470"/>
      <c r="AE340" s="3441" t="s">
        <v>3663</v>
      </c>
      <c r="AF340" s="3470" t="s">
        <v>4200</v>
      </c>
      <c r="AG340" s="3470" t="s">
        <v>3466</v>
      </c>
      <c r="AH340" s="3470" t="s">
        <v>3568</v>
      </c>
      <c r="AI340" s="3470" t="s">
        <v>4849</v>
      </c>
      <c r="AJ340" s="3478">
        <v>37742</v>
      </c>
      <c r="AK340" s="3500">
        <v>4</v>
      </c>
      <c r="AL340" s="3495">
        <v>67641700</v>
      </c>
      <c r="AM340" s="3470"/>
      <c r="AN340" s="3441" t="s">
        <v>3487</v>
      </c>
      <c r="AO340" s="3470" t="s">
        <v>2420</v>
      </c>
      <c r="AP340" s="3441" t="s">
        <v>3476</v>
      </c>
      <c r="AQ340" s="3456" t="s">
        <v>3571</v>
      </c>
      <c r="AR340" s="3470"/>
      <c r="AS340" s="3470"/>
      <c r="AT340" s="3470"/>
      <c r="AU340" s="3470"/>
      <c r="AV340" s="3519"/>
      <c r="AW340" s="3470" t="s">
        <v>3572</v>
      </c>
      <c r="AX340" s="3470" t="s">
        <v>2511</v>
      </c>
      <c r="AY340" s="3495">
        <v>279376</v>
      </c>
      <c r="AZ340" s="3470" t="s">
        <v>4029</v>
      </c>
      <c r="BA340" s="3470" t="s">
        <v>4034</v>
      </c>
      <c r="BB340" s="3470" t="s">
        <v>4127</v>
      </c>
      <c r="BC340" s="3470" t="s">
        <v>4035</v>
      </c>
      <c r="BD340" s="3470">
        <v>100034</v>
      </c>
      <c r="BE340" s="3470">
        <v>66177078</v>
      </c>
      <c r="BF340" s="3520">
        <v>2.7</v>
      </c>
      <c r="BG340" s="3478">
        <v>37706</v>
      </c>
      <c r="BH340" s="3470"/>
      <c r="BI340" s="3441" t="s">
        <v>5844</v>
      </c>
      <c r="BJ340" s="3566">
        <v>37736</v>
      </c>
      <c r="BK340" s="3478"/>
      <c r="BL340" s="3441" t="s">
        <v>3670</v>
      </c>
      <c r="BM340" s="3441"/>
      <c r="BN340" s="3441"/>
      <c r="BO340" s="3441"/>
      <c r="BP340" s="3441"/>
      <c r="BQ340" s="3441"/>
      <c r="BR340" s="3441"/>
      <c r="BS340" s="3470"/>
      <c r="BT340" s="3470"/>
      <c r="BU340" s="3470"/>
    </row>
    <row r="341" spans="1:73" s="3441" customFormat="1" ht="12" hidden="1">
      <c r="A341" s="3485" t="s">
        <v>6168</v>
      </c>
      <c r="B341" s="3470" t="s">
        <v>6169</v>
      </c>
      <c r="C341" s="3481" t="s">
        <v>6170</v>
      </c>
      <c r="D341" s="3481" t="s">
        <v>6171</v>
      </c>
      <c r="E341" s="3470" t="s">
        <v>2736</v>
      </c>
      <c r="F341" s="3528" t="s">
        <v>3748</v>
      </c>
      <c r="G341" s="3470"/>
      <c r="H341" s="3470" t="s">
        <v>3749</v>
      </c>
      <c r="I341" s="3470"/>
      <c r="J341" s="3481" t="s">
        <v>4799</v>
      </c>
      <c r="K341" s="3470" t="s">
        <v>3793</v>
      </c>
      <c r="L341" s="3470">
        <v>64.06</v>
      </c>
      <c r="M341" s="3470">
        <v>8</v>
      </c>
      <c r="N341" s="3486" t="s">
        <v>3489</v>
      </c>
      <c r="O341" s="3470">
        <v>52.84</v>
      </c>
      <c r="P341" s="3470" t="s">
        <v>3452</v>
      </c>
      <c r="Q341" s="3457">
        <v>243837.98400000003</v>
      </c>
      <c r="R341" s="3470">
        <v>3806.4</v>
      </c>
      <c r="S341" s="3472">
        <v>24.08</v>
      </c>
      <c r="T341" s="3527">
        <v>240800</v>
      </c>
      <c r="U341" s="3470">
        <v>3760</v>
      </c>
      <c r="V341" s="3474">
        <v>0.1</v>
      </c>
      <c r="W341" s="3475">
        <v>21.67</v>
      </c>
      <c r="X341" s="3476">
        <v>216700</v>
      </c>
      <c r="Y341" s="3441">
        <v>2003</v>
      </c>
      <c r="Z341" s="3441">
        <v>5</v>
      </c>
      <c r="AA341" s="3441">
        <v>30</v>
      </c>
      <c r="AB341" s="3485">
        <v>1200</v>
      </c>
      <c r="AC341" s="3470" t="s">
        <v>3634</v>
      </c>
      <c r="AD341" s="3485"/>
      <c r="AE341" s="3441" t="s">
        <v>3663</v>
      </c>
      <c r="AF341" s="3470" t="s">
        <v>3752</v>
      </c>
      <c r="AG341" s="3470" t="s">
        <v>3466</v>
      </c>
      <c r="AH341" s="3485" t="s">
        <v>3568</v>
      </c>
      <c r="AI341" s="3470" t="s">
        <v>3664</v>
      </c>
      <c r="AJ341" s="3523">
        <v>38138</v>
      </c>
      <c r="AK341" s="3500">
        <v>5</v>
      </c>
      <c r="AL341" s="3441">
        <v>67641700</v>
      </c>
      <c r="AN341" s="3497" t="s">
        <v>3484</v>
      </c>
      <c r="AO341" s="3485" t="s">
        <v>6172</v>
      </c>
      <c r="AP341" s="3456" t="s">
        <v>3721</v>
      </c>
      <c r="AQ341" s="3441" t="s">
        <v>3571</v>
      </c>
      <c r="AV341" s="3441" t="s">
        <v>3568</v>
      </c>
      <c r="AW341" s="3470" t="s">
        <v>3572</v>
      </c>
      <c r="AY341" s="3441">
        <v>264758</v>
      </c>
      <c r="AZ341" s="3470" t="s">
        <v>3766</v>
      </c>
      <c r="BA341" s="3441" t="s">
        <v>3770</v>
      </c>
      <c r="BB341" s="3441" t="s">
        <v>3756</v>
      </c>
      <c r="BC341" s="3524" t="s">
        <v>3757</v>
      </c>
      <c r="BD341" s="3441">
        <v>102488</v>
      </c>
      <c r="BE341" s="3525">
        <v>63023627</v>
      </c>
      <c r="BF341" s="3520">
        <v>2.8</v>
      </c>
      <c r="BG341" s="3518">
        <v>37724</v>
      </c>
      <c r="BH341" s="3518"/>
      <c r="BI341" s="3470" t="s">
        <v>3721</v>
      </c>
      <c r="BJ341" s="3484">
        <v>37770</v>
      </c>
      <c r="BK341" s="3518"/>
      <c r="BL341" s="3441" t="s">
        <v>3833</v>
      </c>
      <c r="BS341" s="3470"/>
      <c r="BT341" s="3470"/>
      <c r="BU341" s="3470"/>
    </row>
    <row r="342" spans="1:73" s="3470" customFormat="1" ht="12" hidden="1">
      <c r="A342" s="3485" t="s">
        <v>6173</v>
      </c>
      <c r="B342" s="3470" t="s">
        <v>6174</v>
      </c>
      <c r="C342" s="3454" t="s">
        <v>6175</v>
      </c>
      <c r="D342" s="3470">
        <v>13910774883</v>
      </c>
      <c r="E342" s="3470" t="s">
        <v>2736</v>
      </c>
      <c r="F342" s="3470" t="s">
        <v>5592</v>
      </c>
      <c r="G342" s="3470" t="s">
        <v>2420</v>
      </c>
      <c r="H342" s="3470" t="s">
        <v>5793</v>
      </c>
      <c r="I342" s="3453" t="s">
        <v>4011</v>
      </c>
      <c r="J342" s="3453" t="s">
        <v>4075</v>
      </c>
      <c r="K342" s="3470" t="s">
        <v>5586</v>
      </c>
      <c r="L342" s="3495">
        <v>93.12</v>
      </c>
      <c r="M342" s="3495">
        <v>4</v>
      </c>
      <c r="N342" s="3453" t="s">
        <v>3451</v>
      </c>
      <c r="O342" s="3495">
        <v>81.97</v>
      </c>
      <c r="P342" s="3470" t="s">
        <v>3452</v>
      </c>
      <c r="Q342" s="3457">
        <v>364145.76</v>
      </c>
      <c r="R342" s="3470">
        <v>3910.5</v>
      </c>
      <c r="S342" s="3472">
        <v>35.96</v>
      </c>
      <c r="T342" s="3527">
        <v>359600</v>
      </c>
      <c r="U342" s="3470">
        <v>3862</v>
      </c>
      <c r="V342" s="3474">
        <v>0.1</v>
      </c>
      <c r="W342" s="3475">
        <v>32.36</v>
      </c>
      <c r="X342" s="3473">
        <v>323600</v>
      </c>
      <c r="Y342" s="3441">
        <v>2003</v>
      </c>
      <c r="Z342" s="3441">
        <v>5</v>
      </c>
      <c r="AA342" s="3441">
        <v>7</v>
      </c>
      <c r="AB342" s="3485">
        <v>1795</v>
      </c>
      <c r="AC342" s="3453" t="s">
        <v>3585</v>
      </c>
      <c r="AE342" s="3456" t="s">
        <v>3663</v>
      </c>
      <c r="AF342" s="3470" t="s">
        <v>6104</v>
      </c>
      <c r="AG342" s="3470" t="s">
        <v>3466</v>
      </c>
      <c r="AI342" s="3470" t="s">
        <v>3664</v>
      </c>
      <c r="AJ342" s="3478">
        <v>38108</v>
      </c>
      <c r="AK342" s="3548">
        <v>5</v>
      </c>
      <c r="AL342" s="3495">
        <v>67641700</v>
      </c>
      <c r="AN342" s="3480" t="s">
        <v>3456</v>
      </c>
      <c r="AO342" s="3441" t="s">
        <v>2420</v>
      </c>
      <c r="AP342" s="3456" t="s">
        <v>3476</v>
      </c>
      <c r="AQ342" s="3456" t="s">
        <v>3571</v>
      </c>
      <c r="AV342" s="3519"/>
      <c r="AW342" s="3470" t="s">
        <v>3572</v>
      </c>
      <c r="AX342" s="3470" t="s">
        <v>2420</v>
      </c>
      <c r="AY342" s="3495">
        <v>274410</v>
      </c>
      <c r="AZ342" s="3470" t="s">
        <v>5586</v>
      </c>
      <c r="BA342" s="3470" t="s">
        <v>5603</v>
      </c>
      <c r="BB342" s="3619">
        <v>1102281326100</v>
      </c>
      <c r="BC342" s="3470" t="s">
        <v>5588</v>
      </c>
      <c r="BD342" s="3470">
        <v>100055</v>
      </c>
      <c r="BE342" s="3470">
        <v>82951881</v>
      </c>
      <c r="BF342" s="3520">
        <v>2.8</v>
      </c>
      <c r="BG342" s="3478">
        <v>37691</v>
      </c>
      <c r="BI342" s="3470" t="s">
        <v>3476</v>
      </c>
      <c r="BJ342" s="3514">
        <v>37736</v>
      </c>
      <c r="BK342" s="3478"/>
      <c r="BL342" s="3441" t="s">
        <v>3670</v>
      </c>
      <c r="BM342" s="3441"/>
      <c r="BN342" s="3441"/>
      <c r="BO342" s="3441"/>
      <c r="BP342" s="3441"/>
      <c r="BQ342" s="3441"/>
      <c r="BR342" s="3441"/>
    </row>
    <row r="343" spans="1:73" s="3470" customFormat="1" ht="12" hidden="1">
      <c r="A343" s="3485" t="s">
        <v>6176</v>
      </c>
      <c r="B343" s="3470" t="s">
        <v>6177</v>
      </c>
      <c r="C343" s="3454" t="s">
        <v>6178</v>
      </c>
      <c r="D343" s="3470">
        <v>13910523813</v>
      </c>
      <c r="E343" s="3470" t="s">
        <v>2736</v>
      </c>
      <c r="F343" s="3470" t="s">
        <v>5592</v>
      </c>
      <c r="G343" s="3470" t="s">
        <v>3588</v>
      </c>
      <c r="H343" s="3470" t="s">
        <v>6179</v>
      </c>
      <c r="I343" s="3453" t="s">
        <v>3992</v>
      </c>
      <c r="J343" s="3453" t="s">
        <v>4075</v>
      </c>
      <c r="K343" s="3470" t="s">
        <v>5586</v>
      </c>
      <c r="L343" s="3495">
        <v>122.2</v>
      </c>
      <c r="M343" s="3495">
        <v>4</v>
      </c>
      <c r="N343" s="3453" t="s">
        <v>3488</v>
      </c>
      <c r="O343" s="3495">
        <v>111.4</v>
      </c>
      <c r="P343" s="3470" t="s">
        <v>3452</v>
      </c>
      <c r="Q343" s="3457">
        <v>494910</v>
      </c>
      <c r="R343" s="3470">
        <v>4050</v>
      </c>
      <c r="S343" s="3472">
        <v>48.88</v>
      </c>
      <c r="T343" s="3527">
        <v>488800</v>
      </c>
      <c r="U343" s="3470">
        <v>4000</v>
      </c>
      <c r="V343" s="3474">
        <v>0.1</v>
      </c>
      <c r="W343" s="3475">
        <v>43.99</v>
      </c>
      <c r="X343" s="3473">
        <v>439900</v>
      </c>
      <c r="Y343" s="3441">
        <v>2003</v>
      </c>
      <c r="Z343" s="3441">
        <v>5</v>
      </c>
      <c r="AA343" s="3441">
        <v>7</v>
      </c>
      <c r="AB343" s="3485">
        <v>2440</v>
      </c>
      <c r="AC343" s="3453" t="s">
        <v>3585</v>
      </c>
      <c r="AE343" s="3456" t="s">
        <v>3663</v>
      </c>
      <c r="AF343" s="3470" t="s">
        <v>6104</v>
      </c>
      <c r="AG343" s="3470" t="s">
        <v>3466</v>
      </c>
      <c r="AI343" s="3470" t="s">
        <v>3664</v>
      </c>
      <c r="AJ343" s="3478">
        <v>38108</v>
      </c>
      <c r="AK343" s="3548">
        <v>5</v>
      </c>
      <c r="AL343" s="3495">
        <v>67641700</v>
      </c>
      <c r="AN343" s="3480" t="s">
        <v>3635</v>
      </c>
      <c r="AO343" s="3441" t="s">
        <v>3588</v>
      </c>
      <c r="AP343" s="3456" t="s">
        <v>3476</v>
      </c>
      <c r="AQ343" s="3456" t="s">
        <v>3571</v>
      </c>
      <c r="AV343" s="3519"/>
      <c r="AW343" s="3470" t="s">
        <v>3572</v>
      </c>
      <c r="AX343" s="3470" t="s">
        <v>3715</v>
      </c>
      <c r="AY343" s="3495">
        <v>274444</v>
      </c>
      <c r="AZ343" s="3470" t="s">
        <v>5584</v>
      </c>
      <c r="BA343" s="3470" t="s">
        <v>5587</v>
      </c>
      <c r="BB343" s="3619">
        <v>1102281326100</v>
      </c>
      <c r="BC343" s="3470" t="s">
        <v>5604</v>
      </c>
      <c r="BD343" s="3470">
        <v>100055</v>
      </c>
      <c r="BE343" s="3470">
        <v>82951881</v>
      </c>
      <c r="BF343" s="3520">
        <v>2.8</v>
      </c>
      <c r="BG343" s="3478">
        <v>37695</v>
      </c>
      <c r="BI343" s="3470" t="s">
        <v>3476</v>
      </c>
      <c r="BJ343" s="3514">
        <v>37735</v>
      </c>
      <c r="BK343" s="3478"/>
      <c r="BL343" s="3441" t="s">
        <v>3670</v>
      </c>
      <c r="BM343" s="3441"/>
      <c r="BN343" s="3441"/>
      <c r="BO343" s="3441"/>
      <c r="BP343" s="3441"/>
      <c r="BQ343" s="3441"/>
      <c r="BR343" s="3441"/>
    </row>
    <row r="344" spans="1:73" s="3441" customFormat="1" ht="12" hidden="1">
      <c r="A344" s="3470" t="s">
        <v>6180</v>
      </c>
      <c r="B344" s="3470" t="s">
        <v>6181</v>
      </c>
      <c r="C344" s="3481" t="s">
        <v>6182</v>
      </c>
      <c r="D344" s="3481" t="s">
        <v>6183</v>
      </c>
      <c r="E344" s="3470" t="s">
        <v>3558</v>
      </c>
      <c r="F344" s="3528" t="s">
        <v>3951</v>
      </c>
      <c r="G344" s="3470"/>
      <c r="H344" s="3470" t="s">
        <v>4281</v>
      </c>
      <c r="I344" s="3470" t="s">
        <v>3676</v>
      </c>
      <c r="J344" s="3481" t="s">
        <v>6184</v>
      </c>
      <c r="K344" s="3470" t="s">
        <v>3955</v>
      </c>
      <c r="L344" s="3470">
        <v>117.68</v>
      </c>
      <c r="M344" s="3470">
        <v>11</v>
      </c>
      <c r="N344" s="3453" t="s">
        <v>3486</v>
      </c>
      <c r="O344" s="3470">
        <v>97.39</v>
      </c>
      <c r="P344" s="3470" t="s">
        <v>3452</v>
      </c>
      <c r="Q344" s="3457">
        <v>507965.72000000003</v>
      </c>
      <c r="R344" s="3470">
        <v>4316.5</v>
      </c>
      <c r="S344" s="3472">
        <v>50.22</v>
      </c>
      <c r="T344" s="3527">
        <v>502200</v>
      </c>
      <c r="U344" s="3470">
        <v>4268</v>
      </c>
      <c r="V344" s="3474">
        <v>0.1</v>
      </c>
      <c r="W344" s="3475">
        <v>45.19</v>
      </c>
      <c r="X344" s="3476">
        <v>451900</v>
      </c>
      <c r="Y344" s="3441">
        <v>2003</v>
      </c>
      <c r="Z344" s="3502">
        <v>5</v>
      </c>
      <c r="AA344" s="3501">
        <v>7</v>
      </c>
      <c r="AB344" s="3477">
        <v>2510</v>
      </c>
      <c r="AC344" s="3470" t="s">
        <v>3648</v>
      </c>
      <c r="AD344" s="3485"/>
      <c r="AE344" s="3441" t="s">
        <v>3663</v>
      </c>
      <c r="AF344" s="3470" t="s">
        <v>3453</v>
      </c>
      <c r="AG344" s="3522" t="s">
        <v>3466</v>
      </c>
      <c r="AH344" s="3485"/>
      <c r="AI344" s="3470" t="s">
        <v>3664</v>
      </c>
      <c r="AJ344" s="3523">
        <v>37802</v>
      </c>
      <c r="AK344" s="3500">
        <v>5</v>
      </c>
      <c r="AL344" s="3441" t="s">
        <v>3957</v>
      </c>
      <c r="AN344" s="3480" t="s">
        <v>3456</v>
      </c>
      <c r="AP344" s="3456" t="s">
        <v>3476</v>
      </c>
      <c r="AQ344" s="3441" t="s">
        <v>3571</v>
      </c>
      <c r="AV344" s="3441" t="s">
        <v>3568</v>
      </c>
      <c r="AW344" s="3441" t="s">
        <v>3572</v>
      </c>
      <c r="AX344" s="3441" t="s">
        <v>2511</v>
      </c>
      <c r="AY344" s="3524" t="s">
        <v>6185</v>
      </c>
      <c r="AZ344" s="3441" t="s">
        <v>3955</v>
      </c>
      <c r="BA344" s="3441" t="s">
        <v>3959</v>
      </c>
      <c r="BB344" s="3524" t="s">
        <v>3960</v>
      </c>
      <c r="BC344" s="3441" t="s">
        <v>3961</v>
      </c>
      <c r="BD344" s="3525">
        <v>102100</v>
      </c>
      <c r="BE344" s="3441">
        <v>62998398</v>
      </c>
      <c r="BF344" s="3526">
        <v>2.8</v>
      </c>
      <c r="BG344" s="3518">
        <v>37723</v>
      </c>
      <c r="BI344" s="3441" t="s">
        <v>3475</v>
      </c>
      <c r="BJ344" s="3484">
        <v>37747</v>
      </c>
      <c r="BK344" s="3484"/>
      <c r="BL344" s="3470" t="s">
        <v>3670</v>
      </c>
      <c r="BS344" s="3470"/>
      <c r="BT344" s="3470"/>
      <c r="BU344" s="3470"/>
    </row>
    <row r="345" spans="1:73" s="3441" customFormat="1" ht="12" hidden="1">
      <c r="A345" s="3453" t="s">
        <v>6186</v>
      </c>
      <c r="B345" s="3470" t="s">
        <v>6187</v>
      </c>
      <c r="C345" s="3481" t="s">
        <v>6188</v>
      </c>
      <c r="D345" s="3481" t="s">
        <v>6189</v>
      </c>
      <c r="E345" s="3470" t="s">
        <v>3763</v>
      </c>
      <c r="F345" s="3628" t="s">
        <v>6190</v>
      </c>
      <c r="G345" s="3470"/>
      <c r="H345" s="3453" t="s">
        <v>5793</v>
      </c>
      <c r="I345" s="3453" t="s">
        <v>4581</v>
      </c>
      <c r="J345" s="3454" t="s">
        <v>6191</v>
      </c>
      <c r="K345" s="3453" t="s">
        <v>6192</v>
      </c>
      <c r="L345" s="3495">
        <v>132.33000000000001</v>
      </c>
      <c r="M345" s="3495">
        <v>5</v>
      </c>
      <c r="N345" s="3441" t="s">
        <v>6193</v>
      </c>
      <c r="O345" s="3495">
        <v>108.42</v>
      </c>
      <c r="P345" s="3470" t="s">
        <v>3452</v>
      </c>
      <c r="Q345" s="3531">
        <v>793980.00000000012</v>
      </c>
      <c r="R345" s="3491">
        <v>6000</v>
      </c>
      <c r="S345" s="3532">
        <v>78.599999999999994</v>
      </c>
      <c r="T345" s="3623">
        <v>786000</v>
      </c>
      <c r="U345" s="3491">
        <v>5940</v>
      </c>
      <c r="V345" s="3529">
        <v>0.1</v>
      </c>
      <c r="W345" s="3475">
        <v>70.739999999999995</v>
      </c>
      <c r="X345" s="3554">
        <v>707400</v>
      </c>
      <c r="Y345" s="3501">
        <v>2003</v>
      </c>
      <c r="Z345" s="3441">
        <v>5</v>
      </c>
      <c r="AA345" s="3470">
        <v>8</v>
      </c>
      <c r="AB345" s="3477">
        <v>3930</v>
      </c>
      <c r="AC345" s="3470" t="s">
        <v>3648</v>
      </c>
      <c r="AD345" s="3485"/>
      <c r="AE345" s="3456" t="s">
        <v>3547</v>
      </c>
      <c r="AF345" s="3453" t="s">
        <v>4501</v>
      </c>
      <c r="AG345" s="3522" t="s">
        <v>3454</v>
      </c>
      <c r="AH345" s="3485"/>
      <c r="AI345" s="3470" t="s">
        <v>3664</v>
      </c>
      <c r="AJ345" s="3535" t="s">
        <v>3588</v>
      </c>
      <c r="AK345" s="3500">
        <v>5</v>
      </c>
      <c r="AL345" s="3495">
        <v>67641700</v>
      </c>
      <c r="AM345" s="3495"/>
      <c r="AN345" s="3480" t="s">
        <v>3619</v>
      </c>
      <c r="AO345" s="3470"/>
      <c r="AP345" s="3456" t="s">
        <v>3476</v>
      </c>
      <c r="AQ345" s="3456" t="s">
        <v>3650</v>
      </c>
      <c r="AV345" s="3601" t="s">
        <v>2420</v>
      </c>
      <c r="AW345" s="3470" t="s">
        <v>3458</v>
      </c>
      <c r="AX345" s="3441" t="s">
        <v>3549</v>
      </c>
      <c r="AY345" s="3536" t="s">
        <v>6194</v>
      </c>
      <c r="AZ345" s="3552" t="s">
        <v>6195</v>
      </c>
      <c r="BA345" s="3441" t="s">
        <v>6196</v>
      </c>
      <c r="BB345" s="3441" t="s">
        <v>6197</v>
      </c>
      <c r="BC345" s="3441" t="s">
        <v>6198</v>
      </c>
      <c r="BD345" s="3441">
        <v>100080</v>
      </c>
      <c r="BE345" s="3441">
        <v>63498233</v>
      </c>
      <c r="BF345" s="3544">
        <v>2.7</v>
      </c>
      <c r="BG345" s="3566">
        <v>37594</v>
      </c>
      <c r="BH345" s="3470"/>
      <c r="BI345" s="3470" t="s">
        <v>3476</v>
      </c>
      <c r="BJ345" s="3514">
        <v>37736</v>
      </c>
      <c r="BL345" s="3441" t="s">
        <v>3670</v>
      </c>
      <c r="BS345" s="3470"/>
      <c r="BT345" s="3470"/>
      <c r="BU345" s="3470"/>
    </row>
    <row r="346" spans="1:73" s="3470" customFormat="1" ht="12" hidden="1">
      <c r="A346" s="3485" t="s">
        <v>6199</v>
      </c>
      <c r="B346" s="3470" t="s">
        <v>6200</v>
      </c>
      <c r="C346" s="3454" t="s">
        <v>6201</v>
      </c>
      <c r="D346" s="3470">
        <v>13901116201</v>
      </c>
      <c r="E346" s="3470" t="s">
        <v>2736</v>
      </c>
      <c r="F346" s="3470" t="s">
        <v>6202</v>
      </c>
      <c r="H346" s="3453" t="s">
        <v>6203</v>
      </c>
      <c r="I346" s="3453" t="s">
        <v>3464</v>
      </c>
      <c r="J346" s="3453" t="s">
        <v>4549</v>
      </c>
      <c r="K346" s="3470" t="s">
        <v>6204</v>
      </c>
      <c r="L346" s="3495">
        <v>179</v>
      </c>
      <c r="M346" s="3495">
        <v>2</v>
      </c>
      <c r="N346" s="3470" t="s">
        <v>3632</v>
      </c>
      <c r="O346" s="3495">
        <v>150.05000000000001</v>
      </c>
      <c r="P346" s="3470" t="s">
        <v>3452</v>
      </c>
      <c r="Q346" s="3457">
        <v>1164135.45</v>
      </c>
      <c r="R346" s="3470">
        <v>6503.55</v>
      </c>
      <c r="S346" s="3547">
        <v>115.34</v>
      </c>
      <c r="T346" s="3554">
        <v>1153400</v>
      </c>
      <c r="U346" s="3470">
        <v>6444</v>
      </c>
      <c r="V346" s="3474">
        <v>0.1</v>
      </c>
      <c r="W346" s="3475">
        <v>103.8</v>
      </c>
      <c r="X346" s="3476">
        <v>1038000</v>
      </c>
      <c r="Y346" s="3441">
        <v>2003</v>
      </c>
      <c r="Z346" s="3502">
        <v>5</v>
      </c>
      <c r="AA346" s="3501">
        <v>9</v>
      </c>
      <c r="AB346" s="3477">
        <v>5380</v>
      </c>
      <c r="AC346" s="3470" t="s">
        <v>6205</v>
      </c>
      <c r="AE346" s="3456" t="s">
        <v>3663</v>
      </c>
      <c r="AF346" s="3453" t="s">
        <v>4501</v>
      </c>
      <c r="AG346" s="3470" t="s">
        <v>3466</v>
      </c>
      <c r="AH346" s="3470" t="s">
        <v>3568</v>
      </c>
      <c r="AI346" s="3470" t="s">
        <v>3664</v>
      </c>
      <c r="AJ346" s="3478">
        <v>37544</v>
      </c>
      <c r="AK346" s="3500">
        <v>5</v>
      </c>
      <c r="AL346" s="3495">
        <v>67641700</v>
      </c>
      <c r="AN346" s="3469" t="s">
        <v>3570</v>
      </c>
      <c r="AP346" s="3456" t="s">
        <v>3476</v>
      </c>
      <c r="AQ346" s="3456" t="s">
        <v>3571</v>
      </c>
      <c r="AV346" s="3519" t="s">
        <v>3568</v>
      </c>
      <c r="AW346" s="3470" t="s">
        <v>3572</v>
      </c>
      <c r="AX346" s="3470" t="s">
        <v>3606</v>
      </c>
      <c r="AY346" s="3495">
        <v>160155</v>
      </c>
      <c r="AZ346" s="3470" t="s">
        <v>6206</v>
      </c>
      <c r="BA346" s="3470" t="s">
        <v>6207</v>
      </c>
      <c r="BB346" s="3481" t="s">
        <v>6208</v>
      </c>
      <c r="BC346" s="3470" t="s">
        <v>6209</v>
      </c>
      <c r="BD346" s="3470">
        <v>100038</v>
      </c>
      <c r="BE346" s="3470">
        <v>88469990</v>
      </c>
      <c r="BF346" s="3520">
        <v>2.9</v>
      </c>
      <c r="BG346" s="3478">
        <v>37438</v>
      </c>
      <c r="BI346" s="3441" t="s">
        <v>3922</v>
      </c>
      <c r="BJ346" s="3478">
        <v>37748</v>
      </c>
      <c r="BK346" s="3478"/>
      <c r="BL346" s="3470" t="s">
        <v>3670</v>
      </c>
      <c r="BM346" s="3441"/>
      <c r="BN346" s="3441"/>
      <c r="BO346" s="3441"/>
      <c r="BP346" s="3441"/>
      <c r="BQ346" s="3441"/>
      <c r="BR346" s="3441"/>
    </row>
    <row r="347" spans="1:73" s="3441" customFormat="1" ht="12" hidden="1">
      <c r="A347" s="3470" t="s">
        <v>6210</v>
      </c>
      <c r="B347" s="3470" t="s">
        <v>6211</v>
      </c>
      <c r="C347" s="3481" t="s">
        <v>6212</v>
      </c>
      <c r="D347" s="3481" t="s">
        <v>6213</v>
      </c>
      <c r="E347" s="3470" t="s">
        <v>3558</v>
      </c>
      <c r="F347" s="3528" t="s">
        <v>3951</v>
      </c>
      <c r="G347" s="3470"/>
      <c r="H347" s="3470" t="s">
        <v>4418</v>
      </c>
      <c r="I347" s="3470" t="s">
        <v>4433</v>
      </c>
      <c r="J347" s="3481" t="s">
        <v>6214</v>
      </c>
      <c r="K347" s="3470" t="s">
        <v>3955</v>
      </c>
      <c r="L347" s="3470">
        <v>117.68</v>
      </c>
      <c r="M347" s="3470">
        <v>12</v>
      </c>
      <c r="N347" s="3453" t="s">
        <v>4871</v>
      </c>
      <c r="O347" s="3470">
        <v>97.39</v>
      </c>
      <c r="P347" s="3470" t="s">
        <v>3452</v>
      </c>
      <c r="Q347" s="3457">
        <v>490137.2</v>
      </c>
      <c r="R347" s="3470">
        <v>4165</v>
      </c>
      <c r="S347" s="3472">
        <v>48.43</v>
      </c>
      <c r="T347" s="3527">
        <v>484300</v>
      </c>
      <c r="U347" s="3470">
        <v>4116</v>
      </c>
      <c r="V347" s="3474">
        <v>0.1</v>
      </c>
      <c r="W347" s="3475">
        <v>43.58</v>
      </c>
      <c r="X347" s="3476">
        <v>435800</v>
      </c>
      <c r="Y347" s="3441">
        <v>2003</v>
      </c>
      <c r="Z347" s="3502">
        <v>5</v>
      </c>
      <c r="AA347" s="3501">
        <v>9</v>
      </c>
      <c r="AB347" s="3477">
        <v>2420</v>
      </c>
      <c r="AC347" s="3470" t="s">
        <v>3710</v>
      </c>
      <c r="AD347" s="3485"/>
      <c r="AE347" s="3441" t="s">
        <v>3663</v>
      </c>
      <c r="AF347" s="3470" t="s">
        <v>3453</v>
      </c>
      <c r="AG347" s="3522" t="s">
        <v>3466</v>
      </c>
      <c r="AH347" s="3485"/>
      <c r="AI347" s="3470" t="s">
        <v>3664</v>
      </c>
      <c r="AJ347" s="3523">
        <v>37802</v>
      </c>
      <c r="AK347" s="3500">
        <v>5</v>
      </c>
      <c r="AL347" s="3441" t="s">
        <v>3957</v>
      </c>
      <c r="AN347" s="3480" t="s">
        <v>3456</v>
      </c>
      <c r="AP347" s="3456" t="s">
        <v>3476</v>
      </c>
      <c r="AQ347" s="3441" t="s">
        <v>3571</v>
      </c>
      <c r="AV347" s="3441" t="s">
        <v>3568</v>
      </c>
      <c r="AW347" s="3441" t="s">
        <v>3572</v>
      </c>
      <c r="AX347" s="3441" t="s">
        <v>2511</v>
      </c>
      <c r="AY347" s="3524" t="s">
        <v>6215</v>
      </c>
      <c r="AZ347" s="3441" t="s">
        <v>3955</v>
      </c>
      <c r="BA347" s="3441" t="s">
        <v>3959</v>
      </c>
      <c r="BB347" s="3524" t="s">
        <v>3960</v>
      </c>
      <c r="BC347" s="3441" t="s">
        <v>3961</v>
      </c>
      <c r="BD347" s="3525">
        <v>102100</v>
      </c>
      <c r="BE347" s="3441">
        <v>62998398</v>
      </c>
      <c r="BF347" s="3526">
        <v>2.8</v>
      </c>
      <c r="BG347" s="3518">
        <v>37725</v>
      </c>
      <c r="BI347" s="3441" t="s">
        <v>3922</v>
      </c>
      <c r="BJ347" s="3601">
        <v>37749</v>
      </c>
      <c r="BK347" s="3484"/>
      <c r="BL347" s="3470" t="s">
        <v>3670</v>
      </c>
      <c r="BS347" s="3470"/>
      <c r="BT347" s="3470"/>
      <c r="BU347" s="3470"/>
    </row>
    <row r="348" spans="1:73" s="3470" customFormat="1" ht="12" hidden="1">
      <c r="A348" s="3485" t="s">
        <v>6216</v>
      </c>
      <c r="B348" s="3470" t="s">
        <v>6217</v>
      </c>
      <c r="C348" s="3454" t="s">
        <v>6218</v>
      </c>
      <c r="D348" s="3470">
        <v>13901255049</v>
      </c>
      <c r="E348" s="3470" t="s">
        <v>3538</v>
      </c>
      <c r="F348" s="3470" t="s">
        <v>6113</v>
      </c>
      <c r="G348" s="3470" t="s">
        <v>3588</v>
      </c>
      <c r="H348" s="3470" t="s">
        <v>6103</v>
      </c>
      <c r="I348" s="3453" t="s">
        <v>5440</v>
      </c>
      <c r="J348" s="3453" t="s">
        <v>6219</v>
      </c>
      <c r="K348" s="3470" t="s">
        <v>5601</v>
      </c>
      <c r="L348" s="3495">
        <v>116.66</v>
      </c>
      <c r="M348" s="3495">
        <v>11</v>
      </c>
      <c r="N348" s="3470" t="s">
        <v>4003</v>
      </c>
      <c r="O348" s="3495">
        <v>98.93</v>
      </c>
      <c r="P348" s="3470" t="s">
        <v>3452</v>
      </c>
      <c r="Q348" s="3457">
        <v>475972.8</v>
      </c>
      <c r="R348" s="3470">
        <v>4080</v>
      </c>
      <c r="S348" s="3472">
        <v>47.01</v>
      </c>
      <c r="T348" s="3527">
        <v>470100</v>
      </c>
      <c r="U348" s="3470">
        <v>4030</v>
      </c>
      <c r="V348" s="3474">
        <v>0.1</v>
      </c>
      <c r="W348" s="3475">
        <v>42.3</v>
      </c>
      <c r="X348" s="3473">
        <v>423000</v>
      </c>
      <c r="Y348" s="3441">
        <v>2003</v>
      </c>
      <c r="Z348" s="3441">
        <v>5</v>
      </c>
      <c r="AA348" s="3441">
        <v>9</v>
      </c>
      <c r="AB348" s="3485">
        <v>2350</v>
      </c>
      <c r="AC348" s="3470" t="s">
        <v>3544</v>
      </c>
      <c r="AE348" s="3456" t="s">
        <v>3663</v>
      </c>
      <c r="AF348" s="3470" t="s">
        <v>6220</v>
      </c>
      <c r="AG348" s="3470" t="s">
        <v>3466</v>
      </c>
      <c r="AI348" s="3470" t="s">
        <v>4955</v>
      </c>
      <c r="AJ348" s="3478">
        <v>38108</v>
      </c>
      <c r="AK348" s="3548">
        <v>5</v>
      </c>
      <c r="AL348" s="3495">
        <v>67641700</v>
      </c>
      <c r="AN348" s="3441" t="s">
        <v>3456</v>
      </c>
      <c r="AO348" s="3441" t="s">
        <v>3715</v>
      </c>
      <c r="AP348" s="3441" t="s">
        <v>3713</v>
      </c>
      <c r="AQ348" s="3456" t="s">
        <v>3571</v>
      </c>
      <c r="AV348" s="3519"/>
      <c r="AW348" s="3470" t="s">
        <v>3572</v>
      </c>
      <c r="AX348" s="3470" t="s">
        <v>3715</v>
      </c>
      <c r="AY348" s="3495">
        <v>267592</v>
      </c>
      <c r="AZ348" s="3470" t="s">
        <v>5586</v>
      </c>
      <c r="BA348" s="3470" t="s">
        <v>5587</v>
      </c>
      <c r="BB348" s="3619">
        <v>1102281326100</v>
      </c>
      <c r="BC348" s="3470" t="s">
        <v>5588</v>
      </c>
      <c r="BD348" s="3470">
        <v>100055</v>
      </c>
      <c r="BE348" s="3470">
        <v>82951881</v>
      </c>
      <c r="BF348" s="3520">
        <v>2.8</v>
      </c>
      <c r="BG348" s="3478">
        <v>37687</v>
      </c>
      <c r="BI348" s="3470" t="s">
        <v>3896</v>
      </c>
      <c r="BJ348" s="3484">
        <v>37736</v>
      </c>
      <c r="BK348" s="3478"/>
      <c r="BL348" s="3441" t="s">
        <v>3670</v>
      </c>
      <c r="BM348" s="3441"/>
      <c r="BN348" s="3441"/>
      <c r="BO348" s="3441"/>
      <c r="BP348" s="3441"/>
      <c r="BQ348" s="3441"/>
      <c r="BR348" s="3441"/>
    </row>
    <row r="349" spans="1:73" s="3470" customFormat="1" ht="12" hidden="1">
      <c r="A349" s="3485" t="s">
        <v>6221</v>
      </c>
      <c r="B349" s="3470" t="s">
        <v>6222</v>
      </c>
      <c r="C349" s="3454" t="s">
        <v>6223</v>
      </c>
      <c r="D349" s="3470">
        <v>13001172922</v>
      </c>
      <c r="E349" s="3470" t="s">
        <v>3763</v>
      </c>
      <c r="F349" s="3470" t="s">
        <v>5592</v>
      </c>
      <c r="G349" s="3470" t="s">
        <v>2420</v>
      </c>
      <c r="H349" s="3470" t="s">
        <v>5600</v>
      </c>
      <c r="I349" s="3453" t="s">
        <v>3464</v>
      </c>
      <c r="J349" s="3453" t="s">
        <v>4218</v>
      </c>
      <c r="K349" s="3470" t="s">
        <v>5586</v>
      </c>
      <c r="L349" s="3495">
        <v>122.2</v>
      </c>
      <c r="M349" s="3495">
        <v>1</v>
      </c>
      <c r="N349" s="3470" t="s">
        <v>4003</v>
      </c>
      <c r="O349" s="3495">
        <v>111.4</v>
      </c>
      <c r="P349" s="3470" t="s">
        <v>3452</v>
      </c>
      <c r="Q349" s="3457">
        <v>476580</v>
      </c>
      <c r="R349" s="3470">
        <v>3900</v>
      </c>
      <c r="S349" s="3472">
        <v>47.07</v>
      </c>
      <c r="T349" s="3527">
        <v>470700</v>
      </c>
      <c r="U349" s="3470">
        <v>3852</v>
      </c>
      <c r="V349" s="3474">
        <v>0.1</v>
      </c>
      <c r="W349" s="3475">
        <v>42.36</v>
      </c>
      <c r="X349" s="3473">
        <v>423600</v>
      </c>
      <c r="Y349" s="3441">
        <v>2003</v>
      </c>
      <c r="Z349" s="3441">
        <v>5</v>
      </c>
      <c r="AA349" s="3441">
        <v>9</v>
      </c>
      <c r="AB349" s="3485">
        <v>2350</v>
      </c>
      <c r="AC349" s="3470" t="s">
        <v>3544</v>
      </c>
      <c r="AE349" s="3456" t="s">
        <v>3663</v>
      </c>
      <c r="AF349" s="3470" t="s">
        <v>6220</v>
      </c>
      <c r="AG349" s="3470" t="s">
        <v>3466</v>
      </c>
      <c r="AI349" s="3470" t="s">
        <v>4849</v>
      </c>
      <c r="AJ349" s="3478">
        <v>38108</v>
      </c>
      <c r="AK349" s="3548">
        <v>5</v>
      </c>
      <c r="AL349" s="3495">
        <v>67641700</v>
      </c>
      <c r="AN349" s="3441" t="s">
        <v>3619</v>
      </c>
      <c r="AO349" s="3441" t="s">
        <v>3715</v>
      </c>
      <c r="AP349" s="3441" t="s">
        <v>3896</v>
      </c>
      <c r="AQ349" s="3456" t="s">
        <v>3571</v>
      </c>
      <c r="AV349" s="3519"/>
      <c r="AW349" s="3470" t="s">
        <v>3572</v>
      </c>
      <c r="AX349" s="3470" t="s">
        <v>3715</v>
      </c>
      <c r="AY349" s="3495">
        <v>274452</v>
      </c>
      <c r="AZ349" s="3470" t="s">
        <v>5584</v>
      </c>
      <c r="BA349" s="3470" t="s">
        <v>5595</v>
      </c>
      <c r="BB349" s="3619">
        <v>1102281326100</v>
      </c>
      <c r="BC349" s="3470" t="s">
        <v>5588</v>
      </c>
      <c r="BD349" s="3470">
        <v>100055</v>
      </c>
      <c r="BE349" s="3470">
        <v>82951881</v>
      </c>
      <c r="BF349" s="3520">
        <v>2.8</v>
      </c>
      <c r="BG349" s="3478">
        <v>37718</v>
      </c>
      <c r="BI349" s="3470" t="s">
        <v>3713</v>
      </c>
      <c r="BJ349" s="3484">
        <v>37749</v>
      </c>
      <c r="BK349" s="3478"/>
      <c r="BL349" s="3441" t="s">
        <v>3670</v>
      </c>
      <c r="BM349" s="3441"/>
      <c r="BN349" s="3441"/>
      <c r="BO349" s="3441"/>
      <c r="BP349" s="3441"/>
      <c r="BQ349" s="3441"/>
      <c r="BR349" s="3441"/>
    </row>
    <row r="350" spans="1:73" s="3497" customFormat="1" ht="12" hidden="1">
      <c r="A350" s="3485" t="s">
        <v>6224</v>
      </c>
      <c r="B350" s="3453" t="s">
        <v>6225</v>
      </c>
      <c r="C350" s="3454" t="s">
        <v>6226</v>
      </c>
      <c r="D350" s="3453">
        <v>13911125130</v>
      </c>
      <c r="E350" s="3498" t="s">
        <v>3538</v>
      </c>
      <c r="F350" s="3573" t="s">
        <v>5143</v>
      </c>
      <c r="G350" s="3561"/>
      <c r="H350" s="3470" t="s">
        <v>5144</v>
      </c>
      <c r="I350" s="3498" t="s">
        <v>3582</v>
      </c>
      <c r="J350" s="3498" t="s">
        <v>5862</v>
      </c>
      <c r="K350" s="3555" t="s">
        <v>4489</v>
      </c>
      <c r="L350" s="3574">
        <v>91.56</v>
      </c>
      <c r="M350" s="3574">
        <v>3</v>
      </c>
      <c r="N350" s="3496" t="s">
        <v>3451</v>
      </c>
      <c r="O350" s="3574">
        <v>75.89</v>
      </c>
      <c r="P350" s="3496" t="s">
        <v>3452</v>
      </c>
      <c r="Q350" s="3510">
        <v>352506</v>
      </c>
      <c r="R350" s="3574">
        <v>3850</v>
      </c>
      <c r="S350" s="3472">
        <v>34.81</v>
      </c>
      <c r="T350" s="3527">
        <v>348100</v>
      </c>
      <c r="U350" s="3470">
        <v>3802</v>
      </c>
      <c r="V350" s="3474">
        <v>0.1</v>
      </c>
      <c r="W350" s="3475">
        <v>31.32</v>
      </c>
      <c r="X350" s="3572">
        <v>313200</v>
      </c>
      <c r="Y350" s="3495">
        <v>2003</v>
      </c>
      <c r="Z350" s="3441">
        <v>5</v>
      </c>
      <c r="AA350" s="3441">
        <v>9</v>
      </c>
      <c r="AB350" s="3477">
        <v>1740</v>
      </c>
      <c r="AC350" s="3490" t="s">
        <v>4209</v>
      </c>
      <c r="AD350" s="3561"/>
      <c r="AE350" s="3497" t="s">
        <v>4914</v>
      </c>
      <c r="AF350" s="3470" t="s">
        <v>4126</v>
      </c>
      <c r="AG350" s="3555" t="s">
        <v>3454</v>
      </c>
      <c r="AH350" s="3555"/>
      <c r="AI350" s="3470" t="s">
        <v>4955</v>
      </c>
      <c r="AJ350" s="3575">
        <v>37498</v>
      </c>
      <c r="AK350" s="3500">
        <v>5</v>
      </c>
      <c r="AL350" s="3501">
        <v>67641700</v>
      </c>
      <c r="AM350" s="3502"/>
      <c r="AN350" s="3480" t="s">
        <v>3456</v>
      </c>
      <c r="AO350" s="3470" t="s">
        <v>2420</v>
      </c>
      <c r="AP350" s="3456" t="s">
        <v>3476</v>
      </c>
      <c r="AQ350" s="3480" t="s">
        <v>3457</v>
      </c>
      <c r="AV350" s="3556"/>
      <c r="AW350" s="3490" t="s">
        <v>3458</v>
      </c>
      <c r="AX350" s="3502" t="s">
        <v>3606</v>
      </c>
      <c r="AY350" s="3503" t="s">
        <v>6227</v>
      </c>
      <c r="AZ350" s="3555" t="s">
        <v>5148</v>
      </c>
      <c r="BA350" s="3552" t="s">
        <v>4490</v>
      </c>
      <c r="BB350" s="3466">
        <v>1102211135488</v>
      </c>
      <c r="BC350" s="3552" t="s">
        <v>5150</v>
      </c>
      <c r="BD350" s="3569">
        <v>102202</v>
      </c>
      <c r="BE350" s="3501">
        <v>69711228</v>
      </c>
      <c r="BF350" s="3506">
        <v>2.7</v>
      </c>
      <c r="BG350" s="3539">
        <v>37490</v>
      </c>
      <c r="BI350" s="3470" t="s">
        <v>3476</v>
      </c>
      <c r="BJ350" s="3601">
        <v>37747</v>
      </c>
      <c r="BK350" s="3441" t="s">
        <v>3715</v>
      </c>
      <c r="BL350" s="3470" t="s">
        <v>3670</v>
      </c>
      <c r="BM350" s="3441"/>
      <c r="BN350" s="3441"/>
      <c r="BO350" s="3441"/>
      <c r="BP350" s="3441"/>
      <c r="BQ350" s="3441"/>
      <c r="BR350" s="3441"/>
      <c r="BS350" s="3470"/>
      <c r="BT350" s="3470"/>
      <c r="BU350" s="3470"/>
    </row>
    <row r="351" spans="1:73" s="3441" customFormat="1" ht="12" hidden="1">
      <c r="A351" s="3470" t="s">
        <v>6228</v>
      </c>
      <c r="B351" s="3470" t="s">
        <v>6229</v>
      </c>
      <c r="C351" s="3481" t="s">
        <v>6230</v>
      </c>
      <c r="D351" s="3481" t="s">
        <v>6231</v>
      </c>
      <c r="E351" s="3470" t="s">
        <v>3558</v>
      </c>
      <c r="F351" s="3528" t="s">
        <v>3951</v>
      </c>
      <c r="G351" s="3470"/>
      <c r="H351" s="3470" t="s">
        <v>4418</v>
      </c>
      <c r="I351" s="3470" t="s">
        <v>4433</v>
      </c>
      <c r="J351" s="3481" t="s">
        <v>6232</v>
      </c>
      <c r="K351" s="3470" t="s">
        <v>3955</v>
      </c>
      <c r="L351" s="3470">
        <v>117.68</v>
      </c>
      <c r="M351" s="3470">
        <v>6</v>
      </c>
      <c r="N351" s="3453" t="s">
        <v>4871</v>
      </c>
      <c r="O351" s="3470">
        <v>97.39</v>
      </c>
      <c r="P351" s="3470" t="s">
        <v>3452</v>
      </c>
      <c r="Q351" s="3457">
        <v>461305.60000000003</v>
      </c>
      <c r="R351" s="3470">
        <v>3920</v>
      </c>
      <c r="S351" s="3472">
        <v>45.56</v>
      </c>
      <c r="T351" s="3527">
        <v>455600</v>
      </c>
      <c r="U351" s="3470">
        <v>3872</v>
      </c>
      <c r="V351" s="3474">
        <v>0.1</v>
      </c>
      <c r="W351" s="3475">
        <v>41</v>
      </c>
      <c r="X351" s="3476">
        <v>410000</v>
      </c>
      <c r="Y351" s="3441">
        <v>2003</v>
      </c>
      <c r="Z351" s="3502">
        <v>5</v>
      </c>
      <c r="AA351" s="3470">
        <v>13</v>
      </c>
      <c r="AB351" s="3477">
        <v>2275</v>
      </c>
      <c r="AC351" s="3470" t="s">
        <v>3585</v>
      </c>
      <c r="AD351" s="3485"/>
      <c r="AE351" s="3441" t="s">
        <v>3663</v>
      </c>
      <c r="AF351" s="3470" t="s">
        <v>4063</v>
      </c>
      <c r="AG351" s="3522" t="s">
        <v>3466</v>
      </c>
      <c r="AH351" s="3485"/>
      <c r="AI351" s="3470" t="s">
        <v>3664</v>
      </c>
      <c r="AJ351" s="3523">
        <v>37802</v>
      </c>
      <c r="AK351" s="3500">
        <v>5</v>
      </c>
      <c r="AL351" s="3441" t="s">
        <v>3957</v>
      </c>
      <c r="AN351" s="3469" t="s">
        <v>3791</v>
      </c>
      <c r="AP351" s="3456" t="s">
        <v>3476</v>
      </c>
      <c r="AQ351" s="3441" t="s">
        <v>3571</v>
      </c>
      <c r="AV351" s="3441" t="s">
        <v>3568</v>
      </c>
      <c r="AW351" s="3441" t="s">
        <v>3572</v>
      </c>
      <c r="AX351" s="3441" t="s">
        <v>2511</v>
      </c>
      <c r="AY351" s="3524" t="s">
        <v>6233</v>
      </c>
      <c r="AZ351" s="3441" t="s">
        <v>3955</v>
      </c>
      <c r="BA351" s="3441" t="s">
        <v>3959</v>
      </c>
      <c r="BB351" s="3524" t="s">
        <v>3960</v>
      </c>
      <c r="BC351" s="3441" t="s">
        <v>3961</v>
      </c>
      <c r="BD351" s="3525">
        <v>102100</v>
      </c>
      <c r="BE351" s="3441">
        <v>62998398</v>
      </c>
      <c r="BF351" s="3526">
        <v>2.8</v>
      </c>
      <c r="BG351" s="3518">
        <v>37718</v>
      </c>
      <c r="BI351" s="3441" t="s">
        <v>3922</v>
      </c>
      <c r="BJ351" s="3601">
        <v>37748</v>
      </c>
      <c r="BK351" s="3484"/>
      <c r="BL351" s="3470" t="s">
        <v>3670</v>
      </c>
      <c r="BS351" s="3470"/>
      <c r="BT351" s="3470"/>
      <c r="BU351" s="3470"/>
    </row>
    <row r="352" spans="1:73" s="3470" customFormat="1" ht="12" hidden="1">
      <c r="A352" s="3485" t="s">
        <v>6234</v>
      </c>
      <c r="B352" s="3470" t="s">
        <v>6235</v>
      </c>
      <c r="C352" s="3454" t="s">
        <v>6236</v>
      </c>
      <c r="D352" s="3470">
        <v>13910899537</v>
      </c>
      <c r="E352" s="3470" t="s">
        <v>2736</v>
      </c>
      <c r="F352" s="3470" t="s">
        <v>6113</v>
      </c>
      <c r="G352" s="3470" t="s">
        <v>2420</v>
      </c>
      <c r="H352" s="3470" t="s">
        <v>6103</v>
      </c>
      <c r="I352" s="3453" t="s">
        <v>3464</v>
      </c>
      <c r="J352" s="3453" t="s">
        <v>4335</v>
      </c>
      <c r="K352" s="3470" t="s">
        <v>5586</v>
      </c>
      <c r="L352" s="3495">
        <v>98.22</v>
      </c>
      <c r="M352" s="3495">
        <v>10</v>
      </c>
      <c r="N352" s="3470" t="s">
        <v>3451</v>
      </c>
      <c r="O352" s="3495">
        <v>83.29</v>
      </c>
      <c r="P352" s="3470" t="s">
        <v>3452</v>
      </c>
      <c r="Q352" s="3457">
        <v>397791</v>
      </c>
      <c r="R352" s="3470">
        <v>4050</v>
      </c>
      <c r="S352" s="3472">
        <v>39.28</v>
      </c>
      <c r="T352" s="3527">
        <v>392800</v>
      </c>
      <c r="U352" s="3470">
        <v>4000</v>
      </c>
      <c r="V352" s="3474">
        <v>0.1</v>
      </c>
      <c r="W352" s="3475">
        <v>35.35</v>
      </c>
      <c r="X352" s="3473">
        <v>353500</v>
      </c>
      <c r="Y352" s="3441">
        <v>2003</v>
      </c>
      <c r="Z352" s="3441">
        <v>5</v>
      </c>
      <c r="AA352" s="3441">
        <v>13</v>
      </c>
      <c r="AB352" s="3485">
        <v>1960</v>
      </c>
      <c r="AC352" s="3470" t="s">
        <v>3585</v>
      </c>
      <c r="AE352" s="3456" t="s">
        <v>3663</v>
      </c>
      <c r="AF352" s="3470" t="s">
        <v>6237</v>
      </c>
      <c r="AG352" s="3470" t="s">
        <v>3466</v>
      </c>
      <c r="AI352" s="3470" t="s">
        <v>4955</v>
      </c>
      <c r="AJ352" s="3478">
        <v>38108</v>
      </c>
      <c r="AK352" s="3548">
        <v>5</v>
      </c>
      <c r="AL352" s="3495">
        <v>67641700</v>
      </c>
      <c r="AN352" s="3441" t="s">
        <v>3800</v>
      </c>
      <c r="AO352" s="3441" t="s">
        <v>3588</v>
      </c>
      <c r="AP352" s="3441" t="s">
        <v>3896</v>
      </c>
      <c r="AQ352" s="3456" t="s">
        <v>3571</v>
      </c>
      <c r="AV352" s="3519"/>
      <c r="AW352" s="3470" t="s">
        <v>3572</v>
      </c>
      <c r="AX352" s="3470" t="s">
        <v>3588</v>
      </c>
      <c r="AY352" s="3495">
        <v>274457</v>
      </c>
      <c r="AZ352" s="3470" t="s">
        <v>5584</v>
      </c>
      <c r="BA352" s="3470" t="s">
        <v>5603</v>
      </c>
      <c r="BB352" s="3619">
        <v>1102281326100</v>
      </c>
      <c r="BC352" s="3470" t="s">
        <v>5596</v>
      </c>
      <c r="BD352" s="3470">
        <v>100055</v>
      </c>
      <c r="BE352" s="3470">
        <v>82951881</v>
      </c>
      <c r="BF352" s="3520">
        <v>2.8</v>
      </c>
      <c r="BG352" s="3478">
        <v>37724</v>
      </c>
      <c r="BI352" s="3470" t="s">
        <v>3713</v>
      </c>
      <c r="BJ352" s="3484">
        <v>37748</v>
      </c>
      <c r="BK352" s="3478"/>
      <c r="BL352" s="3441" t="s">
        <v>3670</v>
      </c>
      <c r="BM352" s="3441"/>
      <c r="BN352" s="3441"/>
      <c r="BO352" s="3441"/>
      <c r="BP352" s="3441"/>
      <c r="BQ352" s="3441"/>
      <c r="BR352" s="3441"/>
    </row>
    <row r="353" spans="1:253" s="3470" customFormat="1" ht="12" hidden="1">
      <c r="A353" s="3485" t="s">
        <v>6238</v>
      </c>
      <c r="B353" s="3470" t="s">
        <v>6239</v>
      </c>
      <c r="C353" s="3454" t="s">
        <v>6240</v>
      </c>
      <c r="D353" s="3470">
        <v>13301116075</v>
      </c>
      <c r="E353" s="3470" t="s">
        <v>2736</v>
      </c>
      <c r="F353" s="3470" t="s">
        <v>5592</v>
      </c>
      <c r="G353" s="3470" t="s">
        <v>2420</v>
      </c>
      <c r="H353" s="3470" t="s">
        <v>5600</v>
      </c>
      <c r="I353" s="3453" t="s">
        <v>3726</v>
      </c>
      <c r="J353" s="3453" t="s">
        <v>4978</v>
      </c>
      <c r="K353" s="3470" t="s">
        <v>5586</v>
      </c>
      <c r="L353" s="3495">
        <v>122.2</v>
      </c>
      <c r="M353" s="3495">
        <v>5</v>
      </c>
      <c r="N353" s="3629" t="s">
        <v>4003</v>
      </c>
      <c r="O353" s="3495">
        <v>111.4</v>
      </c>
      <c r="P353" s="3470" t="s">
        <v>3452</v>
      </c>
      <c r="Q353" s="3457">
        <v>483912</v>
      </c>
      <c r="R353" s="3470">
        <v>3960</v>
      </c>
      <c r="S353" s="3472">
        <v>47.78</v>
      </c>
      <c r="T353" s="3527">
        <v>477800</v>
      </c>
      <c r="U353" s="3470">
        <v>3910</v>
      </c>
      <c r="V353" s="3474">
        <v>0.1</v>
      </c>
      <c r="W353" s="3475">
        <v>43</v>
      </c>
      <c r="X353" s="3473">
        <v>430000</v>
      </c>
      <c r="Y353" s="3441">
        <v>2003</v>
      </c>
      <c r="Z353" s="3441">
        <v>5</v>
      </c>
      <c r="AA353" s="3441">
        <v>12</v>
      </c>
      <c r="AB353" s="3485">
        <v>2385</v>
      </c>
      <c r="AC353" s="3470" t="s">
        <v>3544</v>
      </c>
      <c r="AE353" s="3456" t="s">
        <v>3663</v>
      </c>
      <c r="AF353" s="3470" t="s">
        <v>6237</v>
      </c>
      <c r="AG353" s="3470" t="s">
        <v>3466</v>
      </c>
      <c r="AI353" s="3470" t="s">
        <v>4849</v>
      </c>
      <c r="AJ353" s="3478">
        <v>38108</v>
      </c>
      <c r="AK353" s="3548">
        <v>5</v>
      </c>
      <c r="AL353" s="3495">
        <v>67641700</v>
      </c>
      <c r="AN353" s="3441" t="s">
        <v>3456</v>
      </c>
      <c r="AO353" s="3441" t="s">
        <v>2420</v>
      </c>
      <c r="AP353" s="3441" t="s">
        <v>3896</v>
      </c>
      <c r="AQ353" s="3456" t="s">
        <v>3571</v>
      </c>
      <c r="AV353" s="3519"/>
      <c r="AW353" s="3470" t="s">
        <v>3572</v>
      </c>
      <c r="AX353" s="3470" t="s">
        <v>3588</v>
      </c>
      <c r="AY353" s="3495">
        <v>274437</v>
      </c>
      <c r="AZ353" s="3470" t="s">
        <v>5601</v>
      </c>
      <c r="BA353" s="3470" t="s">
        <v>5595</v>
      </c>
      <c r="BB353" s="3619">
        <v>1102281326100</v>
      </c>
      <c r="BC353" s="3470" t="s">
        <v>5588</v>
      </c>
      <c r="BD353" s="3470">
        <v>100055</v>
      </c>
      <c r="BE353" s="3470">
        <v>82951881</v>
      </c>
      <c r="BF353" s="3520">
        <v>2.8</v>
      </c>
      <c r="BG353" s="3478">
        <v>37695</v>
      </c>
      <c r="BI353" s="3470" t="s">
        <v>3721</v>
      </c>
      <c r="BJ353" s="3484">
        <v>37750</v>
      </c>
      <c r="BK353" s="3478"/>
      <c r="BL353" s="3441" t="s">
        <v>3670</v>
      </c>
      <c r="BM353" s="3441"/>
      <c r="BN353" s="3441"/>
      <c r="BO353" s="3441"/>
      <c r="BP353" s="3441"/>
      <c r="BQ353" s="3441"/>
      <c r="BR353" s="3441"/>
    </row>
    <row r="354" spans="1:253" s="3441" customFormat="1" ht="12" hidden="1">
      <c r="A354" s="3470" t="s">
        <v>6241</v>
      </c>
      <c r="B354" s="3470" t="s">
        <v>6242</v>
      </c>
      <c r="C354" s="3481" t="s">
        <v>6243</v>
      </c>
      <c r="D354" s="3481" t="s">
        <v>6244</v>
      </c>
      <c r="E354" s="3470" t="s">
        <v>3763</v>
      </c>
      <c r="F354" s="3528" t="s">
        <v>4514</v>
      </c>
      <c r="G354" s="3470"/>
      <c r="H354" s="3470" t="s">
        <v>3952</v>
      </c>
      <c r="I354" s="3470" t="s">
        <v>3992</v>
      </c>
      <c r="J354" s="3481" t="s">
        <v>3465</v>
      </c>
      <c r="K354" s="3470" t="s">
        <v>5911</v>
      </c>
      <c r="L354" s="3470">
        <v>113.54</v>
      </c>
      <c r="M354" s="3470">
        <v>6</v>
      </c>
      <c r="N354" s="3470" t="s">
        <v>3661</v>
      </c>
      <c r="O354" s="3470">
        <v>102.91</v>
      </c>
      <c r="P354" s="3470" t="s">
        <v>3452</v>
      </c>
      <c r="Q354" s="3510">
        <v>556346</v>
      </c>
      <c r="R354" s="3470">
        <v>4900</v>
      </c>
      <c r="S354" s="3472">
        <v>55.06</v>
      </c>
      <c r="T354" s="3527">
        <v>550600</v>
      </c>
      <c r="U354" s="3495">
        <v>4850</v>
      </c>
      <c r="V354" s="3512">
        <v>0.1</v>
      </c>
      <c r="W354" s="3475">
        <v>49.55</v>
      </c>
      <c r="X354" s="3473">
        <v>495500</v>
      </c>
      <c r="Y354" s="3470">
        <v>2003</v>
      </c>
      <c r="Z354" s="3515">
        <v>5</v>
      </c>
      <c r="AA354" s="3515">
        <v>13</v>
      </c>
      <c r="AB354" s="3485">
        <v>2750</v>
      </c>
      <c r="AC354" s="3470" t="s">
        <v>3544</v>
      </c>
      <c r="AD354" s="3485"/>
      <c r="AE354" s="3497" t="s">
        <v>3663</v>
      </c>
      <c r="AF354" s="3470" t="s">
        <v>4152</v>
      </c>
      <c r="AG354" s="3522" t="s">
        <v>3454</v>
      </c>
      <c r="AH354" s="3485"/>
      <c r="AI354" s="3470" t="s">
        <v>4849</v>
      </c>
      <c r="AJ354" s="3523">
        <v>38078</v>
      </c>
      <c r="AK354" s="3500">
        <v>5</v>
      </c>
      <c r="AL354" s="3501">
        <v>67641700</v>
      </c>
      <c r="AN354" s="3480" t="s">
        <v>3800</v>
      </c>
      <c r="AP354" s="3441" t="s">
        <v>3721</v>
      </c>
      <c r="AQ354" s="3441" t="s">
        <v>3571</v>
      </c>
      <c r="AW354" s="3470" t="s">
        <v>3572</v>
      </c>
      <c r="AX354" s="3484" t="s">
        <v>2511</v>
      </c>
      <c r="AY354" s="3441">
        <v>282022</v>
      </c>
      <c r="AZ354" s="3441" t="s">
        <v>5911</v>
      </c>
      <c r="BA354" s="3441" t="s">
        <v>6245</v>
      </c>
      <c r="BB354" s="3524" t="s">
        <v>5905</v>
      </c>
      <c r="BC354" s="3441" t="s">
        <v>4443</v>
      </c>
      <c r="BD354" s="3441">
        <v>100873</v>
      </c>
      <c r="BE354" s="3441">
        <v>68498961</v>
      </c>
      <c r="BF354" s="3520">
        <v>2.8</v>
      </c>
      <c r="BG354" s="3518">
        <v>37710</v>
      </c>
      <c r="BH354" s="3470"/>
      <c r="BI354" s="3470" t="s">
        <v>3896</v>
      </c>
      <c r="BJ354" s="3484">
        <v>37750</v>
      </c>
      <c r="BK354" s="3518"/>
      <c r="BL354" s="3441" t="s">
        <v>3594</v>
      </c>
      <c r="BS354" s="3470"/>
      <c r="BT354" s="3470"/>
      <c r="BU354" s="3470"/>
    </row>
    <row r="355" spans="1:253" s="3441" customFormat="1" ht="12" hidden="1">
      <c r="A355" s="3485" t="s">
        <v>6246</v>
      </c>
      <c r="B355" s="3470" t="s">
        <v>6247</v>
      </c>
      <c r="C355" s="3481" t="s">
        <v>6248</v>
      </c>
      <c r="D355" s="3453" t="s">
        <v>6249</v>
      </c>
      <c r="E355" s="3470" t="s">
        <v>3558</v>
      </c>
      <c r="F355" s="3470" t="s">
        <v>4403</v>
      </c>
      <c r="G355" s="3470" t="s">
        <v>3568</v>
      </c>
      <c r="H355" s="3470" t="s">
        <v>6250</v>
      </c>
      <c r="I355" s="3470" t="s">
        <v>4927</v>
      </c>
      <c r="J355" s="3481" t="s">
        <v>4602</v>
      </c>
      <c r="K355" s="3470" t="s">
        <v>4406</v>
      </c>
      <c r="L355" s="3470">
        <v>123.17</v>
      </c>
      <c r="M355" s="3470">
        <v>6</v>
      </c>
      <c r="N355" s="3470" t="s">
        <v>3488</v>
      </c>
      <c r="O355" s="3470">
        <v>109.75</v>
      </c>
      <c r="P355" s="3470" t="s">
        <v>3452</v>
      </c>
      <c r="Q355" s="3457">
        <v>556728.4</v>
      </c>
      <c r="R355" s="3470">
        <v>4520</v>
      </c>
      <c r="S355" s="3472">
        <v>55.05</v>
      </c>
      <c r="T355" s="3527">
        <v>550500</v>
      </c>
      <c r="U355" s="3470">
        <v>4470</v>
      </c>
      <c r="V355" s="3474">
        <v>0.1</v>
      </c>
      <c r="W355" s="3475">
        <v>49.54</v>
      </c>
      <c r="X355" s="3473">
        <v>495400</v>
      </c>
      <c r="Y355" s="3441">
        <v>2003</v>
      </c>
      <c r="Z355" s="3441">
        <v>5</v>
      </c>
      <c r="AA355" s="3441">
        <v>14</v>
      </c>
      <c r="AB355" s="3477">
        <v>2750</v>
      </c>
      <c r="AC355" s="3470" t="s">
        <v>3710</v>
      </c>
      <c r="AD355" s="3485"/>
      <c r="AE355" s="3441" t="s">
        <v>3663</v>
      </c>
      <c r="AF355" s="3470" t="s">
        <v>4751</v>
      </c>
      <c r="AG355" s="3522" t="s">
        <v>3466</v>
      </c>
      <c r="AH355" s="3485"/>
      <c r="AI355" s="3470" t="s">
        <v>4849</v>
      </c>
      <c r="AJ355" s="3523">
        <v>37833</v>
      </c>
      <c r="AK355" s="3548">
        <v>5</v>
      </c>
      <c r="AL355" s="3441">
        <v>67641700</v>
      </c>
      <c r="AN355" s="3480" t="s">
        <v>3468</v>
      </c>
      <c r="AO355" s="3470"/>
      <c r="AP355" s="3470" t="s">
        <v>6109</v>
      </c>
      <c r="AQ355" s="3441" t="s">
        <v>3571</v>
      </c>
      <c r="AW355" s="3441" t="s">
        <v>3572</v>
      </c>
      <c r="AX355" s="3441" t="s">
        <v>3568</v>
      </c>
      <c r="AY355" s="3524" t="s">
        <v>6251</v>
      </c>
      <c r="AZ355" s="3441" t="s">
        <v>4406</v>
      </c>
      <c r="BA355" s="3441" t="s">
        <v>4409</v>
      </c>
      <c r="BB355" s="3524" t="s">
        <v>4410</v>
      </c>
      <c r="BC355" s="3441" t="s">
        <v>4411</v>
      </c>
      <c r="BD355" s="3525" t="s">
        <v>3568</v>
      </c>
      <c r="BE355" s="3441">
        <v>68152860</v>
      </c>
      <c r="BF355" s="3526">
        <v>2.8</v>
      </c>
      <c r="BG355" s="3518">
        <v>37691</v>
      </c>
      <c r="BH355" s="3441" t="s">
        <v>4412</v>
      </c>
      <c r="BI355" s="3441" t="s">
        <v>2153</v>
      </c>
      <c r="BJ355" s="3484">
        <v>37754</v>
      </c>
      <c r="BK355" s="3484"/>
      <c r="BL355" s="3470" t="s">
        <v>3670</v>
      </c>
      <c r="BS355" s="3470"/>
      <c r="BT355" s="3470"/>
      <c r="BU355" s="3470"/>
    </row>
    <row r="356" spans="1:253" s="3441" customFormat="1" ht="12" hidden="1">
      <c r="A356" s="3485" t="s">
        <v>6252</v>
      </c>
      <c r="B356" s="3470" t="s">
        <v>6253</v>
      </c>
      <c r="C356" s="3481" t="s">
        <v>6254</v>
      </c>
      <c r="D356" s="3453">
        <v>13611206617</v>
      </c>
      <c r="E356" s="3470" t="s">
        <v>3558</v>
      </c>
      <c r="F356" s="3470" t="s">
        <v>4403</v>
      </c>
      <c r="G356" s="3470" t="s">
        <v>3568</v>
      </c>
      <c r="H356" s="3470" t="s">
        <v>5294</v>
      </c>
      <c r="I356" s="3470" t="s">
        <v>4404</v>
      </c>
      <c r="J356" s="3481" t="s">
        <v>4405</v>
      </c>
      <c r="K356" s="3470" t="s">
        <v>4406</v>
      </c>
      <c r="L356" s="3470">
        <v>97.41</v>
      </c>
      <c r="M356" s="3470">
        <v>3</v>
      </c>
      <c r="N356" s="3470" t="s">
        <v>5289</v>
      </c>
      <c r="O356" s="3470">
        <v>87.21</v>
      </c>
      <c r="P356" s="3470" t="s">
        <v>3452</v>
      </c>
      <c r="Q356" s="3457">
        <v>508480.19999999995</v>
      </c>
      <c r="R356" s="3470">
        <v>5220</v>
      </c>
      <c r="S356" s="3472">
        <v>50.36</v>
      </c>
      <c r="T356" s="3527">
        <v>503600</v>
      </c>
      <c r="U356" s="3470">
        <v>5170</v>
      </c>
      <c r="V356" s="3474">
        <v>0.1</v>
      </c>
      <c r="W356" s="3475">
        <v>45.32</v>
      </c>
      <c r="X356" s="3473">
        <v>453200</v>
      </c>
      <c r="Y356" s="3441">
        <v>2003</v>
      </c>
      <c r="Z356" s="3441">
        <v>5</v>
      </c>
      <c r="AA356" s="3441">
        <v>14</v>
      </c>
      <c r="AB356" s="3477">
        <v>2515</v>
      </c>
      <c r="AC356" s="3470" t="s">
        <v>4922</v>
      </c>
      <c r="AD356" s="3485"/>
      <c r="AE356" s="3441" t="s">
        <v>3663</v>
      </c>
      <c r="AF356" s="3470" t="s">
        <v>6255</v>
      </c>
      <c r="AG356" s="3522" t="s">
        <v>3466</v>
      </c>
      <c r="AH356" s="3485"/>
      <c r="AI356" s="3470" t="s">
        <v>4849</v>
      </c>
      <c r="AJ356" s="3523">
        <v>37833</v>
      </c>
      <c r="AK356" s="3548">
        <v>5</v>
      </c>
      <c r="AL356" s="3441">
        <v>67641700</v>
      </c>
      <c r="AN356" s="3480" t="s">
        <v>3791</v>
      </c>
      <c r="AO356" s="3470"/>
      <c r="AP356" s="3470" t="s">
        <v>2153</v>
      </c>
      <c r="AQ356" s="3441" t="s">
        <v>3571</v>
      </c>
      <c r="AW356" s="3441" t="s">
        <v>3572</v>
      </c>
      <c r="AX356" s="3441" t="s">
        <v>3568</v>
      </c>
      <c r="AY356" s="3524" t="s">
        <v>6256</v>
      </c>
      <c r="AZ356" s="3441" t="s">
        <v>4406</v>
      </c>
      <c r="BA356" s="3441" t="s">
        <v>4409</v>
      </c>
      <c r="BB356" s="3524" t="s">
        <v>4410</v>
      </c>
      <c r="BC356" s="3441" t="s">
        <v>4411</v>
      </c>
      <c r="BD356" s="3525" t="s">
        <v>3568</v>
      </c>
      <c r="BE356" s="3441">
        <v>68152860</v>
      </c>
      <c r="BF356" s="3526">
        <v>2.8</v>
      </c>
      <c r="BG356" s="3518">
        <v>37681</v>
      </c>
      <c r="BH356" s="3441" t="s">
        <v>4412</v>
      </c>
      <c r="BI356" s="3441" t="s">
        <v>6257</v>
      </c>
      <c r="BJ356" s="3484">
        <v>37754</v>
      </c>
      <c r="BK356" s="3484"/>
      <c r="BL356" s="3470" t="s">
        <v>3670</v>
      </c>
      <c r="BS356" s="3470"/>
      <c r="BT356" s="3470"/>
      <c r="BU356" s="3470"/>
    </row>
    <row r="357" spans="1:253" s="3441" customFormat="1" ht="12" hidden="1">
      <c r="A357" s="3485" t="s">
        <v>6258</v>
      </c>
      <c r="B357" s="3470" t="s">
        <v>6259</v>
      </c>
      <c r="C357" s="3481" t="s">
        <v>6260</v>
      </c>
      <c r="D357" s="3453">
        <v>65010460</v>
      </c>
      <c r="E357" s="3470" t="s">
        <v>3558</v>
      </c>
      <c r="F357" s="3470" t="s">
        <v>4403</v>
      </c>
      <c r="G357" s="3470" t="s">
        <v>3568</v>
      </c>
      <c r="H357" s="3470" t="s">
        <v>4273</v>
      </c>
      <c r="I357" s="3470" t="s">
        <v>4217</v>
      </c>
      <c r="J357" s="3481" t="s">
        <v>3492</v>
      </c>
      <c r="K357" s="3470" t="s">
        <v>4406</v>
      </c>
      <c r="L357" s="3470">
        <v>99.18</v>
      </c>
      <c r="M357" s="3470">
        <v>6</v>
      </c>
      <c r="N357" s="3470" t="s">
        <v>3488</v>
      </c>
      <c r="O357" s="3470">
        <v>88.69</v>
      </c>
      <c r="P357" s="3470" t="s">
        <v>3452</v>
      </c>
      <c r="Q357" s="3457">
        <v>447301.80000000005</v>
      </c>
      <c r="R357" s="3470">
        <v>4510</v>
      </c>
      <c r="S357" s="3472">
        <v>44.23</v>
      </c>
      <c r="T357" s="3527">
        <v>442299.99999999994</v>
      </c>
      <c r="U357" s="3470">
        <v>4460</v>
      </c>
      <c r="V357" s="3474">
        <v>0.1</v>
      </c>
      <c r="W357" s="3475">
        <v>39.799999999999997</v>
      </c>
      <c r="X357" s="3473">
        <v>398000</v>
      </c>
      <c r="Y357" s="3441">
        <v>2003</v>
      </c>
      <c r="Z357" s="3441">
        <v>5</v>
      </c>
      <c r="AA357" s="3441">
        <v>19</v>
      </c>
      <c r="AB357" s="3477">
        <v>2210</v>
      </c>
      <c r="AC357" s="3470" t="s">
        <v>3544</v>
      </c>
      <c r="AD357" s="3485"/>
      <c r="AE357" s="3441" t="s">
        <v>3663</v>
      </c>
      <c r="AF357" s="3470" t="s">
        <v>4295</v>
      </c>
      <c r="AG357" s="3522" t="s">
        <v>3466</v>
      </c>
      <c r="AH357" s="3485"/>
      <c r="AI357" s="3470" t="s">
        <v>4955</v>
      </c>
      <c r="AJ357" s="3523">
        <v>37833</v>
      </c>
      <c r="AK357" s="3548">
        <v>5</v>
      </c>
      <c r="AL357" s="3441">
        <v>67641700</v>
      </c>
      <c r="AN357" s="3480" t="s">
        <v>3482</v>
      </c>
      <c r="AO357" s="3470"/>
      <c r="AP357" s="3456" t="s">
        <v>3896</v>
      </c>
      <c r="AQ357" s="3441" t="s">
        <v>3571</v>
      </c>
      <c r="AW357" s="3441" t="s">
        <v>3572</v>
      </c>
      <c r="AX357" s="3441" t="s">
        <v>3568</v>
      </c>
      <c r="AY357" s="3524" t="s">
        <v>6261</v>
      </c>
      <c r="AZ357" s="3441" t="s">
        <v>4406</v>
      </c>
      <c r="BA357" s="3441" t="s">
        <v>4409</v>
      </c>
      <c r="BB357" s="3524" t="s">
        <v>4410</v>
      </c>
      <c r="BC357" s="3441" t="s">
        <v>4411</v>
      </c>
      <c r="BD357" s="3525" t="s">
        <v>3568</v>
      </c>
      <c r="BE357" s="3441">
        <v>68152860</v>
      </c>
      <c r="BF357" s="3526">
        <v>2.8</v>
      </c>
      <c r="BG357" s="3518">
        <v>37703</v>
      </c>
      <c r="BH357" s="3441" t="s">
        <v>4412</v>
      </c>
      <c r="BI357" s="3441" t="s">
        <v>3700</v>
      </c>
      <c r="BJ357" s="3484">
        <v>37757</v>
      </c>
      <c r="BK357" s="3484"/>
      <c r="BL357" s="3470" t="s">
        <v>3670</v>
      </c>
      <c r="BS357" s="3470"/>
      <c r="BT357" s="3470"/>
      <c r="BU357" s="3470"/>
    </row>
    <row r="358" spans="1:253" s="3441" customFormat="1" ht="12" hidden="1">
      <c r="A358" s="3530" t="s">
        <v>6262</v>
      </c>
      <c r="B358" s="3470" t="s">
        <v>6263</v>
      </c>
      <c r="C358" s="3481" t="s">
        <v>6264</v>
      </c>
      <c r="D358" s="3481" t="s">
        <v>6265</v>
      </c>
      <c r="E358" s="3470" t="s">
        <v>3558</v>
      </c>
      <c r="F358" s="3521" t="s">
        <v>6266</v>
      </c>
      <c r="G358" s="3470"/>
      <c r="H358" s="3470"/>
      <c r="I358" s="3470" t="s">
        <v>4207</v>
      </c>
      <c r="J358" s="3481" t="s">
        <v>6267</v>
      </c>
      <c r="K358" s="3470" t="s">
        <v>5328</v>
      </c>
      <c r="L358" s="3470">
        <v>123.09</v>
      </c>
      <c r="M358" s="3470">
        <v>8</v>
      </c>
      <c r="N358" s="3470" t="s">
        <v>4137</v>
      </c>
      <c r="O358" s="3470">
        <v>99.85</v>
      </c>
      <c r="P358" s="3470" t="s">
        <v>3452</v>
      </c>
      <c r="Q358" s="3457">
        <v>816332.88</v>
      </c>
      <c r="R358" s="3470">
        <v>6632</v>
      </c>
      <c r="S358" s="3472">
        <v>80.8</v>
      </c>
      <c r="T358" s="3527">
        <v>808000</v>
      </c>
      <c r="U358" s="3470">
        <v>6565</v>
      </c>
      <c r="V358" s="3474">
        <v>0.1</v>
      </c>
      <c r="W358" s="3475">
        <v>72.72</v>
      </c>
      <c r="X358" s="3476">
        <v>727200</v>
      </c>
      <c r="Y358" s="3441">
        <v>2003</v>
      </c>
      <c r="Z358" s="3441">
        <v>5</v>
      </c>
      <c r="AA358" s="3441">
        <v>19</v>
      </c>
      <c r="AB358" s="3485">
        <v>4040</v>
      </c>
      <c r="AC358" s="3470" t="s">
        <v>3693</v>
      </c>
      <c r="AD358" s="3485"/>
      <c r="AE358" s="3441" t="s">
        <v>3663</v>
      </c>
      <c r="AF358" s="3470" t="s">
        <v>3453</v>
      </c>
      <c r="AG358" s="3522" t="s">
        <v>3466</v>
      </c>
      <c r="AH358" s="3485"/>
      <c r="AI358" s="3470" t="s">
        <v>4955</v>
      </c>
      <c r="AJ358" s="3523">
        <v>37621</v>
      </c>
      <c r="AK358" s="3479">
        <v>5</v>
      </c>
      <c r="AL358" s="3441">
        <v>67641700</v>
      </c>
      <c r="AN358" s="3441" t="s">
        <v>3482</v>
      </c>
      <c r="AP358" s="3456" t="s">
        <v>3896</v>
      </c>
      <c r="AQ358" s="3441" t="s">
        <v>3571</v>
      </c>
      <c r="AU358" s="3441" t="s">
        <v>3568</v>
      </c>
      <c r="AW358" s="3470" t="s">
        <v>3572</v>
      </c>
      <c r="AX358" s="3441" t="s">
        <v>2511</v>
      </c>
      <c r="AY358" s="3441">
        <v>163467</v>
      </c>
      <c r="AZ358" s="3524" t="s">
        <v>5328</v>
      </c>
      <c r="BA358" s="3441" t="s">
        <v>6268</v>
      </c>
      <c r="BB358" s="3441" t="s">
        <v>6269</v>
      </c>
      <c r="BC358" s="3524" t="s">
        <v>5331</v>
      </c>
      <c r="BD358" s="3441">
        <v>100036</v>
      </c>
      <c r="BE358" s="3525">
        <v>68256555</v>
      </c>
      <c r="BF358" s="3526">
        <v>2.8</v>
      </c>
      <c r="BG358" s="3518">
        <v>37548</v>
      </c>
      <c r="BH358" s="3518"/>
      <c r="BI358" s="3441" t="s">
        <v>3700</v>
      </c>
      <c r="BJ358" s="3484">
        <v>37757</v>
      </c>
      <c r="BK358" s="3484"/>
      <c r="BL358" s="3470" t="s">
        <v>3670</v>
      </c>
      <c r="BS358" s="3470"/>
      <c r="BT358" s="3470"/>
      <c r="BU358" s="3470"/>
    </row>
    <row r="359" spans="1:253" s="3441" customFormat="1" ht="12" hidden="1">
      <c r="A359" s="3485" t="s">
        <v>6270</v>
      </c>
      <c r="B359" s="3470" t="s">
        <v>6271</v>
      </c>
      <c r="C359" s="3481" t="s">
        <v>6272</v>
      </c>
      <c r="D359" s="3481" t="s">
        <v>6273</v>
      </c>
      <c r="E359" s="3470" t="s">
        <v>3558</v>
      </c>
      <c r="F359" s="3528" t="s">
        <v>4403</v>
      </c>
      <c r="G359" s="3470" t="s">
        <v>3568</v>
      </c>
      <c r="H359" s="3470" t="s">
        <v>5446</v>
      </c>
      <c r="I359" s="3470" t="s">
        <v>4217</v>
      </c>
      <c r="J359" s="3481" t="s">
        <v>4434</v>
      </c>
      <c r="K359" s="3470" t="s">
        <v>4406</v>
      </c>
      <c r="L359" s="3470">
        <v>129.58000000000001</v>
      </c>
      <c r="M359" s="3470">
        <v>6</v>
      </c>
      <c r="N359" s="3470" t="s">
        <v>3969</v>
      </c>
      <c r="O359" s="3470">
        <v>116.01</v>
      </c>
      <c r="P359" s="3470" t="s">
        <v>3452</v>
      </c>
      <c r="Q359" s="3531">
        <v>601251.20000000007</v>
      </c>
      <c r="R359" s="3470">
        <v>4640</v>
      </c>
      <c r="S359" s="3532">
        <v>59.47</v>
      </c>
      <c r="T359" s="3623">
        <v>594700</v>
      </c>
      <c r="U359" s="3470">
        <v>4590</v>
      </c>
      <c r="V359" s="3474">
        <v>0.1</v>
      </c>
      <c r="W359" s="3475">
        <v>53.52</v>
      </c>
      <c r="X359" s="3554">
        <v>535200</v>
      </c>
      <c r="Y359" s="3441">
        <v>2003</v>
      </c>
      <c r="Z359" s="3441">
        <v>6</v>
      </c>
      <c r="AA359" s="3470">
        <v>20</v>
      </c>
      <c r="AB359" s="3477">
        <v>2970</v>
      </c>
      <c r="AC359" s="3453" t="s">
        <v>3585</v>
      </c>
      <c r="AD359" s="3485"/>
      <c r="AE359" s="3441" t="s">
        <v>3663</v>
      </c>
      <c r="AF359" s="3470" t="s">
        <v>4295</v>
      </c>
      <c r="AG359" s="3522" t="s">
        <v>3466</v>
      </c>
      <c r="AH359" s="3485"/>
      <c r="AI359" s="3470" t="s">
        <v>4955</v>
      </c>
      <c r="AJ359" s="3523">
        <v>37833</v>
      </c>
      <c r="AK359" s="3500">
        <v>6</v>
      </c>
      <c r="AL359" s="3441">
        <v>67641700</v>
      </c>
      <c r="AN359" s="3480" t="s">
        <v>3649</v>
      </c>
      <c r="AO359" s="3524" t="s">
        <v>6274</v>
      </c>
      <c r="AP359" s="3441" t="s">
        <v>3721</v>
      </c>
      <c r="AQ359" s="3456" t="s">
        <v>3571</v>
      </c>
      <c r="AW359" s="3441" t="s">
        <v>3572</v>
      </c>
      <c r="AX359" s="3441" t="s">
        <v>3568</v>
      </c>
      <c r="AY359" s="3524" t="s">
        <v>6275</v>
      </c>
      <c r="AZ359" s="3441" t="s">
        <v>4406</v>
      </c>
      <c r="BA359" s="3441" t="s">
        <v>4409</v>
      </c>
      <c r="BB359" s="3524" t="s">
        <v>4410</v>
      </c>
      <c r="BC359" s="3441" t="s">
        <v>4411</v>
      </c>
      <c r="BD359" s="3525" t="s">
        <v>3568</v>
      </c>
      <c r="BE359" s="3441">
        <v>68152860</v>
      </c>
      <c r="BF359" s="3526">
        <v>2.8</v>
      </c>
      <c r="BG359" s="3518">
        <v>37751</v>
      </c>
      <c r="BH359" s="3441" t="s">
        <v>4412</v>
      </c>
      <c r="BI359" s="3441" t="s">
        <v>3700</v>
      </c>
      <c r="BJ359" s="3478">
        <v>37789</v>
      </c>
      <c r="BK359" s="3484"/>
      <c r="BL359" s="3470" t="s">
        <v>3670</v>
      </c>
      <c r="BS359" s="3470"/>
      <c r="BT359" s="3470"/>
      <c r="BU359" s="3470"/>
      <c r="BV359" s="3472"/>
      <c r="BW359" s="3472"/>
      <c r="BX359" s="3472"/>
      <c r="BY359" s="3472"/>
      <c r="BZ359" s="3472"/>
      <c r="CA359" s="3472"/>
      <c r="CB359" s="3472"/>
      <c r="CC359" s="3472"/>
      <c r="CD359" s="3472"/>
      <c r="CE359" s="3472"/>
      <c r="CF359" s="3472"/>
      <c r="CG359" s="3472"/>
      <c r="CH359" s="3472"/>
      <c r="CI359" s="3472"/>
      <c r="CJ359" s="3472"/>
      <c r="CK359" s="3472"/>
      <c r="CL359" s="3472"/>
      <c r="CM359" s="3472"/>
      <c r="CN359" s="3472"/>
      <c r="CO359" s="3472"/>
      <c r="CP359" s="3472"/>
      <c r="CQ359" s="3472"/>
      <c r="CR359" s="3472"/>
      <c r="CS359" s="3472"/>
      <c r="CT359" s="3472"/>
      <c r="CU359" s="3472"/>
      <c r="CV359" s="3472"/>
      <c r="CW359" s="3472"/>
      <c r="CX359" s="3472"/>
      <c r="CY359" s="3472"/>
      <c r="CZ359" s="3472"/>
      <c r="DA359" s="3472"/>
      <c r="DB359" s="3472"/>
      <c r="DC359" s="3472"/>
      <c r="DD359" s="3472"/>
      <c r="DE359" s="3472"/>
      <c r="DF359" s="3472"/>
      <c r="DG359" s="3472"/>
      <c r="DH359" s="3472"/>
      <c r="DI359" s="3472"/>
      <c r="DJ359" s="3472"/>
      <c r="DK359" s="3472"/>
      <c r="DL359" s="3472"/>
      <c r="DM359" s="3472"/>
      <c r="DN359" s="3472"/>
      <c r="DO359" s="3472"/>
      <c r="DP359" s="3472"/>
      <c r="DQ359" s="3472"/>
      <c r="DR359" s="3472"/>
      <c r="DS359" s="3472"/>
      <c r="DT359" s="3472"/>
      <c r="DU359" s="3472"/>
      <c r="DV359" s="3472"/>
      <c r="DW359" s="3472"/>
      <c r="DX359" s="3472"/>
      <c r="DY359" s="3472"/>
      <c r="DZ359" s="3472"/>
      <c r="EA359" s="3472"/>
      <c r="EB359" s="3472"/>
      <c r="EC359" s="3472"/>
      <c r="ED359" s="3472"/>
      <c r="EE359" s="3472"/>
      <c r="EF359" s="3472"/>
      <c r="EG359" s="3472"/>
      <c r="EH359" s="3472"/>
      <c r="EI359" s="3472"/>
      <c r="EJ359" s="3472"/>
      <c r="EK359" s="3472"/>
      <c r="EL359" s="3472"/>
      <c r="EM359" s="3472"/>
      <c r="EN359" s="3472"/>
      <c r="EO359" s="3472"/>
      <c r="EP359" s="3472"/>
      <c r="EQ359" s="3472"/>
      <c r="ER359" s="3472"/>
      <c r="ES359" s="3472"/>
      <c r="ET359" s="3472"/>
      <c r="EU359" s="3472"/>
      <c r="EV359" s="3472"/>
      <c r="EW359" s="3472"/>
      <c r="EX359" s="3472"/>
      <c r="EY359" s="3472"/>
      <c r="EZ359" s="3472"/>
      <c r="FA359" s="3472"/>
      <c r="FB359" s="3472"/>
      <c r="FC359" s="3472"/>
      <c r="FD359" s="3472"/>
      <c r="FE359" s="3472"/>
      <c r="FF359" s="3472"/>
      <c r="FG359" s="3472"/>
      <c r="FH359" s="3472"/>
      <c r="FI359" s="3472"/>
      <c r="FJ359" s="3472"/>
      <c r="FK359" s="3472"/>
      <c r="FL359" s="3472"/>
      <c r="FM359" s="3472"/>
      <c r="FN359" s="3472"/>
      <c r="FO359" s="3472"/>
      <c r="FP359" s="3472"/>
      <c r="FQ359" s="3472"/>
      <c r="FR359" s="3472"/>
      <c r="FS359" s="3472"/>
      <c r="FT359" s="3472"/>
      <c r="FU359" s="3472"/>
      <c r="FV359" s="3472"/>
      <c r="FW359" s="3472"/>
      <c r="FX359" s="3472"/>
      <c r="FY359" s="3472"/>
      <c r="FZ359" s="3472"/>
      <c r="GA359" s="3472"/>
      <c r="GB359" s="3472"/>
      <c r="GC359" s="3472"/>
      <c r="GD359" s="3472"/>
      <c r="GE359" s="3472"/>
      <c r="GF359" s="3472"/>
      <c r="GG359" s="3472"/>
      <c r="GH359" s="3472"/>
      <c r="GI359" s="3472"/>
      <c r="GJ359" s="3472"/>
      <c r="GK359" s="3472"/>
      <c r="GL359" s="3472"/>
      <c r="GM359" s="3472"/>
      <c r="GN359" s="3472"/>
      <c r="GO359" s="3472"/>
      <c r="GP359" s="3472"/>
      <c r="GQ359" s="3472"/>
      <c r="GR359" s="3472"/>
      <c r="GS359" s="3472"/>
      <c r="GT359" s="3472"/>
      <c r="GU359" s="3472"/>
      <c r="GV359" s="3472"/>
      <c r="GW359" s="3472"/>
      <c r="GX359" s="3472"/>
      <c r="GY359" s="3472"/>
      <c r="GZ359" s="3472"/>
      <c r="HA359" s="3472"/>
      <c r="HB359" s="3472"/>
      <c r="HC359" s="3472"/>
      <c r="HD359" s="3472"/>
      <c r="HE359" s="3472"/>
      <c r="HF359" s="3472"/>
      <c r="HG359" s="3472"/>
      <c r="HH359" s="3472"/>
      <c r="HI359" s="3472"/>
      <c r="HJ359" s="3472"/>
      <c r="HK359" s="3472"/>
      <c r="HL359" s="3472"/>
      <c r="HM359" s="3472"/>
      <c r="HN359" s="3472"/>
      <c r="HO359" s="3472"/>
      <c r="HP359" s="3472"/>
      <c r="HQ359" s="3472"/>
      <c r="HR359" s="3472"/>
      <c r="HS359" s="3472"/>
      <c r="HT359" s="3472"/>
      <c r="HU359" s="3472"/>
      <c r="HV359" s="3472"/>
      <c r="HW359" s="3472"/>
      <c r="HX359" s="3472"/>
      <c r="HY359" s="3472"/>
      <c r="HZ359" s="3472"/>
      <c r="IA359" s="3472"/>
      <c r="IB359" s="3472"/>
      <c r="IC359" s="3472"/>
      <c r="ID359" s="3472"/>
      <c r="IE359" s="3472"/>
      <c r="IF359" s="3472"/>
      <c r="IG359" s="3472"/>
      <c r="IH359" s="3472"/>
      <c r="II359" s="3472"/>
      <c r="IJ359" s="3472"/>
      <c r="IK359" s="3472"/>
      <c r="IL359" s="3472"/>
      <c r="IM359" s="3472"/>
      <c r="IN359" s="3472"/>
      <c r="IO359" s="3472"/>
      <c r="IP359" s="3472"/>
      <c r="IQ359" s="3472"/>
      <c r="IR359" s="3472"/>
      <c r="IS359" s="3472"/>
    </row>
    <row r="360" spans="1:253" s="3470" customFormat="1" ht="12" hidden="1">
      <c r="A360" s="3485" t="s">
        <v>6276</v>
      </c>
      <c r="B360" s="3470" t="s">
        <v>6277</v>
      </c>
      <c r="C360" s="3454" t="s">
        <v>6278</v>
      </c>
      <c r="D360" s="3470">
        <v>13910567413</v>
      </c>
      <c r="E360" s="3470" t="s">
        <v>3538</v>
      </c>
      <c r="F360" s="3470" t="s">
        <v>5592</v>
      </c>
      <c r="G360" s="3470" t="s">
        <v>3715</v>
      </c>
      <c r="H360" s="3470" t="s">
        <v>5608</v>
      </c>
      <c r="I360" s="3453" t="s">
        <v>4019</v>
      </c>
      <c r="J360" s="3453" t="s">
        <v>3465</v>
      </c>
      <c r="K360" s="3470" t="s">
        <v>5586</v>
      </c>
      <c r="L360" s="3495">
        <v>98.22</v>
      </c>
      <c r="M360" s="3495">
        <v>6</v>
      </c>
      <c r="N360" s="3470" t="s">
        <v>3486</v>
      </c>
      <c r="O360" s="3495">
        <v>83.29</v>
      </c>
      <c r="P360" s="3470" t="s">
        <v>3452</v>
      </c>
      <c r="Q360" s="3457">
        <v>389933.4</v>
      </c>
      <c r="R360" s="3470">
        <v>3970</v>
      </c>
      <c r="S360" s="3472">
        <v>38.520000000000003</v>
      </c>
      <c r="T360" s="3527">
        <v>385200.00000000006</v>
      </c>
      <c r="U360" s="3470">
        <v>3922</v>
      </c>
      <c r="V360" s="3474">
        <v>0.1</v>
      </c>
      <c r="W360" s="3475">
        <v>34.659999999999997</v>
      </c>
      <c r="X360" s="3473">
        <v>346599.99999999994</v>
      </c>
      <c r="Y360" s="3441">
        <v>2003</v>
      </c>
      <c r="Z360" s="3441">
        <v>5</v>
      </c>
      <c r="AA360" s="3470">
        <v>29</v>
      </c>
      <c r="AB360" s="3485">
        <v>1925</v>
      </c>
      <c r="AC360" s="3470" t="s">
        <v>3585</v>
      </c>
      <c r="AE360" s="3456" t="s">
        <v>3663</v>
      </c>
      <c r="AF360" s="3470" t="s">
        <v>6237</v>
      </c>
      <c r="AG360" s="3470" t="s">
        <v>3466</v>
      </c>
      <c r="AI360" s="3470" t="s">
        <v>3664</v>
      </c>
      <c r="AJ360" s="3478">
        <v>38108</v>
      </c>
      <c r="AK360" s="3548">
        <v>5</v>
      </c>
      <c r="AL360" s="3495">
        <v>67641700</v>
      </c>
      <c r="AN360" s="3480" t="s">
        <v>3484</v>
      </c>
      <c r="AO360" s="3470" t="s">
        <v>6279</v>
      </c>
      <c r="AP360" s="3456" t="s">
        <v>3476</v>
      </c>
      <c r="AQ360" s="3456" t="s">
        <v>3571</v>
      </c>
      <c r="AV360" s="3519"/>
      <c r="AW360" s="3470" t="s">
        <v>3572</v>
      </c>
      <c r="AX360" s="3470" t="s">
        <v>2420</v>
      </c>
      <c r="AY360" s="3495">
        <v>274481</v>
      </c>
      <c r="AZ360" s="3470" t="s">
        <v>5601</v>
      </c>
      <c r="BA360" s="3470" t="s">
        <v>5587</v>
      </c>
      <c r="BB360" s="3619">
        <v>1102281326100</v>
      </c>
      <c r="BC360" s="3470" t="s">
        <v>5588</v>
      </c>
      <c r="BD360" s="3470">
        <v>100055</v>
      </c>
      <c r="BE360" s="3470">
        <v>82951881</v>
      </c>
      <c r="BF360" s="3520">
        <v>2.8</v>
      </c>
      <c r="BG360" s="3478">
        <v>37760</v>
      </c>
      <c r="BI360" s="3470" t="s">
        <v>3476</v>
      </c>
      <c r="BJ360" s="3484">
        <v>37767</v>
      </c>
      <c r="BK360" s="3478"/>
      <c r="BL360" s="3441" t="s">
        <v>3670</v>
      </c>
      <c r="BM360" s="3441"/>
      <c r="BN360" s="3441"/>
      <c r="BO360" s="3441"/>
      <c r="BP360" s="3441"/>
      <c r="BQ360" s="3441"/>
      <c r="BR360" s="3441"/>
    </row>
    <row r="361" spans="1:253" s="3470" customFormat="1" ht="12" hidden="1">
      <c r="A361" s="3485" t="s">
        <v>6280</v>
      </c>
      <c r="B361" s="3470" t="s">
        <v>6281</v>
      </c>
      <c r="C361" s="3454" t="s">
        <v>6282</v>
      </c>
      <c r="D361" s="3470">
        <v>84482885</v>
      </c>
      <c r="E361" s="3470" t="s">
        <v>2736</v>
      </c>
      <c r="F361" s="3470" t="s">
        <v>5592</v>
      </c>
      <c r="G361" s="3470" t="s">
        <v>3588</v>
      </c>
      <c r="H361" s="3470" t="s">
        <v>6283</v>
      </c>
      <c r="I361" s="3453" t="s">
        <v>4207</v>
      </c>
      <c r="J361" s="3453" t="s">
        <v>6035</v>
      </c>
      <c r="K361" s="3470" t="s">
        <v>5586</v>
      </c>
      <c r="L361" s="3495">
        <v>90.69</v>
      </c>
      <c r="M361" s="3495">
        <v>1</v>
      </c>
      <c r="N361" s="3470" t="s">
        <v>3451</v>
      </c>
      <c r="O361" s="3495">
        <v>80.64</v>
      </c>
      <c r="P361" s="3470" t="s">
        <v>3452</v>
      </c>
      <c r="Q361" s="3457">
        <v>321949.5</v>
      </c>
      <c r="R361" s="3470">
        <v>3550</v>
      </c>
      <c r="S361" s="3472">
        <v>31.76</v>
      </c>
      <c r="T361" s="3527">
        <v>317600</v>
      </c>
      <c r="U361" s="3470">
        <v>3503</v>
      </c>
      <c r="V361" s="3474">
        <v>0.1</v>
      </c>
      <c r="W361" s="3475">
        <v>28.58</v>
      </c>
      <c r="X361" s="3473">
        <v>285800</v>
      </c>
      <c r="Y361" s="3441">
        <v>2003</v>
      </c>
      <c r="Z361" s="3441">
        <v>5</v>
      </c>
      <c r="AA361" s="3441">
        <v>23</v>
      </c>
      <c r="AB361" s="3485">
        <v>1585</v>
      </c>
      <c r="AC361" s="3470" t="s">
        <v>5110</v>
      </c>
      <c r="AE361" s="3456" t="s">
        <v>3663</v>
      </c>
      <c r="AF361" s="3470" t="s">
        <v>6284</v>
      </c>
      <c r="AG361" s="3470" t="s">
        <v>3466</v>
      </c>
      <c r="AI361" s="3470" t="s">
        <v>3664</v>
      </c>
      <c r="AJ361" s="3478">
        <v>38108</v>
      </c>
      <c r="AK361" s="3548">
        <v>5</v>
      </c>
      <c r="AL361" s="3495">
        <v>67641700</v>
      </c>
      <c r="AN361" s="3441" t="s">
        <v>3482</v>
      </c>
      <c r="AO361" s="3453" t="s">
        <v>6285</v>
      </c>
      <c r="AP361" s="3441" t="s">
        <v>3721</v>
      </c>
      <c r="AQ361" s="3456" t="s">
        <v>3571</v>
      </c>
      <c r="AV361" s="3519"/>
      <c r="AW361" s="3470" t="s">
        <v>3572</v>
      </c>
      <c r="AX361" s="3470" t="s">
        <v>3588</v>
      </c>
      <c r="AY361" s="3495">
        <v>274494</v>
      </c>
      <c r="AZ361" s="3470" t="s">
        <v>5586</v>
      </c>
      <c r="BA361" s="3470" t="s">
        <v>5587</v>
      </c>
      <c r="BB361" s="3619">
        <v>1102281326100</v>
      </c>
      <c r="BC361" s="3470" t="s">
        <v>5604</v>
      </c>
      <c r="BD361" s="3470">
        <v>100055</v>
      </c>
      <c r="BE361" s="3470">
        <v>82951881</v>
      </c>
      <c r="BF361" s="3520">
        <v>2.8</v>
      </c>
      <c r="BG361" s="3478">
        <v>37761</v>
      </c>
      <c r="BI361" s="3470" t="s">
        <v>3721</v>
      </c>
      <c r="BJ361" s="3484">
        <v>37762</v>
      </c>
      <c r="BK361" s="3478"/>
      <c r="BL361" s="3441" t="s">
        <v>3670</v>
      </c>
      <c r="BM361" s="3441"/>
      <c r="BN361" s="3441"/>
      <c r="BO361" s="3441"/>
      <c r="BP361" s="3441"/>
      <c r="BQ361" s="3441"/>
      <c r="BR361" s="3441"/>
    </row>
    <row r="362" spans="1:253" s="3470" customFormat="1" ht="12" hidden="1">
      <c r="A362" s="3485" t="s">
        <v>6286</v>
      </c>
      <c r="B362" s="3470" t="s">
        <v>6287</v>
      </c>
      <c r="C362" s="3454" t="s">
        <v>6288</v>
      </c>
      <c r="D362" s="3470">
        <v>13501038762</v>
      </c>
      <c r="E362" s="3470" t="s">
        <v>2736</v>
      </c>
      <c r="F362" s="3470" t="s">
        <v>5583</v>
      </c>
      <c r="G362" s="3470" t="s">
        <v>2420</v>
      </c>
      <c r="H362" s="3470" t="s">
        <v>6289</v>
      </c>
      <c r="I362" s="3453" t="s">
        <v>3676</v>
      </c>
      <c r="J362" s="3453" t="s">
        <v>3871</v>
      </c>
      <c r="K362" s="3470" t="s">
        <v>5586</v>
      </c>
      <c r="L362" s="3495">
        <v>122.2</v>
      </c>
      <c r="M362" s="3495">
        <v>4</v>
      </c>
      <c r="N362" s="3470" t="s">
        <v>4003</v>
      </c>
      <c r="O362" s="3495">
        <v>111.4</v>
      </c>
      <c r="P362" s="3470" t="s">
        <v>3452</v>
      </c>
      <c r="Q362" s="3457">
        <v>496009.8</v>
      </c>
      <c r="R362" s="3470">
        <v>4059</v>
      </c>
      <c r="S362" s="3472">
        <v>49</v>
      </c>
      <c r="T362" s="3527">
        <v>490000</v>
      </c>
      <c r="U362" s="3470">
        <v>4010</v>
      </c>
      <c r="V362" s="3474">
        <v>0.1</v>
      </c>
      <c r="W362" s="3475">
        <v>44.1</v>
      </c>
      <c r="X362" s="3473">
        <v>441000</v>
      </c>
      <c r="Y362" s="3441">
        <v>2003</v>
      </c>
      <c r="Z362" s="3441">
        <v>5</v>
      </c>
      <c r="AA362" s="3470">
        <v>26</v>
      </c>
      <c r="AB362" s="3485">
        <v>2450</v>
      </c>
      <c r="AC362" s="3470" t="s">
        <v>5110</v>
      </c>
      <c r="AE362" s="3456" t="s">
        <v>3663</v>
      </c>
      <c r="AF362" s="3470" t="s">
        <v>6290</v>
      </c>
      <c r="AG362" s="3470" t="s">
        <v>3466</v>
      </c>
      <c r="AI362" s="3470" t="s">
        <v>3664</v>
      </c>
      <c r="AJ362" s="3478">
        <v>38108</v>
      </c>
      <c r="AK362" s="3548">
        <v>5</v>
      </c>
      <c r="AL362" s="3495">
        <v>67641700</v>
      </c>
      <c r="AN362" s="3480" t="s">
        <v>3484</v>
      </c>
      <c r="AO362" s="3470" t="s">
        <v>6291</v>
      </c>
      <c r="AP362" s="3456" t="s">
        <v>3476</v>
      </c>
      <c r="AQ362" s="3456" t="s">
        <v>3571</v>
      </c>
      <c r="AV362" s="3519"/>
      <c r="AW362" s="3470" t="s">
        <v>3572</v>
      </c>
      <c r="AX362" s="3470" t="s">
        <v>3588</v>
      </c>
      <c r="AY362" s="3495">
        <v>274469</v>
      </c>
      <c r="AZ362" s="3470" t="s">
        <v>5586</v>
      </c>
      <c r="BA362" s="3470" t="s">
        <v>5587</v>
      </c>
      <c r="BB362" s="3619">
        <v>1102281326100</v>
      </c>
      <c r="BC362" s="3470" t="s">
        <v>5588</v>
      </c>
      <c r="BD362" s="3470">
        <v>100055</v>
      </c>
      <c r="BE362" s="3470">
        <v>82951881</v>
      </c>
      <c r="BF362" s="3520">
        <v>2.8</v>
      </c>
      <c r="BG362" s="3478">
        <v>37760</v>
      </c>
      <c r="BI362" s="3470" t="s">
        <v>3476</v>
      </c>
      <c r="BJ362" s="3478">
        <v>37762</v>
      </c>
      <c r="BK362" s="3478"/>
      <c r="BL362" s="3441" t="s">
        <v>3670</v>
      </c>
      <c r="BM362" s="3441"/>
      <c r="BN362" s="3441"/>
      <c r="BO362" s="3441"/>
      <c r="BP362" s="3441"/>
      <c r="BQ362" s="3441"/>
      <c r="BR362" s="3441"/>
    </row>
    <row r="363" spans="1:253" s="3470" customFormat="1" ht="12" hidden="1">
      <c r="A363" s="3485" t="s">
        <v>6292</v>
      </c>
      <c r="B363" s="3470" t="s">
        <v>6293</v>
      </c>
      <c r="C363" s="3454" t="s">
        <v>6294</v>
      </c>
      <c r="D363" s="3470">
        <v>13671298267</v>
      </c>
      <c r="E363" s="3470" t="s">
        <v>3538</v>
      </c>
      <c r="F363" s="3470" t="s">
        <v>6113</v>
      </c>
      <c r="G363" s="3470" t="s">
        <v>3715</v>
      </c>
      <c r="H363" s="3470" t="s">
        <v>6103</v>
      </c>
      <c r="I363" s="3453" t="s">
        <v>3676</v>
      </c>
      <c r="J363" s="3453" t="s">
        <v>6295</v>
      </c>
      <c r="K363" s="3470" t="s">
        <v>5601</v>
      </c>
      <c r="L363" s="3495">
        <v>98.22</v>
      </c>
      <c r="M363" s="3495">
        <v>9</v>
      </c>
      <c r="N363" s="3470" t="s">
        <v>3543</v>
      </c>
      <c r="O363" s="3495">
        <v>83.29</v>
      </c>
      <c r="P363" s="3470" t="s">
        <v>3452</v>
      </c>
      <c r="Q363" s="3457">
        <v>388951.2</v>
      </c>
      <c r="R363" s="3470">
        <v>3960</v>
      </c>
      <c r="S363" s="3472">
        <v>38.4</v>
      </c>
      <c r="T363" s="3527">
        <v>384000</v>
      </c>
      <c r="U363" s="3470">
        <v>3910</v>
      </c>
      <c r="V363" s="3474">
        <v>0.1</v>
      </c>
      <c r="W363" s="3475">
        <v>34.56</v>
      </c>
      <c r="X363" s="3473">
        <v>345600</v>
      </c>
      <c r="Y363" s="3441">
        <v>2003</v>
      </c>
      <c r="Z363" s="3441">
        <v>5</v>
      </c>
      <c r="AA363" s="3441">
        <v>21</v>
      </c>
      <c r="AB363" s="3485">
        <v>1920</v>
      </c>
      <c r="AC363" s="3470" t="s">
        <v>3585</v>
      </c>
      <c r="AE363" s="3456" t="s">
        <v>3663</v>
      </c>
      <c r="AF363" s="3470" t="s">
        <v>6237</v>
      </c>
      <c r="AG363" s="3470" t="s">
        <v>3466</v>
      </c>
      <c r="AI363" s="3470" t="s">
        <v>4955</v>
      </c>
      <c r="AJ363" s="3478">
        <v>38108</v>
      </c>
      <c r="AK363" s="3548">
        <v>5</v>
      </c>
      <c r="AL363" s="3495">
        <v>67641700</v>
      </c>
      <c r="AN363" s="3441" t="s">
        <v>3482</v>
      </c>
      <c r="AO363" s="3453" t="s">
        <v>6296</v>
      </c>
      <c r="AP363" s="3441" t="s">
        <v>3713</v>
      </c>
      <c r="AQ363" s="3456" t="s">
        <v>3571</v>
      </c>
      <c r="AV363" s="3519"/>
      <c r="AW363" s="3470" t="s">
        <v>3572</v>
      </c>
      <c r="AX363" s="3470" t="s">
        <v>2420</v>
      </c>
      <c r="AY363" s="3495">
        <v>274473</v>
      </c>
      <c r="AZ363" s="3470" t="s">
        <v>5601</v>
      </c>
      <c r="BA363" s="3470" t="s">
        <v>5587</v>
      </c>
      <c r="BB363" s="3619">
        <v>1102281326100</v>
      </c>
      <c r="BC363" s="3470" t="s">
        <v>5604</v>
      </c>
      <c r="BD363" s="3470">
        <v>100055</v>
      </c>
      <c r="BE363" s="3470">
        <v>82951881</v>
      </c>
      <c r="BF363" s="3520">
        <v>2.8</v>
      </c>
      <c r="BG363" s="3478">
        <v>37737</v>
      </c>
      <c r="BI363" s="3470" t="s">
        <v>3721</v>
      </c>
      <c r="BJ363" s="3484">
        <v>37760</v>
      </c>
      <c r="BK363" s="3478"/>
      <c r="BL363" s="3441" t="s">
        <v>3670</v>
      </c>
      <c r="BM363" s="3441"/>
      <c r="BN363" s="3441"/>
      <c r="BO363" s="3441"/>
      <c r="BP363" s="3441"/>
      <c r="BQ363" s="3441"/>
      <c r="BR363" s="3441"/>
    </row>
    <row r="364" spans="1:253" s="3470" customFormat="1" ht="12" hidden="1">
      <c r="A364" s="3485" t="s">
        <v>6297</v>
      </c>
      <c r="B364" s="3470" t="s">
        <v>6298</v>
      </c>
      <c r="C364" s="3454" t="s">
        <v>6299</v>
      </c>
      <c r="D364" s="3470">
        <v>13901293378</v>
      </c>
      <c r="E364" s="3470" t="s">
        <v>2736</v>
      </c>
      <c r="F364" s="3470" t="s">
        <v>5583</v>
      </c>
      <c r="G364" s="3470" t="s">
        <v>3715</v>
      </c>
      <c r="H364" s="3470" t="s">
        <v>5608</v>
      </c>
      <c r="I364" s="3453" t="s">
        <v>4019</v>
      </c>
      <c r="J364" s="3453" t="s">
        <v>6300</v>
      </c>
      <c r="K364" s="3470" t="s">
        <v>5586</v>
      </c>
      <c r="L364" s="3495">
        <v>98.22</v>
      </c>
      <c r="M364" s="3495">
        <v>10</v>
      </c>
      <c r="N364" s="3470" t="s">
        <v>3486</v>
      </c>
      <c r="O364" s="3495">
        <v>83.29</v>
      </c>
      <c r="P364" s="3470" t="s">
        <v>3452</v>
      </c>
      <c r="Q364" s="3457">
        <v>390895.95600000001</v>
      </c>
      <c r="R364" s="3470">
        <v>3979.8</v>
      </c>
      <c r="S364" s="3472">
        <v>38.6</v>
      </c>
      <c r="T364" s="3527">
        <v>386000</v>
      </c>
      <c r="U364" s="3470">
        <v>3930</v>
      </c>
      <c r="V364" s="3474">
        <v>0.1</v>
      </c>
      <c r="W364" s="3475">
        <v>34.74</v>
      </c>
      <c r="X364" s="3473">
        <v>347400</v>
      </c>
      <c r="Y364" s="3441">
        <v>2003</v>
      </c>
      <c r="Z364" s="3441">
        <v>5</v>
      </c>
      <c r="AA364" s="3470">
        <v>26</v>
      </c>
      <c r="AB364" s="3485">
        <v>1930</v>
      </c>
      <c r="AC364" s="3470" t="s">
        <v>3544</v>
      </c>
      <c r="AE364" s="3456" t="s">
        <v>3663</v>
      </c>
      <c r="AF364" s="3470" t="s">
        <v>6290</v>
      </c>
      <c r="AG364" s="3470" t="s">
        <v>3466</v>
      </c>
      <c r="AI364" s="3470" t="s">
        <v>4849</v>
      </c>
      <c r="AJ364" s="3478">
        <v>38108</v>
      </c>
      <c r="AK364" s="3548">
        <v>5</v>
      </c>
      <c r="AL364" s="3495">
        <v>67641700</v>
      </c>
      <c r="AN364" s="3480" t="s">
        <v>3484</v>
      </c>
      <c r="AO364" s="3470" t="s">
        <v>6301</v>
      </c>
      <c r="AP364" s="3456" t="s">
        <v>3476</v>
      </c>
      <c r="AQ364" s="3456" t="s">
        <v>3571</v>
      </c>
      <c r="AV364" s="3519"/>
      <c r="AW364" s="3470" t="s">
        <v>3572</v>
      </c>
      <c r="AX364" s="3470" t="s">
        <v>2420</v>
      </c>
      <c r="AY364" s="3495">
        <v>274487</v>
      </c>
      <c r="AZ364" s="3470" t="s">
        <v>5586</v>
      </c>
      <c r="BA364" s="3470" t="s">
        <v>5587</v>
      </c>
      <c r="BB364" s="3619">
        <v>1102281326100</v>
      </c>
      <c r="BC364" s="3470" t="s">
        <v>5596</v>
      </c>
      <c r="BD364" s="3470">
        <v>100055</v>
      </c>
      <c r="BE364" s="3470">
        <v>82951881</v>
      </c>
      <c r="BF364" s="3520">
        <v>2.8</v>
      </c>
      <c r="BG364" s="3478">
        <v>37754</v>
      </c>
      <c r="BI364" s="3470" t="s">
        <v>3476</v>
      </c>
      <c r="BJ364" s="3478">
        <v>37764</v>
      </c>
      <c r="BK364" s="3478"/>
      <c r="BL364" s="3441" t="s">
        <v>3670</v>
      </c>
      <c r="BM364" s="3441"/>
      <c r="BN364" s="3441"/>
      <c r="BO364" s="3441"/>
      <c r="BP364" s="3441"/>
      <c r="BQ364" s="3441"/>
      <c r="BR364" s="3441"/>
    </row>
    <row r="365" spans="1:253" s="3470" customFormat="1" ht="12" hidden="1">
      <c r="A365" s="3485" t="s">
        <v>6302</v>
      </c>
      <c r="B365" s="3470" t="s">
        <v>6303</v>
      </c>
      <c r="C365" s="3454" t="s">
        <v>6304</v>
      </c>
      <c r="D365" s="3470">
        <v>13910234470</v>
      </c>
      <c r="E365" s="3470" t="s">
        <v>2736</v>
      </c>
      <c r="F365" s="3470" t="s">
        <v>5592</v>
      </c>
      <c r="G365" s="3470" t="s">
        <v>3588</v>
      </c>
      <c r="H365" s="3470" t="s">
        <v>6283</v>
      </c>
      <c r="I365" s="3453" t="s">
        <v>4441</v>
      </c>
      <c r="J365" s="3453" t="s">
        <v>3449</v>
      </c>
      <c r="K365" s="3470" t="s">
        <v>5601</v>
      </c>
      <c r="L365" s="3495">
        <v>87.2</v>
      </c>
      <c r="M365" s="3495">
        <v>4</v>
      </c>
      <c r="N365" s="3470" t="s">
        <v>3543</v>
      </c>
      <c r="O365" s="3495">
        <v>77.540000000000006</v>
      </c>
      <c r="P365" s="3470" t="s">
        <v>3452</v>
      </c>
      <c r="Q365" s="3457">
        <v>327000</v>
      </c>
      <c r="R365" s="3470">
        <v>3750</v>
      </c>
      <c r="S365" s="3472">
        <v>32.28</v>
      </c>
      <c r="T365" s="3527">
        <v>322800</v>
      </c>
      <c r="U365" s="3470">
        <v>3702</v>
      </c>
      <c r="V365" s="3474">
        <v>0.1</v>
      </c>
      <c r="W365" s="3475">
        <v>29.05</v>
      </c>
      <c r="X365" s="3473">
        <v>290500</v>
      </c>
      <c r="Y365" s="3441">
        <v>2003</v>
      </c>
      <c r="Z365" s="3441">
        <v>5</v>
      </c>
      <c r="AA365" s="3470">
        <v>27</v>
      </c>
      <c r="AB365" s="3485">
        <v>1610</v>
      </c>
      <c r="AC365" s="3470" t="s">
        <v>3710</v>
      </c>
      <c r="AE365" s="3456" t="s">
        <v>3663</v>
      </c>
      <c r="AF365" s="3470" t="s">
        <v>6220</v>
      </c>
      <c r="AG365" s="3470" t="s">
        <v>3466</v>
      </c>
      <c r="AI365" s="3470" t="s">
        <v>4955</v>
      </c>
      <c r="AJ365" s="3478">
        <v>38108</v>
      </c>
      <c r="AK365" s="3548">
        <v>5</v>
      </c>
      <c r="AL365" s="3495">
        <v>67641700</v>
      </c>
      <c r="AN365" s="3480" t="s">
        <v>4427</v>
      </c>
      <c r="AO365" s="3470" t="s">
        <v>6305</v>
      </c>
      <c r="AP365" s="3456" t="s">
        <v>3476</v>
      </c>
      <c r="AQ365" s="3456" t="s">
        <v>3571</v>
      </c>
      <c r="AV365" s="3519"/>
      <c r="AW365" s="3470" t="s">
        <v>3572</v>
      </c>
      <c r="AX365" s="3470" t="s">
        <v>3715</v>
      </c>
      <c r="AY365" s="3495">
        <v>274491</v>
      </c>
      <c r="AZ365" s="3470" t="s">
        <v>5584</v>
      </c>
      <c r="BA365" s="3470" t="s">
        <v>5587</v>
      </c>
      <c r="BB365" s="3619">
        <v>1102281326100</v>
      </c>
      <c r="BC365" s="3470" t="s">
        <v>5604</v>
      </c>
      <c r="BD365" s="3470">
        <v>100055</v>
      </c>
      <c r="BE365" s="3470">
        <v>82951881</v>
      </c>
      <c r="BF365" s="3520">
        <v>2.8</v>
      </c>
      <c r="BG365" s="3478">
        <v>37760</v>
      </c>
      <c r="BI365" s="3470" t="s">
        <v>3476</v>
      </c>
      <c r="BJ365" s="3478">
        <v>37767</v>
      </c>
      <c r="BK365" s="3478"/>
      <c r="BL365" s="3441" t="s">
        <v>3670</v>
      </c>
      <c r="BM365" s="3441"/>
      <c r="BN365" s="3441"/>
      <c r="BO365" s="3441"/>
      <c r="BP365" s="3441"/>
      <c r="BQ365" s="3441"/>
      <c r="BR365" s="3441"/>
    </row>
    <row r="366" spans="1:253" s="3470" customFormat="1" ht="12" hidden="1">
      <c r="A366" s="3470" t="s">
        <v>6306</v>
      </c>
      <c r="B366" s="3470" t="s">
        <v>6307</v>
      </c>
      <c r="C366" s="3481" t="s">
        <v>6308</v>
      </c>
      <c r="D366" s="3470">
        <v>62986677</v>
      </c>
      <c r="E366" s="3470" t="s">
        <v>3558</v>
      </c>
      <c r="F366" s="3470" t="s">
        <v>5984</v>
      </c>
      <c r="H366" s="3470" t="s">
        <v>4054</v>
      </c>
      <c r="I366" s="3470" t="s">
        <v>4798</v>
      </c>
      <c r="J366" s="3470" t="s">
        <v>6309</v>
      </c>
      <c r="K366" s="3470" t="s">
        <v>5980</v>
      </c>
      <c r="L366" s="3470">
        <v>114.62</v>
      </c>
      <c r="M366" s="3470">
        <v>8</v>
      </c>
      <c r="N366" s="3470" t="s">
        <v>3543</v>
      </c>
      <c r="O366" s="3470">
        <v>99.42</v>
      </c>
      <c r="P366" s="3470" t="s">
        <v>3452</v>
      </c>
      <c r="Q366" s="3457">
        <v>569546.78</v>
      </c>
      <c r="R366" s="3470">
        <v>4969</v>
      </c>
      <c r="S366" s="3472">
        <v>56.39</v>
      </c>
      <c r="T366" s="3527">
        <v>563900</v>
      </c>
      <c r="U366" s="3470">
        <v>4920</v>
      </c>
      <c r="V366" s="3474">
        <v>0.1</v>
      </c>
      <c r="W366" s="3475">
        <v>50.75</v>
      </c>
      <c r="X366" s="3494">
        <v>507500</v>
      </c>
      <c r="Y366" s="3470">
        <v>2003</v>
      </c>
      <c r="Z366" s="3441">
        <v>5</v>
      </c>
      <c r="AA366" s="3470">
        <v>20</v>
      </c>
      <c r="AB366" s="3477">
        <v>2815</v>
      </c>
      <c r="AC366" s="3470" t="s">
        <v>5116</v>
      </c>
      <c r="AE366" s="3470" t="s">
        <v>3663</v>
      </c>
      <c r="AF366" s="3470" t="s">
        <v>4551</v>
      </c>
      <c r="AG366" s="3470" t="s">
        <v>3466</v>
      </c>
      <c r="AH366" s="3470" t="s">
        <v>3568</v>
      </c>
      <c r="AI366" s="3470" t="s">
        <v>3664</v>
      </c>
      <c r="AJ366" s="3523">
        <v>37772</v>
      </c>
      <c r="AK366" s="3500">
        <v>5</v>
      </c>
      <c r="AL366" s="3470">
        <v>67641700</v>
      </c>
      <c r="AN366" s="3456" t="s">
        <v>3739</v>
      </c>
      <c r="AO366" s="3470" t="s">
        <v>3588</v>
      </c>
      <c r="AP366" s="3470" t="s">
        <v>3476</v>
      </c>
      <c r="AQ366" s="3470" t="s">
        <v>3571</v>
      </c>
      <c r="AR366" s="3470" t="s">
        <v>3568</v>
      </c>
      <c r="AS366" s="3470" t="s">
        <v>3568</v>
      </c>
      <c r="AT366" s="3470" t="s">
        <v>3568</v>
      </c>
      <c r="AW366" s="3470" t="s">
        <v>3572</v>
      </c>
      <c r="AX366" s="3470" t="s">
        <v>2511</v>
      </c>
      <c r="AY366" s="3481" t="s">
        <v>6310</v>
      </c>
      <c r="AZ366" s="3470" t="s">
        <v>5708</v>
      </c>
      <c r="BA366" s="3470" t="s">
        <v>5712</v>
      </c>
      <c r="BB366" s="3481">
        <v>1101082131202</v>
      </c>
      <c r="BC366" s="3470" t="s">
        <v>5436</v>
      </c>
      <c r="BD366" s="3482">
        <v>102400</v>
      </c>
      <c r="BE366" s="3470">
        <v>62842753</v>
      </c>
      <c r="BF366" s="3483">
        <v>2.8</v>
      </c>
      <c r="BG366" s="3478">
        <v>37710</v>
      </c>
      <c r="BI366" s="3470" t="s">
        <v>3476</v>
      </c>
      <c r="BJ366" s="3514">
        <v>37755</v>
      </c>
      <c r="BK366" s="3508"/>
      <c r="BL366" s="3470" t="s">
        <v>3670</v>
      </c>
      <c r="BM366" s="3441"/>
      <c r="BN366" s="3441"/>
      <c r="BO366" s="3441"/>
      <c r="BP366" s="3441"/>
      <c r="BQ366" s="3441"/>
      <c r="BR366" s="3441"/>
    </row>
    <row r="367" spans="1:253" s="3470" customFormat="1" ht="12" hidden="1">
      <c r="A367" s="3470" t="s">
        <v>6311</v>
      </c>
      <c r="B367" s="3470" t="s">
        <v>6312</v>
      </c>
      <c r="C367" s="3481" t="s">
        <v>6313</v>
      </c>
      <c r="D367" s="3470">
        <v>13910694076</v>
      </c>
      <c r="E367" s="3470" t="s">
        <v>3558</v>
      </c>
      <c r="F367" s="3470" t="s">
        <v>5984</v>
      </c>
      <c r="H367" s="3470" t="s">
        <v>4054</v>
      </c>
      <c r="I367" s="3470" t="s">
        <v>6314</v>
      </c>
      <c r="J367" s="3470" t="s">
        <v>6315</v>
      </c>
      <c r="K367" s="3470" t="s">
        <v>5980</v>
      </c>
      <c r="L367" s="3470">
        <v>111.3</v>
      </c>
      <c r="M367" s="3470">
        <v>26</v>
      </c>
      <c r="N367" s="3470" t="s">
        <v>3602</v>
      </c>
      <c r="O367" s="3470">
        <v>94.5</v>
      </c>
      <c r="P367" s="3470" t="s">
        <v>3452</v>
      </c>
      <c r="Q367" s="3457">
        <v>570969</v>
      </c>
      <c r="R367" s="3470">
        <v>5130</v>
      </c>
      <c r="S367" s="3472">
        <v>56.54</v>
      </c>
      <c r="T367" s="3527">
        <v>565400</v>
      </c>
      <c r="U367" s="3470">
        <v>5080</v>
      </c>
      <c r="V367" s="3474">
        <v>0.1</v>
      </c>
      <c r="W367" s="3475">
        <v>50.88</v>
      </c>
      <c r="X367" s="3494">
        <v>508800</v>
      </c>
      <c r="Y367" s="3470">
        <v>2003</v>
      </c>
      <c r="Z367" s="3441">
        <v>5</v>
      </c>
      <c r="AA367" s="3470">
        <v>20</v>
      </c>
      <c r="AB367" s="3477">
        <v>2825</v>
      </c>
      <c r="AC367" s="3470" t="s">
        <v>3798</v>
      </c>
      <c r="AE367" s="3470" t="s">
        <v>3663</v>
      </c>
      <c r="AF367" s="3470" t="s">
        <v>3956</v>
      </c>
      <c r="AG367" s="3470" t="s">
        <v>3466</v>
      </c>
      <c r="AH367" s="3470" t="s">
        <v>3568</v>
      </c>
      <c r="AI367" s="3470" t="s">
        <v>4849</v>
      </c>
      <c r="AJ367" s="3523">
        <v>37772</v>
      </c>
      <c r="AK367" s="3500">
        <v>5</v>
      </c>
      <c r="AL367" s="3470">
        <v>67641700</v>
      </c>
      <c r="AN367" s="3456" t="s">
        <v>3739</v>
      </c>
      <c r="AO367" s="3470" t="s">
        <v>3588</v>
      </c>
      <c r="AP367" s="3470" t="s">
        <v>3476</v>
      </c>
      <c r="AQ367" s="3470" t="s">
        <v>3571</v>
      </c>
      <c r="AR367" s="3470" t="s">
        <v>3568</v>
      </c>
      <c r="AS367" s="3470" t="s">
        <v>3568</v>
      </c>
      <c r="AT367" s="3470" t="s">
        <v>3568</v>
      </c>
      <c r="AW367" s="3470" t="s">
        <v>3572</v>
      </c>
      <c r="AX367" s="3470" t="s">
        <v>2511</v>
      </c>
      <c r="AY367" s="3481" t="s">
        <v>6316</v>
      </c>
      <c r="AZ367" s="3470" t="s">
        <v>5980</v>
      </c>
      <c r="BA367" s="3470" t="s">
        <v>5712</v>
      </c>
      <c r="BB367" s="3481">
        <v>1101082131202</v>
      </c>
      <c r="BC367" s="3470" t="s">
        <v>5436</v>
      </c>
      <c r="BD367" s="3482">
        <v>102400</v>
      </c>
      <c r="BE367" s="3470">
        <v>62842753</v>
      </c>
      <c r="BF367" s="3483">
        <v>2.8</v>
      </c>
      <c r="BG367" s="3478">
        <v>37589</v>
      </c>
      <c r="BI367" s="3470" t="s">
        <v>3476</v>
      </c>
      <c r="BJ367" s="3514">
        <v>37756</v>
      </c>
      <c r="BK367" s="3508"/>
      <c r="BL367" s="3470" t="s">
        <v>3670</v>
      </c>
      <c r="BM367" s="3441"/>
      <c r="BN367" s="3441"/>
      <c r="BO367" s="3441"/>
      <c r="BP367" s="3441"/>
      <c r="BQ367" s="3441"/>
      <c r="BR367" s="3441"/>
    </row>
    <row r="368" spans="1:253" s="3470" customFormat="1" ht="12" hidden="1">
      <c r="A368" s="3470" t="s">
        <v>6317</v>
      </c>
      <c r="B368" s="3470" t="s">
        <v>6318</v>
      </c>
      <c r="C368" s="3481" t="s">
        <v>6319</v>
      </c>
      <c r="D368" s="3470">
        <v>13910515671</v>
      </c>
      <c r="E368" s="3470" t="s">
        <v>3558</v>
      </c>
      <c r="F368" s="3470" t="s">
        <v>5064</v>
      </c>
      <c r="H368" s="3453" t="s">
        <v>5065</v>
      </c>
      <c r="I368" s="3453" t="s">
        <v>5706</v>
      </c>
      <c r="J368" s="3453" t="s">
        <v>6320</v>
      </c>
      <c r="K368" s="3470" t="s">
        <v>5068</v>
      </c>
      <c r="L368" s="3495">
        <v>94.17</v>
      </c>
      <c r="M368" s="3495">
        <v>10</v>
      </c>
      <c r="N368" s="3470" t="s">
        <v>3709</v>
      </c>
      <c r="O368" s="3495">
        <v>74.23</v>
      </c>
      <c r="P368" s="3470" t="s">
        <v>3452</v>
      </c>
      <c r="Q368" s="3457">
        <v>619921.11</v>
      </c>
      <c r="R368" s="3470">
        <v>6583</v>
      </c>
      <c r="S368" s="3472">
        <v>61.41</v>
      </c>
      <c r="T368" s="3527">
        <v>614100</v>
      </c>
      <c r="U368" s="3470">
        <v>6522</v>
      </c>
      <c r="V368" s="3474">
        <v>0.1</v>
      </c>
      <c r="W368" s="3475">
        <v>55.26</v>
      </c>
      <c r="X368" s="3473">
        <v>552600</v>
      </c>
      <c r="Y368" s="3441">
        <v>2003</v>
      </c>
      <c r="Z368" s="3441">
        <v>5</v>
      </c>
      <c r="AA368" s="3470">
        <v>22</v>
      </c>
      <c r="AB368" s="3485">
        <v>3070</v>
      </c>
      <c r="AC368" s="3470" t="s">
        <v>6321</v>
      </c>
      <c r="AE368" s="3456" t="s">
        <v>3663</v>
      </c>
      <c r="AF368" s="3453" t="s">
        <v>3453</v>
      </c>
      <c r="AG368" s="3470" t="s">
        <v>3466</v>
      </c>
      <c r="AI368" s="3470" t="s">
        <v>4849</v>
      </c>
      <c r="AJ368" s="3478">
        <v>37753</v>
      </c>
      <c r="AK368" s="3500">
        <v>5</v>
      </c>
      <c r="AL368" s="3495">
        <v>67641700</v>
      </c>
      <c r="AN368" s="3480" t="s">
        <v>3649</v>
      </c>
      <c r="AP368" s="3456" t="s">
        <v>3476</v>
      </c>
      <c r="AQ368" s="3524" t="s">
        <v>3571</v>
      </c>
      <c r="AV368" s="3519"/>
      <c r="AW368" s="3470" t="s">
        <v>3572</v>
      </c>
      <c r="AX368" s="3470" t="s">
        <v>2511</v>
      </c>
      <c r="AY368" s="3495">
        <v>287727</v>
      </c>
      <c r="AZ368" s="3470" t="s">
        <v>5068</v>
      </c>
      <c r="BA368" s="3470" t="s">
        <v>5070</v>
      </c>
      <c r="BB368" s="3470" t="s">
        <v>5071</v>
      </c>
      <c r="BC368" s="3470" t="s">
        <v>5072</v>
      </c>
      <c r="BD368" s="3470">
        <v>100086</v>
      </c>
      <c r="BE368" s="3470">
        <v>62550762</v>
      </c>
      <c r="BF368" s="3520">
        <v>2.7</v>
      </c>
      <c r="BG368" s="3478">
        <v>37734</v>
      </c>
      <c r="BI368" s="3441" t="s">
        <v>3475</v>
      </c>
      <c r="BJ368" s="3478">
        <v>37760</v>
      </c>
      <c r="BK368" s="3478"/>
      <c r="BL368" s="3470" t="s">
        <v>3670</v>
      </c>
      <c r="BM368" s="3441"/>
      <c r="BN368" s="3441"/>
      <c r="BO368" s="3441"/>
      <c r="BP368" s="3441"/>
      <c r="BQ368" s="3441"/>
      <c r="BR368" s="3441"/>
    </row>
    <row r="369" spans="1:253" s="3470" customFormat="1" ht="12" hidden="1">
      <c r="A369" s="3485" t="s">
        <v>6322</v>
      </c>
      <c r="B369" s="3470" t="s">
        <v>6323</v>
      </c>
      <c r="C369" s="3471">
        <v>110108631229181</v>
      </c>
      <c r="D369" s="3470">
        <v>13701254234</v>
      </c>
      <c r="E369" s="3470" t="s">
        <v>3558</v>
      </c>
      <c r="F369" s="3470" t="s">
        <v>3978</v>
      </c>
      <c r="H369" s="3470" t="s">
        <v>4281</v>
      </c>
      <c r="I369" s="3470" t="s">
        <v>4854</v>
      </c>
      <c r="J369" s="3470" t="s">
        <v>3871</v>
      </c>
      <c r="K369" s="3470" t="s">
        <v>3981</v>
      </c>
      <c r="L369" s="3470">
        <v>136.82</v>
      </c>
      <c r="M369" s="3470">
        <v>4</v>
      </c>
      <c r="N369" s="3470" t="s">
        <v>4043</v>
      </c>
      <c r="O369" s="3470">
        <v>118.74</v>
      </c>
      <c r="P369" s="3470" t="s">
        <v>3452</v>
      </c>
      <c r="Q369" s="3510">
        <v>849652.2</v>
      </c>
      <c r="R369" s="3470">
        <v>6210</v>
      </c>
      <c r="S369" s="3495">
        <v>84.14</v>
      </c>
      <c r="T369" s="3511">
        <v>841400</v>
      </c>
      <c r="U369" s="3470">
        <v>6150</v>
      </c>
      <c r="V369" s="3474">
        <v>0.1</v>
      </c>
      <c r="W369" s="3475">
        <v>75.72</v>
      </c>
      <c r="X369" s="3527">
        <v>757200</v>
      </c>
      <c r="Y369" s="3441">
        <v>2003</v>
      </c>
      <c r="Z369" s="3441">
        <v>5</v>
      </c>
      <c r="AA369" s="3470">
        <v>21</v>
      </c>
      <c r="AB369" s="3485">
        <v>4205</v>
      </c>
      <c r="AC369" s="3470" t="s">
        <v>3970</v>
      </c>
      <c r="AE369" s="3456" t="s">
        <v>3663</v>
      </c>
      <c r="AF369" s="3470" t="s">
        <v>3493</v>
      </c>
      <c r="AG369" s="3470" t="s">
        <v>3466</v>
      </c>
      <c r="AI369" s="3470" t="s">
        <v>3664</v>
      </c>
      <c r="AJ369" s="3478">
        <v>37560</v>
      </c>
      <c r="AK369" s="3500">
        <v>5</v>
      </c>
      <c r="AL369" s="3495">
        <v>67641700</v>
      </c>
      <c r="AN369" s="3480" t="s">
        <v>3649</v>
      </c>
      <c r="AP369" s="3441" t="s">
        <v>3713</v>
      </c>
      <c r="AQ369" s="3470" t="s">
        <v>3571</v>
      </c>
      <c r="AW369" s="3470" t="s">
        <v>3572</v>
      </c>
      <c r="AX369" s="3470" t="s">
        <v>2511</v>
      </c>
      <c r="AY369" s="3481" t="s">
        <v>6324</v>
      </c>
      <c r="AZ369" s="3470" t="s">
        <v>3981</v>
      </c>
      <c r="BA369" s="3470" t="s">
        <v>3984</v>
      </c>
      <c r="BB369" s="3481">
        <v>1102261089510</v>
      </c>
      <c r="BC369" s="3470" t="s">
        <v>3985</v>
      </c>
      <c r="BD369" s="3482">
        <v>100101</v>
      </c>
      <c r="BE369" s="3470">
        <v>64858999</v>
      </c>
      <c r="BF369" s="3483">
        <v>2.8</v>
      </c>
      <c r="BG369" s="3478">
        <v>37710</v>
      </c>
      <c r="BI369" s="3470" t="s">
        <v>3896</v>
      </c>
      <c r="BJ369" s="3484">
        <v>37720</v>
      </c>
      <c r="BK369" s="3478"/>
      <c r="BL369" s="3441" t="s">
        <v>3670</v>
      </c>
      <c r="BM369" s="3441"/>
      <c r="BN369" s="3441"/>
      <c r="BO369" s="3441"/>
      <c r="BP369" s="3441"/>
      <c r="BQ369" s="3441"/>
      <c r="BR369" s="3441"/>
    </row>
    <row r="370" spans="1:253" s="3470" customFormat="1" ht="12" hidden="1">
      <c r="A370" s="3485" t="s">
        <v>6325</v>
      </c>
      <c r="B370" s="3470" t="s">
        <v>6326</v>
      </c>
      <c r="C370" s="3454" t="s">
        <v>6327</v>
      </c>
      <c r="D370" s="3470">
        <v>13661247265</v>
      </c>
      <c r="E370" s="3470" t="s">
        <v>2736</v>
      </c>
      <c r="F370" s="3470" t="s">
        <v>6113</v>
      </c>
      <c r="G370" s="3470" t="s">
        <v>2420</v>
      </c>
      <c r="H370" s="3470" t="s">
        <v>6103</v>
      </c>
      <c r="I370" s="3453" t="s">
        <v>4207</v>
      </c>
      <c r="J370" s="3453" t="s">
        <v>5145</v>
      </c>
      <c r="K370" s="3470" t="s">
        <v>5601</v>
      </c>
      <c r="L370" s="3495">
        <v>98.22</v>
      </c>
      <c r="M370" s="3495">
        <v>9</v>
      </c>
      <c r="N370" s="3470" t="s">
        <v>3709</v>
      </c>
      <c r="O370" s="3495">
        <v>83.29</v>
      </c>
      <c r="P370" s="3470" t="s">
        <v>3452</v>
      </c>
      <c r="Q370" s="3457">
        <v>395826.6</v>
      </c>
      <c r="R370" s="3470">
        <v>4030</v>
      </c>
      <c r="S370" s="3472">
        <v>39.090000000000003</v>
      </c>
      <c r="T370" s="3527">
        <v>390900.00000000006</v>
      </c>
      <c r="U370" s="3470">
        <v>3980</v>
      </c>
      <c r="V370" s="3474">
        <v>0.1</v>
      </c>
      <c r="W370" s="3475">
        <v>35.18</v>
      </c>
      <c r="X370" s="3473">
        <v>351800</v>
      </c>
      <c r="Y370" s="3441">
        <v>2003</v>
      </c>
      <c r="Z370" s="3441">
        <v>5</v>
      </c>
      <c r="AA370" s="3441">
        <v>21</v>
      </c>
      <c r="AB370" s="3485">
        <v>1950</v>
      </c>
      <c r="AC370" s="3470" t="s">
        <v>3970</v>
      </c>
      <c r="AE370" s="3456" t="s">
        <v>3663</v>
      </c>
      <c r="AF370" s="3470" t="s">
        <v>6290</v>
      </c>
      <c r="AG370" s="3470" t="s">
        <v>3466</v>
      </c>
      <c r="AI370" s="3470" t="s">
        <v>3664</v>
      </c>
      <c r="AJ370" s="3478">
        <v>38108</v>
      </c>
      <c r="AK370" s="3548">
        <v>5</v>
      </c>
      <c r="AL370" s="3495">
        <v>67641700</v>
      </c>
      <c r="AN370" s="3441" t="s">
        <v>3482</v>
      </c>
      <c r="AO370" s="3441" t="s">
        <v>2420</v>
      </c>
      <c r="AP370" s="3441" t="s">
        <v>3713</v>
      </c>
      <c r="AQ370" s="3456" t="s">
        <v>3571</v>
      </c>
      <c r="AV370" s="3519"/>
      <c r="AW370" s="3470" t="s">
        <v>3572</v>
      </c>
      <c r="AX370" s="3470" t="s">
        <v>2420</v>
      </c>
      <c r="AY370" s="3495">
        <v>274473</v>
      </c>
      <c r="AZ370" s="3470" t="s">
        <v>5586</v>
      </c>
      <c r="BA370" s="3470" t="s">
        <v>5603</v>
      </c>
      <c r="BB370" s="3619">
        <v>1102281326100</v>
      </c>
      <c r="BC370" s="3470" t="s">
        <v>5596</v>
      </c>
      <c r="BD370" s="3470">
        <v>100055</v>
      </c>
      <c r="BE370" s="3470">
        <v>82951881</v>
      </c>
      <c r="BF370" s="3520">
        <v>2.8</v>
      </c>
      <c r="BG370" s="3478">
        <v>37737</v>
      </c>
      <c r="BI370" s="3470" t="s">
        <v>3896</v>
      </c>
      <c r="BJ370" s="3484">
        <v>37727</v>
      </c>
      <c r="BK370" s="3478"/>
      <c r="BL370" s="3441" t="s">
        <v>3670</v>
      </c>
      <c r="BM370" s="3441"/>
      <c r="BN370" s="3441"/>
      <c r="BO370" s="3441"/>
      <c r="BP370" s="3441"/>
      <c r="BQ370" s="3441"/>
      <c r="BR370" s="3441"/>
    </row>
    <row r="371" spans="1:253" s="3604" customFormat="1" ht="12" hidden="1">
      <c r="A371" s="3485" t="s">
        <v>6328</v>
      </c>
      <c r="B371" s="3470" t="s">
        <v>6329</v>
      </c>
      <c r="C371" s="3481" t="s">
        <v>6330</v>
      </c>
      <c r="D371" s="3481" t="s">
        <v>6331</v>
      </c>
      <c r="E371" s="3470" t="s">
        <v>3558</v>
      </c>
      <c r="F371" s="3521" t="s">
        <v>5617</v>
      </c>
      <c r="G371" s="3470" t="s">
        <v>5618</v>
      </c>
      <c r="H371" s="3470" t="s">
        <v>6332</v>
      </c>
      <c r="I371" s="3470" t="s">
        <v>5066</v>
      </c>
      <c r="J371" s="3481" t="s">
        <v>6333</v>
      </c>
      <c r="K371" s="3470" t="s">
        <v>5620</v>
      </c>
      <c r="L371" s="3470">
        <v>106.6</v>
      </c>
      <c r="M371" s="3470">
        <v>7</v>
      </c>
      <c r="N371" s="3470" t="s">
        <v>3543</v>
      </c>
      <c r="O371" s="3470">
        <v>90.99</v>
      </c>
      <c r="P371" s="3470" t="s">
        <v>3452</v>
      </c>
      <c r="Q371" s="3510">
        <v>668970.43200000003</v>
      </c>
      <c r="R371" s="3470">
        <v>6275.52</v>
      </c>
      <c r="S371" s="3495">
        <v>66.260000000000005</v>
      </c>
      <c r="T371" s="3511">
        <v>662600</v>
      </c>
      <c r="U371" s="3470">
        <v>6216</v>
      </c>
      <c r="V371" s="3474">
        <v>0.1</v>
      </c>
      <c r="W371" s="3475">
        <v>59.63</v>
      </c>
      <c r="X371" s="3527">
        <v>596300</v>
      </c>
      <c r="Y371" s="3441">
        <v>2003</v>
      </c>
      <c r="Z371" s="3441">
        <v>5</v>
      </c>
      <c r="AA371" s="3441">
        <v>21</v>
      </c>
      <c r="AB371" s="3485">
        <v>3310</v>
      </c>
      <c r="AC371" s="3470" t="s">
        <v>5917</v>
      </c>
      <c r="AD371" s="3485"/>
      <c r="AE371" s="3441" t="s">
        <v>3663</v>
      </c>
      <c r="AF371" s="3470" t="s">
        <v>4200</v>
      </c>
      <c r="AG371" s="3522" t="s">
        <v>3466</v>
      </c>
      <c r="AH371" s="3485"/>
      <c r="AI371" s="3470" t="s">
        <v>4955</v>
      </c>
      <c r="AJ371" s="3523">
        <v>37652</v>
      </c>
      <c r="AK371" s="3500">
        <v>5</v>
      </c>
      <c r="AL371" s="3441">
        <v>67641700</v>
      </c>
      <c r="AM371" s="3441"/>
      <c r="AN371" s="3441" t="s">
        <v>3482</v>
      </c>
      <c r="AO371" s="3441"/>
      <c r="AP371" s="3441" t="s">
        <v>3721</v>
      </c>
      <c r="AQ371" s="3441" t="s">
        <v>3571</v>
      </c>
      <c r="AR371" s="3441"/>
      <c r="AS371" s="3441"/>
      <c r="AT371" s="3441"/>
      <c r="AU371" s="3441"/>
      <c r="AV371" s="3441"/>
      <c r="AW371" s="3441" t="s">
        <v>3572</v>
      </c>
      <c r="AX371" s="3441" t="s">
        <v>2511</v>
      </c>
      <c r="AY371" s="3524" t="s">
        <v>6334</v>
      </c>
      <c r="AZ371" s="3441" t="s">
        <v>5620</v>
      </c>
      <c r="BA371" s="3441" t="s">
        <v>5623</v>
      </c>
      <c r="BB371" s="3524">
        <v>1100001502073</v>
      </c>
      <c r="BC371" s="3441" t="s">
        <v>5624</v>
      </c>
      <c r="BD371" s="3525">
        <v>100011</v>
      </c>
      <c r="BE371" s="3441">
        <v>64262674</v>
      </c>
      <c r="BF371" s="3526">
        <v>2.85</v>
      </c>
      <c r="BG371" s="3518">
        <v>37411</v>
      </c>
      <c r="BH371" s="3441"/>
      <c r="BI371" s="3470" t="s">
        <v>3721</v>
      </c>
      <c r="BJ371" s="3484">
        <v>37756</v>
      </c>
      <c r="BK371" s="3484"/>
      <c r="BL371" s="3470" t="s">
        <v>3670</v>
      </c>
      <c r="BM371" s="3441"/>
      <c r="BN371" s="3441"/>
      <c r="BO371" s="3441"/>
      <c r="BP371" s="3441"/>
      <c r="BQ371" s="3441"/>
      <c r="BR371" s="3441"/>
      <c r="BS371" s="3470"/>
      <c r="BT371" s="3470"/>
      <c r="BU371" s="3470"/>
    </row>
    <row r="372" spans="1:253" s="3470" customFormat="1" ht="12" hidden="1">
      <c r="A372" s="3485" t="s">
        <v>6335</v>
      </c>
      <c r="B372" s="3470" t="s">
        <v>6336</v>
      </c>
      <c r="C372" s="3454" t="s">
        <v>6337</v>
      </c>
      <c r="D372" s="3470">
        <v>13611230871</v>
      </c>
      <c r="E372" s="3470" t="s">
        <v>3538</v>
      </c>
      <c r="F372" s="3470" t="s">
        <v>6113</v>
      </c>
      <c r="G372" s="3470" t="s">
        <v>3588</v>
      </c>
      <c r="H372" s="3470" t="s">
        <v>6338</v>
      </c>
      <c r="I372" s="3453" t="s">
        <v>4011</v>
      </c>
      <c r="J372" s="3453" t="s">
        <v>4218</v>
      </c>
      <c r="K372" s="3470" t="s">
        <v>5601</v>
      </c>
      <c r="L372" s="3495">
        <v>93.12</v>
      </c>
      <c r="M372" s="3495">
        <v>1</v>
      </c>
      <c r="N372" s="3470" t="s">
        <v>3451</v>
      </c>
      <c r="O372" s="3495">
        <v>81.97</v>
      </c>
      <c r="P372" s="3470" t="s">
        <v>3452</v>
      </c>
      <c r="Q372" s="3457">
        <v>344544</v>
      </c>
      <c r="R372" s="3470">
        <v>3700</v>
      </c>
      <c r="S372" s="3472">
        <v>34</v>
      </c>
      <c r="T372" s="3527">
        <v>340000</v>
      </c>
      <c r="U372" s="3470">
        <v>3652</v>
      </c>
      <c r="V372" s="3474">
        <v>0.1</v>
      </c>
      <c r="W372" s="3475">
        <v>30.6</v>
      </c>
      <c r="X372" s="3473">
        <v>306000</v>
      </c>
      <c r="Y372" s="3441">
        <v>2003</v>
      </c>
      <c r="Z372" s="3441">
        <v>5</v>
      </c>
      <c r="AA372" s="3441">
        <v>22</v>
      </c>
      <c r="AB372" s="3485">
        <v>1700</v>
      </c>
      <c r="AC372" s="3470" t="s">
        <v>4922</v>
      </c>
      <c r="AE372" s="3456" t="s">
        <v>3663</v>
      </c>
      <c r="AF372" s="3470" t="s">
        <v>6284</v>
      </c>
      <c r="AG372" s="3470" t="s">
        <v>3466</v>
      </c>
      <c r="AI372" s="3470" t="s">
        <v>3664</v>
      </c>
      <c r="AJ372" s="3478">
        <v>38108</v>
      </c>
      <c r="AK372" s="3548">
        <v>5</v>
      </c>
      <c r="AL372" s="3495">
        <v>67641700</v>
      </c>
      <c r="AN372" s="3441" t="s">
        <v>3482</v>
      </c>
      <c r="AO372" s="3453"/>
      <c r="AP372" s="3441" t="s">
        <v>3721</v>
      </c>
      <c r="AQ372" s="3456" t="s">
        <v>3571</v>
      </c>
      <c r="AV372" s="3519"/>
      <c r="AW372" s="3470" t="s">
        <v>3572</v>
      </c>
      <c r="AX372" s="3470" t="s">
        <v>2420</v>
      </c>
      <c r="AY372" s="3495">
        <v>274459</v>
      </c>
      <c r="AZ372" s="3470" t="s">
        <v>5586</v>
      </c>
      <c r="BA372" s="3470" t="s">
        <v>5587</v>
      </c>
      <c r="BB372" s="3619">
        <v>1102281326100</v>
      </c>
      <c r="BC372" s="3470" t="s">
        <v>5588</v>
      </c>
      <c r="BD372" s="3470">
        <v>100055</v>
      </c>
      <c r="BE372" s="3470">
        <v>82951881</v>
      </c>
      <c r="BF372" s="3520">
        <v>2.8</v>
      </c>
      <c r="BG372" s="3478">
        <v>37719</v>
      </c>
      <c r="BI372" s="3470" t="s">
        <v>3721</v>
      </c>
      <c r="BJ372" s="3484">
        <v>37762</v>
      </c>
      <c r="BK372" s="3478"/>
      <c r="BL372" s="3441" t="s">
        <v>3670</v>
      </c>
      <c r="BM372" s="3441"/>
      <c r="BN372" s="3441"/>
      <c r="BO372" s="3441"/>
      <c r="BP372" s="3441"/>
      <c r="BQ372" s="3441"/>
      <c r="BR372" s="3441"/>
    </row>
    <row r="373" spans="1:253" s="3441" customFormat="1" ht="12" hidden="1">
      <c r="A373" s="3470" t="s">
        <v>6339</v>
      </c>
      <c r="B373" s="3470" t="s">
        <v>6340</v>
      </c>
      <c r="C373" s="3481" t="s">
        <v>6341</v>
      </c>
      <c r="D373" s="3481" t="s">
        <v>6342</v>
      </c>
      <c r="E373" s="3470" t="s">
        <v>3558</v>
      </c>
      <c r="F373" s="3528" t="s">
        <v>3951</v>
      </c>
      <c r="G373" s="3470"/>
      <c r="H373" s="3470" t="s">
        <v>4465</v>
      </c>
      <c r="I373" s="3470" t="s">
        <v>6343</v>
      </c>
      <c r="J373" s="3481" t="s">
        <v>6344</v>
      </c>
      <c r="K373" s="3470" t="s">
        <v>3955</v>
      </c>
      <c r="L373" s="3470">
        <v>109.81</v>
      </c>
      <c r="M373" s="3470">
        <v>3</v>
      </c>
      <c r="N373" s="3453" t="s">
        <v>6345</v>
      </c>
      <c r="O373" s="3470">
        <v>98.08</v>
      </c>
      <c r="P373" s="3470" t="s">
        <v>3452</v>
      </c>
      <c r="Q373" s="3457">
        <v>526888.14580000006</v>
      </c>
      <c r="R373" s="3470">
        <v>4798.18</v>
      </c>
      <c r="S373" s="3472">
        <v>52.13</v>
      </c>
      <c r="T373" s="3527">
        <v>521300</v>
      </c>
      <c r="U373" s="3470">
        <v>4748</v>
      </c>
      <c r="V373" s="3474">
        <v>0.1</v>
      </c>
      <c r="W373" s="3475">
        <v>46.91</v>
      </c>
      <c r="X373" s="3476">
        <v>469099.99999999994</v>
      </c>
      <c r="Y373" s="3441">
        <v>2003</v>
      </c>
      <c r="Z373" s="3502">
        <v>5</v>
      </c>
      <c r="AA373" s="3501">
        <v>22</v>
      </c>
      <c r="AB373" s="3477">
        <v>2605</v>
      </c>
      <c r="AC373" s="3470" t="s">
        <v>3585</v>
      </c>
      <c r="AD373" s="3485"/>
      <c r="AE373" s="3441" t="s">
        <v>3663</v>
      </c>
      <c r="AF373" s="3470" t="s">
        <v>3587</v>
      </c>
      <c r="AG373" s="3522" t="s">
        <v>3466</v>
      </c>
      <c r="AH373" s="3485"/>
      <c r="AI373" s="3470" t="s">
        <v>3664</v>
      </c>
      <c r="AJ373" s="3523">
        <v>37772</v>
      </c>
      <c r="AK373" s="3500">
        <v>5</v>
      </c>
      <c r="AL373" s="3441" t="s">
        <v>3957</v>
      </c>
      <c r="AN373" s="3480" t="s">
        <v>3649</v>
      </c>
      <c r="AP373" s="3441" t="s">
        <v>3721</v>
      </c>
      <c r="AQ373" s="3441" t="s">
        <v>3571</v>
      </c>
      <c r="AV373" s="3441" t="s">
        <v>3568</v>
      </c>
      <c r="AW373" s="3441" t="s">
        <v>3572</v>
      </c>
      <c r="AX373" s="3441" t="s">
        <v>2511</v>
      </c>
      <c r="AY373" s="3524" t="s">
        <v>6346</v>
      </c>
      <c r="AZ373" s="3441" t="s">
        <v>3955</v>
      </c>
      <c r="BA373" s="3441" t="s">
        <v>3959</v>
      </c>
      <c r="BB373" s="3524" t="s">
        <v>3960</v>
      </c>
      <c r="BC373" s="3441" t="s">
        <v>3961</v>
      </c>
      <c r="BD373" s="3525">
        <v>102100</v>
      </c>
      <c r="BE373" s="3441">
        <v>62998398</v>
      </c>
      <c r="BF373" s="3526">
        <v>2.8</v>
      </c>
      <c r="BG373" s="3518">
        <v>37685</v>
      </c>
      <c r="BI373" s="3486" t="s">
        <v>3721</v>
      </c>
      <c r="BJ373" s="3601">
        <v>37760</v>
      </c>
      <c r="BK373" s="3484"/>
      <c r="BL373" s="3470" t="s">
        <v>3670</v>
      </c>
      <c r="BS373" s="3470"/>
      <c r="BT373" s="3470"/>
      <c r="BU373" s="3470"/>
    </row>
    <row r="374" spans="1:253" s="3441" customFormat="1" ht="12" hidden="1">
      <c r="A374" s="3470" t="s">
        <v>6347</v>
      </c>
      <c r="B374" s="3470" t="s">
        <v>6348</v>
      </c>
      <c r="C374" s="3481" t="s">
        <v>6349</v>
      </c>
      <c r="D374" s="3481" t="s">
        <v>6350</v>
      </c>
      <c r="E374" s="3470" t="s">
        <v>3558</v>
      </c>
      <c r="F374" s="3528" t="s">
        <v>3951</v>
      </c>
      <c r="G374" s="3470"/>
      <c r="H374" s="3470" t="s">
        <v>4281</v>
      </c>
      <c r="I374" s="3470" t="s">
        <v>4433</v>
      </c>
      <c r="J374" s="3481" t="s">
        <v>6351</v>
      </c>
      <c r="K374" s="3470" t="s">
        <v>3955</v>
      </c>
      <c r="L374" s="3470">
        <v>117.54</v>
      </c>
      <c r="M374" s="3470">
        <v>10</v>
      </c>
      <c r="N374" s="3453" t="s">
        <v>3602</v>
      </c>
      <c r="O374" s="3470">
        <v>97.26</v>
      </c>
      <c r="P374" s="3470" t="s">
        <v>3452</v>
      </c>
      <c r="Q374" s="3457">
        <v>479187.07200000004</v>
      </c>
      <c r="R374" s="3470">
        <v>4076.8</v>
      </c>
      <c r="S374" s="3472">
        <v>47.34</v>
      </c>
      <c r="T374" s="3527">
        <v>473400.00000000006</v>
      </c>
      <c r="U374" s="3470">
        <v>4028</v>
      </c>
      <c r="V374" s="3474">
        <v>0.1</v>
      </c>
      <c r="W374" s="3475">
        <v>42.6</v>
      </c>
      <c r="X374" s="3476">
        <v>426000</v>
      </c>
      <c r="Y374" s="3441">
        <v>2003</v>
      </c>
      <c r="Z374" s="3502">
        <v>5</v>
      </c>
      <c r="AA374" s="3470">
        <v>22</v>
      </c>
      <c r="AB374" s="3477">
        <v>2365</v>
      </c>
      <c r="AC374" s="3470" t="s">
        <v>4044</v>
      </c>
      <c r="AD374" s="3485"/>
      <c r="AE374" s="3441" t="s">
        <v>3663</v>
      </c>
      <c r="AF374" s="3470" t="s">
        <v>4501</v>
      </c>
      <c r="AG374" s="3522" t="s">
        <v>3466</v>
      </c>
      <c r="AH374" s="3485"/>
      <c r="AI374" s="3470" t="s">
        <v>3664</v>
      </c>
      <c r="AJ374" s="3523">
        <v>37802</v>
      </c>
      <c r="AK374" s="3500">
        <v>5</v>
      </c>
      <c r="AL374" s="3441" t="s">
        <v>3957</v>
      </c>
      <c r="AN374" s="3480" t="s">
        <v>4210</v>
      </c>
      <c r="AP374" s="3456" t="s">
        <v>3476</v>
      </c>
      <c r="AQ374" s="3441" t="s">
        <v>3571</v>
      </c>
      <c r="AV374" s="3441" t="s">
        <v>3568</v>
      </c>
      <c r="AW374" s="3441" t="s">
        <v>3572</v>
      </c>
      <c r="AX374" s="3441" t="s">
        <v>2511</v>
      </c>
      <c r="AY374" s="3524" t="s">
        <v>6352</v>
      </c>
      <c r="AZ374" s="3441" t="s">
        <v>3955</v>
      </c>
      <c r="BA374" s="3441" t="s">
        <v>3959</v>
      </c>
      <c r="BB374" s="3524" t="s">
        <v>3960</v>
      </c>
      <c r="BC374" s="3441" t="s">
        <v>3961</v>
      </c>
      <c r="BD374" s="3525">
        <v>102100</v>
      </c>
      <c r="BE374" s="3441">
        <v>62998398</v>
      </c>
      <c r="BF374" s="3526">
        <v>2.8</v>
      </c>
      <c r="BG374" s="3518">
        <v>37724</v>
      </c>
      <c r="BI374" s="3441" t="s">
        <v>5844</v>
      </c>
      <c r="BJ374" s="3478">
        <v>37760</v>
      </c>
      <c r="BK374" s="3484"/>
      <c r="BL374" s="3470" t="s">
        <v>3670</v>
      </c>
      <c r="BS374" s="3470"/>
      <c r="BT374" s="3470"/>
      <c r="BU374" s="3470"/>
    </row>
    <row r="375" spans="1:253" s="3441" customFormat="1" ht="12" hidden="1">
      <c r="A375" s="3453" t="s">
        <v>6353</v>
      </c>
      <c r="B375" s="3542" t="s">
        <v>6354</v>
      </c>
      <c r="C375" s="3481" t="s">
        <v>6355</v>
      </c>
      <c r="D375" s="3485">
        <v>13911262469</v>
      </c>
      <c r="E375" s="3542" t="s">
        <v>3558</v>
      </c>
      <c r="F375" s="3542" t="s">
        <v>6356</v>
      </c>
      <c r="G375" s="3485"/>
      <c r="H375" s="3542" t="s">
        <v>6357</v>
      </c>
      <c r="I375" s="3542" t="s">
        <v>6358</v>
      </c>
      <c r="J375" s="3530" t="s">
        <v>6359</v>
      </c>
      <c r="K375" s="3542" t="s">
        <v>3737</v>
      </c>
      <c r="L375" s="3477">
        <v>103.85</v>
      </c>
      <c r="M375" s="3477">
        <v>2</v>
      </c>
      <c r="N375" s="3470" t="s">
        <v>4871</v>
      </c>
      <c r="O375" s="3477">
        <v>83.65</v>
      </c>
      <c r="P375" s="3542" t="s">
        <v>3452</v>
      </c>
      <c r="Q375" s="3510">
        <v>633485</v>
      </c>
      <c r="R375" s="3470">
        <v>6100</v>
      </c>
      <c r="S375" s="3495">
        <v>62.72</v>
      </c>
      <c r="T375" s="3511">
        <v>627200</v>
      </c>
      <c r="U375" s="3470">
        <v>6040</v>
      </c>
      <c r="V375" s="3624">
        <v>0.1</v>
      </c>
      <c r="W375" s="3475">
        <v>56.44</v>
      </c>
      <c r="X375" s="3527">
        <v>564400</v>
      </c>
      <c r="Y375" s="3470">
        <v>2003</v>
      </c>
      <c r="Z375" s="3515">
        <v>5</v>
      </c>
      <c r="AA375" s="3515">
        <v>23</v>
      </c>
      <c r="AB375" s="3477">
        <v>3135</v>
      </c>
      <c r="AC375" s="3470" t="s">
        <v>3544</v>
      </c>
      <c r="AD375" s="3542"/>
      <c r="AE375" s="3441" t="s">
        <v>3663</v>
      </c>
      <c r="AF375" s="3542" t="s">
        <v>3453</v>
      </c>
      <c r="AG375" s="3485" t="s">
        <v>3466</v>
      </c>
      <c r="AH375" s="3485"/>
      <c r="AI375" s="3470" t="s">
        <v>3664</v>
      </c>
      <c r="AJ375" s="3613">
        <v>37768</v>
      </c>
      <c r="AK375" s="3548">
        <v>5</v>
      </c>
      <c r="AL375" s="3441">
        <v>67641700</v>
      </c>
      <c r="AN375" s="3480" t="s">
        <v>3482</v>
      </c>
      <c r="AO375" s="3517"/>
      <c r="AP375" s="3441" t="s">
        <v>3476</v>
      </c>
      <c r="AQ375" s="3456" t="s">
        <v>3457</v>
      </c>
      <c r="AR375" s="3461"/>
      <c r="AS375" s="3461"/>
      <c r="AT375" s="3469"/>
      <c r="AU375" s="3453"/>
      <c r="AV375" s="3519"/>
      <c r="AW375" s="3470" t="s">
        <v>5264</v>
      </c>
      <c r="AX375" s="3441" t="s">
        <v>3606</v>
      </c>
      <c r="AY375" s="3536" t="s">
        <v>6360</v>
      </c>
      <c r="AZ375" s="3441" t="s">
        <v>3647</v>
      </c>
      <c r="BA375" s="3461" t="s">
        <v>6361</v>
      </c>
      <c r="BB375" s="3461" t="s">
        <v>5267</v>
      </c>
      <c r="BC375" s="3461" t="s">
        <v>4339</v>
      </c>
      <c r="BD375" s="3614">
        <v>100088</v>
      </c>
      <c r="BE375" s="3461">
        <v>82058259</v>
      </c>
      <c r="BF375" s="3615">
        <v>2.7</v>
      </c>
      <c r="BG375" s="3484">
        <v>37728</v>
      </c>
      <c r="BH375" s="3461"/>
      <c r="BI375" s="3470" t="s">
        <v>3476</v>
      </c>
      <c r="BJ375" s="3484">
        <v>37762</v>
      </c>
      <c r="BK375" s="3518"/>
      <c r="BL375" s="3441" t="s">
        <v>3670</v>
      </c>
      <c r="BS375" s="3470"/>
      <c r="BT375" s="3470"/>
      <c r="BU375" s="3470"/>
      <c r="BV375" s="3469"/>
      <c r="BW375" s="3469"/>
      <c r="BX375" s="3469"/>
      <c r="BY375" s="3469"/>
      <c r="BZ375" s="3469"/>
      <c r="CA375" s="3469"/>
      <c r="CB375" s="3469"/>
      <c r="CC375" s="3469"/>
      <c r="CD375" s="3469"/>
      <c r="CE375" s="3469"/>
      <c r="CF375" s="3469"/>
      <c r="CG375" s="3469"/>
      <c r="CH375" s="3469"/>
      <c r="CI375" s="3469"/>
      <c r="CJ375" s="3469"/>
      <c r="CK375" s="3469"/>
      <c r="CL375" s="3469"/>
      <c r="CM375" s="3469"/>
      <c r="CN375" s="3469"/>
      <c r="CO375" s="3469"/>
      <c r="CP375" s="3469"/>
      <c r="CQ375" s="3469"/>
      <c r="CR375" s="3469"/>
      <c r="CS375" s="3469"/>
      <c r="CT375" s="3469"/>
      <c r="CU375" s="3469"/>
      <c r="CV375" s="3469"/>
      <c r="CW375" s="3469"/>
      <c r="CX375" s="3469"/>
      <c r="CY375" s="3469"/>
      <c r="CZ375" s="3469"/>
      <c r="DA375" s="3469"/>
      <c r="DB375" s="3469"/>
      <c r="DC375" s="3469"/>
      <c r="DD375" s="3469"/>
      <c r="DE375" s="3469"/>
      <c r="DF375" s="3469"/>
      <c r="DG375" s="3469"/>
      <c r="DH375" s="3469"/>
      <c r="DI375" s="3469"/>
      <c r="DJ375" s="3469"/>
      <c r="DK375" s="3469"/>
      <c r="DL375" s="3469"/>
      <c r="DM375" s="3469"/>
      <c r="DN375" s="3469"/>
      <c r="DO375" s="3469"/>
      <c r="DP375" s="3469"/>
      <c r="DQ375" s="3469"/>
      <c r="DR375" s="3469"/>
      <c r="DS375" s="3469"/>
      <c r="DT375" s="3469"/>
      <c r="DU375" s="3469"/>
      <c r="DV375" s="3469"/>
      <c r="DW375" s="3469"/>
      <c r="DX375" s="3469"/>
      <c r="DY375" s="3469"/>
      <c r="DZ375" s="3469"/>
      <c r="EA375" s="3469"/>
      <c r="EB375" s="3469"/>
      <c r="EC375" s="3469"/>
      <c r="ED375" s="3469"/>
      <c r="EE375" s="3469"/>
      <c r="EF375" s="3469"/>
      <c r="EG375" s="3469"/>
      <c r="EH375" s="3469"/>
      <c r="EI375" s="3469"/>
      <c r="EJ375" s="3469"/>
      <c r="EK375" s="3469"/>
      <c r="EL375" s="3469"/>
      <c r="EM375" s="3469"/>
      <c r="EN375" s="3469"/>
      <c r="EO375" s="3469"/>
      <c r="EP375" s="3469"/>
      <c r="EQ375" s="3469"/>
      <c r="ER375" s="3469"/>
      <c r="ES375" s="3469"/>
      <c r="ET375" s="3469"/>
      <c r="EU375" s="3469"/>
      <c r="EV375" s="3469"/>
      <c r="EW375" s="3469"/>
      <c r="EX375" s="3469"/>
      <c r="EY375" s="3469"/>
      <c r="EZ375" s="3469"/>
      <c r="FA375" s="3469"/>
      <c r="FB375" s="3469"/>
      <c r="FC375" s="3469"/>
      <c r="FD375" s="3469"/>
      <c r="FE375" s="3469"/>
      <c r="FF375" s="3469"/>
      <c r="FG375" s="3469"/>
      <c r="FH375" s="3469"/>
      <c r="FI375" s="3469"/>
      <c r="FJ375" s="3469"/>
      <c r="FK375" s="3469"/>
      <c r="FL375" s="3469"/>
      <c r="FM375" s="3469"/>
      <c r="FN375" s="3469"/>
      <c r="FO375" s="3469"/>
      <c r="FP375" s="3469"/>
      <c r="FQ375" s="3469"/>
      <c r="FR375" s="3469"/>
      <c r="FS375" s="3469"/>
      <c r="FT375" s="3469"/>
      <c r="FU375" s="3469"/>
      <c r="FV375" s="3469"/>
      <c r="FW375" s="3469"/>
      <c r="FX375" s="3469"/>
      <c r="FY375" s="3469"/>
      <c r="FZ375" s="3469"/>
      <c r="GA375" s="3469"/>
      <c r="GB375" s="3469"/>
      <c r="GC375" s="3469"/>
      <c r="GD375" s="3469"/>
      <c r="GE375" s="3469"/>
      <c r="GF375" s="3469"/>
      <c r="GG375" s="3469"/>
      <c r="GH375" s="3469"/>
      <c r="GI375" s="3469"/>
      <c r="GJ375" s="3469"/>
      <c r="GK375" s="3469"/>
      <c r="GL375" s="3469"/>
      <c r="GM375" s="3469"/>
      <c r="GN375" s="3469"/>
      <c r="GO375" s="3469"/>
      <c r="GP375" s="3469"/>
      <c r="GQ375" s="3469"/>
      <c r="GR375" s="3469"/>
      <c r="GS375" s="3469"/>
      <c r="GT375" s="3469"/>
      <c r="GU375" s="3469"/>
      <c r="GV375" s="3469"/>
      <c r="GW375" s="3469"/>
      <c r="GX375" s="3469"/>
      <c r="GY375" s="3469"/>
      <c r="GZ375" s="3469"/>
      <c r="HA375" s="3469"/>
      <c r="HB375" s="3469"/>
      <c r="HC375" s="3469"/>
      <c r="HD375" s="3469"/>
      <c r="HE375" s="3469"/>
      <c r="HF375" s="3469"/>
      <c r="HG375" s="3469"/>
      <c r="HH375" s="3469"/>
      <c r="HI375" s="3469"/>
      <c r="HJ375" s="3469"/>
      <c r="HK375" s="3469"/>
      <c r="HL375" s="3469"/>
      <c r="HM375" s="3469"/>
      <c r="HN375" s="3469"/>
      <c r="HO375" s="3469"/>
      <c r="HP375" s="3469"/>
      <c r="HQ375" s="3469"/>
      <c r="HR375" s="3469"/>
      <c r="HS375" s="3469"/>
      <c r="HT375" s="3469"/>
      <c r="HU375" s="3469"/>
      <c r="HV375" s="3469"/>
      <c r="HW375" s="3469"/>
      <c r="HX375" s="3469"/>
      <c r="HY375" s="3469"/>
      <c r="HZ375" s="3469"/>
      <c r="IA375" s="3469"/>
      <c r="IB375" s="3469"/>
      <c r="IC375" s="3469"/>
      <c r="ID375" s="3469"/>
      <c r="IE375" s="3469"/>
      <c r="IF375" s="3469"/>
      <c r="IG375" s="3469"/>
      <c r="IH375" s="3469"/>
      <c r="II375" s="3469"/>
      <c r="IJ375" s="3469"/>
      <c r="IK375" s="3469"/>
      <c r="IL375" s="3469"/>
      <c r="IM375" s="3469"/>
      <c r="IN375" s="3469"/>
      <c r="IO375" s="3469"/>
      <c r="IP375" s="3469"/>
      <c r="IQ375" s="3469"/>
      <c r="IR375" s="3469"/>
      <c r="IS375" s="3469"/>
    </row>
    <row r="376" spans="1:253" s="3441" customFormat="1" ht="12" hidden="1">
      <c r="A376" s="3485" t="s">
        <v>6362</v>
      </c>
      <c r="B376" s="3470" t="s">
        <v>6363</v>
      </c>
      <c r="C376" s="3481" t="s">
        <v>6364</v>
      </c>
      <c r="D376" s="3453" t="s">
        <v>6365</v>
      </c>
      <c r="E376" s="3470" t="s">
        <v>3763</v>
      </c>
      <c r="F376" s="3528" t="s">
        <v>6366</v>
      </c>
      <c r="G376" s="3470"/>
      <c r="H376" s="3470" t="s">
        <v>4281</v>
      </c>
      <c r="I376" s="3470" t="s">
        <v>3676</v>
      </c>
      <c r="J376" s="3481" t="s">
        <v>5145</v>
      </c>
      <c r="K376" s="3441" t="s">
        <v>6367</v>
      </c>
      <c r="L376" s="3470">
        <v>90.1</v>
      </c>
      <c r="M376" s="3470">
        <v>9</v>
      </c>
      <c r="N376" s="3470" t="s">
        <v>3543</v>
      </c>
      <c r="O376" s="3470">
        <v>76.52</v>
      </c>
      <c r="P376" s="3470" t="s">
        <v>3452</v>
      </c>
      <c r="Q376" s="3457">
        <v>437525.6</v>
      </c>
      <c r="R376" s="3470">
        <v>4856</v>
      </c>
      <c r="S376" s="3472">
        <v>43.3</v>
      </c>
      <c r="T376" s="3527">
        <v>433000</v>
      </c>
      <c r="U376" s="3495">
        <v>4806</v>
      </c>
      <c r="V376" s="3474">
        <v>0.1</v>
      </c>
      <c r="W376" s="3475">
        <v>38.97</v>
      </c>
      <c r="X376" s="3476">
        <v>389700</v>
      </c>
      <c r="Y376" s="3441">
        <v>2003</v>
      </c>
      <c r="Z376" s="3441">
        <v>5</v>
      </c>
      <c r="AA376" s="3470">
        <v>29</v>
      </c>
      <c r="AB376" s="3477">
        <v>2165</v>
      </c>
      <c r="AC376" s="3470" t="s">
        <v>3585</v>
      </c>
      <c r="AD376" s="3485"/>
      <c r="AE376" s="3441" t="s">
        <v>3663</v>
      </c>
      <c r="AF376" s="3453" t="s">
        <v>3728</v>
      </c>
      <c r="AG376" s="3522" t="s">
        <v>3466</v>
      </c>
      <c r="AH376" s="3485" t="s">
        <v>3568</v>
      </c>
      <c r="AI376" s="3470" t="s">
        <v>4849</v>
      </c>
      <c r="AJ376" s="3523">
        <v>37986</v>
      </c>
      <c r="AK376" s="3541">
        <v>5</v>
      </c>
      <c r="AL376" s="3441">
        <v>67641700</v>
      </c>
      <c r="AN376" s="3441" t="s">
        <v>3484</v>
      </c>
      <c r="AP376" s="3441" t="s">
        <v>3476</v>
      </c>
      <c r="AQ376" s="3441" t="s">
        <v>3571</v>
      </c>
      <c r="AV376" s="3441" t="s">
        <v>3568</v>
      </c>
      <c r="AW376" s="3441" t="s">
        <v>3572</v>
      </c>
      <c r="AY376" s="3524" t="s">
        <v>6368</v>
      </c>
      <c r="AZ376" s="3441" t="s">
        <v>6369</v>
      </c>
      <c r="BA376" s="3441" t="s">
        <v>6370</v>
      </c>
      <c r="BB376" s="3524" t="s">
        <v>6371</v>
      </c>
      <c r="BC376" s="3441" t="s">
        <v>6372</v>
      </c>
      <c r="BD376" s="3525">
        <v>100025</v>
      </c>
      <c r="BE376" s="3441">
        <v>62908858</v>
      </c>
      <c r="BF376" s="3526">
        <v>2.7</v>
      </c>
      <c r="BG376" s="3518">
        <v>37724</v>
      </c>
      <c r="BH376" s="3441" t="s">
        <v>3437</v>
      </c>
      <c r="BI376" s="3441" t="s">
        <v>3476</v>
      </c>
      <c r="BJ376" s="3484">
        <v>37762</v>
      </c>
      <c r="BK376" s="3484"/>
      <c r="BL376" s="3470" t="s">
        <v>3670</v>
      </c>
      <c r="BS376" s="3470"/>
      <c r="BT376" s="3470"/>
      <c r="BU376" s="3470"/>
    </row>
    <row r="377" spans="1:253" s="3605" customFormat="1" ht="12" hidden="1">
      <c r="A377" s="3485" t="s">
        <v>6373</v>
      </c>
      <c r="B377" s="3470" t="s">
        <v>6374</v>
      </c>
      <c r="C377" s="3454" t="s">
        <v>6375</v>
      </c>
      <c r="D377" s="3470">
        <v>13910973163</v>
      </c>
      <c r="E377" s="3470" t="s">
        <v>3538</v>
      </c>
      <c r="F377" s="3470" t="s">
        <v>5583</v>
      </c>
      <c r="G377" s="3470" t="s">
        <v>2420</v>
      </c>
      <c r="H377" s="3470" t="s">
        <v>6376</v>
      </c>
      <c r="I377" s="3453" t="s">
        <v>4255</v>
      </c>
      <c r="J377" s="3453" t="s">
        <v>4101</v>
      </c>
      <c r="K377" s="3470" t="s">
        <v>5584</v>
      </c>
      <c r="L377" s="3495">
        <v>117.1</v>
      </c>
      <c r="M377" s="3495">
        <v>2</v>
      </c>
      <c r="N377" s="3470" t="s">
        <v>3969</v>
      </c>
      <c r="O377" s="3495">
        <v>105.92</v>
      </c>
      <c r="P377" s="3470" t="s">
        <v>3452</v>
      </c>
      <c r="Q377" s="3457">
        <v>474255</v>
      </c>
      <c r="R377" s="3470">
        <v>4050</v>
      </c>
      <c r="S377" s="3472">
        <v>46.89</v>
      </c>
      <c r="T377" s="3527">
        <v>468900</v>
      </c>
      <c r="U377" s="3470">
        <v>4005</v>
      </c>
      <c r="V377" s="3474">
        <v>0.1</v>
      </c>
      <c r="W377" s="3475">
        <v>42.2</v>
      </c>
      <c r="X377" s="3473">
        <v>422000</v>
      </c>
      <c r="Y377" s="3441">
        <v>2003</v>
      </c>
      <c r="Z377" s="3495">
        <v>6</v>
      </c>
      <c r="AA377" s="3470">
        <v>11</v>
      </c>
      <c r="AB377" s="3485">
        <v>2340</v>
      </c>
      <c r="AC377" s="3470" t="s">
        <v>4013</v>
      </c>
      <c r="AD377" s="3470"/>
      <c r="AE377" s="3456" t="s">
        <v>3663</v>
      </c>
      <c r="AF377" s="3470" t="s">
        <v>6377</v>
      </c>
      <c r="AG377" s="3470" t="s">
        <v>3466</v>
      </c>
      <c r="AH377" s="3470"/>
      <c r="AI377" s="3470" t="s">
        <v>4955</v>
      </c>
      <c r="AJ377" s="3478">
        <v>38108</v>
      </c>
      <c r="AK377" s="3548">
        <v>6</v>
      </c>
      <c r="AL377" s="3495">
        <v>67641700</v>
      </c>
      <c r="AM377" s="3470"/>
      <c r="AN377" s="3480" t="s">
        <v>3468</v>
      </c>
      <c r="AO377" s="3470" t="s">
        <v>6378</v>
      </c>
      <c r="AP377" s="3456" t="s">
        <v>3476</v>
      </c>
      <c r="AQ377" s="3456" t="s">
        <v>3571</v>
      </c>
      <c r="AR377" s="3470"/>
      <c r="AS377" s="3470"/>
      <c r="AT377" s="3470"/>
      <c r="AU377" s="3470"/>
      <c r="AV377" s="3519"/>
      <c r="AW377" s="3470" t="s">
        <v>3572</v>
      </c>
      <c r="AX377" s="3470" t="s">
        <v>2420</v>
      </c>
      <c r="AY377" s="3495">
        <v>299212</v>
      </c>
      <c r="AZ377" s="3470" t="s">
        <v>5584</v>
      </c>
      <c r="BA377" s="3470" t="s">
        <v>5595</v>
      </c>
      <c r="BB377" s="3619">
        <v>1102281326100</v>
      </c>
      <c r="BC377" s="3470" t="s">
        <v>5588</v>
      </c>
      <c r="BD377" s="3470">
        <v>100055</v>
      </c>
      <c r="BE377" s="3470">
        <v>82951881</v>
      </c>
      <c r="BF377" s="3520">
        <v>2.8</v>
      </c>
      <c r="BG377" s="3478">
        <v>37771</v>
      </c>
      <c r="BH377" s="3470"/>
      <c r="BI377" s="3470" t="s">
        <v>3476</v>
      </c>
      <c r="BJ377" s="3484">
        <v>37782</v>
      </c>
      <c r="BK377" s="3478"/>
      <c r="BL377" s="3441" t="s">
        <v>3670</v>
      </c>
      <c r="BM377" s="3441"/>
      <c r="BN377" s="3441"/>
      <c r="BO377" s="3441"/>
      <c r="BP377" s="3441"/>
      <c r="BQ377" s="3441"/>
      <c r="BR377" s="3441"/>
      <c r="BS377" s="3470"/>
      <c r="BT377" s="3470"/>
      <c r="BU377" s="3470"/>
      <c r="BV377" s="3470"/>
      <c r="BW377" s="3470"/>
      <c r="BX377" s="3470"/>
      <c r="BY377" s="3470"/>
      <c r="BZ377" s="3470"/>
      <c r="CA377" s="3470"/>
      <c r="CB377" s="3470"/>
      <c r="CC377" s="3470"/>
      <c r="CD377" s="3470"/>
      <c r="CE377" s="3470"/>
      <c r="CF377" s="3470"/>
      <c r="CG377" s="3470"/>
      <c r="CH377" s="3470"/>
      <c r="CI377" s="3470"/>
      <c r="CJ377" s="3470"/>
      <c r="CK377" s="3470"/>
      <c r="CL377" s="3470"/>
      <c r="CM377" s="3470"/>
      <c r="CN377" s="3470"/>
      <c r="CO377" s="3470"/>
      <c r="CP377" s="3470"/>
      <c r="CQ377" s="3470"/>
      <c r="CR377" s="3470"/>
      <c r="CS377" s="3470"/>
      <c r="CT377" s="3470"/>
      <c r="CU377" s="3470"/>
      <c r="CV377" s="3470"/>
      <c r="CW377" s="3470"/>
      <c r="CX377" s="3470"/>
      <c r="CY377" s="3470"/>
      <c r="CZ377" s="3470"/>
      <c r="DA377" s="3470"/>
      <c r="DB377" s="3470"/>
      <c r="DC377" s="3470"/>
      <c r="DD377" s="3470"/>
      <c r="DE377" s="3470"/>
      <c r="DF377" s="3470"/>
      <c r="DG377" s="3470"/>
      <c r="DH377" s="3470"/>
      <c r="DI377" s="3470"/>
      <c r="DJ377" s="3470"/>
      <c r="DK377" s="3470"/>
      <c r="DL377" s="3470"/>
      <c r="DM377" s="3470"/>
      <c r="DN377" s="3470"/>
      <c r="DO377" s="3470"/>
      <c r="DP377" s="3470"/>
      <c r="DQ377" s="3470"/>
      <c r="DR377" s="3470"/>
      <c r="DS377" s="3470"/>
      <c r="DT377" s="3470"/>
      <c r="DU377" s="3470"/>
      <c r="DV377" s="3470"/>
      <c r="DW377" s="3470"/>
      <c r="DX377" s="3470"/>
      <c r="DY377" s="3470"/>
      <c r="DZ377" s="3470"/>
      <c r="EA377" s="3470"/>
      <c r="EB377" s="3470"/>
      <c r="EC377" s="3470"/>
      <c r="ED377" s="3470"/>
      <c r="EE377" s="3470"/>
      <c r="EF377" s="3470"/>
      <c r="EG377" s="3470"/>
      <c r="EH377" s="3470"/>
      <c r="EI377" s="3470"/>
      <c r="EJ377" s="3470"/>
      <c r="EK377" s="3470"/>
      <c r="EL377" s="3470"/>
      <c r="EM377" s="3470"/>
      <c r="EN377" s="3470"/>
      <c r="EO377" s="3470"/>
      <c r="EP377" s="3470"/>
      <c r="EQ377" s="3470"/>
      <c r="ER377" s="3470"/>
      <c r="ES377" s="3470"/>
      <c r="ET377" s="3470"/>
      <c r="EU377" s="3470"/>
      <c r="EV377" s="3470"/>
      <c r="EW377" s="3470"/>
      <c r="EX377" s="3470"/>
      <c r="EY377" s="3470"/>
      <c r="EZ377" s="3470"/>
      <c r="FA377" s="3470"/>
      <c r="FB377" s="3470"/>
      <c r="FC377" s="3470"/>
      <c r="FD377" s="3470"/>
      <c r="FE377" s="3470"/>
      <c r="FF377" s="3470"/>
      <c r="FG377" s="3470"/>
      <c r="FH377" s="3470"/>
      <c r="FI377" s="3470"/>
      <c r="FJ377" s="3470"/>
      <c r="FK377" s="3470"/>
      <c r="FL377" s="3470"/>
      <c r="FM377" s="3470"/>
      <c r="FN377" s="3470"/>
      <c r="FO377" s="3470"/>
      <c r="FP377" s="3470"/>
      <c r="FQ377" s="3470"/>
      <c r="FR377" s="3470"/>
      <c r="FS377" s="3470"/>
      <c r="FT377" s="3470"/>
      <c r="FU377" s="3470"/>
      <c r="FV377" s="3470"/>
      <c r="FW377" s="3470"/>
      <c r="FX377" s="3470"/>
      <c r="FY377" s="3470"/>
      <c r="FZ377" s="3470"/>
      <c r="GA377" s="3470"/>
      <c r="GB377" s="3470"/>
      <c r="GC377" s="3470"/>
      <c r="GD377" s="3470"/>
      <c r="GE377" s="3470"/>
      <c r="GF377" s="3470"/>
      <c r="GG377" s="3470"/>
      <c r="GH377" s="3470"/>
      <c r="GI377" s="3470"/>
      <c r="GJ377" s="3470"/>
      <c r="GK377" s="3470"/>
      <c r="GL377" s="3470"/>
      <c r="GM377" s="3470"/>
      <c r="GN377" s="3470"/>
      <c r="GO377" s="3470"/>
      <c r="GP377" s="3470"/>
      <c r="GQ377" s="3470"/>
      <c r="GR377" s="3470"/>
      <c r="GS377" s="3470"/>
      <c r="GT377" s="3470"/>
      <c r="GU377" s="3470"/>
      <c r="GV377" s="3470"/>
      <c r="GW377" s="3470"/>
      <c r="GX377" s="3470"/>
      <c r="GY377" s="3470"/>
      <c r="GZ377" s="3470"/>
      <c r="HA377" s="3470"/>
      <c r="HB377" s="3470"/>
      <c r="HC377" s="3470"/>
      <c r="HD377" s="3470"/>
      <c r="HE377" s="3470"/>
      <c r="HF377" s="3470"/>
      <c r="HG377" s="3470"/>
      <c r="HH377" s="3470"/>
      <c r="HI377" s="3470"/>
      <c r="HJ377" s="3470"/>
      <c r="HK377" s="3470"/>
      <c r="HL377" s="3470"/>
      <c r="HM377" s="3470"/>
      <c r="HN377" s="3470"/>
      <c r="HO377" s="3470"/>
      <c r="HP377" s="3470"/>
      <c r="HQ377" s="3470"/>
      <c r="HR377" s="3470"/>
      <c r="HS377" s="3470"/>
      <c r="HT377" s="3470"/>
      <c r="HU377" s="3470"/>
      <c r="HV377" s="3470"/>
      <c r="HW377" s="3470"/>
      <c r="HX377" s="3470"/>
      <c r="HY377" s="3470"/>
      <c r="HZ377" s="3470"/>
      <c r="IA377" s="3470"/>
      <c r="IB377" s="3470"/>
      <c r="IC377" s="3470"/>
      <c r="ID377" s="3470"/>
      <c r="IE377" s="3470"/>
      <c r="IF377" s="3470"/>
      <c r="IG377" s="3470"/>
      <c r="IH377" s="3470"/>
      <c r="II377" s="3470"/>
      <c r="IJ377" s="3470"/>
      <c r="IK377" s="3470"/>
      <c r="IL377" s="3470"/>
      <c r="IM377" s="3470"/>
      <c r="IN377" s="3470"/>
      <c r="IO377" s="3470"/>
      <c r="IP377" s="3470"/>
      <c r="IQ377" s="3470"/>
      <c r="IR377" s="3470"/>
      <c r="IS377" s="3470"/>
    </row>
    <row r="378" spans="1:253" s="3605" customFormat="1" ht="12" hidden="1">
      <c r="A378" s="3485" t="s">
        <v>6379</v>
      </c>
      <c r="B378" s="3470" t="s">
        <v>6380</v>
      </c>
      <c r="C378" s="3454" t="s">
        <v>6381</v>
      </c>
      <c r="D378" s="3470">
        <v>13801314220</v>
      </c>
      <c r="E378" s="3470" t="s">
        <v>2736</v>
      </c>
      <c r="F378" s="3470" t="s">
        <v>6113</v>
      </c>
      <c r="G378" s="3470" t="s">
        <v>3715</v>
      </c>
      <c r="H378" s="3470" t="s">
        <v>6283</v>
      </c>
      <c r="I378" s="3453" t="s">
        <v>3676</v>
      </c>
      <c r="J378" s="3453" t="s">
        <v>4101</v>
      </c>
      <c r="K378" s="3470" t="s">
        <v>5586</v>
      </c>
      <c r="L378" s="3495">
        <v>87.2</v>
      </c>
      <c r="M378" s="3495">
        <v>2</v>
      </c>
      <c r="N378" s="3470" t="s">
        <v>3543</v>
      </c>
      <c r="O378" s="3495">
        <v>77.540000000000006</v>
      </c>
      <c r="P378" s="3470" t="s">
        <v>3452</v>
      </c>
      <c r="Q378" s="3457">
        <v>310780.79999999999</v>
      </c>
      <c r="R378" s="3470">
        <v>3564</v>
      </c>
      <c r="S378" s="3472">
        <v>30.67</v>
      </c>
      <c r="T378" s="3527">
        <v>306700</v>
      </c>
      <c r="U378" s="3470">
        <v>3518</v>
      </c>
      <c r="V378" s="3474">
        <v>0.1</v>
      </c>
      <c r="W378" s="3475">
        <v>27.6</v>
      </c>
      <c r="X378" s="3473">
        <v>276000</v>
      </c>
      <c r="Y378" s="3441">
        <v>2003</v>
      </c>
      <c r="Z378" s="3495">
        <v>6</v>
      </c>
      <c r="AA378" s="3470">
        <v>16</v>
      </c>
      <c r="AB378" s="3485">
        <v>1530</v>
      </c>
      <c r="AC378" s="3470" t="s">
        <v>6382</v>
      </c>
      <c r="AD378" s="3470"/>
      <c r="AE378" s="3456" t="s">
        <v>3663</v>
      </c>
      <c r="AF378" s="3470" t="s">
        <v>6383</v>
      </c>
      <c r="AG378" s="3470" t="s">
        <v>3466</v>
      </c>
      <c r="AH378" s="3470"/>
      <c r="AI378" s="3470" t="s">
        <v>4955</v>
      </c>
      <c r="AJ378" s="3478">
        <v>38108</v>
      </c>
      <c r="AK378" s="3548">
        <v>6</v>
      </c>
      <c r="AL378" s="3495">
        <v>67641700</v>
      </c>
      <c r="AM378" s="3470"/>
      <c r="AN378" s="3469" t="s">
        <v>3482</v>
      </c>
      <c r="AO378" s="3470" t="s">
        <v>6384</v>
      </c>
      <c r="AP378" s="3456" t="s">
        <v>3476</v>
      </c>
      <c r="AQ378" s="3456" t="s">
        <v>3571</v>
      </c>
      <c r="AR378" s="3470"/>
      <c r="AS378" s="3470"/>
      <c r="AT378" s="3470"/>
      <c r="AU378" s="3470"/>
      <c r="AV378" s="3519"/>
      <c r="AW378" s="3470" t="s">
        <v>3572</v>
      </c>
      <c r="AX378" s="3470" t="s">
        <v>2420</v>
      </c>
      <c r="AY378" s="3495">
        <v>274500</v>
      </c>
      <c r="AZ378" s="3470" t="s">
        <v>5586</v>
      </c>
      <c r="BA378" s="3470" t="s">
        <v>5603</v>
      </c>
      <c r="BB378" s="3619">
        <v>1102281326100</v>
      </c>
      <c r="BC378" s="3470" t="s">
        <v>5588</v>
      </c>
      <c r="BD378" s="3470">
        <v>100055</v>
      </c>
      <c r="BE378" s="3470">
        <v>82951881</v>
      </c>
      <c r="BF378" s="3520">
        <v>2.8</v>
      </c>
      <c r="BG378" s="3478">
        <v>37770</v>
      </c>
      <c r="BH378" s="3470"/>
      <c r="BI378" s="3470" t="s">
        <v>3476</v>
      </c>
      <c r="BJ378" s="3478">
        <v>37785</v>
      </c>
      <c r="BK378" s="3478"/>
      <c r="BL378" s="3441" t="s">
        <v>3670</v>
      </c>
      <c r="BM378" s="3441"/>
      <c r="BN378" s="3441"/>
      <c r="BO378" s="3441"/>
      <c r="BP378" s="3441"/>
      <c r="BQ378" s="3441"/>
      <c r="BR378" s="3441"/>
      <c r="BS378" s="3470"/>
      <c r="BT378" s="3470"/>
      <c r="BU378" s="3470"/>
      <c r="BV378" s="3470"/>
      <c r="BW378" s="3470"/>
      <c r="BX378" s="3470"/>
      <c r="BY378" s="3470"/>
      <c r="BZ378" s="3470"/>
      <c r="CA378" s="3470"/>
      <c r="CB378" s="3470"/>
      <c r="CC378" s="3470"/>
      <c r="CD378" s="3470"/>
      <c r="CE378" s="3470"/>
      <c r="CF378" s="3470"/>
      <c r="CG378" s="3470"/>
      <c r="CH378" s="3470"/>
      <c r="CI378" s="3470"/>
      <c r="CJ378" s="3470"/>
      <c r="CK378" s="3470"/>
      <c r="CL378" s="3470"/>
      <c r="CM378" s="3470"/>
      <c r="CN378" s="3470"/>
      <c r="CO378" s="3470"/>
      <c r="CP378" s="3470"/>
      <c r="CQ378" s="3470"/>
      <c r="CR378" s="3470"/>
      <c r="CS378" s="3470"/>
      <c r="CT378" s="3470"/>
      <c r="CU378" s="3470"/>
      <c r="CV378" s="3470"/>
      <c r="CW378" s="3470"/>
      <c r="CX378" s="3470"/>
      <c r="CY378" s="3470"/>
      <c r="CZ378" s="3470"/>
      <c r="DA378" s="3470"/>
      <c r="DB378" s="3470"/>
      <c r="DC378" s="3470"/>
      <c r="DD378" s="3470"/>
      <c r="DE378" s="3470"/>
      <c r="DF378" s="3470"/>
      <c r="DG378" s="3470"/>
      <c r="DH378" s="3470"/>
      <c r="DI378" s="3470"/>
      <c r="DJ378" s="3470"/>
      <c r="DK378" s="3470"/>
      <c r="DL378" s="3470"/>
      <c r="DM378" s="3470"/>
      <c r="DN378" s="3470"/>
      <c r="DO378" s="3470"/>
      <c r="DP378" s="3470"/>
      <c r="DQ378" s="3470"/>
      <c r="DR378" s="3470"/>
      <c r="DS378" s="3470"/>
      <c r="DT378" s="3470"/>
      <c r="DU378" s="3470"/>
      <c r="DV378" s="3470"/>
      <c r="DW378" s="3470"/>
      <c r="DX378" s="3470"/>
      <c r="DY378" s="3470"/>
      <c r="DZ378" s="3470"/>
      <c r="EA378" s="3470"/>
      <c r="EB378" s="3470"/>
      <c r="EC378" s="3470"/>
      <c r="ED378" s="3470"/>
      <c r="EE378" s="3470"/>
      <c r="EF378" s="3470"/>
      <c r="EG378" s="3470"/>
      <c r="EH378" s="3470"/>
      <c r="EI378" s="3470"/>
      <c r="EJ378" s="3470"/>
      <c r="EK378" s="3470"/>
      <c r="EL378" s="3470"/>
      <c r="EM378" s="3470"/>
      <c r="EN378" s="3470"/>
      <c r="EO378" s="3470"/>
      <c r="EP378" s="3470"/>
      <c r="EQ378" s="3470"/>
      <c r="ER378" s="3470"/>
      <c r="ES378" s="3470"/>
      <c r="ET378" s="3470"/>
      <c r="EU378" s="3470"/>
      <c r="EV378" s="3470"/>
      <c r="EW378" s="3470"/>
      <c r="EX378" s="3470"/>
      <c r="EY378" s="3470"/>
      <c r="EZ378" s="3470"/>
      <c r="FA378" s="3470"/>
      <c r="FB378" s="3470"/>
      <c r="FC378" s="3470"/>
      <c r="FD378" s="3470"/>
      <c r="FE378" s="3470"/>
      <c r="FF378" s="3470"/>
      <c r="FG378" s="3470"/>
      <c r="FH378" s="3470"/>
      <c r="FI378" s="3470"/>
      <c r="FJ378" s="3470"/>
      <c r="FK378" s="3470"/>
      <c r="FL378" s="3470"/>
      <c r="FM378" s="3470"/>
      <c r="FN378" s="3470"/>
      <c r="FO378" s="3470"/>
      <c r="FP378" s="3470"/>
      <c r="FQ378" s="3470"/>
      <c r="FR378" s="3470"/>
      <c r="FS378" s="3470"/>
      <c r="FT378" s="3470"/>
      <c r="FU378" s="3470"/>
      <c r="FV378" s="3470"/>
      <c r="FW378" s="3470"/>
      <c r="FX378" s="3470"/>
      <c r="FY378" s="3470"/>
      <c r="FZ378" s="3470"/>
      <c r="GA378" s="3470"/>
      <c r="GB378" s="3470"/>
      <c r="GC378" s="3470"/>
      <c r="GD378" s="3470"/>
      <c r="GE378" s="3470"/>
      <c r="GF378" s="3470"/>
      <c r="GG378" s="3470"/>
      <c r="GH378" s="3470"/>
      <c r="GI378" s="3470"/>
      <c r="GJ378" s="3470"/>
      <c r="GK378" s="3470"/>
      <c r="GL378" s="3470"/>
      <c r="GM378" s="3470"/>
      <c r="GN378" s="3470"/>
      <c r="GO378" s="3470"/>
      <c r="GP378" s="3470"/>
      <c r="GQ378" s="3470"/>
      <c r="GR378" s="3470"/>
      <c r="GS378" s="3470"/>
      <c r="GT378" s="3470"/>
      <c r="GU378" s="3470"/>
      <c r="GV378" s="3470"/>
      <c r="GW378" s="3470"/>
      <c r="GX378" s="3470"/>
      <c r="GY378" s="3470"/>
      <c r="GZ378" s="3470"/>
      <c r="HA378" s="3470"/>
      <c r="HB378" s="3470"/>
      <c r="HC378" s="3470"/>
      <c r="HD378" s="3470"/>
      <c r="HE378" s="3470"/>
      <c r="HF378" s="3470"/>
      <c r="HG378" s="3470"/>
      <c r="HH378" s="3470"/>
      <c r="HI378" s="3470"/>
      <c r="HJ378" s="3470"/>
      <c r="HK378" s="3470"/>
      <c r="HL378" s="3470"/>
      <c r="HM378" s="3470"/>
      <c r="HN378" s="3470"/>
      <c r="HO378" s="3470"/>
      <c r="HP378" s="3470"/>
      <c r="HQ378" s="3470"/>
      <c r="HR378" s="3470"/>
      <c r="HS378" s="3470"/>
      <c r="HT378" s="3470"/>
      <c r="HU378" s="3470"/>
      <c r="HV378" s="3470"/>
      <c r="HW378" s="3470"/>
      <c r="HX378" s="3470"/>
      <c r="HY378" s="3470"/>
      <c r="HZ378" s="3470"/>
      <c r="IA378" s="3470"/>
      <c r="IB378" s="3470"/>
      <c r="IC378" s="3470"/>
      <c r="ID378" s="3470"/>
      <c r="IE378" s="3470"/>
      <c r="IF378" s="3470"/>
      <c r="IG378" s="3470"/>
      <c r="IH378" s="3470"/>
      <c r="II378" s="3470"/>
      <c r="IJ378" s="3470"/>
      <c r="IK378" s="3470"/>
      <c r="IL378" s="3470"/>
      <c r="IM378" s="3470"/>
      <c r="IN378" s="3470"/>
      <c r="IO378" s="3470"/>
      <c r="IP378" s="3470"/>
      <c r="IQ378" s="3470"/>
      <c r="IR378" s="3470"/>
      <c r="IS378" s="3470"/>
    </row>
    <row r="379" spans="1:253" s="3441" customFormat="1" ht="12" hidden="1">
      <c r="A379" s="3485" t="s">
        <v>6385</v>
      </c>
      <c r="B379" s="3470" t="s">
        <v>6386</v>
      </c>
      <c r="C379" s="3481" t="s">
        <v>6387</v>
      </c>
      <c r="D379" s="3453">
        <v>13301161737</v>
      </c>
      <c r="E379" s="3470" t="s">
        <v>2736</v>
      </c>
      <c r="F379" s="3528" t="s">
        <v>6388</v>
      </c>
      <c r="G379" s="3470"/>
      <c r="H379" s="3470" t="s">
        <v>4418</v>
      </c>
      <c r="I379" s="3470" t="s">
        <v>4433</v>
      </c>
      <c r="J379" s="3481" t="s">
        <v>4174</v>
      </c>
      <c r="K379" s="3441" t="s">
        <v>6369</v>
      </c>
      <c r="L379" s="3470">
        <v>59.3</v>
      </c>
      <c r="M379" s="3470">
        <v>2</v>
      </c>
      <c r="N379" s="3470" t="s">
        <v>3489</v>
      </c>
      <c r="O379" s="3470">
        <v>50.36</v>
      </c>
      <c r="P379" s="3470" t="s">
        <v>3452</v>
      </c>
      <c r="Q379" s="3457">
        <v>268213.89999999997</v>
      </c>
      <c r="R379" s="3470">
        <v>4523</v>
      </c>
      <c r="S379" s="3472">
        <v>26.52</v>
      </c>
      <c r="T379" s="3527">
        <v>265200</v>
      </c>
      <c r="U379" s="3495">
        <v>4473</v>
      </c>
      <c r="V379" s="3474">
        <v>0.1</v>
      </c>
      <c r="W379" s="3475">
        <v>23.86</v>
      </c>
      <c r="X379" s="3476">
        <v>238600</v>
      </c>
      <c r="Y379" s="3441">
        <v>2003</v>
      </c>
      <c r="Z379" s="3441">
        <v>5</v>
      </c>
      <c r="AA379" s="3470">
        <v>29</v>
      </c>
      <c r="AB379" s="3477">
        <v>1325</v>
      </c>
      <c r="AC379" s="3470" t="s">
        <v>3544</v>
      </c>
      <c r="AD379" s="3485"/>
      <c r="AE379" s="3441" t="s">
        <v>3663</v>
      </c>
      <c r="AF379" s="3453" t="s">
        <v>3728</v>
      </c>
      <c r="AG379" s="3522" t="s">
        <v>3466</v>
      </c>
      <c r="AH379" s="3485" t="s">
        <v>3568</v>
      </c>
      <c r="AI379" s="3470" t="s">
        <v>3664</v>
      </c>
      <c r="AJ379" s="3523">
        <v>37986</v>
      </c>
      <c r="AK379" s="3541">
        <v>5</v>
      </c>
      <c r="AL379" s="3441">
        <v>67641700</v>
      </c>
      <c r="AN379" s="3441" t="s">
        <v>3484</v>
      </c>
      <c r="AP379" s="3441" t="s">
        <v>3476</v>
      </c>
      <c r="AQ379" s="3441" t="s">
        <v>3571</v>
      </c>
      <c r="AV379" s="3441" t="s">
        <v>3568</v>
      </c>
      <c r="AW379" s="3441" t="s">
        <v>3572</v>
      </c>
      <c r="AY379" s="3524" t="s">
        <v>6389</v>
      </c>
      <c r="AZ379" s="3441" t="s">
        <v>6390</v>
      </c>
      <c r="BA379" s="3441" t="s">
        <v>6391</v>
      </c>
      <c r="BB379" s="3524" t="s">
        <v>6392</v>
      </c>
      <c r="BC379" s="3441" t="s">
        <v>6372</v>
      </c>
      <c r="BD379" s="3525">
        <v>100025</v>
      </c>
      <c r="BE379" s="3441">
        <v>62908858</v>
      </c>
      <c r="BF379" s="3526">
        <v>2.7</v>
      </c>
      <c r="BG379" s="3518">
        <v>37724</v>
      </c>
      <c r="BH379" s="3441" t="s">
        <v>3437</v>
      </c>
      <c r="BI379" s="3441" t="s">
        <v>3476</v>
      </c>
      <c r="BJ379" s="3484">
        <v>37767</v>
      </c>
      <c r="BK379" s="3484"/>
      <c r="BL379" s="3470" t="s">
        <v>3670</v>
      </c>
      <c r="BS379" s="3470"/>
      <c r="BT379" s="3470"/>
      <c r="BU379" s="3470"/>
    </row>
    <row r="380" spans="1:253" s="3470" customFormat="1" ht="12" hidden="1">
      <c r="A380" s="3485" t="s">
        <v>6393</v>
      </c>
      <c r="B380" s="3470" t="s">
        <v>6394</v>
      </c>
      <c r="C380" s="3454" t="s">
        <v>6395</v>
      </c>
      <c r="D380" s="3470">
        <v>13501394546</v>
      </c>
      <c r="E380" s="3470" t="s">
        <v>2736</v>
      </c>
      <c r="F380" s="3470" t="s">
        <v>6113</v>
      </c>
      <c r="G380" s="3470" t="s">
        <v>2420</v>
      </c>
      <c r="H380" s="3470" t="s">
        <v>6289</v>
      </c>
      <c r="I380" s="3453" t="s">
        <v>4019</v>
      </c>
      <c r="J380" s="3453" t="s">
        <v>4101</v>
      </c>
      <c r="K380" s="3470" t="s">
        <v>5586</v>
      </c>
      <c r="L380" s="3495">
        <v>122.2</v>
      </c>
      <c r="M380" s="3495">
        <v>2</v>
      </c>
      <c r="N380" s="3454" t="s">
        <v>4137</v>
      </c>
      <c r="O380" s="3495">
        <v>111.4</v>
      </c>
      <c r="P380" s="3470" t="s">
        <v>3452</v>
      </c>
      <c r="Q380" s="3457">
        <v>476580</v>
      </c>
      <c r="R380" s="3470">
        <v>3900</v>
      </c>
      <c r="S380" s="3472">
        <v>47.07</v>
      </c>
      <c r="T380" s="3527">
        <v>470700</v>
      </c>
      <c r="U380" s="3470">
        <v>3852</v>
      </c>
      <c r="V380" s="3474">
        <v>0.1</v>
      </c>
      <c r="W380" s="3475">
        <v>42.36</v>
      </c>
      <c r="X380" s="3473">
        <v>423600</v>
      </c>
      <c r="Y380" s="3441">
        <v>2003</v>
      </c>
      <c r="Z380" s="3441">
        <v>5</v>
      </c>
      <c r="AA380" s="3470">
        <v>27</v>
      </c>
      <c r="AB380" s="3485">
        <v>2350</v>
      </c>
      <c r="AC380" s="3470" t="s">
        <v>3798</v>
      </c>
      <c r="AE380" s="3456" t="s">
        <v>3663</v>
      </c>
      <c r="AF380" s="3470" t="s">
        <v>6290</v>
      </c>
      <c r="AG380" s="3470" t="s">
        <v>3466</v>
      </c>
      <c r="AI380" s="3470" t="s">
        <v>3664</v>
      </c>
      <c r="AJ380" s="3478">
        <v>38108</v>
      </c>
      <c r="AK380" s="3548">
        <v>5</v>
      </c>
      <c r="AL380" s="3495">
        <v>67641700</v>
      </c>
      <c r="AN380" s="3480" t="s">
        <v>4427</v>
      </c>
      <c r="AO380" s="3470" t="s">
        <v>2420</v>
      </c>
      <c r="AP380" s="3456" t="s">
        <v>3476</v>
      </c>
      <c r="AQ380" s="3456" t="s">
        <v>3571</v>
      </c>
      <c r="AV380" s="3519"/>
      <c r="AW380" s="3470" t="s">
        <v>3572</v>
      </c>
      <c r="AX380" s="3470" t="s">
        <v>2420</v>
      </c>
      <c r="AY380" s="3495">
        <v>274435</v>
      </c>
      <c r="AZ380" s="3470" t="s">
        <v>5586</v>
      </c>
      <c r="BA380" s="3470" t="s">
        <v>5603</v>
      </c>
      <c r="BB380" s="3619">
        <v>1102281326100</v>
      </c>
      <c r="BC380" s="3470" t="s">
        <v>5604</v>
      </c>
      <c r="BD380" s="3470">
        <v>100055</v>
      </c>
      <c r="BE380" s="3470">
        <v>82951881</v>
      </c>
      <c r="BF380" s="3520">
        <v>2.8</v>
      </c>
      <c r="BG380" s="3478">
        <v>37695</v>
      </c>
      <c r="BI380" s="3470" t="s">
        <v>3476</v>
      </c>
      <c r="BJ380" s="3478">
        <v>37760</v>
      </c>
      <c r="BK380" s="3478"/>
      <c r="BL380" s="3441" t="s">
        <v>3670</v>
      </c>
      <c r="BM380" s="3441"/>
      <c r="BN380" s="3441"/>
      <c r="BO380" s="3441"/>
      <c r="BP380" s="3441"/>
      <c r="BQ380" s="3441"/>
      <c r="BR380" s="3441"/>
    </row>
    <row r="381" spans="1:253" s="3604" customFormat="1" ht="12" hidden="1">
      <c r="A381" s="3470" t="s">
        <v>6396</v>
      </c>
      <c r="B381" s="3470" t="s">
        <v>6397</v>
      </c>
      <c r="C381" s="3481" t="s">
        <v>6398</v>
      </c>
      <c r="D381" s="3481" t="s">
        <v>6399</v>
      </c>
      <c r="E381" s="3470" t="s">
        <v>3558</v>
      </c>
      <c r="F381" s="3528" t="s">
        <v>3951</v>
      </c>
      <c r="G381" s="3470"/>
      <c r="H381" s="3470" t="s">
        <v>4418</v>
      </c>
      <c r="I381" s="3470" t="s">
        <v>3676</v>
      </c>
      <c r="J381" s="3481" t="s">
        <v>6400</v>
      </c>
      <c r="K381" s="3470" t="s">
        <v>3955</v>
      </c>
      <c r="L381" s="3470">
        <v>117.54</v>
      </c>
      <c r="M381" s="3470">
        <v>11</v>
      </c>
      <c r="N381" s="3453" t="s">
        <v>4871</v>
      </c>
      <c r="O381" s="3470">
        <v>97.26</v>
      </c>
      <c r="P381" s="3470" t="s">
        <v>3452</v>
      </c>
      <c r="Q381" s="3457">
        <v>487250.31599999999</v>
      </c>
      <c r="R381" s="3470">
        <v>4145.3999999999996</v>
      </c>
      <c r="S381" s="3472">
        <v>48.14</v>
      </c>
      <c r="T381" s="3527">
        <v>481400</v>
      </c>
      <c r="U381" s="3470">
        <v>4096</v>
      </c>
      <c r="V381" s="3474">
        <v>0.1</v>
      </c>
      <c r="W381" s="3475">
        <v>43.32</v>
      </c>
      <c r="X381" s="3476">
        <v>433200</v>
      </c>
      <c r="Y381" s="3441">
        <v>2003</v>
      </c>
      <c r="Z381" s="3502">
        <v>5</v>
      </c>
      <c r="AA381" s="3470">
        <v>29</v>
      </c>
      <c r="AB381" s="3477">
        <v>2405</v>
      </c>
      <c r="AC381" s="3470" t="s">
        <v>3544</v>
      </c>
      <c r="AD381" s="3485"/>
      <c r="AE381" s="3441" t="s">
        <v>3663</v>
      </c>
      <c r="AF381" s="3470" t="s">
        <v>3453</v>
      </c>
      <c r="AG381" s="3522" t="s">
        <v>3466</v>
      </c>
      <c r="AH381" s="3485"/>
      <c r="AI381" s="3470" t="s">
        <v>3664</v>
      </c>
      <c r="AJ381" s="3523">
        <v>37832</v>
      </c>
      <c r="AK381" s="3500">
        <v>5</v>
      </c>
      <c r="AL381" s="3441" t="s">
        <v>3957</v>
      </c>
      <c r="AM381" s="3441"/>
      <c r="AN381" s="3480" t="s">
        <v>3484</v>
      </c>
      <c r="AO381" s="3441"/>
      <c r="AP381" s="3456" t="s">
        <v>3476</v>
      </c>
      <c r="AQ381" s="3441" t="s">
        <v>3571</v>
      </c>
      <c r="AR381" s="3441"/>
      <c r="AS381" s="3441"/>
      <c r="AT381" s="3441"/>
      <c r="AU381" s="3441"/>
      <c r="AV381" s="3441" t="s">
        <v>3568</v>
      </c>
      <c r="AW381" s="3441" t="s">
        <v>3572</v>
      </c>
      <c r="AX381" s="3441" t="s">
        <v>2511</v>
      </c>
      <c r="AY381" s="3524" t="s">
        <v>6401</v>
      </c>
      <c r="AZ381" s="3441" t="s">
        <v>3955</v>
      </c>
      <c r="BA381" s="3441" t="s">
        <v>3959</v>
      </c>
      <c r="BB381" s="3524" t="s">
        <v>3960</v>
      </c>
      <c r="BC381" s="3441" t="s">
        <v>3961</v>
      </c>
      <c r="BD381" s="3525">
        <v>102100</v>
      </c>
      <c r="BE381" s="3441">
        <v>62998398</v>
      </c>
      <c r="BF381" s="3526">
        <v>2.8</v>
      </c>
      <c r="BG381" s="3518">
        <v>37762</v>
      </c>
      <c r="BH381" s="3441"/>
      <c r="BI381" s="3441" t="s">
        <v>5844</v>
      </c>
      <c r="BJ381" s="3478">
        <v>37768</v>
      </c>
      <c r="BK381" s="3484"/>
      <c r="BL381" s="3470" t="s">
        <v>3670</v>
      </c>
      <c r="BM381" s="3441"/>
      <c r="BN381" s="3441"/>
      <c r="BO381" s="3441"/>
      <c r="BP381" s="3441"/>
      <c r="BQ381" s="3441"/>
      <c r="BR381" s="3441"/>
      <c r="BS381" s="3470"/>
      <c r="BT381" s="3470"/>
      <c r="BU381" s="3470"/>
    </row>
    <row r="382" spans="1:253" s="3441" customFormat="1" ht="12" hidden="1">
      <c r="A382" s="3481" t="s">
        <v>6402</v>
      </c>
      <c r="B382" s="3470" t="s">
        <v>6403</v>
      </c>
      <c r="C382" s="3481" t="s">
        <v>6404</v>
      </c>
      <c r="D382" s="3481" t="s">
        <v>6405</v>
      </c>
      <c r="E382" s="3470" t="s">
        <v>3763</v>
      </c>
      <c r="F382" s="3528" t="s">
        <v>6406</v>
      </c>
      <c r="G382" s="3470"/>
      <c r="H382" s="3453" t="s">
        <v>6407</v>
      </c>
      <c r="I382" s="3453" t="s">
        <v>3615</v>
      </c>
      <c r="J382" s="3454" t="s">
        <v>3871</v>
      </c>
      <c r="K382" s="3470" t="s">
        <v>6408</v>
      </c>
      <c r="L382" s="3495">
        <v>94.4</v>
      </c>
      <c r="M382" s="3495">
        <v>4</v>
      </c>
      <c r="N382" s="3542" t="s">
        <v>3602</v>
      </c>
      <c r="O382" s="3495">
        <v>83.04</v>
      </c>
      <c r="P382" s="3470" t="s">
        <v>3452</v>
      </c>
      <c r="Q382" s="3457">
        <v>383830.4</v>
      </c>
      <c r="R382" s="3547" t="s">
        <v>6409</v>
      </c>
      <c r="S382" s="3472">
        <v>37.92</v>
      </c>
      <c r="T382" s="3527">
        <v>379200</v>
      </c>
      <c r="U382" s="3470">
        <v>4017</v>
      </c>
      <c r="V382" s="3474">
        <v>0.1</v>
      </c>
      <c r="W382" s="3475">
        <v>34.119999999999997</v>
      </c>
      <c r="X382" s="3473">
        <v>341200</v>
      </c>
      <c r="Y382" s="3441">
        <v>2003</v>
      </c>
      <c r="Z382" s="3441">
        <v>5</v>
      </c>
      <c r="AA382" s="3441">
        <v>30</v>
      </c>
      <c r="AB382" s="3485">
        <v>1895</v>
      </c>
      <c r="AC382" s="3470" t="s">
        <v>3544</v>
      </c>
      <c r="AD382" s="3485"/>
      <c r="AE382" s="3469" t="s">
        <v>2156</v>
      </c>
      <c r="AF382" s="3453" t="s">
        <v>6410</v>
      </c>
      <c r="AG382" s="3522" t="s">
        <v>3546</v>
      </c>
      <c r="AH382" s="3485"/>
      <c r="AI382" s="3470" t="s">
        <v>4955</v>
      </c>
      <c r="AJ382" s="3523">
        <v>38077</v>
      </c>
      <c r="AK382" s="3500">
        <v>5</v>
      </c>
      <c r="AL382" s="3515">
        <v>67641700</v>
      </c>
      <c r="AN382" s="3497" t="s">
        <v>3484</v>
      </c>
      <c r="AO382" s="3486" t="s">
        <v>2420</v>
      </c>
      <c r="AP382" s="3502" t="s">
        <v>3475</v>
      </c>
      <c r="AQ382" s="3469" t="s">
        <v>3571</v>
      </c>
      <c r="AU382" s="3495"/>
      <c r="AV382" s="3535"/>
      <c r="AW382" s="3470" t="s">
        <v>3548</v>
      </c>
      <c r="AX382" s="3441" t="s">
        <v>2420</v>
      </c>
      <c r="AY382" s="3536" t="s">
        <v>6411</v>
      </c>
      <c r="AZ382" s="3470" t="s">
        <v>6412</v>
      </c>
      <c r="BA382" s="3463" t="s">
        <v>6413</v>
      </c>
      <c r="BB382" s="3466">
        <v>1102281149818</v>
      </c>
      <c r="BC382" s="3441" t="s">
        <v>6414</v>
      </c>
      <c r="BD382" s="3441">
        <v>100044</v>
      </c>
      <c r="BE382" s="3463">
        <v>88018575</v>
      </c>
      <c r="BF382" s="3538">
        <v>2.7</v>
      </c>
      <c r="BG382" s="3535">
        <v>37754</v>
      </c>
      <c r="BH382" s="3453"/>
      <c r="BI382" s="3470" t="s">
        <v>3476</v>
      </c>
      <c r="BJ382" s="3545">
        <v>37768</v>
      </c>
      <c r="BL382" s="3441" t="s">
        <v>3833</v>
      </c>
      <c r="BS382" s="3470"/>
      <c r="BT382" s="3470"/>
      <c r="BU382" s="3470"/>
      <c r="BV382" s="3472"/>
      <c r="BW382" s="3472"/>
      <c r="BX382" s="3472"/>
      <c r="BY382" s="3472"/>
      <c r="BZ382" s="3472"/>
      <c r="CA382" s="3472"/>
      <c r="CB382" s="3472"/>
      <c r="CC382" s="3472"/>
      <c r="CD382" s="3472"/>
      <c r="CE382" s="3472"/>
      <c r="CF382" s="3472"/>
      <c r="CG382" s="3472"/>
      <c r="CH382" s="3472"/>
      <c r="CI382" s="3472"/>
      <c r="CJ382" s="3472"/>
      <c r="CK382" s="3472"/>
      <c r="CL382" s="3472"/>
      <c r="CM382" s="3472"/>
      <c r="CN382" s="3472"/>
      <c r="CO382" s="3472"/>
      <c r="CP382" s="3472"/>
      <c r="CQ382" s="3472"/>
      <c r="CR382" s="3472"/>
      <c r="CS382" s="3472"/>
      <c r="CT382" s="3472"/>
      <c r="CU382" s="3472"/>
      <c r="CV382" s="3472"/>
      <c r="CW382" s="3472"/>
      <c r="CX382" s="3472"/>
      <c r="CY382" s="3472"/>
      <c r="CZ382" s="3472"/>
      <c r="DA382" s="3472"/>
      <c r="DB382" s="3472"/>
      <c r="DC382" s="3472"/>
      <c r="DD382" s="3472"/>
      <c r="DE382" s="3472"/>
      <c r="DF382" s="3472"/>
      <c r="DG382" s="3472"/>
      <c r="DH382" s="3472"/>
      <c r="DI382" s="3472"/>
      <c r="DJ382" s="3472"/>
      <c r="DK382" s="3472"/>
      <c r="DL382" s="3472"/>
      <c r="DM382" s="3472"/>
      <c r="DN382" s="3472"/>
      <c r="DO382" s="3472"/>
      <c r="DP382" s="3472"/>
      <c r="DQ382" s="3472"/>
      <c r="DR382" s="3472"/>
      <c r="DS382" s="3472"/>
      <c r="DT382" s="3472"/>
      <c r="DU382" s="3472"/>
      <c r="DV382" s="3472"/>
      <c r="DW382" s="3472"/>
      <c r="DX382" s="3472"/>
      <c r="DY382" s="3472"/>
      <c r="DZ382" s="3472"/>
      <c r="EA382" s="3472"/>
      <c r="EB382" s="3472"/>
      <c r="EC382" s="3472"/>
      <c r="ED382" s="3472"/>
      <c r="EE382" s="3472"/>
      <c r="EF382" s="3472"/>
      <c r="EG382" s="3472"/>
      <c r="EH382" s="3472"/>
      <c r="EI382" s="3472"/>
      <c r="EJ382" s="3472"/>
      <c r="EK382" s="3472"/>
      <c r="EL382" s="3472"/>
      <c r="EM382" s="3472"/>
      <c r="EN382" s="3472"/>
      <c r="EO382" s="3472"/>
      <c r="EP382" s="3472"/>
      <c r="EQ382" s="3472"/>
      <c r="ER382" s="3472"/>
      <c r="ES382" s="3472"/>
      <c r="ET382" s="3472"/>
      <c r="EU382" s="3472"/>
      <c r="EV382" s="3472"/>
      <c r="EW382" s="3472"/>
      <c r="EX382" s="3472"/>
      <c r="EY382" s="3472"/>
      <c r="EZ382" s="3472"/>
      <c r="FA382" s="3472"/>
      <c r="FB382" s="3472"/>
      <c r="FC382" s="3472"/>
      <c r="FD382" s="3472"/>
      <c r="FE382" s="3472"/>
      <c r="FF382" s="3472"/>
      <c r="FG382" s="3472"/>
      <c r="FH382" s="3472"/>
      <c r="FI382" s="3472"/>
      <c r="FJ382" s="3472"/>
      <c r="FK382" s="3472"/>
      <c r="FL382" s="3472"/>
      <c r="FM382" s="3472"/>
      <c r="FN382" s="3472"/>
      <c r="FO382" s="3472"/>
      <c r="FP382" s="3472"/>
      <c r="FQ382" s="3472"/>
      <c r="FR382" s="3472"/>
      <c r="FS382" s="3472"/>
      <c r="FT382" s="3472"/>
      <c r="FU382" s="3472"/>
      <c r="FV382" s="3472"/>
      <c r="FW382" s="3472"/>
      <c r="FX382" s="3472"/>
      <c r="FY382" s="3472"/>
      <c r="FZ382" s="3472"/>
      <c r="GA382" s="3472"/>
      <c r="GB382" s="3472"/>
      <c r="GC382" s="3472"/>
      <c r="GD382" s="3472"/>
      <c r="GE382" s="3472"/>
      <c r="GF382" s="3472"/>
      <c r="GG382" s="3472"/>
      <c r="GH382" s="3472"/>
      <c r="GI382" s="3472"/>
      <c r="GJ382" s="3472"/>
      <c r="GK382" s="3472"/>
      <c r="GL382" s="3472"/>
      <c r="GM382" s="3472"/>
      <c r="GN382" s="3472"/>
      <c r="GO382" s="3472"/>
      <c r="GP382" s="3472"/>
      <c r="GQ382" s="3472"/>
      <c r="GR382" s="3472"/>
      <c r="GS382" s="3472"/>
      <c r="GT382" s="3472"/>
      <c r="GU382" s="3472"/>
      <c r="GV382" s="3472"/>
      <c r="GW382" s="3472"/>
      <c r="GX382" s="3472"/>
      <c r="GY382" s="3472"/>
      <c r="GZ382" s="3472"/>
      <c r="HA382" s="3472"/>
      <c r="HB382" s="3472"/>
      <c r="HC382" s="3472"/>
      <c r="HD382" s="3472"/>
      <c r="HE382" s="3472"/>
      <c r="HF382" s="3472"/>
      <c r="HG382" s="3472"/>
      <c r="HH382" s="3472"/>
      <c r="HI382" s="3472"/>
      <c r="HJ382" s="3472"/>
      <c r="HK382" s="3472"/>
      <c r="HL382" s="3472"/>
      <c r="HM382" s="3472"/>
      <c r="HN382" s="3472"/>
      <c r="HO382" s="3472"/>
      <c r="HP382" s="3472"/>
      <c r="HQ382" s="3472"/>
      <c r="HR382" s="3472"/>
      <c r="HS382" s="3472"/>
      <c r="HT382" s="3472"/>
      <c r="HU382" s="3472"/>
      <c r="HV382" s="3472"/>
      <c r="HW382" s="3472"/>
      <c r="HX382" s="3472"/>
      <c r="HY382" s="3472"/>
      <c r="HZ382" s="3472"/>
      <c r="IA382" s="3472"/>
      <c r="IB382" s="3472"/>
      <c r="IC382" s="3472"/>
      <c r="ID382" s="3472"/>
      <c r="IE382" s="3472"/>
      <c r="IF382" s="3472"/>
      <c r="IG382" s="3472"/>
      <c r="IH382" s="3472"/>
      <c r="II382" s="3472"/>
      <c r="IJ382" s="3472"/>
      <c r="IK382" s="3472"/>
      <c r="IL382" s="3472"/>
      <c r="IM382" s="3472"/>
      <c r="IN382" s="3472"/>
      <c r="IO382" s="3472"/>
      <c r="IP382" s="3472"/>
      <c r="IQ382" s="3472"/>
      <c r="IR382" s="3472"/>
      <c r="IS382" s="3472"/>
    </row>
    <row r="383" spans="1:253" s="3441" customFormat="1" ht="12" hidden="1">
      <c r="A383" s="3481" t="s">
        <v>6415</v>
      </c>
      <c r="B383" s="3470" t="s">
        <v>6416</v>
      </c>
      <c r="C383" s="3481" t="s">
        <v>6417</v>
      </c>
      <c r="D383" s="3481" t="s">
        <v>6418</v>
      </c>
      <c r="E383" s="3470" t="s">
        <v>2736</v>
      </c>
      <c r="F383" s="3528" t="s">
        <v>6419</v>
      </c>
      <c r="G383" s="3470"/>
      <c r="H383" s="3453" t="s">
        <v>6407</v>
      </c>
      <c r="I383" s="3453" t="s">
        <v>3615</v>
      </c>
      <c r="J383" s="3454" t="s">
        <v>3920</v>
      </c>
      <c r="K383" s="3470" t="s">
        <v>6408</v>
      </c>
      <c r="L383" s="3495">
        <v>94.4</v>
      </c>
      <c r="M383" s="3495">
        <v>6</v>
      </c>
      <c r="N383" s="3542" t="s">
        <v>3486</v>
      </c>
      <c r="O383" s="3495">
        <v>83.04</v>
      </c>
      <c r="P383" s="3470" t="s">
        <v>3452</v>
      </c>
      <c r="Q383" s="3457">
        <v>365894.40000000002</v>
      </c>
      <c r="R383" s="3547" t="s">
        <v>6420</v>
      </c>
      <c r="S383" s="3472">
        <v>36.130000000000003</v>
      </c>
      <c r="T383" s="3527">
        <v>361300</v>
      </c>
      <c r="U383" s="3470">
        <v>3828</v>
      </c>
      <c r="V383" s="3474">
        <v>0.1</v>
      </c>
      <c r="W383" s="3475">
        <v>32.51</v>
      </c>
      <c r="X383" s="3473">
        <v>325100</v>
      </c>
      <c r="Y383" s="3441">
        <v>2003</v>
      </c>
      <c r="Z383" s="3441">
        <v>5</v>
      </c>
      <c r="AA383" s="3441">
        <v>30</v>
      </c>
      <c r="AB383" s="3485">
        <v>1805</v>
      </c>
      <c r="AC383" s="3470" t="s">
        <v>3710</v>
      </c>
      <c r="AD383" s="3485"/>
      <c r="AE383" s="3469" t="s">
        <v>2156</v>
      </c>
      <c r="AF383" s="3453" t="s">
        <v>6421</v>
      </c>
      <c r="AG383" s="3522" t="s">
        <v>3454</v>
      </c>
      <c r="AH383" s="3485"/>
      <c r="AI383" s="3470" t="s">
        <v>4955</v>
      </c>
      <c r="AJ383" s="3523">
        <v>38077</v>
      </c>
      <c r="AK383" s="3500">
        <v>5</v>
      </c>
      <c r="AL383" s="3515">
        <v>67641700</v>
      </c>
      <c r="AN383" s="3497" t="s">
        <v>4427</v>
      </c>
      <c r="AO383" s="3486" t="s">
        <v>2420</v>
      </c>
      <c r="AP383" s="3502" t="s">
        <v>3475</v>
      </c>
      <c r="AQ383" s="3469" t="s">
        <v>3571</v>
      </c>
      <c r="AU383" s="3495"/>
      <c r="AV383" s="3535"/>
      <c r="AW383" s="3470" t="s">
        <v>4064</v>
      </c>
      <c r="AX383" s="3441" t="s">
        <v>3588</v>
      </c>
      <c r="AY383" s="3536" t="s">
        <v>6422</v>
      </c>
      <c r="AZ383" s="3470" t="s">
        <v>6423</v>
      </c>
      <c r="BA383" s="3463" t="s">
        <v>6424</v>
      </c>
      <c r="BB383" s="3466">
        <v>1102281149818</v>
      </c>
      <c r="BC383" s="3441" t="s">
        <v>6425</v>
      </c>
      <c r="BD383" s="3441">
        <v>100044</v>
      </c>
      <c r="BE383" s="3463">
        <v>88018575</v>
      </c>
      <c r="BF383" s="3538">
        <v>2.7</v>
      </c>
      <c r="BG383" s="3535">
        <v>37754</v>
      </c>
      <c r="BH383" s="3453"/>
      <c r="BI383" s="3470" t="s">
        <v>3476</v>
      </c>
      <c r="BJ383" s="3545">
        <v>37768</v>
      </c>
      <c r="BL383" s="3441" t="s">
        <v>3833</v>
      </c>
      <c r="BS383" s="3470"/>
      <c r="BT383" s="3470"/>
      <c r="BU383" s="3470"/>
      <c r="BV383" s="3472"/>
      <c r="BW383" s="3472"/>
      <c r="BX383" s="3472"/>
      <c r="BY383" s="3472"/>
      <c r="BZ383" s="3472"/>
      <c r="CA383" s="3472"/>
      <c r="CB383" s="3472"/>
      <c r="CC383" s="3472"/>
      <c r="CD383" s="3472"/>
      <c r="CE383" s="3472"/>
      <c r="CF383" s="3472"/>
      <c r="CG383" s="3472"/>
      <c r="CH383" s="3472"/>
      <c r="CI383" s="3472"/>
      <c r="CJ383" s="3472"/>
      <c r="CK383" s="3472"/>
      <c r="CL383" s="3472"/>
      <c r="CM383" s="3472"/>
      <c r="CN383" s="3472"/>
      <c r="CO383" s="3472"/>
      <c r="CP383" s="3472"/>
      <c r="CQ383" s="3472"/>
      <c r="CR383" s="3472"/>
      <c r="CS383" s="3472"/>
      <c r="CT383" s="3472"/>
      <c r="CU383" s="3472"/>
      <c r="CV383" s="3472"/>
      <c r="CW383" s="3472"/>
      <c r="CX383" s="3472"/>
      <c r="CY383" s="3472"/>
      <c r="CZ383" s="3472"/>
      <c r="DA383" s="3472"/>
      <c r="DB383" s="3472"/>
      <c r="DC383" s="3472"/>
      <c r="DD383" s="3472"/>
      <c r="DE383" s="3472"/>
      <c r="DF383" s="3472"/>
      <c r="DG383" s="3472"/>
      <c r="DH383" s="3472"/>
      <c r="DI383" s="3472"/>
      <c r="DJ383" s="3472"/>
      <c r="DK383" s="3472"/>
      <c r="DL383" s="3472"/>
      <c r="DM383" s="3472"/>
      <c r="DN383" s="3472"/>
      <c r="DO383" s="3472"/>
      <c r="DP383" s="3472"/>
      <c r="DQ383" s="3472"/>
      <c r="DR383" s="3472"/>
      <c r="DS383" s="3472"/>
      <c r="DT383" s="3472"/>
      <c r="DU383" s="3472"/>
      <c r="DV383" s="3472"/>
      <c r="DW383" s="3472"/>
      <c r="DX383" s="3472"/>
      <c r="DY383" s="3472"/>
      <c r="DZ383" s="3472"/>
      <c r="EA383" s="3472"/>
      <c r="EB383" s="3472"/>
      <c r="EC383" s="3472"/>
      <c r="ED383" s="3472"/>
      <c r="EE383" s="3472"/>
      <c r="EF383" s="3472"/>
      <c r="EG383" s="3472"/>
      <c r="EH383" s="3472"/>
      <c r="EI383" s="3472"/>
      <c r="EJ383" s="3472"/>
      <c r="EK383" s="3472"/>
      <c r="EL383" s="3472"/>
      <c r="EM383" s="3472"/>
      <c r="EN383" s="3472"/>
      <c r="EO383" s="3472"/>
      <c r="EP383" s="3472"/>
      <c r="EQ383" s="3472"/>
      <c r="ER383" s="3472"/>
      <c r="ES383" s="3472"/>
      <c r="ET383" s="3472"/>
      <c r="EU383" s="3472"/>
      <c r="EV383" s="3472"/>
      <c r="EW383" s="3472"/>
      <c r="EX383" s="3472"/>
      <c r="EY383" s="3472"/>
      <c r="EZ383" s="3472"/>
      <c r="FA383" s="3472"/>
      <c r="FB383" s="3472"/>
      <c r="FC383" s="3472"/>
      <c r="FD383" s="3472"/>
      <c r="FE383" s="3472"/>
      <c r="FF383" s="3472"/>
      <c r="FG383" s="3472"/>
      <c r="FH383" s="3472"/>
      <c r="FI383" s="3472"/>
      <c r="FJ383" s="3472"/>
      <c r="FK383" s="3472"/>
      <c r="FL383" s="3472"/>
      <c r="FM383" s="3472"/>
      <c r="FN383" s="3472"/>
      <c r="FO383" s="3472"/>
      <c r="FP383" s="3472"/>
      <c r="FQ383" s="3472"/>
      <c r="FR383" s="3472"/>
      <c r="FS383" s="3472"/>
      <c r="FT383" s="3472"/>
      <c r="FU383" s="3472"/>
      <c r="FV383" s="3472"/>
      <c r="FW383" s="3472"/>
      <c r="FX383" s="3472"/>
      <c r="FY383" s="3472"/>
      <c r="FZ383" s="3472"/>
      <c r="GA383" s="3472"/>
      <c r="GB383" s="3472"/>
      <c r="GC383" s="3472"/>
      <c r="GD383" s="3472"/>
      <c r="GE383" s="3472"/>
      <c r="GF383" s="3472"/>
      <c r="GG383" s="3472"/>
      <c r="GH383" s="3472"/>
      <c r="GI383" s="3472"/>
      <c r="GJ383" s="3472"/>
      <c r="GK383" s="3472"/>
      <c r="GL383" s="3472"/>
      <c r="GM383" s="3472"/>
      <c r="GN383" s="3472"/>
      <c r="GO383" s="3472"/>
      <c r="GP383" s="3472"/>
      <c r="GQ383" s="3472"/>
      <c r="GR383" s="3472"/>
      <c r="GS383" s="3472"/>
      <c r="GT383" s="3472"/>
      <c r="GU383" s="3472"/>
      <c r="GV383" s="3472"/>
      <c r="GW383" s="3472"/>
      <c r="GX383" s="3472"/>
      <c r="GY383" s="3472"/>
      <c r="GZ383" s="3472"/>
      <c r="HA383" s="3472"/>
      <c r="HB383" s="3472"/>
      <c r="HC383" s="3472"/>
      <c r="HD383" s="3472"/>
      <c r="HE383" s="3472"/>
      <c r="HF383" s="3472"/>
      <c r="HG383" s="3472"/>
      <c r="HH383" s="3472"/>
      <c r="HI383" s="3472"/>
      <c r="HJ383" s="3472"/>
      <c r="HK383" s="3472"/>
      <c r="HL383" s="3472"/>
      <c r="HM383" s="3472"/>
      <c r="HN383" s="3472"/>
      <c r="HO383" s="3472"/>
      <c r="HP383" s="3472"/>
      <c r="HQ383" s="3472"/>
      <c r="HR383" s="3472"/>
      <c r="HS383" s="3472"/>
      <c r="HT383" s="3472"/>
      <c r="HU383" s="3472"/>
      <c r="HV383" s="3472"/>
      <c r="HW383" s="3472"/>
      <c r="HX383" s="3472"/>
      <c r="HY383" s="3472"/>
      <c r="HZ383" s="3472"/>
      <c r="IA383" s="3472"/>
      <c r="IB383" s="3472"/>
      <c r="IC383" s="3472"/>
      <c r="ID383" s="3472"/>
      <c r="IE383" s="3472"/>
      <c r="IF383" s="3472"/>
      <c r="IG383" s="3472"/>
      <c r="IH383" s="3472"/>
      <c r="II383" s="3472"/>
      <c r="IJ383" s="3472"/>
      <c r="IK383" s="3472"/>
      <c r="IL383" s="3472"/>
      <c r="IM383" s="3472"/>
      <c r="IN383" s="3472"/>
      <c r="IO383" s="3472"/>
      <c r="IP383" s="3472"/>
      <c r="IQ383" s="3472"/>
      <c r="IR383" s="3472"/>
      <c r="IS383" s="3472"/>
    </row>
    <row r="384" spans="1:253" s="3441" customFormat="1" ht="12" hidden="1">
      <c r="A384" s="3485" t="s">
        <v>6426</v>
      </c>
      <c r="B384" s="3470" t="s">
        <v>6427</v>
      </c>
      <c r="C384" s="3481" t="s">
        <v>6428</v>
      </c>
      <c r="D384" s="3481" t="s">
        <v>6429</v>
      </c>
      <c r="E384" s="3470" t="s">
        <v>3558</v>
      </c>
      <c r="F384" s="3528" t="s">
        <v>3559</v>
      </c>
      <c r="G384" s="3470"/>
      <c r="H384" s="3470" t="s">
        <v>6430</v>
      </c>
      <c r="I384" s="3470" t="s">
        <v>3726</v>
      </c>
      <c r="J384" s="3481" t="s">
        <v>6431</v>
      </c>
      <c r="K384" s="3470" t="s">
        <v>3563</v>
      </c>
      <c r="L384" s="3470">
        <v>62.81</v>
      </c>
      <c r="M384" s="3470">
        <v>12</v>
      </c>
      <c r="N384" s="3470" t="s">
        <v>3489</v>
      </c>
      <c r="O384" s="3470">
        <v>50.89</v>
      </c>
      <c r="P384" s="3470" t="s">
        <v>3452</v>
      </c>
      <c r="Q384" s="3457">
        <v>304377.26</v>
      </c>
      <c r="R384" s="3470">
        <v>4846</v>
      </c>
      <c r="S384" s="3472">
        <v>30.12</v>
      </c>
      <c r="T384" s="3527">
        <v>301200</v>
      </c>
      <c r="U384" s="3470">
        <v>4796</v>
      </c>
      <c r="V384" s="3474">
        <v>0.1</v>
      </c>
      <c r="W384" s="3475">
        <v>27.1</v>
      </c>
      <c r="X384" s="3473">
        <v>271000</v>
      </c>
      <c r="Y384" s="3441">
        <v>2003</v>
      </c>
      <c r="Z384" s="3441">
        <v>5</v>
      </c>
      <c r="AA384" s="3441">
        <v>30</v>
      </c>
      <c r="AB384" s="3485">
        <v>1505</v>
      </c>
      <c r="AC384" s="3470" t="s">
        <v>3634</v>
      </c>
      <c r="AD384" s="3485"/>
      <c r="AE384" s="3441" t="s">
        <v>3663</v>
      </c>
      <c r="AF384" s="3470" t="s">
        <v>3604</v>
      </c>
      <c r="AG384" s="3522" t="s">
        <v>3466</v>
      </c>
      <c r="AH384" s="3485" t="s">
        <v>3568</v>
      </c>
      <c r="AI384" s="3470" t="s">
        <v>3664</v>
      </c>
      <c r="AJ384" s="3523">
        <v>37894</v>
      </c>
      <c r="AK384" s="3500">
        <v>5</v>
      </c>
      <c r="AL384" s="3441">
        <v>67641700</v>
      </c>
      <c r="AM384" s="3441" t="s">
        <v>3568</v>
      </c>
      <c r="AN384" s="3441" t="s">
        <v>3680</v>
      </c>
      <c r="AO384" s="3441" t="s">
        <v>3568</v>
      </c>
      <c r="AP384" s="3469" t="s">
        <v>3476</v>
      </c>
      <c r="AQ384" s="3441" t="s">
        <v>3571</v>
      </c>
      <c r="AW384" s="3441" t="s">
        <v>3572</v>
      </c>
      <c r="AY384" s="3524" t="s">
        <v>6432</v>
      </c>
      <c r="AZ384" s="3441" t="s">
        <v>3563</v>
      </c>
      <c r="BA384" s="3441" t="s">
        <v>3574</v>
      </c>
      <c r="BB384" s="3524" t="s">
        <v>3683</v>
      </c>
      <c r="BC384" s="3441" t="s">
        <v>3576</v>
      </c>
      <c r="BD384" s="3525">
        <v>100037</v>
      </c>
      <c r="BE384" s="3441">
        <v>84050046</v>
      </c>
      <c r="BF384" s="3526">
        <v>2.8</v>
      </c>
      <c r="BG384" s="3518">
        <v>37681</v>
      </c>
      <c r="BH384" s="3441" t="s">
        <v>6021</v>
      </c>
      <c r="BI384" s="3441" t="s">
        <v>3476</v>
      </c>
      <c r="BJ384" s="3478">
        <v>37764</v>
      </c>
      <c r="BK384" s="3484">
        <v>37726</v>
      </c>
      <c r="BL384" s="3441" t="s">
        <v>3594</v>
      </c>
      <c r="BS384" s="3470"/>
      <c r="BT384" s="3470"/>
      <c r="BU384" s="3470"/>
      <c r="BV384" s="3472"/>
      <c r="BW384" s="3472"/>
      <c r="BX384" s="3472"/>
      <c r="BY384" s="3472"/>
      <c r="BZ384" s="3472"/>
      <c r="CA384" s="3472"/>
      <c r="CB384" s="3472"/>
      <c r="CC384" s="3472"/>
      <c r="CD384" s="3472"/>
      <c r="CE384" s="3472"/>
      <c r="CF384" s="3472"/>
      <c r="CG384" s="3472"/>
      <c r="CH384" s="3472"/>
      <c r="CI384" s="3472"/>
      <c r="CJ384" s="3472"/>
      <c r="CK384" s="3472"/>
      <c r="CL384" s="3472"/>
      <c r="CM384" s="3472"/>
      <c r="CN384" s="3472"/>
      <c r="CO384" s="3472"/>
      <c r="CP384" s="3472"/>
      <c r="CQ384" s="3472"/>
      <c r="CR384" s="3472"/>
      <c r="CS384" s="3472"/>
      <c r="CT384" s="3472"/>
      <c r="CU384" s="3472"/>
      <c r="CV384" s="3472"/>
      <c r="CW384" s="3472"/>
      <c r="CX384" s="3472"/>
      <c r="CY384" s="3472"/>
      <c r="CZ384" s="3472"/>
      <c r="DA384" s="3472"/>
      <c r="DB384" s="3472"/>
      <c r="DC384" s="3472"/>
      <c r="DD384" s="3472"/>
      <c r="DE384" s="3472"/>
      <c r="DF384" s="3472"/>
      <c r="DG384" s="3472"/>
      <c r="DH384" s="3472"/>
      <c r="DI384" s="3472"/>
      <c r="DJ384" s="3472"/>
      <c r="DK384" s="3472"/>
      <c r="DL384" s="3472"/>
      <c r="DM384" s="3472"/>
      <c r="DN384" s="3472"/>
      <c r="DO384" s="3472"/>
      <c r="DP384" s="3472"/>
      <c r="DQ384" s="3472"/>
      <c r="DR384" s="3472"/>
      <c r="DS384" s="3472"/>
      <c r="DT384" s="3472"/>
      <c r="DU384" s="3472"/>
      <c r="DV384" s="3472"/>
      <c r="DW384" s="3472"/>
      <c r="DX384" s="3472"/>
      <c r="DY384" s="3472"/>
      <c r="DZ384" s="3472"/>
      <c r="EA384" s="3472"/>
      <c r="EB384" s="3472"/>
      <c r="EC384" s="3472"/>
      <c r="ED384" s="3472"/>
      <c r="EE384" s="3472"/>
      <c r="EF384" s="3472"/>
      <c r="EG384" s="3472"/>
      <c r="EH384" s="3472"/>
      <c r="EI384" s="3472"/>
      <c r="EJ384" s="3472"/>
      <c r="EK384" s="3472"/>
      <c r="EL384" s="3472"/>
      <c r="EM384" s="3472"/>
      <c r="EN384" s="3472"/>
      <c r="EO384" s="3472"/>
      <c r="EP384" s="3472"/>
      <c r="EQ384" s="3472"/>
      <c r="ER384" s="3472"/>
      <c r="ES384" s="3472"/>
      <c r="ET384" s="3472"/>
      <c r="EU384" s="3472"/>
      <c r="EV384" s="3472"/>
      <c r="EW384" s="3472"/>
      <c r="EX384" s="3472"/>
      <c r="EY384" s="3472"/>
      <c r="EZ384" s="3472"/>
      <c r="FA384" s="3472"/>
      <c r="FB384" s="3472"/>
      <c r="FC384" s="3472"/>
      <c r="FD384" s="3472"/>
      <c r="FE384" s="3472"/>
      <c r="FF384" s="3472"/>
      <c r="FG384" s="3472"/>
      <c r="FH384" s="3472"/>
      <c r="FI384" s="3472"/>
      <c r="FJ384" s="3472"/>
      <c r="FK384" s="3472"/>
      <c r="FL384" s="3472"/>
      <c r="FM384" s="3472"/>
      <c r="FN384" s="3472"/>
      <c r="FO384" s="3472"/>
      <c r="FP384" s="3472"/>
      <c r="FQ384" s="3472"/>
      <c r="FR384" s="3472"/>
      <c r="FS384" s="3472"/>
      <c r="FT384" s="3472"/>
      <c r="FU384" s="3472"/>
      <c r="FV384" s="3472"/>
      <c r="FW384" s="3472"/>
      <c r="FX384" s="3472"/>
      <c r="FY384" s="3472"/>
      <c r="FZ384" s="3472"/>
      <c r="GA384" s="3472"/>
      <c r="GB384" s="3472"/>
      <c r="GC384" s="3472"/>
      <c r="GD384" s="3472"/>
      <c r="GE384" s="3472"/>
      <c r="GF384" s="3472"/>
      <c r="GG384" s="3472"/>
      <c r="GH384" s="3472"/>
      <c r="GI384" s="3472"/>
      <c r="GJ384" s="3472"/>
      <c r="GK384" s="3472"/>
      <c r="GL384" s="3472"/>
      <c r="GM384" s="3472"/>
      <c r="GN384" s="3472"/>
      <c r="GO384" s="3472"/>
      <c r="GP384" s="3472"/>
      <c r="GQ384" s="3472"/>
      <c r="GR384" s="3472"/>
      <c r="GS384" s="3472"/>
      <c r="GT384" s="3472"/>
      <c r="GU384" s="3472"/>
      <c r="GV384" s="3472"/>
      <c r="GW384" s="3472"/>
      <c r="GX384" s="3472"/>
      <c r="GY384" s="3472"/>
      <c r="GZ384" s="3472"/>
      <c r="HA384" s="3472"/>
      <c r="HB384" s="3472"/>
      <c r="HC384" s="3472"/>
      <c r="HD384" s="3472"/>
      <c r="HE384" s="3472"/>
      <c r="HF384" s="3472"/>
      <c r="HG384" s="3472"/>
      <c r="HH384" s="3472"/>
      <c r="HI384" s="3472"/>
      <c r="HJ384" s="3472"/>
      <c r="HK384" s="3472"/>
      <c r="HL384" s="3472"/>
      <c r="HM384" s="3472"/>
      <c r="HN384" s="3472"/>
      <c r="HO384" s="3472"/>
      <c r="HP384" s="3472"/>
      <c r="HQ384" s="3472"/>
      <c r="HR384" s="3472"/>
      <c r="HS384" s="3472"/>
      <c r="HT384" s="3472"/>
      <c r="HU384" s="3472"/>
      <c r="HV384" s="3472"/>
      <c r="HW384" s="3472"/>
      <c r="HX384" s="3472"/>
      <c r="HY384" s="3472"/>
      <c r="HZ384" s="3472"/>
      <c r="IA384" s="3472"/>
      <c r="IB384" s="3472"/>
      <c r="IC384" s="3472"/>
      <c r="ID384" s="3472"/>
      <c r="IE384" s="3472"/>
      <c r="IF384" s="3472"/>
      <c r="IG384" s="3472"/>
      <c r="IH384" s="3472"/>
      <c r="II384" s="3472"/>
      <c r="IJ384" s="3472"/>
      <c r="IK384" s="3472"/>
      <c r="IL384" s="3472"/>
      <c r="IM384" s="3472"/>
      <c r="IN384" s="3472"/>
      <c r="IO384" s="3472"/>
      <c r="IP384" s="3472"/>
      <c r="IQ384" s="3472"/>
      <c r="IR384" s="3472"/>
      <c r="IS384" s="3472"/>
    </row>
    <row r="385" spans="1:253" s="3441" customFormat="1" ht="12" hidden="1">
      <c r="A385" s="3470" t="s">
        <v>6433</v>
      </c>
      <c r="B385" s="3470" t="s">
        <v>6434</v>
      </c>
      <c r="C385" s="3481" t="s">
        <v>6435</v>
      </c>
      <c r="D385" s="3470">
        <v>13910586066</v>
      </c>
      <c r="E385" s="3470" t="s">
        <v>2736</v>
      </c>
      <c r="F385" s="3470" t="s">
        <v>6436</v>
      </c>
      <c r="G385" s="3470"/>
      <c r="H385" s="3470" t="s">
        <v>3614</v>
      </c>
      <c r="I385" s="3470" t="s">
        <v>3582</v>
      </c>
      <c r="J385" s="3470" t="s">
        <v>5115</v>
      </c>
      <c r="K385" s="3470" t="s">
        <v>6437</v>
      </c>
      <c r="L385" s="3470">
        <v>112.14</v>
      </c>
      <c r="M385" s="3470">
        <v>1</v>
      </c>
      <c r="N385" s="3470" t="s">
        <v>4043</v>
      </c>
      <c r="O385" s="3470">
        <v>96.4</v>
      </c>
      <c r="P385" s="3470" t="s">
        <v>3452</v>
      </c>
      <c r="Q385" s="3457">
        <v>790800.06599999999</v>
      </c>
      <c r="R385" s="3495">
        <v>7051.9</v>
      </c>
      <c r="S385" s="3472">
        <v>78.45</v>
      </c>
      <c r="T385" s="3527">
        <v>784500</v>
      </c>
      <c r="U385" s="3470">
        <v>6996</v>
      </c>
      <c r="V385" s="3474">
        <v>0.1</v>
      </c>
      <c r="W385" s="3475">
        <v>70.599999999999994</v>
      </c>
      <c r="X385" s="3476">
        <v>706000</v>
      </c>
      <c r="Y385" s="3470">
        <v>2003</v>
      </c>
      <c r="Z385" s="3470">
        <v>6</v>
      </c>
      <c r="AA385" s="3470">
        <v>3</v>
      </c>
      <c r="AB385" s="3477">
        <v>3920</v>
      </c>
      <c r="AC385" s="3470" t="s">
        <v>3710</v>
      </c>
      <c r="AD385" s="3470"/>
      <c r="AE385" s="3470" t="s">
        <v>3547</v>
      </c>
      <c r="AF385" s="3470" t="s">
        <v>6438</v>
      </c>
      <c r="AG385" s="3470" t="s">
        <v>3454</v>
      </c>
      <c r="AH385" s="3470"/>
      <c r="AI385" s="3470" t="s">
        <v>6439</v>
      </c>
      <c r="AJ385" s="3478">
        <v>37986</v>
      </c>
      <c r="AK385" s="3500">
        <v>6</v>
      </c>
      <c r="AL385" s="3470">
        <v>67641700</v>
      </c>
      <c r="AM385" s="3470"/>
      <c r="AN385" s="3470" t="s">
        <v>3456</v>
      </c>
      <c r="AO385" s="3470"/>
      <c r="AP385" s="3470" t="s">
        <v>3922</v>
      </c>
      <c r="AQ385" s="3470" t="s">
        <v>3457</v>
      </c>
      <c r="AR385" s="3470"/>
      <c r="AS385" s="3470"/>
      <c r="AT385" s="3470"/>
      <c r="AU385" s="3470"/>
      <c r="AV385" s="3470"/>
      <c r="AW385" s="3470" t="s">
        <v>4064</v>
      </c>
      <c r="AX385" s="3508"/>
      <c r="AY385" s="3470">
        <v>500009</v>
      </c>
      <c r="AZ385" s="3470" t="s">
        <v>6440</v>
      </c>
      <c r="BA385" s="3470" t="s">
        <v>6441</v>
      </c>
      <c r="BB385" s="3470" t="s">
        <v>6442</v>
      </c>
      <c r="BC385" s="3470" t="s">
        <v>6443</v>
      </c>
      <c r="BD385" s="3470">
        <v>100036</v>
      </c>
      <c r="BE385" s="3470">
        <v>88515522</v>
      </c>
      <c r="BF385" s="3470">
        <v>2.95</v>
      </c>
      <c r="BG385" s="3478">
        <v>37759</v>
      </c>
      <c r="BH385" s="3470" t="s">
        <v>6130</v>
      </c>
      <c r="BI385" s="3470" t="s">
        <v>3476</v>
      </c>
      <c r="BJ385" s="3508">
        <v>37769</v>
      </c>
      <c r="BK385" s="3508"/>
      <c r="BL385" s="3470" t="s">
        <v>3670</v>
      </c>
      <c r="BM385" s="3470"/>
      <c r="BN385" s="3470"/>
      <c r="BO385" s="3470"/>
      <c r="BS385" s="3470"/>
      <c r="BT385" s="3470"/>
      <c r="BU385" s="3470"/>
      <c r="BV385" s="3472"/>
      <c r="BW385" s="3472"/>
      <c r="BX385" s="3472"/>
      <c r="BY385" s="3472"/>
      <c r="BZ385" s="3472"/>
      <c r="CA385" s="3472"/>
      <c r="CB385" s="3472"/>
      <c r="CC385" s="3472"/>
      <c r="CD385" s="3472"/>
      <c r="CE385" s="3472"/>
      <c r="CF385" s="3472"/>
      <c r="CG385" s="3472"/>
      <c r="CH385" s="3472"/>
      <c r="CI385" s="3472"/>
      <c r="CJ385" s="3472"/>
      <c r="CK385" s="3472"/>
      <c r="CL385" s="3472"/>
      <c r="CM385" s="3472"/>
      <c r="CN385" s="3472"/>
      <c r="CO385" s="3472"/>
      <c r="CP385" s="3472"/>
      <c r="CQ385" s="3472"/>
      <c r="CR385" s="3472"/>
      <c r="CS385" s="3472"/>
      <c r="CT385" s="3472"/>
      <c r="CU385" s="3472"/>
      <c r="CV385" s="3472"/>
      <c r="CW385" s="3472"/>
      <c r="CX385" s="3472"/>
      <c r="CY385" s="3472"/>
      <c r="CZ385" s="3472"/>
      <c r="DA385" s="3472"/>
      <c r="DB385" s="3472"/>
      <c r="DC385" s="3472"/>
      <c r="DD385" s="3472"/>
      <c r="DE385" s="3472"/>
      <c r="DF385" s="3472"/>
      <c r="DG385" s="3472"/>
      <c r="DH385" s="3472"/>
      <c r="DI385" s="3472"/>
      <c r="DJ385" s="3472"/>
      <c r="DK385" s="3472"/>
      <c r="DL385" s="3472"/>
      <c r="DM385" s="3472"/>
      <c r="DN385" s="3472"/>
      <c r="DO385" s="3472"/>
      <c r="DP385" s="3472"/>
      <c r="DQ385" s="3472"/>
      <c r="DR385" s="3472"/>
      <c r="DS385" s="3472"/>
      <c r="DT385" s="3472"/>
      <c r="DU385" s="3472"/>
      <c r="DV385" s="3472"/>
      <c r="DW385" s="3472"/>
      <c r="DX385" s="3472"/>
      <c r="DY385" s="3472"/>
      <c r="DZ385" s="3472"/>
      <c r="EA385" s="3472"/>
      <c r="EB385" s="3472"/>
      <c r="EC385" s="3472"/>
      <c r="ED385" s="3472"/>
      <c r="EE385" s="3472"/>
      <c r="EF385" s="3472"/>
      <c r="EG385" s="3472"/>
      <c r="EH385" s="3472"/>
      <c r="EI385" s="3472"/>
      <c r="EJ385" s="3472"/>
      <c r="EK385" s="3472"/>
      <c r="EL385" s="3472"/>
      <c r="EM385" s="3472"/>
      <c r="EN385" s="3472"/>
      <c r="EO385" s="3472"/>
      <c r="EP385" s="3472"/>
      <c r="EQ385" s="3472"/>
      <c r="ER385" s="3472"/>
      <c r="ES385" s="3472"/>
      <c r="ET385" s="3472"/>
      <c r="EU385" s="3472"/>
      <c r="EV385" s="3472"/>
      <c r="EW385" s="3472"/>
      <c r="EX385" s="3472"/>
      <c r="EY385" s="3472"/>
      <c r="EZ385" s="3472"/>
      <c r="FA385" s="3472"/>
      <c r="FB385" s="3472"/>
      <c r="FC385" s="3472"/>
      <c r="FD385" s="3472"/>
      <c r="FE385" s="3472"/>
      <c r="FF385" s="3472"/>
      <c r="FG385" s="3472"/>
      <c r="FH385" s="3472"/>
      <c r="FI385" s="3472"/>
      <c r="FJ385" s="3472"/>
      <c r="FK385" s="3472"/>
      <c r="FL385" s="3472"/>
      <c r="FM385" s="3472"/>
      <c r="FN385" s="3472"/>
      <c r="FO385" s="3472"/>
      <c r="FP385" s="3472"/>
      <c r="FQ385" s="3472"/>
      <c r="FR385" s="3472"/>
      <c r="FS385" s="3472"/>
      <c r="FT385" s="3472"/>
      <c r="FU385" s="3472"/>
      <c r="FV385" s="3472"/>
      <c r="FW385" s="3472"/>
      <c r="FX385" s="3472"/>
      <c r="FY385" s="3472"/>
      <c r="FZ385" s="3472"/>
      <c r="GA385" s="3472"/>
      <c r="GB385" s="3472"/>
      <c r="GC385" s="3472"/>
      <c r="GD385" s="3472"/>
      <c r="GE385" s="3472"/>
      <c r="GF385" s="3472"/>
      <c r="GG385" s="3472"/>
      <c r="GH385" s="3472"/>
      <c r="GI385" s="3472"/>
      <c r="GJ385" s="3472"/>
      <c r="GK385" s="3472"/>
      <c r="GL385" s="3472"/>
      <c r="GM385" s="3472"/>
      <c r="GN385" s="3472"/>
      <c r="GO385" s="3472"/>
      <c r="GP385" s="3472"/>
      <c r="GQ385" s="3472"/>
      <c r="GR385" s="3472"/>
      <c r="GS385" s="3472"/>
      <c r="GT385" s="3472"/>
      <c r="GU385" s="3472"/>
      <c r="GV385" s="3472"/>
      <c r="GW385" s="3472"/>
      <c r="GX385" s="3472"/>
      <c r="GY385" s="3472"/>
      <c r="GZ385" s="3472"/>
      <c r="HA385" s="3472"/>
      <c r="HB385" s="3472"/>
      <c r="HC385" s="3472"/>
      <c r="HD385" s="3472"/>
      <c r="HE385" s="3472"/>
      <c r="HF385" s="3472"/>
      <c r="HG385" s="3472"/>
      <c r="HH385" s="3472"/>
      <c r="HI385" s="3472"/>
      <c r="HJ385" s="3472"/>
      <c r="HK385" s="3472"/>
      <c r="HL385" s="3472"/>
      <c r="HM385" s="3472"/>
      <c r="HN385" s="3472"/>
      <c r="HO385" s="3472"/>
      <c r="HP385" s="3472"/>
      <c r="HQ385" s="3472"/>
      <c r="HR385" s="3472"/>
      <c r="HS385" s="3472"/>
      <c r="HT385" s="3472"/>
      <c r="HU385" s="3472"/>
      <c r="HV385" s="3472"/>
      <c r="HW385" s="3472"/>
      <c r="HX385" s="3472"/>
      <c r="HY385" s="3472"/>
      <c r="HZ385" s="3472"/>
      <c r="IA385" s="3472"/>
      <c r="IB385" s="3472"/>
      <c r="IC385" s="3472"/>
      <c r="ID385" s="3472"/>
      <c r="IE385" s="3472"/>
      <c r="IF385" s="3472"/>
      <c r="IG385" s="3472"/>
      <c r="IH385" s="3472"/>
      <c r="II385" s="3472"/>
      <c r="IJ385" s="3472"/>
      <c r="IK385" s="3472"/>
      <c r="IL385" s="3472"/>
      <c r="IM385" s="3472"/>
      <c r="IN385" s="3472"/>
      <c r="IO385" s="3472"/>
      <c r="IP385" s="3472"/>
      <c r="IQ385" s="3472"/>
      <c r="IR385" s="3472"/>
      <c r="IS385" s="3472"/>
    </row>
    <row r="386" spans="1:253" s="3441" customFormat="1" ht="12" hidden="1">
      <c r="A386" s="3470" t="s">
        <v>6444</v>
      </c>
      <c r="B386" s="3470" t="s">
        <v>6445</v>
      </c>
      <c r="C386" s="3481" t="s">
        <v>6446</v>
      </c>
      <c r="D386" s="3481" t="s">
        <v>6447</v>
      </c>
      <c r="E386" s="3470" t="s">
        <v>2736</v>
      </c>
      <c r="F386" s="3470" t="s">
        <v>6448</v>
      </c>
      <c r="G386" s="3470"/>
      <c r="H386" s="3470" t="s">
        <v>6449</v>
      </c>
      <c r="I386" s="3470" t="s">
        <v>3726</v>
      </c>
      <c r="J386" s="3470" t="s">
        <v>3495</v>
      </c>
      <c r="K386" s="3470" t="s">
        <v>6450</v>
      </c>
      <c r="L386" s="3470">
        <v>105.74</v>
      </c>
      <c r="M386" s="3470">
        <v>2</v>
      </c>
      <c r="N386" s="3470" t="s">
        <v>3994</v>
      </c>
      <c r="O386" s="3470">
        <v>93.66</v>
      </c>
      <c r="P386" s="3470" t="s">
        <v>3452</v>
      </c>
      <c r="Q386" s="3457">
        <v>558307.19999999995</v>
      </c>
      <c r="R386" s="3495">
        <v>5280</v>
      </c>
      <c r="S386" s="3472">
        <v>55.3</v>
      </c>
      <c r="T386" s="3527">
        <v>553000</v>
      </c>
      <c r="U386" s="3470">
        <v>5230</v>
      </c>
      <c r="V386" s="3474">
        <v>0.1</v>
      </c>
      <c r="W386" s="3475">
        <v>49.77</v>
      </c>
      <c r="X386" s="3476">
        <v>497700</v>
      </c>
      <c r="Y386" s="3470">
        <v>2003</v>
      </c>
      <c r="Z386" s="3470">
        <v>6</v>
      </c>
      <c r="AA386" s="3495">
        <v>4</v>
      </c>
      <c r="AB386" s="3477">
        <v>2765</v>
      </c>
      <c r="AC386" s="3470" t="s">
        <v>3710</v>
      </c>
      <c r="AD386" s="3470"/>
      <c r="AE386" s="3470" t="s">
        <v>2156</v>
      </c>
      <c r="AF386" s="3470" t="s">
        <v>4390</v>
      </c>
      <c r="AG386" s="3470" t="s">
        <v>3605</v>
      </c>
      <c r="AH386" s="3470"/>
      <c r="AI386" s="3470" t="s">
        <v>6439</v>
      </c>
      <c r="AJ386" s="3478">
        <v>37681</v>
      </c>
      <c r="AK386" s="3500">
        <v>6</v>
      </c>
      <c r="AL386" s="3470">
        <v>67641700</v>
      </c>
      <c r="AM386" s="3470"/>
      <c r="AN386" s="3470" t="s">
        <v>3570</v>
      </c>
      <c r="AO386" s="3470"/>
      <c r="AP386" s="3470" t="s">
        <v>3922</v>
      </c>
      <c r="AQ386" s="3470" t="s">
        <v>3714</v>
      </c>
      <c r="AR386" s="3470"/>
      <c r="AS386" s="3470"/>
      <c r="AT386" s="3470"/>
      <c r="AU386" s="3470"/>
      <c r="AV386" s="3470"/>
      <c r="AW386" s="3470" t="s">
        <v>3458</v>
      </c>
      <c r="AX386" s="3508" t="s">
        <v>6451</v>
      </c>
      <c r="AY386" s="3481" t="s">
        <v>6452</v>
      </c>
      <c r="AZ386" s="3470" t="s">
        <v>6453</v>
      </c>
      <c r="BA386" s="3470" t="s">
        <v>6454</v>
      </c>
      <c r="BB386" s="3481" t="s">
        <v>6455</v>
      </c>
      <c r="BC386" s="3470" t="s">
        <v>6456</v>
      </c>
      <c r="BD386" s="3470">
        <v>100091</v>
      </c>
      <c r="BE386" s="3470">
        <v>62898116</v>
      </c>
      <c r="BF386" s="3470">
        <v>2.9</v>
      </c>
      <c r="BG386" s="3478">
        <v>37375</v>
      </c>
      <c r="BH386" s="3470" t="s">
        <v>2420</v>
      </c>
      <c r="BI386" s="3470" t="s">
        <v>3476</v>
      </c>
      <c r="BJ386" s="3508">
        <v>37770</v>
      </c>
      <c r="BK386" s="3508"/>
      <c r="BL386" s="3470" t="s">
        <v>3670</v>
      </c>
      <c r="BM386" s="3470"/>
      <c r="BN386" s="3470"/>
      <c r="BO386" s="3470"/>
      <c r="BS386" s="3470"/>
      <c r="BT386" s="3470"/>
      <c r="BU386" s="3470"/>
      <c r="BV386" s="3472"/>
      <c r="BW386" s="3472"/>
      <c r="BX386" s="3472"/>
      <c r="BY386" s="3472"/>
      <c r="BZ386" s="3472"/>
      <c r="CA386" s="3472"/>
      <c r="CB386" s="3472"/>
      <c r="CC386" s="3472"/>
      <c r="CD386" s="3472"/>
      <c r="CE386" s="3472"/>
      <c r="CF386" s="3472"/>
      <c r="CG386" s="3472"/>
      <c r="CH386" s="3472"/>
      <c r="CI386" s="3472"/>
      <c r="CJ386" s="3472"/>
      <c r="CK386" s="3472"/>
      <c r="CL386" s="3472"/>
      <c r="CM386" s="3472"/>
      <c r="CN386" s="3472"/>
      <c r="CO386" s="3472"/>
      <c r="CP386" s="3472"/>
      <c r="CQ386" s="3472"/>
      <c r="CR386" s="3472"/>
      <c r="CS386" s="3472"/>
      <c r="CT386" s="3472"/>
      <c r="CU386" s="3472"/>
      <c r="CV386" s="3472"/>
      <c r="CW386" s="3472"/>
      <c r="CX386" s="3472"/>
      <c r="CY386" s="3472"/>
      <c r="CZ386" s="3472"/>
      <c r="DA386" s="3472"/>
      <c r="DB386" s="3472"/>
      <c r="DC386" s="3472"/>
      <c r="DD386" s="3472"/>
      <c r="DE386" s="3472"/>
      <c r="DF386" s="3472"/>
      <c r="DG386" s="3472"/>
      <c r="DH386" s="3472"/>
      <c r="DI386" s="3472"/>
      <c r="DJ386" s="3472"/>
      <c r="DK386" s="3472"/>
      <c r="DL386" s="3472"/>
      <c r="DM386" s="3472"/>
      <c r="DN386" s="3472"/>
      <c r="DO386" s="3472"/>
      <c r="DP386" s="3472"/>
      <c r="DQ386" s="3472"/>
      <c r="DR386" s="3472"/>
      <c r="DS386" s="3472"/>
      <c r="DT386" s="3472"/>
      <c r="DU386" s="3472"/>
      <c r="DV386" s="3472"/>
      <c r="DW386" s="3472"/>
      <c r="DX386" s="3472"/>
      <c r="DY386" s="3472"/>
      <c r="DZ386" s="3472"/>
      <c r="EA386" s="3472"/>
      <c r="EB386" s="3472"/>
      <c r="EC386" s="3472"/>
      <c r="ED386" s="3472"/>
      <c r="EE386" s="3472"/>
      <c r="EF386" s="3472"/>
      <c r="EG386" s="3472"/>
      <c r="EH386" s="3472"/>
      <c r="EI386" s="3472"/>
      <c r="EJ386" s="3472"/>
      <c r="EK386" s="3472"/>
      <c r="EL386" s="3472"/>
      <c r="EM386" s="3472"/>
      <c r="EN386" s="3472"/>
      <c r="EO386" s="3472"/>
      <c r="EP386" s="3472"/>
      <c r="EQ386" s="3472"/>
      <c r="ER386" s="3472"/>
      <c r="ES386" s="3472"/>
      <c r="ET386" s="3472"/>
      <c r="EU386" s="3472"/>
      <c r="EV386" s="3472"/>
      <c r="EW386" s="3472"/>
      <c r="EX386" s="3472"/>
      <c r="EY386" s="3472"/>
      <c r="EZ386" s="3472"/>
      <c r="FA386" s="3472"/>
      <c r="FB386" s="3472"/>
      <c r="FC386" s="3472"/>
      <c r="FD386" s="3472"/>
      <c r="FE386" s="3472"/>
      <c r="FF386" s="3472"/>
      <c r="FG386" s="3472"/>
      <c r="FH386" s="3472"/>
      <c r="FI386" s="3472"/>
      <c r="FJ386" s="3472"/>
      <c r="FK386" s="3472"/>
      <c r="FL386" s="3472"/>
      <c r="FM386" s="3472"/>
      <c r="FN386" s="3472"/>
      <c r="FO386" s="3472"/>
      <c r="FP386" s="3472"/>
      <c r="FQ386" s="3472"/>
      <c r="FR386" s="3472"/>
      <c r="FS386" s="3472"/>
      <c r="FT386" s="3472"/>
      <c r="FU386" s="3472"/>
      <c r="FV386" s="3472"/>
      <c r="FW386" s="3472"/>
      <c r="FX386" s="3472"/>
      <c r="FY386" s="3472"/>
      <c r="FZ386" s="3472"/>
      <c r="GA386" s="3472"/>
      <c r="GB386" s="3472"/>
      <c r="GC386" s="3472"/>
      <c r="GD386" s="3472"/>
      <c r="GE386" s="3472"/>
      <c r="GF386" s="3472"/>
      <c r="GG386" s="3472"/>
      <c r="GH386" s="3472"/>
      <c r="GI386" s="3472"/>
      <c r="GJ386" s="3472"/>
      <c r="GK386" s="3472"/>
      <c r="GL386" s="3472"/>
      <c r="GM386" s="3472"/>
      <c r="GN386" s="3472"/>
      <c r="GO386" s="3472"/>
      <c r="GP386" s="3472"/>
      <c r="GQ386" s="3472"/>
      <c r="GR386" s="3472"/>
      <c r="GS386" s="3472"/>
      <c r="GT386" s="3472"/>
      <c r="GU386" s="3472"/>
      <c r="GV386" s="3472"/>
      <c r="GW386" s="3472"/>
      <c r="GX386" s="3472"/>
      <c r="GY386" s="3472"/>
      <c r="GZ386" s="3472"/>
      <c r="HA386" s="3472"/>
      <c r="HB386" s="3472"/>
      <c r="HC386" s="3472"/>
      <c r="HD386" s="3472"/>
      <c r="HE386" s="3472"/>
      <c r="HF386" s="3472"/>
      <c r="HG386" s="3472"/>
      <c r="HH386" s="3472"/>
      <c r="HI386" s="3472"/>
      <c r="HJ386" s="3472"/>
      <c r="HK386" s="3472"/>
      <c r="HL386" s="3472"/>
      <c r="HM386" s="3472"/>
      <c r="HN386" s="3472"/>
      <c r="HO386" s="3472"/>
      <c r="HP386" s="3472"/>
      <c r="HQ386" s="3472"/>
      <c r="HR386" s="3472"/>
      <c r="HS386" s="3472"/>
      <c r="HT386" s="3472"/>
      <c r="HU386" s="3472"/>
      <c r="HV386" s="3472"/>
      <c r="HW386" s="3472"/>
      <c r="HX386" s="3472"/>
      <c r="HY386" s="3472"/>
      <c r="HZ386" s="3472"/>
      <c r="IA386" s="3472"/>
      <c r="IB386" s="3472"/>
      <c r="IC386" s="3472"/>
      <c r="ID386" s="3472"/>
      <c r="IE386" s="3472"/>
      <c r="IF386" s="3472"/>
      <c r="IG386" s="3472"/>
      <c r="IH386" s="3472"/>
      <c r="II386" s="3472"/>
      <c r="IJ386" s="3472"/>
      <c r="IK386" s="3472"/>
      <c r="IL386" s="3472"/>
      <c r="IM386" s="3472"/>
      <c r="IN386" s="3472"/>
      <c r="IO386" s="3472"/>
      <c r="IP386" s="3472"/>
      <c r="IQ386" s="3472"/>
      <c r="IR386" s="3472"/>
      <c r="IS386" s="3472"/>
    </row>
    <row r="387" spans="1:253" s="3470" customFormat="1" ht="12" hidden="1">
      <c r="A387" s="3470" t="s">
        <v>6457</v>
      </c>
      <c r="B387" s="3470" t="s">
        <v>6458</v>
      </c>
      <c r="C387" s="3481" t="s">
        <v>6459</v>
      </c>
      <c r="D387" s="3470">
        <v>13311135782</v>
      </c>
      <c r="E387" s="3470" t="s">
        <v>2736</v>
      </c>
      <c r="F387" s="3470" t="s">
        <v>4345</v>
      </c>
      <c r="H387" s="3470" t="s">
        <v>4346</v>
      </c>
      <c r="I387" s="3470" t="s">
        <v>3464</v>
      </c>
      <c r="J387" s="3470" t="s">
        <v>3474</v>
      </c>
      <c r="K387" s="3470" t="s">
        <v>4347</v>
      </c>
      <c r="L387" s="3470">
        <v>141.85</v>
      </c>
      <c r="M387" s="3470">
        <v>5</v>
      </c>
      <c r="N387" s="3470" t="s">
        <v>3488</v>
      </c>
      <c r="O387" s="3470">
        <v>117.27</v>
      </c>
      <c r="P387" s="3470" t="s">
        <v>3452</v>
      </c>
      <c r="Q387" s="3457">
        <v>650921.28</v>
      </c>
      <c r="R387" s="3470">
        <v>4588.8</v>
      </c>
      <c r="S387" s="3472">
        <v>64.39</v>
      </c>
      <c r="T387" s="3527">
        <v>643900</v>
      </c>
      <c r="U387" s="3470">
        <v>4540</v>
      </c>
      <c r="V387" s="3474">
        <v>0.1</v>
      </c>
      <c r="W387" s="3475">
        <v>57.95</v>
      </c>
      <c r="X387" s="3473">
        <v>579500</v>
      </c>
      <c r="Y387" s="3441">
        <v>2003</v>
      </c>
      <c r="Z387" s="3515">
        <v>6</v>
      </c>
      <c r="AA387" s="3470">
        <v>10</v>
      </c>
      <c r="AB387" s="3485">
        <v>3215</v>
      </c>
      <c r="AC387" s="3470" t="s">
        <v>4013</v>
      </c>
      <c r="AE387" s="3470" t="s">
        <v>2156</v>
      </c>
      <c r="AF387" s="3470" t="s">
        <v>4126</v>
      </c>
      <c r="AG387" s="3470" t="s">
        <v>3546</v>
      </c>
      <c r="AI387" s="3470" t="s">
        <v>4849</v>
      </c>
      <c r="AJ387" s="3478">
        <v>37790</v>
      </c>
      <c r="AK387" s="3500">
        <v>6</v>
      </c>
      <c r="AL387" s="3470">
        <v>67641700</v>
      </c>
      <c r="AN387" s="3480" t="s">
        <v>3468</v>
      </c>
      <c r="AO387" s="3470" t="s">
        <v>6460</v>
      </c>
      <c r="AP387" s="3470" t="s">
        <v>3922</v>
      </c>
      <c r="AQ387" s="3470" t="s">
        <v>3650</v>
      </c>
      <c r="AV387" s="3470" t="s">
        <v>3715</v>
      </c>
      <c r="AW387" s="3470" t="s">
        <v>4064</v>
      </c>
      <c r="AX387" s="3470" t="s">
        <v>3606</v>
      </c>
      <c r="AY387" s="3481" t="s">
        <v>6461</v>
      </c>
      <c r="AZ387" s="3470" t="s">
        <v>4347</v>
      </c>
      <c r="BA387" s="3470" t="s">
        <v>6462</v>
      </c>
      <c r="BB387" s="3481" t="s">
        <v>4350</v>
      </c>
      <c r="BC387" s="3470" t="s">
        <v>4524</v>
      </c>
      <c r="BD387" s="3482">
        <v>100010</v>
      </c>
      <c r="BE387" s="3470">
        <v>65233356</v>
      </c>
      <c r="BF387" s="3483">
        <v>2.7</v>
      </c>
      <c r="BG387" s="3478">
        <v>37750</v>
      </c>
      <c r="BI387" s="3470" t="s">
        <v>3922</v>
      </c>
      <c r="BJ387" s="3478">
        <v>37778</v>
      </c>
      <c r="BK387" s="3478"/>
      <c r="BL387" s="3441" t="s">
        <v>3670</v>
      </c>
      <c r="BM387" s="3441"/>
      <c r="BN387" s="3441"/>
      <c r="BO387" s="3441"/>
      <c r="BP387" s="3441"/>
      <c r="BQ387" s="3441"/>
      <c r="BR387" s="3441"/>
    </row>
    <row r="388" spans="1:253" s="3441" customFormat="1" ht="12" hidden="1">
      <c r="A388" s="3470" t="s">
        <v>6463</v>
      </c>
      <c r="B388" s="3470" t="s">
        <v>6464</v>
      </c>
      <c r="C388" s="3481" t="s">
        <v>6465</v>
      </c>
      <c r="D388" s="3481" t="s">
        <v>6466</v>
      </c>
      <c r="E388" s="3470" t="s">
        <v>3558</v>
      </c>
      <c r="F388" s="3528" t="s">
        <v>3951</v>
      </c>
      <c r="G388" s="3470"/>
      <c r="H388" s="3470" t="s">
        <v>5409</v>
      </c>
      <c r="I388" s="3470" t="s">
        <v>3676</v>
      </c>
      <c r="J388" s="3481" t="s">
        <v>6467</v>
      </c>
      <c r="K388" s="3470" t="s">
        <v>3955</v>
      </c>
      <c r="L388" s="3470">
        <v>117.54</v>
      </c>
      <c r="M388" s="3470">
        <v>9</v>
      </c>
      <c r="N388" s="3453" t="s">
        <v>3602</v>
      </c>
      <c r="O388" s="3470">
        <v>97.26</v>
      </c>
      <c r="P388" s="3470" t="s">
        <v>3452</v>
      </c>
      <c r="Q388" s="3457">
        <v>504528.696</v>
      </c>
      <c r="R388" s="3470">
        <v>4292.3999999999996</v>
      </c>
      <c r="S388" s="3472">
        <v>49.91</v>
      </c>
      <c r="T388" s="3550">
        <v>499100</v>
      </c>
      <c r="U388" s="3470">
        <v>4247</v>
      </c>
      <c r="V388" s="3474">
        <v>0.1</v>
      </c>
      <c r="W388" s="3475">
        <v>44.91</v>
      </c>
      <c r="X388" s="3473">
        <v>449100</v>
      </c>
      <c r="Y388" s="3441">
        <v>2003</v>
      </c>
      <c r="Z388" s="3441">
        <v>6</v>
      </c>
      <c r="AA388" s="3470">
        <v>2</v>
      </c>
      <c r="AB388" s="3477">
        <v>2495</v>
      </c>
      <c r="AC388" s="3470" t="s">
        <v>5110</v>
      </c>
      <c r="AD388" s="3485"/>
      <c r="AE388" s="3441" t="s">
        <v>3663</v>
      </c>
      <c r="AF388" s="3470" t="s">
        <v>4063</v>
      </c>
      <c r="AG388" s="3522" t="s">
        <v>3466</v>
      </c>
      <c r="AH388" s="3485"/>
      <c r="AI388" s="3470" t="s">
        <v>4955</v>
      </c>
      <c r="AJ388" s="3523">
        <v>37802</v>
      </c>
      <c r="AK388" s="3500">
        <v>6</v>
      </c>
      <c r="AL388" s="3441" t="s">
        <v>3957</v>
      </c>
      <c r="AN388" s="3480" t="s">
        <v>3456</v>
      </c>
      <c r="AP388" s="3456" t="s">
        <v>3476</v>
      </c>
      <c r="AQ388" s="3441" t="s">
        <v>3571</v>
      </c>
      <c r="AV388" s="3441" t="s">
        <v>3568</v>
      </c>
      <c r="AW388" s="3441" t="s">
        <v>3572</v>
      </c>
      <c r="AX388" s="3441" t="s">
        <v>2511</v>
      </c>
      <c r="AY388" s="3524" t="s">
        <v>6468</v>
      </c>
      <c r="AZ388" s="3441" t="s">
        <v>3955</v>
      </c>
      <c r="BA388" s="3441" t="s">
        <v>3959</v>
      </c>
      <c r="BB388" s="3524" t="s">
        <v>3960</v>
      </c>
      <c r="BC388" s="3441" t="s">
        <v>3961</v>
      </c>
      <c r="BD388" s="3525">
        <v>102100</v>
      </c>
      <c r="BE388" s="3441">
        <v>62998398</v>
      </c>
      <c r="BF388" s="3526">
        <v>2.8</v>
      </c>
      <c r="BG388" s="3518">
        <v>37723</v>
      </c>
      <c r="BI388" s="3441" t="s">
        <v>3475</v>
      </c>
      <c r="BJ388" s="3478">
        <v>37756</v>
      </c>
      <c r="BK388" s="3484"/>
      <c r="BL388" s="3470" t="s">
        <v>3670</v>
      </c>
      <c r="BS388" s="3470"/>
      <c r="BT388" s="3470"/>
      <c r="BU388" s="3470"/>
    </row>
    <row r="389" spans="1:253" s="3441" customFormat="1" ht="12" hidden="1">
      <c r="A389" s="3470" t="s">
        <v>6469</v>
      </c>
      <c r="B389" s="3470" t="s">
        <v>6470</v>
      </c>
      <c r="C389" s="3481" t="s">
        <v>6471</v>
      </c>
      <c r="D389" s="3481" t="s">
        <v>6472</v>
      </c>
      <c r="E389" s="3470" t="s">
        <v>2736</v>
      </c>
      <c r="F389" s="3470" t="s">
        <v>6473</v>
      </c>
      <c r="G389" s="3470"/>
      <c r="H389" s="3470" t="s">
        <v>6449</v>
      </c>
      <c r="I389" s="3470" t="s">
        <v>5052</v>
      </c>
      <c r="J389" s="3470" t="s">
        <v>6035</v>
      </c>
      <c r="K389" s="3470" t="s">
        <v>6453</v>
      </c>
      <c r="L389" s="3470">
        <v>125.56</v>
      </c>
      <c r="M389" s="3470">
        <v>1</v>
      </c>
      <c r="N389" s="3470" t="s">
        <v>3969</v>
      </c>
      <c r="O389" s="3470">
        <v>111.21</v>
      </c>
      <c r="P389" s="3470" t="s">
        <v>3452</v>
      </c>
      <c r="Q389" s="3457">
        <v>662956.80000000005</v>
      </c>
      <c r="R389" s="3495">
        <v>5280</v>
      </c>
      <c r="S389" s="3472">
        <v>65.66</v>
      </c>
      <c r="T389" s="3527">
        <v>656600</v>
      </c>
      <c r="U389" s="3470">
        <v>5230</v>
      </c>
      <c r="V389" s="3474">
        <v>0.1</v>
      </c>
      <c r="W389" s="3475">
        <v>59.09</v>
      </c>
      <c r="X389" s="3476">
        <v>590900</v>
      </c>
      <c r="Y389" s="3470">
        <v>2003</v>
      </c>
      <c r="Z389" s="3470">
        <v>6</v>
      </c>
      <c r="AA389" s="3495">
        <v>4</v>
      </c>
      <c r="AB389" s="3477">
        <v>3280</v>
      </c>
      <c r="AC389" s="3470" t="s">
        <v>6474</v>
      </c>
      <c r="AD389" s="3470"/>
      <c r="AE389" s="3470" t="s">
        <v>4914</v>
      </c>
      <c r="AF389" s="3470" t="s">
        <v>6475</v>
      </c>
      <c r="AG389" s="3470" t="s">
        <v>3605</v>
      </c>
      <c r="AH389" s="3470"/>
      <c r="AI389" s="3470" t="s">
        <v>6476</v>
      </c>
      <c r="AJ389" s="3478">
        <v>37681</v>
      </c>
      <c r="AK389" s="3500">
        <v>6</v>
      </c>
      <c r="AL389" s="3470">
        <v>67641700</v>
      </c>
      <c r="AM389" s="3470"/>
      <c r="AN389" s="3470" t="s">
        <v>3570</v>
      </c>
      <c r="AO389" s="3470"/>
      <c r="AP389" s="3470" t="s">
        <v>5844</v>
      </c>
      <c r="AQ389" s="3470" t="s">
        <v>3650</v>
      </c>
      <c r="AR389" s="3470"/>
      <c r="AS389" s="3470"/>
      <c r="AT389" s="3470"/>
      <c r="AU389" s="3470"/>
      <c r="AV389" s="3470"/>
      <c r="AW389" s="3470" t="s">
        <v>3458</v>
      </c>
      <c r="AX389" s="3508" t="s">
        <v>6451</v>
      </c>
      <c r="AY389" s="3481" t="s">
        <v>6477</v>
      </c>
      <c r="AZ389" s="3470" t="s">
        <v>6453</v>
      </c>
      <c r="BA389" s="3470" t="s">
        <v>6454</v>
      </c>
      <c r="BB389" s="3481" t="s">
        <v>6478</v>
      </c>
      <c r="BC389" s="3470" t="s">
        <v>6479</v>
      </c>
      <c r="BD389" s="3470">
        <v>100091</v>
      </c>
      <c r="BE389" s="3470">
        <v>62898116</v>
      </c>
      <c r="BF389" s="3470">
        <v>2.9</v>
      </c>
      <c r="BG389" s="3478">
        <v>37344</v>
      </c>
      <c r="BH389" s="3470" t="s">
        <v>3588</v>
      </c>
      <c r="BI389" s="3470" t="s">
        <v>3476</v>
      </c>
      <c r="BJ389" s="3508">
        <v>37770</v>
      </c>
      <c r="BK389" s="3508"/>
      <c r="BL389" s="3470" t="s">
        <v>3670</v>
      </c>
      <c r="BM389" s="3470"/>
      <c r="BN389" s="3470"/>
      <c r="BO389" s="3470"/>
      <c r="BS389" s="3470"/>
      <c r="BT389" s="3470"/>
      <c r="BU389" s="3470"/>
      <c r="BV389" s="3472"/>
      <c r="BW389" s="3472"/>
      <c r="BX389" s="3472"/>
      <c r="BY389" s="3472"/>
      <c r="BZ389" s="3472"/>
      <c r="CA389" s="3472"/>
      <c r="CB389" s="3472"/>
      <c r="CC389" s="3472"/>
      <c r="CD389" s="3472"/>
      <c r="CE389" s="3472"/>
      <c r="CF389" s="3472"/>
      <c r="CG389" s="3472"/>
      <c r="CH389" s="3472"/>
      <c r="CI389" s="3472"/>
      <c r="CJ389" s="3472"/>
      <c r="CK389" s="3472"/>
      <c r="CL389" s="3472"/>
      <c r="CM389" s="3472"/>
      <c r="CN389" s="3472"/>
      <c r="CO389" s="3472"/>
      <c r="CP389" s="3472"/>
      <c r="CQ389" s="3472"/>
      <c r="CR389" s="3472"/>
      <c r="CS389" s="3472"/>
      <c r="CT389" s="3472"/>
      <c r="CU389" s="3472"/>
      <c r="CV389" s="3472"/>
      <c r="CW389" s="3472"/>
      <c r="CX389" s="3472"/>
      <c r="CY389" s="3472"/>
      <c r="CZ389" s="3472"/>
      <c r="DA389" s="3472"/>
      <c r="DB389" s="3472"/>
      <c r="DC389" s="3472"/>
      <c r="DD389" s="3472"/>
      <c r="DE389" s="3472"/>
      <c r="DF389" s="3472"/>
      <c r="DG389" s="3472"/>
      <c r="DH389" s="3472"/>
      <c r="DI389" s="3472"/>
      <c r="DJ389" s="3472"/>
      <c r="DK389" s="3472"/>
      <c r="DL389" s="3472"/>
      <c r="DM389" s="3472"/>
      <c r="DN389" s="3472"/>
      <c r="DO389" s="3472"/>
      <c r="DP389" s="3472"/>
      <c r="DQ389" s="3472"/>
      <c r="DR389" s="3472"/>
      <c r="DS389" s="3472"/>
      <c r="DT389" s="3472"/>
      <c r="DU389" s="3472"/>
      <c r="DV389" s="3472"/>
      <c r="DW389" s="3472"/>
      <c r="DX389" s="3472"/>
      <c r="DY389" s="3472"/>
      <c r="DZ389" s="3472"/>
      <c r="EA389" s="3472"/>
      <c r="EB389" s="3472"/>
      <c r="EC389" s="3472"/>
      <c r="ED389" s="3472"/>
      <c r="EE389" s="3472"/>
      <c r="EF389" s="3472"/>
      <c r="EG389" s="3472"/>
      <c r="EH389" s="3472"/>
      <c r="EI389" s="3472"/>
      <c r="EJ389" s="3472"/>
      <c r="EK389" s="3472"/>
      <c r="EL389" s="3472"/>
      <c r="EM389" s="3472"/>
      <c r="EN389" s="3472"/>
      <c r="EO389" s="3472"/>
      <c r="EP389" s="3472"/>
      <c r="EQ389" s="3472"/>
      <c r="ER389" s="3472"/>
      <c r="ES389" s="3472"/>
      <c r="ET389" s="3472"/>
      <c r="EU389" s="3472"/>
      <c r="EV389" s="3472"/>
      <c r="EW389" s="3472"/>
      <c r="EX389" s="3472"/>
      <c r="EY389" s="3472"/>
      <c r="EZ389" s="3472"/>
      <c r="FA389" s="3472"/>
      <c r="FB389" s="3472"/>
      <c r="FC389" s="3472"/>
      <c r="FD389" s="3472"/>
      <c r="FE389" s="3472"/>
      <c r="FF389" s="3472"/>
      <c r="FG389" s="3472"/>
      <c r="FH389" s="3472"/>
      <c r="FI389" s="3472"/>
      <c r="FJ389" s="3472"/>
      <c r="FK389" s="3472"/>
      <c r="FL389" s="3472"/>
      <c r="FM389" s="3472"/>
      <c r="FN389" s="3472"/>
      <c r="FO389" s="3472"/>
      <c r="FP389" s="3472"/>
      <c r="FQ389" s="3472"/>
      <c r="FR389" s="3472"/>
      <c r="FS389" s="3472"/>
      <c r="FT389" s="3472"/>
      <c r="FU389" s="3472"/>
      <c r="FV389" s="3472"/>
      <c r="FW389" s="3472"/>
      <c r="FX389" s="3472"/>
      <c r="FY389" s="3472"/>
      <c r="FZ389" s="3472"/>
      <c r="GA389" s="3472"/>
      <c r="GB389" s="3472"/>
      <c r="GC389" s="3472"/>
      <c r="GD389" s="3472"/>
      <c r="GE389" s="3472"/>
      <c r="GF389" s="3472"/>
      <c r="GG389" s="3472"/>
      <c r="GH389" s="3472"/>
      <c r="GI389" s="3472"/>
      <c r="GJ389" s="3472"/>
      <c r="GK389" s="3472"/>
      <c r="GL389" s="3472"/>
      <c r="GM389" s="3472"/>
      <c r="GN389" s="3472"/>
      <c r="GO389" s="3472"/>
      <c r="GP389" s="3472"/>
      <c r="GQ389" s="3472"/>
      <c r="GR389" s="3472"/>
      <c r="GS389" s="3472"/>
      <c r="GT389" s="3472"/>
      <c r="GU389" s="3472"/>
      <c r="GV389" s="3472"/>
      <c r="GW389" s="3472"/>
      <c r="GX389" s="3472"/>
      <c r="GY389" s="3472"/>
      <c r="GZ389" s="3472"/>
      <c r="HA389" s="3472"/>
      <c r="HB389" s="3472"/>
      <c r="HC389" s="3472"/>
      <c r="HD389" s="3472"/>
      <c r="HE389" s="3472"/>
      <c r="HF389" s="3472"/>
      <c r="HG389" s="3472"/>
      <c r="HH389" s="3472"/>
      <c r="HI389" s="3472"/>
      <c r="HJ389" s="3472"/>
      <c r="HK389" s="3472"/>
      <c r="HL389" s="3472"/>
      <c r="HM389" s="3472"/>
      <c r="HN389" s="3472"/>
      <c r="HO389" s="3472"/>
      <c r="HP389" s="3472"/>
      <c r="HQ389" s="3472"/>
      <c r="HR389" s="3472"/>
      <c r="HS389" s="3472"/>
      <c r="HT389" s="3472"/>
      <c r="HU389" s="3472"/>
      <c r="HV389" s="3472"/>
      <c r="HW389" s="3472"/>
      <c r="HX389" s="3472"/>
      <c r="HY389" s="3472"/>
      <c r="HZ389" s="3472"/>
      <c r="IA389" s="3472"/>
      <c r="IB389" s="3472"/>
      <c r="IC389" s="3472"/>
      <c r="ID389" s="3472"/>
      <c r="IE389" s="3472"/>
      <c r="IF389" s="3472"/>
      <c r="IG389" s="3472"/>
      <c r="IH389" s="3472"/>
      <c r="II389" s="3472"/>
      <c r="IJ389" s="3472"/>
      <c r="IK389" s="3472"/>
      <c r="IL389" s="3472"/>
      <c r="IM389" s="3472"/>
      <c r="IN389" s="3472"/>
      <c r="IO389" s="3472"/>
      <c r="IP389" s="3472"/>
      <c r="IQ389" s="3472"/>
      <c r="IR389" s="3472"/>
      <c r="IS389" s="3472"/>
    </row>
    <row r="390" spans="1:253" s="3441" customFormat="1" ht="12" hidden="1">
      <c r="A390" s="3485" t="s">
        <v>6480</v>
      </c>
      <c r="B390" s="3470" t="s">
        <v>6481</v>
      </c>
      <c r="C390" s="3481" t="s">
        <v>6482</v>
      </c>
      <c r="D390" s="3453">
        <v>13911692726</v>
      </c>
      <c r="E390" s="3470" t="s">
        <v>3558</v>
      </c>
      <c r="F390" s="3470" t="s">
        <v>4403</v>
      </c>
      <c r="G390" s="3470" t="s">
        <v>3568</v>
      </c>
      <c r="H390" s="3470" t="s">
        <v>6483</v>
      </c>
      <c r="I390" s="3470" t="s">
        <v>4938</v>
      </c>
      <c r="J390" s="3481" t="s">
        <v>3630</v>
      </c>
      <c r="K390" s="3470" t="s">
        <v>4406</v>
      </c>
      <c r="L390" s="3470">
        <v>129.58000000000001</v>
      </c>
      <c r="M390" s="3470">
        <v>6</v>
      </c>
      <c r="N390" s="3470" t="s">
        <v>3969</v>
      </c>
      <c r="O390" s="3470">
        <v>116.01</v>
      </c>
      <c r="P390" s="3470" t="s">
        <v>3452</v>
      </c>
      <c r="Q390" s="3457">
        <v>601251.20000000007</v>
      </c>
      <c r="R390" s="3470">
        <v>4640</v>
      </c>
      <c r="S390" s="3472">
        <v>59.52</v>
      </c>
      <c r="T390" s="3527">
        <v>595200</v>
      </c>
      <c r="U390" s="3470">
        <v>4594</v>
      </c>
      <c r="V390" s="3474">
        <v>0.1</v>
      </c>
      <c r="W390" s="3475">
        <v>53.56</v>
      </c>
      <c r="X390" s="3473">
        <v>535600</v>
      </c>
      <c r="Y390" s="3441">
        <v>2003</v>
      </c>
      <c r="Z390" s="3441">
        <v>7</v>
      </c>
      <c r="AA390" s="3470">
        <v>24</v>
      </c>
      <c r="AB390" s="3477">
        <v>2975</v>
      </c>
      <c r="AC390" s="3470" t="s">
        <v>3585</v>
      </c>
      <c r="AD390" s="3485"/>
      <c r="AE390" s="3441" t="s">
        <v>3663</v>
      </c>
      <c r="AF390" s="3453" t="s">
        <v>4551</v>
      </c>
      <c r="AG390" s="3522" t="s">
        <v>3466</v>
      </c>
      <c r="AH390" s="3485"/>
      <c r="AI390" s="3470" t="s">
        <v>3664</v>
      </c>
      <c r="AJ390" s="3523">
        <v>37833</v>
      </c>
      <c r="AK390" s="3500">
        <v>7</v>
      </c>
      <c r="AL390" s="3441">
        <v>67641700</v>
      </c>
      <c r="AN390" s="3456" t="s">
        <v>3680</v>
      </c>
      <c r="AO390" s="3485" t="s">
        <v>6484</v>
      </c>
      <c r="AP390" s="3456" t="s">
        <v>3476</v>
      </c>
      <c r="AQ390" s="3470" t="s">
        <v>3571</v>
      </c>
      <c r="AR390" s="3441" t="s">
        <v>3588</v>
      </c>
      <c r="AS390" s="3441" t="s">
        <v>2420</v>
      </c>
      <c r="AT390" s="3441" t="s">
        <v>2420</v>
      </c>
      <c r="AW390" s="3441" t="s">
        <v>3572</v>
      </c>
      <c r="AX390" s="3441" t="s">
        <v>3568</v>
      </c>
      <c r="AY390" s="3524" t="s">
        <v>6485</v>
      </c>
      <c r="AZ390" s="3441" t="s">
        <v>4080</v>
      </c>
      <c r="BA390" s="3441" t="s">
        <v>4409</v>
      </c>
      <c r="BB390" s="3524" t="s">
        <v>4410</v>
      </c>
      <c r="BC390" s="3441" t="s">
        <v>4411</v>
      </c>
      <c r="BD390" s="3525" t="s">
        <v>3568</v>
      </c>
      <c r="BE390" s="3441">
        <v>68152860</v>
      </c>
      <c r="BF390" s="3526">
        <v>2.8</v>
      </c>
      <c r="BG390" s="3518">
        <v>37773</v>
      </c>
      <c r="BH390" s="3441" t="s">
        <v>4412</v>
      </c>
      <c r="BI390" s="3470" t="s">
        <v>3476</v>
      </c>
      <c r="BJ390" s="3484">
        <v>37819</v>
      </c>
      <c r="BK390" s="3484"/>
      <c r="BL390" s="3470" t="s">
        <v>3670</v>
      </c>
      <c r="BS390" s="3470"/>
      <c r="BT390" s="3470"/>
      <c r="BU390" s="3470"/>
    </row>
    <row r="391" spans="1:253" s="3441" customFormat="1" ht="12" hidden="1">
      <c r="A391" s="3485" t="s">
        <v>6486</v>
      </c>
      <c r="B391" s="3470" t="s">
        <v>6487</v>
      </c>
      <c r="C391" s="3481" t="s">
        <v>6488</v>
      </c>
      <c r="D391" s="3453">
        <v>13651091515</v>
      </c>
      <c r="E391" s="3470" t="s">
        <v>3538</v>
      </c>
      <c r="F391" s="3528" t="s">
        <v>4333</v>
      </c>
      <c r="G391" s="3470"/>
      <c r="H391" s="3470" t="s">
        <v>4040</v>
      </c>
      <c r="I391" s="3470" t="s">
        <v>4041</v>
      </c>
      <c r="J391" s="3481" t="s">
        <v>6489</v>
      </c>
      <c r="K391" s="3470" t="s">
        <v>3638</v>
      </c>
      <c r="L391" s="3470">
        <v>115.72</v>
      </c>
      <c r="M391" s="3470">
        <v>9</v>
      </c>
      <c r="N391" s="3470" t="s">
        <v>4043</v>
      </c>
      <c r="O391" s="3470">
        <v>91.76</v>
      </c>
      <c r="P391" s="3470" t="s">
        <v>3452</v>
      </c>
      <c r="Q391" s="3457">
        <v>723250</v>
      </c>
      <c r="R391" s="3470">
        <v>6250</v>
      </c>
      <c r="S391" s="3472">
        <v>71.63</v>
      </c>
      <c r="T391" s="3527">
        <v>716300</v>
      </c>
      <c r="U391" s="3470">
        <v>6190</v>
      </c>
      <c r="V391" s="3474">
        <v>0.1</v>
      </c>
      <c r="W391" s="3475">
        <v>64.459999999999994</v>
      </c>
      <c r="X391" s="3473">
        <v>644599.99999999988</v>
      </c>
      <c r="Y391" s="3441">
        <v>2003</v>
      </c>
      <c r="Z391" s="3515">
        <v>6</v>
      </c>
      <c r="AA391" s="3470">
        <v>17</v>
      </c>
      <c r="AB391" s="3485">
        <v>3580</v>
      </c>
      <c r="AC391" s="3470" t="s">
        <v>3648</v>
      </c>
      <c r="AD391" s="3485"/>
      <c r="AE391" s="3441" t="s">
        <v>4914</v>
      </c>
      <c r="AF391" s="3470" t="s">
        <v>4152</v>
      </c>
      <c r="AG391" s="3522" t="s">
        <v>3605</v>
      </c>
      <c r="AH391" s="3485"/>
      <c r="AI391" s="3470" t="s">
        <v>4955</v>
      </c>
      <c r="AJ391" s="3523">
        <v>38027</v>
      </c>
      <c r="AK391" s="3548">
        <v>6</v>
      </c>
      <c r="AL391" s="3515">
        <v>67641700</v>
      </c>
      <c r="AN391" s="3469" t="s">
        <v>3649</v>
      </c>
      <c r="AO391" s="3470" t="s">
        <v>6490</v>
      </c>
      <c r="AP391" s="3456" t="s">
        <v>3476</v>
      </c>
      <c r="AQ391" s="3469" t="s">
        <v>3571</v>
      </c>
      <c r="AW391" s="3441" t="s">
        <v>3548</v>
      </c>
      <c r="AX391" s="3484" t="s">
        <v>2420</v>
      </c>
      <c r="AY391" s="3524" t="s">
        <v>6491</v>
      </c>
      <c r="AZ391" s="3470" t="s">
        <v>3638</v>
      </c>
      <c r="BA391" s="3441" t="s">
        <v>4048</v>
      </c>
      <c r="BB391" s="3524" t="s">
        <v>3640</v>
      </c>
      <c r="BC391" s="3441" t="s">
        <v>4436</v>
      </c>
      <c r="BD391" s="3525">
        <v>100088</v>
      </c>
      <c r="BE391" s="3441">
        <v>82058259</v>
      </c>
      <c r="BF391" s="3526">
        <v>2.9</v>
      </c>
      <c r="BG391" s="3518">
        <v>37565</v>
      </c>
      <c r="BI391" s="3470" t="s">
        <v>3476</v>
      </c>
      <c r="BJ391" s="3518">
        <v>37775</v>
      </c>
      <c r="BK391" s="3518">
        <v>37788</v>
      </c>
      <c r="BL391" s="3470" t="s">
        <v>3670</v>
      </c>
      <c r="BS391" s="3470"/>
      <c r="BT391" s="3470"/>
      <c r="BU391" s="3470"/>
    </row>
    <row r="392" spans="1:253" s="3441" customFormat="1" ht="12" hidden="1">
      <c r="A392" s="3470" t="s">
        <v>6492</v>
      </c>
      <c r="B392" s="3486" t="s">
        <v>6493</v>
      </c>
      <c r="C392" s="3488" t="s">
        <v>6494</v>
      </c>
      <c r="D392" s="3486">
        <v>13901226011</v>
      </c>
      <c r="E392" s="3486" t="s">
        <v>2736</v>
      </c>
      <c r="F392" s="3486" t="s">
        <v>6495</v>
      </c>
      <c r="G392" s="3486"/>
      <c r="H392" s="3486" t="s">
        <v>5462</v>
      </c>
      <c r="I392" s="3486" t="s">
        <v>3676</v>
      </c>
      <c r="J392" s="3486" t="s">
        <v>3492</v>
      </c>
      <c r="K392" s="3555" t="s">
        <v>6496</v>
      </c>
      <c r="L392" s="3491">
        <v>143.4</v>
      </c>
      <c r="M392" s="3491">
        <v>6</v>
      </c>
      <c r="N392" s="3486" t="s">
        <v>3632</v>
      </c>
      <c r="O392" s="3491">
        <v>122.58</v>
      </c>
      <c r="P392" s="3480" t="s">
        <v>4879</v>
      </c>
      <c r="Q392" s="3531">
        <v>399999.96</v>
      </c>
      <c r="R392" s="3491">
        <v>2789.4</v>
      </c>
      <c r="S392" s="3532">
        <v>39.369999999999997</v>
      </c>
      <c r="T392" s="3630">
        <v>393700</v>
      </c>
      <c r="U392" s="3491">
        <v>2746</v>
      </c>
      <c r="V392" s="3529">
        <v>0.05</v>
      </c>
      <c r="W392" s="3475">
        <v>37.4</v>
      </c>
      <c r="X392" s="3554">
        <v>374000</v>
      </c>
      <c r="Y392" s="3501">
        <v>2003</v>
      </c>
      <c r="Z392" s="3501">
        <v>6</v>
      </c>
      <c r="AA392" s="3501">
        <v>3</v>
      </c>
      <c r="AB392" s="3485">
        <v>1965</v>
      </c>
      <c r="AC392" s="3486" t="s">
        <v>4922</v>
      </c>
      <c r="AD392" s="3486"/>
      <c r="AE392" s="3480" t="s">
        <v>4914</v>
      </c>
      <c r="AF392" s="3486" t="s">
        <v>4063</v>
      </c>
      <c r="AG392" s="3486" t="s">
        <v>3605</v>
      </c>
      <c r="AH392" s="3486" t="s">
        <v>3463</v>
      </c>
      <c r="AI392" s="3470" t="s">
        <v>4849</v>
      </c>
      <c r="AJ392" s="3478">
        <v>37225</v>
      </c>
      <c r="AK392" s="3486" t="s">
        <v>6497</v>
      </c>
      <c r="AL392" s="3491">
        <v>67641700</v>
      </c>
      <c r="AM392" s="3502"/>
      <c r="AN392" s="3480" t="s">
        <v>3456</v>
      </c>
      <c r="AO392" s="3486"/>
      <c r="AP392" s="3441" t="s">
        <v>3713</v>
      </c>
      <c r="AQ392" s="3497" t="s">
        <v>3457</v>
      </c>
      <c r="AR392" s="3486"/>
      <c r="AS392" s="3486"/>
      <c r="AT392" s="3486"/>
      <c r="AU392" s="3486"/>
      <c r="AV392" s="3631"/>
      <c r="AW392" s="3490" t="s">
        <v>3548</v>
      </c>
      <c r="AX392" s="3502" t="s">
        <v>3606</v>
      </c>
      <c r="AY392" s="3503" t="s">
        <v>6498</v>
      </c>
      <c r="AZ392" s="3552" t="s">
        <v>6499</v>
      </c>
      <c r="BA392" s="3552" t="s">
        <v>6500</v>
      </c>
      <c r="BB392" s="3568" t="s">
        <v>6501</v>
      </c>
      <c r="BC392" s="3552" t="s">
        <v>6502</v>
      </c>
      <c r="BD392" s="3569">
        <v>100096</v>
      </c>
      <c r="BE392" s="3501">
        <v>82903819</v>
      </c>
      <c r="BF392" s="3506">
        <v>2.7</v>
      </c>
      <c r="BG392" s="3507">
        <v>37455</v>
      </c>
      <c r="BH392" s="3490"/>
      <c r="BI392" s="3441" t="s">
        <v>3700</v>
      </c>
      <c r="BJ392" s="3484">
        <v>37774</v>
      </c>
      <c r="BL392" s="3470" t="s">
        <v>5489</v>
      </c>
      <c r="BS392" s="3470"/>
      <c r="BT392" s="3470"/>
      <c r="BU392" s="3470"/>
      <c r="BV392" s="3486"/>
      <c r="BW392" s="3486"/>
      <c r="BX392" s="3486"/>
      <c r="BY392" s="3486"/>
      <c r="BZ392" s="3486"/>
      <c r="CA392" s="3486"/>
      <c r="CB392" s="3486"/>
      <c r="CC392" s="3486"/>
      <c r="CD392" s="3486"/>
      <c r="CE392" s="3486"/>
      <c r="CF392" s="3486"/>
      <c r="CG392" s="3486"/>
      <c r="CH392" s="3486"/>
      <c r="CI392" s="3486"/>
      <c r="CJ392" s="3486"/>
      <c r="CK392" s="3486"/>
      <c r="CL392" s="3486"/>
      <c r="CM392" s="3486"/>
      <c r="CN392" s="3486"/>
      <c r="CO392" s="3486"/>
      <c r="CP392" s="3486"/>
      <c r="CQ392" s="3486"/>
      <c r="CR392" s="3486"/>
      <c r="CS392" s="3486"/>
      <c r="CT392" s="3486"/>
      <c r="CU392" s="3486"/>
      <c r="CV392" s="3486"/>
      <c r="CW392" s="3486"/>
      <c r="CX392" s="3486"/>
      <c r="CY392" s="3486"/>
      <c r="CZ392" s="3486"/>
      <c r="DA392" s="3486"/>
      <c r="DB392" s="3486"/>
      <c r="DC392" s="3486"/>
      <c r="DD392" s="3486"/>
      <c r="DE392" s="3486"/>
      <c r="DF392" s="3486"/>
      <c r="DG392" s="3486"/>
      <c r="DH392" s="3486"/>
      <c r="DI392" s="3486"/>
      <c r="DJ392" s="3486"/>
      <c r="DK392" s="3486"/>
      <c r="DL392" s="3486"/>
      <c r="DM392" s="3486"/>
      <c r="DN392" s="3486"/>
      <c r="DO392" s="3486"/>
      <c r="DP392" s="3486"/>
      <c r="DQ392" s="3486"/>
      <c r="DR392" s="3486"/>
      <c r="DS392" s="3486"/>
      <c r="DT392" s="3486"/>
      <c r="DU392" s="3486"/>
      <c r="DV392" s="3486"/>
      <c r="DW392" s="3486"/>
      <c r="DX392" s="3486"/>
      <c r="DY392" s="3486"/>
      <c r="DZ392" s="3486"/>
      <c r="EA392" s="3486"/>
      <c r="EB392" s="3486"/>
      <c r="EC392" s="3486"/>
      <c r="ED392" s="3486"/>
      <c r="EE392" s="3486"/>
      <c r="EF392" s="3486"/>
      <c r="EG392" s="3486"/>
      <c r="EH392" s="3486"/>
      <c r="EI392" s="3486"/>
      <c r="EJ392" s="3486"/>
      <c r="EK392" s="3486"/>
      <c r="EL392" s="3486"/>
      <c r="EM392" s="3486"/>
      <c r="EN392" s="3486"/>
      <c r="EO392" s="3486"/>
      <c r="EP392" s="3486"/>
      <c r="EQ392" s="3486"/>
      <c r="ER392" s="3486"/>
      <c r="ES392" s="3486"/>
      <c r="ET392" s="3486"/>
      <c r="EU392" s="3486"/>
      <c r="EV392" s="3486"/>
      <c r="EW392" s="3486"/>
      <c r="EX392" s="3486"/>
      <c r="EY392" s="3486"/>
      <c r="EZ392" s="3486"/>
      <c r="FA392" s="3486"/>
      <c r="FB392" s="3486"/>
      <c r="FC392" s="3486"/>
      <c r="FD392" s="3486"/>
      <c r="FE392" s="3486"/>
      <c r="FF392" s="3486"/>
      <c r="FG392" s="3486"/>
      <c r="FH392" s="3486"/>
      <c r="FI392" s="3486"/>
      <c r="FJ392" s="3486"/>
      <c r="FK392" s="3486"/>
      <c r="FL392" s="3486"/>
      <c r="FM392" s="3486"/>
      <c r="FN392" s="3486"/>
      <c r="FO392" s="3486"/>
      <c r="FP392" s="3486"/>
      <c r="FQ392" s="3486"/>
      <c r="FR392" s="3486"/>
      <c r="FS392" s="3486"/>
      <c r="FT392" s="3486"/>
      <c r="FU392" s="3486"/>
      <c r="FV392" s="3486"/>
      <c r="FW392" s="3486"/>
      <c r="FX392" s="3486"/>
      <c r="FY392" s="3486"/>
      <c r="FZ392" s="3486"/>
      <c r="GA392" s="3486"/>
      <c r="GB392" s="3486"/>
      <c r="GC392" s="3486"/>
      <c r="GD392" s="3486"/>
      <c r="GE392" s="3486"/>
      <c r="GF392" s="3486"/>
      <c r="GG392" s="3486"/>
      <c r="GH392" s="3486"/>
      <c r="GI392" s="3486"/>
      <c r="GJ392" s="3486"/>
      <c r="GK392" s="3486"/>
      <c r="GL392" s="3486"/>
      <c r="GM392" s="3486"/>
      <c r="GN392" s="3486"/>
      <c r="GO392" s="3486"/>
      <c r="GP392" s="3486"/>
      <c r="GQ392" s="3486"/>
      <c r="GR392" s="3486"/>
      <c r="GS392" s="3486"/>
      <c r="GT392" s="3486"/>
      <c r="GU392" s="3486"/>
      <c r="GV392" s="3486"/>
      <c r="GW392" s="3486"/>
      <c r="GX392" s="3486"/>
      <c r="GY392" s="3486"/>
      <c r="GZ392" s="3486"/>
      <c r="HA392" s="3486"/>
      <c r="HB392" s="3486"/>
      <c r="HC392" s="3486"/>
      <c r="HD392" s="3486"/>
      <c r="HE392" s="3486"/>
      <c r="HF392" s="3486"/>
      <c r="HG392" s="3486"/>
      <c r="HH392" s="3486"/>
      <c r="HI392" s="3486"/>
      <c r="HJ392" s="3486"/>
      <c r="HK392" s="3486"/>
      <c r="HL392" s="3486"/>
      <c r="HM392" s="3486"/>
      <c r="HN392" s="3486"/>
      <c r="HO392" s="3486"/>
      <c r="HP392" s="3486"/>
      <c r="HQ392" s="3486"/>
      <c r="HR392" s="3486"/>
      <c r="HS392" s="3486"/>
      <c r="HT392" s="3486"/>
      <c r="HU392" s="3486"/>
      <c r="HV392" s="3486"/>
      <c r="HW392" s="3486"/>
      <c r="HX392" s="3486"/>
      <c r="HY392" s="3486"/>
      <c r="HZ392" s="3486"/>
      <c r="IA392" s="3486"/>
      <c r="IB392" s="3486"/>
      <c r="IC392" s="3486"/>
      <c r="ID392" s="3486"/>
      <c r="IE392" s="3486"/>
      <c r="IF392" s="3486"/>
      <c r="IG392" s="3486"/>
      <c r="IH392" s="3486"/>
      <c r="II392" s="3486"/>
      <c r="IJ392" s="3486"/>
      <c r="IK392" s="3486"/>
      <c r="IL392" s="3486"/>
      <c r="IM392" s="3486"/>
      <c r="IN392" s="3486"/>
      <c r="IO392" s="3486"/>
      <c r="IP392" s="3486"/>
      <c r="IQ392" s="3486"/>
      <c r="IR392" s="3486"/>
      <c r="IS392" s="3486"/>
    </row>
    <row r="393" spans="1:253" s="3441" customFormat="1" ht="12" hidden="1">
      <c r="A393" s="3485" t="s">
        <v>6503</v>
      </c>
      <c r="B393" s="3470" t="s">
        <v>6504</v>
      </c>
      <c r="C393" s="3481" t="s">
        <v>6505</v>
      </c>
      <c r="D393" s="3453">
        <v>13501399788</v>
      </c>
      <c r="E393" s="3470" t="s">
        <v>2736</v>
      </c>
      <c r="F393" s="3528" t="s">
        <v>6366</v>
      </c>
      <c r="G393" s="3470"/>
      <c r="H393" s="3470" t="s">
        <v>4281</v>
      </c>
      <c r="I393" s="3470" t="s">
        <v>6506</v>
      </c>
      <c r="J393" s="3481" t="s">
        <v>5848</v>
      </c>
      <c r="K393" s="3441" t="s">
        <v>6390</v>
      </c>
      <c r="L393" s="3470">
        <v>59.69</v>
      </c>
      <c r="M393" s="3470">
        <v>5</v>
      </c>
      <c r="N393" s="3470" t="s">
        <v>3584</v>
      </c>
      <c r="O393" s="3470">
        <v>50.69</v>
      </c>
      <c r="P393" s="3470" t="s">
        <v>3452</v>
      </c>
      <c r="Q393" s="3457">
        <v>280841.45</v>
      </c>
      <c r="R393" s="3470">
        <v>4705</v>
      </c>
      <c r="S393" s="3472">
        <v>27.78</v>
      </c>
      <c r="T393" s="3527">
        <v>277800</v>
      </c>
      <c r="U393" s="3495">
        <v>4655</v>
      </c>
      <c r="V393" s="3474">
        <v>0.1</v>
      </c>
      <c r="W393" s="3475">
        <v>25</v>
      </c>
      <c r="X393" s="3476">
        <v>250000</v>
      </c>
      <c r="Y393" s="3441">
        <v>2003</v>
      </c>
      <c r="Z393" s="3441">
        <v>6</v>
      </c>
      <c r="AA393" s="3470">
        <v>4</v>
      </c>
      <c r="AB393" s="3477">
        <v>1385</v>
      </c>
      <c r="AC393" s="3470" t="s">
        <v>3710</v>
      </c>
      <c r="AD393" s="3485"/>
      <c r="AE393" s="3441" t="s">
        <v>3663</v>
      </c>
      <c r="AF393" s="3453" t="s">
        <v>3728</v>
      </c>
      <c r="AG393" s="3522" t="s">
        <v>3466</v>
      </c>
      <c r="AH393" s="3485" t="s">
        <v>3568</v>
      </c>
      <c r="AI393" s="3470" t="s">
        <v>3664</v>
      </c>
      <c r="AJ393" s="3523">
        <v>37986</v>
      </c>
      <c r="AK393" s="3541">
        <v>6</v>
      </c>
      <c r="AL393" s="3441">
        <v>67641700</v>
      </c>
      <c r="AN393" s="3480" t="s">
        <v>3456</v>
      </c>
      <c r="AP393" s="3441" t="s">
        <v>3476</v>
      </c>
      <c r="AQ393" s="3441" t="s">
        <v>3571</v>
      </c>
      <c r="AV393" s="3441" t="s">
        <v>3568</v>
      </c>
      <c r="AW393" s="3441" t="s">
        <v>3572</v>
      </c>
      <c r="AY393" s="3524" t="s">
        <v>6507</v>
      </c>
      <c r="AZ393" s="3441" t="s">
        <v>6369</v>
      </c>
      <c r="BA393" s="3441" t="s">
        <v>6391</v>
      </c>
      <c r="BB393" s="3524" t="s">
        <v>6371</v>
      </c>
      <c r="BC393" s="3441" t="s">
        <v>6508</v>
      </c>
      <c r="BD393" s="3525">
        <v>100025</v>
      </c>
      <c r="BE393" s="3441">
        <v>62908858</v>
      </c>
      <c r="BF393" s="3526">
        <v>2.7</v>
      </c>
      <c r="BG393" s="3518">
        <v>37730</v>
      </c>
      <c r="BH393" s="3441" t="s">
        <v>3758</v>
      </c>
      <c r="BI393" s="3441" t="s">
        <v>3476</v>
      </c>
      <c r="BJ393" s="3484">
        <v>37775</v>
      </c>
      <c r="BK393" s="3484"/>
      <c r="BL393" s="3470" t="s">
        <v>3670</v>
      </c>
      <c r="BS393" s="3470"/>
      <c r="BT393" s="3470"/>
      <c r="BU393" s="3470"/>
      <c r="BV393" s="3472"/>
      <c r="BW393" s="3472"/>
      <c r="BX393" s="3472"/>
      <c r="BY393" s="3472"/>
      <c r="BZ393" s="3472"/>
      <c r="CA393" s="3472"/>
      <c r="CB393" s="3472"/>
      <c r="CC393" s="3472"/>
      <c r="CD393" s="3472"/>
      <c r="CE393" s="3472"/>
      <c r="CF393" s="3472"/>
      <c r="CG393" s="3472"/>
      <c r="CH393" s="3472"/>
      <c r="CI393" s="3472"/>
      <c r="CJ393" s="3472"/>
      <c r="CK393" s="3472"/>
      <c r="CL393" s="3472"/>
      <c r="CM393" s="3472"/>
      <c r="CN393" s="3472"/>
      <c r="CO393" s="3472"/>
      <c r="CP393" s="3472"/>
      <c r="CQ393" s="3472"/>
      <c r="CR393" s="3472"/>
      <c r="CS393" s="3472"/>
      <c r="CT393" s="3472"/>
      <c r="CU393" s="3472"/>
      <c r="CV393" s="3472"/>
      <c r="CW393" s="3472"/>
      <c r="CX393" s="3472"/>
      <c r="CY393" s="3472"/>
      <c r="CZ393" s="3472"/>
      <c r="DA393" s="3472"/>
      <c r="DB393" s="3472"/>
      <c r="DC393" s="3472"/>
      <c r="DD393" s="3472"/>
      <c r="DE393" s="3472"/>
      <c r="DF393" s="3472"/>
      <c r="DG393" s="3472"/>
      <c r="DH393" s="3472"/>
      <c r="DI393" s="3472"/>
      <c r="DJ393" s="3472"/>
      <c r="DK393" s="3472"/>
      <c r="DL393" s="3472"/>
      <c r="DM393" s="3472"/>
      <c r="DN393" s="3472"/>
      <c r="DO393" s="3472"/>
      <c r="DP393" s="3472"/>
      <c r="DQ393" s="3472"/>
      <c r="DR393" s="3472"/>
      <c r="DS393" s="3472"/>
      <c r="DT393" s="3472"/>
      <c r="DU393" s="3472"/>
      <c r="DV393" s="3472"/>
      <c r="DW393" s="3472"/>
      <c r="DX393" s="3472"/>
      <c r="DY393" s="3472"/>
      <c r="DZ393" s="3472"/>
      <c r="EA393" s="3472"/>
      <c r="EB393" s="3472"/>
      <c r="EC393" s="3472"/>
      <c r="ED393" s="3472"/>
      <c r="EE393" s="3472"/>
      <c r="EF393" s="3472"/>
      <c r="EG393" s="3472"/>
      <c r="EH393" s="3472"/>
      <c r="EI393" s="3472"/>
      <c r="EJ393" s="3472"/>
      <c r="EK393" s="3472"/>
      <c r="EL393" s="3472"/>
      <c r="EM393" s="3472"/>
      <c r="EN393" s="3472"/>
      <c r="EO393" s="3472"/>
      <c r="EP393" s="3472"/>
      <c r="EQ393" s="3472"/>
      <c r="ER393" s="3472"/>
      <c r="ES393" s="3472"/>
      <c r="ET393" s="3472"/>
      <c r="EU393" s="3472"/>
      <c r="EV393" s="3472"/>
      <c r="EW393" s="3472"/>
      <c r="EX393" s="3472"/>
      <c r="EY393" s="3472"/>
      <c r="EZ393" s="3472"/>
      <c r="FA393" s="3472"/>
      <c r="FB393" s="3472"/>
      <c r="FC393" s="3472"/>
      <c r="FD393" s="3472"/>
      <c r="FE393" s="3472"/>
      <c r="FF393" s="3472"/>
      <c r="FG393" s="3472"/>
      <c r="FH393" s="3472"/>
      <c r="FI393" s="3472"/>
      <c r="FJ393" s="3472"/>
      <c r="FK393" s="3472"/>
      <c r="FL393" s="3472"/>
      <c r="FM393" s="3472"/>
      <c r="FN393" s="3472"/>
      <c r="FO393" s="3472"/>
      <c r="FP393" s="3472"/>
      <c r="FQ393" s="3472"/>
      <c r="FR393" s="3472"/>
      <c r="FS393" s="3472"/>
      <c r="FT393" s="3472"/>
      <c r="FU393" s="3472"/>
      <c r="FV393" s="3472"/>
      <c r="FW393" s="3472"/>
      <c r="FX393" s="3472"/>
      <c r="FY393" s="3472"/>
      <c r="FZ393" s="3472"/>
      <c r="GA393" s="3472"/>
      <c r="GB393" s="3472"/>
      <c r="GC393" s="3472"/>
      <c r="GD393" s="3472"/>
      <c r="GE393" s="3472"/>
      <c r="GF393" s="3472"/>
      <c r="GG393" s="3472"/>
      <c r="GH393" s="3472"/>
      <c r="GI393" s="3472"/>
      <c r="GJ393" s="3472"/>
      <c r="GK393" s="3472"/>
      <c r="GL393" s="3472"/>
      <c r="GM393" s="3472"/>
      <c r="GN393" s="3472"/>
      <c r="GO393" s="3472"/>
      <c r="GP393" s="3472"/>
      <c r="GQ393" s="3472"/>
      <c r="GR393" s="3472"/>
      <c r="GS393" s="3472"/>
      <c r="GT393" s="3472"/>
      <c r="GU393" s="3472"/>
      <c r="GV393" s="3472"/>
      <c r="GW393" s="3472"/>
      <c r="GX393" s="3472"/>
      <c r="GY393" s="3472"/>
      <c r="GZ393" s="3472"/>
      <c r="HA393" s="3472"/>
      <c r="HB393" s="3472"/>
      <c r="HC393" s="3472"/>
      <c r="HD393" s="3472"/>
      <c r="HE393" s="3472"/>
      <c r="HF393" s="3472"/>
      <c r="HG393" s="3472"/>
      <c r="HH393" s="3472"/>
      <c r="HI393" s="3472"/>
      <c r="HJ393" s="3472"/>
      <c r="HK393" s="3472"/>
      <c r="HL393" s="3472"/>
      <c r="HM393" s="3472"/>
      <c r="HN393" s="3472"/>
      <c r="HO393" s="3472"/>
      <c r="HP393" s="3472"/>
      <c r="HQ393" s="3472"/>
      <c r="HR393" s="3472"/>
      <c r="HS393" s="3472"/>
      <c r="HT393" s="3472"/>
      <c r="HU393" s="3472"/>
      <c r="HV393" s="3472"/>
      <c r="HW393" s="3472"/>
      <c r="HX393" s="3472"/>
      <c r="HY393" s="3472"/>
      <c r="HZ393" s="3472"/>
      <c r="IA393" s="3472"/>
      <c r="IB393" s="3472"/>
      <c r="IC393" s="3472"/>
      <c r="ID393" s="3472"/>
      <c r="IE393" s="3472"/>
      <c r="IF393" s="3472"/>
      <c r="IG393" s="3472"/>
      <c r="IH393" s="3472"/>
      <c r="II393" s="3472"/>
      <c r="IJ393" s="3472"/>
      <c r="IK393" s="3472"/>
      <c r="IL393" s="3472"/>
      <c r="IM393" s="3472"/>
      <c r="IN393" s="3472"/>
      <c r="IO393" s="3472"/>
      <c r="IP393" s="3472"/>
      <c r="IQ393" s="3472"/>
      <c r="IR393" s="3472"/>
      <c r="IS393" s="3472"/>
    </row>
    <row r="394" spans="1:253" s="3441" customFormat="1" ht="12" hidden="1">
      <c r="A394" s="3470" t="s">
        <v>6509</v>
      </c>
      <c r="B394" s="3470" t="s">
        <v>6510</v>
      </c>
      <c r="C394" s="3481" t="s">
        <v>6511</v>
      </c>
      <c r="D394" s="3456">
        <v>82666566</v>
      </c>
      <c r="E394" s="3470" t="s">
        <v>3558</v>
      </c>
      <c r="F394" s="3470" t="s">
        <v>6512</v>
      </c>
      <c r="G394" s="3470"/>
      <c r="H394" s="3453" t="s">
        <v>6513</v>
      </c>
      <c r="I394" s="3453" t="s">
        <v>4255</v>
      </c>
      <c r="J394" s="3453" t="s">
        <v>5115</v>
      </c>
      <c r="K394" s="3470" t="s">
        <v>6514</v>
      </c>
      <c r="L394" s="3495">
        <v>225.04</v>
      </c>
      <c r="M394" s="3495" t="s">
        <v>6515</v>
      </c>
      <c r="N394" s="3470" t="s">
        <v>6516</v>
      </c>
      <c r="O394" s="3495">
        <v>187.09</v>
      </c>
      <c r="P394" s="3453" t="s">
        <v>4222</v>
      </c>
      <c r="Q394" s="3600">
        <v>1433950.3791999999</v>
      </c>
      <c r="R394" s="3470">
        <v>6371.98</v>
      </c>
      <c r="S394" s="3472">
        <v>142</v>
      </c>
      <c r="T394" s="3527">
        <v>1420000</v>
      </c>
      <c r="U394" s="3470">
        <v>6310</v>
      </c>
      <c r="V394" s="3474">
        <v>0.1</v>
      </c>
      <c r="W394" s="3475">
        <v>127.8</v>
      </c>
      <c r="X394" s="3527">
        <v>1278000</v>
      </c>
      <c r="Y394" s="3441">
        <v>2003</v>
      </c>
      <c r="Z394" s="3441">
        <v>6</v>
      </c>
      <c r="AA394" s="3441">
        <v>4</v>
      </c>
      <c r="AB394" s="3485">
        <v>6050</v>
      </c>
      <c r="AC394" s="3470" t="s">
        <v>3544</v>
      </c>
      <c r="AD394" s="3470"/>
      <c r="AE394" s="3456" t="s">
        <v>3663</v>
      </c>
      <c r="AF394" s="3453" t="s">
        <v>4487</v>
      </c>
      <c r="AG394" s="3470" t="s">
        <v>3466</v>
      </c>
      <c r="AH394" s="3470"/>
      <c r="AI394" s="3470" t="s">
        <v>4849</v>
      </c>
      <c r="AJ394" s="3478">
        <v>37772</v>
      </c>
      <c r="AK394" s="3500">
        <v>6</v>
      </c>
      <c r="AL394" s="3495">
        <v>67641700</v>
      </c>
      <c r="AM394" s="3470" t="s">
        <v>3568</v>
      </c>
      <c r="AN394" s="3480" t="s">
        <v>3456</v>
      </c>
      <c r="AO394" s="3470" t="s">
        <v>3715</v>
      </c>
      <c r="AP394" s="3456" t="s">
        <v>3721</v>
      </c>
      <c r="AQ394" s="3456" t="s">
        <v>3571</v>
      </c>
      <c r="AR394" s="3470"/>
      <c r="AS394" s="3470"/>
      <c r="AT394" s="3470"/>
      <c r="AU394" s="3470"/>
      <c r="AV394" s="3495" t="s">
        <v>3568</v>
      </c>
      <c r="AW394" s="3470" t="s">
        <v>3572</v>
      </c>
      <c r="AX394" s="3470"/>
      <c r="AY394" s="3453">
        <v>183599</v>
      </c>
      <c r="AZ394" s="3470" t="s">
        <v>6514</v>
      </c>
      <c r="BA394" s="3470" t="s">
        <v>6517</v>
      </c>
      <c r="BB394" s="3470" t="s">
        <v>6518</v>
      </c>
      <c r="BC394" s="3470" t="s">
        <v>6519</v>
      </c>
      <c r="BD394" s="3470">
        <v>100089</v>
      </c>
      <c r="BE394" s="3470">
        <v>88471460</v>
      </c>
      <c r="BF394" s="3520">
        <v>2.9</v>
      </c>
      <c r="BG394" s="3478">
        <v>37603</v>
      </c>
      <c r="BH394" s="3470" t="s">
        <v>4711</v>
      </c>
      <c r="BI394" s="3470" t="s">
        <v>3700</v>
      </c>
      <c r="BJ394" s="3478">
        <v>37774</v>
      </c>
      <c r="BK394" s="3470"/>
      <c r="BL394" s="3470" t="s">
        <v>3594</v>
      </c>
      <c r="BS394" s="3470"/>
      <c r="BT394" s="3470"/>
      <c r="BU394" s="3470"/>
      <c r="BV394" s="3470"/>
      <c r="BW394" s="3470"/>
      <c r="BX394" s="3470"/>
      <c r="BY394" s="3470"/>
      <c r="BZ394" s="3470"/>
      <c r="CA394" s="3470"/>
      <c r="CB394" s="3470"/>
      <c r="CC394" s="3470"/>
      <c r="CD394" s="3470"/>
      <c r="CE394" s="3470"/>
      <c r="CF394" s="3470"/>
      <c r="CG394" s="3470"/>
      <c r="CH394" s="3470"/>
      <c r="CI394" s="3470"/>
      <c r="CJ394" s="3470"/>
      <c r="CK394" s="3470"/>
      <c r="CL394" s="3470"/>
      <c r="CM394" s="3470"/>
      <c r="CN394" s="3470"/>
      <c r="CO394" s="3470"/>
      <c r="CP394" s="3470"/>
      <c r="CQ394" s="3470"/>
      <c r="CR394" s="3470"/>
      <c r="CS394" s="3470"/>
      <c r="CT394" s="3470"/>
      <c r="CU394" s="3470"/>
      <c r="CV394" s="3470"/>
      <c r="CW394" s="3470"/>
      <c r="CX394" s="3470"/>
      <c r="CY394" s="3470"/>
      <c r="CZ394" s="3470"/>
      <c r="DA394" s="3470"/>
      <c r="DB394" s="3470"/>
      <c r="DC394" s="3470"/>
      <c r="DD394" s="3470"/>
      <c r="DE394" s="3470"/>
      <c r="DF394" s="3470"/>
      <c r="DG394" s="3470"/>
      <c r="DH394" s="3470"/>
      <c r="DI394" s="3470"/>
      <c r="DJ394" s="3470"/>
      <c r="DK394" s="3470"/>
      <c r="DL394" s="3470"/>
      <c r="DM394" s="3470"/>
      <c r="DN394" s="3470"/>
      <c r="DO394" s="3470"/>
      <c r="DP394" s="3470"/>
      <c r="DQ394" s="3470"/>
      <c r="DR394" s="3470"/>
      <c r="DS394" s="3470"/>
      <c r="DT394" s="3470"/>
      <c r="DU394" s="3470"/>
      <c r="DV394" s="3470"/>
      <c r="DW394" s="3470"/>
      <c r="DX394" s="3470"/>
      <c r="DY394" s="3470"/>
      <c r="DZ394" s="3470"/>
      <c r="EA394" s="3470"/>
      <c r="EB394" s="3470"/>
      <c r="EC394" s="3470"/>
      <c r="ED394" s="3470"/>
      <c r="EE394" s="3470"/>
      <c r="EF394" s="3470"/>
      <c r="EG394" s="3470"/>
      <c r="EH394" s="3470"/>
      <c r="EI394" s="3470"/>
      <c r="EJ394" s="3470"/>
      <c r="EK394" s="3470"/>
      <c r="EL394" s="3470"/>
      <c r="EM394" s="3470"/>
      <c r="EN394" s="3470"/>
      <c r="EO394" s="3470"/>
      <c r="EP394" s="3470"/>
      <c r="EQ394" s="3470"/>
      <c r="ER394" s="3470"/>
      <c r="ES394" s="3470"/>
      <c r="ET394" s="3470"/>
      <c r="EU394" s="3470"/>
      <c r="EV394" s="3470"/>
      <c r="EW394" s="3470"/>
      <c r="EX394" s="3470"/>
      <c r="EY394" s="3470"/>
      <c r="EZ394" s="3470"/>
      <c r="FA394" s="3470"/>
      <c r="FB394" s="3470"/>
      <c r="FC394" s="3470"/>
      <c r="FD394" s="3470"/>
      <c r="FE394" s="3470"/>
      <c r="FF394" s="3470"/>
      <c r="FG394" s="3470"/>
      <c r="FH394" s="3470"/>
      <c r="FI394" s="3470"/>
      <c r="FJ394" s="3470"/>
      <c r="FK394" s="3470"/>
      <c r="FL394" s="3470"/>
      <c r="FM394" s="3470"/>
      <c r="FN394" s="3470"/>
      <c r="FO394" s="3470"/>
      <c r="FP394" s="3470"/>
      <c r="FQ394" s="3470"/>
      <c r="FR394" s="3470"/>
      <c r="FS394" s="3470"/>
      <c r="FT394" s="3470"/>
      <c r="FU394" s="3470"/>
      <c r="FV394" s="3470"/>
      <c r="FW394" s="3470"/>
      <c r="FX394" s="3470"/>
      <c r="FY394" s="3470"/>
      <c r="FZ394" s="3470"/>
      <c r="GA394" s="3470"/>
      <c r="GB394" s="3470"/>
      <c r="GC394" s="3470"/>
      <c r="GD394" s="3470"/>
      <c r="GE394" s="3470"/>
      <c r="GF394" s="3470"/>
      <c r="GG394" s="3470"/>
      <c r="GH394" s="3470"/>
      <c r="GI394" s="3470"/>
      <c r="GJ394" s="3470"/>
      <c r="GK394" s="3470"/>
      <c r="GL394" s="3470"/>
      <c r="GM394" s="3470"/>
      <c r="GN394" s="3470"/>
      <c r="GO394" s="3470"/>
      <c r="GP394" s="3470"/>
      <c r="GQ394" s="3470"/>
      <c r="GR394" s="3470"/>
      <c r="GS394" s="3470"/>
      <c r="GT394" s="3470"/>
      <c r="GU394" s="3470"/>
      <c r="GV394" s="3470"/>
      <c r="GW394" s="3470"/>
      <c r="GX394" s="3470"/>
      <c r="GY394" s="3470"/>
      <c r="GZ394" s="3470"/>
      <c r="HA394" s="3470"/>
      <c r="HB394" s="3470"/>
      <c r="HC394" s="3470"/>
      <c r="HD394" s="3470"/>
      <c r="HE394" s="3470"/>
      <c r="HF394" s="3470"/>
      <c r="HG394" s="3470"/>
      <c r="HH394" s="3470"/>
      <c r="HI394" s="3470"/>
      <c r="HJ394" s="3470"/>
      <c r="HK394" s="3470"/>
      <c r="HL394" s="3470"/>
      <c r="HM394" s="3470"/>
      <c r="HN394" s="3470"/>
      <c r="HO394" s="3470"/>
      <c r="HP394" s="3470"/>
      <c r="HQ394" s="3470"/>
      <c r="HR394" s="3470"/>
      <c r="HS394" s="3470"/>
      <c r="HT394" s="3470"/>
      <c r="HU394" s="3470"/>
      <c r="HV394" s="3470"/>
      <c r="HW394" s="3470"/>
      <c r="HX394" s="3470"/>
      <c r="HY394" s="3470"/>
      <c r="HZ394" s="3470"/>
      <c r="IA394" s="3470"/>
      <c r="IB394" s="3470"/>
      <c r="IC394" s="3470"/>
      <c r="ID394" s="3470"/>
      <c r="IE394" s="3470"/>
      <c r="IF394" s="3470"/>
      <c r="IG394" s="3470"/>
      <c r="IH394" s="3470"/>
      <c r="II394" s="3470"/>
      <c r="IJ394" s="3470"/>
      <c r="IK394" s="3470"/>
      <c r="IL394" s="3470"/>
      <c r="IM394" s="3470"/>
      <c r="IN394" s="3470"/>
      <c r="IO394" s="3470"/>
      <c r="IP394" s="3470"/>
      <c r="IQ394" s="3470"/>
      <c r="IR394" s="3470"/>
      <c r="IS394" s="3470"/>
    </row>
    <row r="395" spans="1:253" s="3441" customFormat="1" ht="12" hidden="1">
      <c r="A395" s="3470" t="s">
        <v>6520</v>
      </c>
      <c r="B395" s="3470" t="s">
        <v>6521</v>
      </c>
      <c r="C395" s="3481" t="s">
        <v>6522</v>
      </c>
      <c r="D395" s="3470">
        <v>13520462713</v>
      </c>
      <c r="E395" s="3470" t="s">
        <v>3538</v>
      </c>
      <c r="F395" s="3470" t="s">
        <v>4345</v>
      </c>
      <c r="G395" s="3470"/>
      <c r="H395" s="3470" t="s">
        <v>5486</v>
      </c>
      <c r="I395" s="3470" t="s">
        <v>4854</v>
      </c>
      <c r="J395" s="3470" t="s">
        <v>4325</v>
      </c>
      <c r="K395" s="3470" t="s">
        <v>4347</v>
      </c>
      <c r="L395" s="3470">
        <v>90.35</v>
      </c>
      <c r="M395" s="3470">
        <v>5</v>
      </c>
      <c r="N395" s="3470" t="s">
        <v>3451</v>
      </c>
      <c r="O395" s="3470">
        <v>77.27</v>
      </c>
      <c r="P395" s="3470" t="s">
        <v>3452</v>
      </c>
      <c r="Q395" s="3457">
        <v>438197.5</v>
      </c>
      <c r="R395" s="3470">
        <v>4850</v>
      </c>
      <c r="S395" s="3472">
        <v>43.36</v>
      </c>
      <c r="T395" s="3527">
        <v>433600</v>
      </c>
      <c r="U395" s="3470">
        <v>4800</v>
      </c>
      <c r="V395" s="3474">
        <v>0.1</v>
      </c>
      <c r="W395" s="3475">
        <v>39.020000000000003</v>
      </c>
      <c r="X395" s="3473">
        <v>390200</v>
      </c>
      <c r="Y395" s="3441">
        <v>2003</v>
      </c>
      <c r="Z395" s="3441">
        <v>6</v>
      </c>
      <c r="AA395" s="3470">
        <v>4</v>
      </c>
      <c r="AB395" s="3485">
        <v>2165</v>
      </c>
      <c r="AC395" s="3470" t="s">
        <v>5577</v>
      </c>
      <c r="AD395" s="3470"/>
      <c r="AE395" s="3470" t="s">
        <v>2156</v>
      </c>
      <c r="AF395" s="3470" t="s">
        <v>4126</v>
      </c>
      <c r="AG395" s="3470" t="s">
        <v>3546</v>
      </c>
      <c r="AH395" s="3470"/>
      <c r="AI395" s="3470" t="s">
        <v>4955</v>
      </c>
      <c r="AJ395" s="3478">
        <v>37790</v>
      </c>
      <c r="AK395" s="3500">
        <v>6</v>
      </c>
      <c r="AL395" s="3470">
        <v>67641700</v>
      </c>
      <c r="AM395" s="3470"/>
      <c r="AN395" s="3480" t="s">
        <v>3619</v>
      </c>
      <c r="AO395" s="3470"/>
      <c r="AP395" s="3470" t="s">
        <v>3922</v>
      </c>
      <c r="AQ395" s="3470" t="s">
        <v>3714</v>
      </c>
      <c r="AR395" s="3470"/>
      <c r="AS395" s="3470"/>
      <c r="AT395" s="3470"/>
      <c r="AU395" s="3470"/>
      <c r="AV395" s="3470" t="s">
        <v>3588</v>
      </c>
      <c r="AW395" s="3470" t="s">
        <v>3458</v>
      </c>
      <c r="AX395" s="3470" t="s">
        <v>4046</v>
      </c>
      <c r="AY395" s="3481" t="s">
        <v>6523</v>
      </c>
      <c r="AZ395" s="3470" t="s">
        <v>5487</v>
      </c>
      <c r="BA395" s="3470" t="s">
        <v>6462</v>
      </c>
      <c r="BB395" s="3481" t="s">
        <v>4350</v>
      </c>
      <c r="BC395" s="3470" t="s">
        <v>6524</v>
      </c>
      <c r="BD395" s="3482">
        <v>100010</v>
      </c>
      <c r="BE395" s="3470">
        <v>65233356</v>
      </c>
      <c r="BF395" s="3483">
        <v>2.7</v>
      </c>
      <c r="BG395" s="3478">
        <v>37644</v>
      </c>
      <c r="BH395" s="3470"/>
      <c r="BI395" s="3470" t="s">
        <v>3922</v>
      </c>
      <c r="BJ395" s="3478">
        <v>37774</v>
      </c>
      <c r="BK395" s="3478"/>
      <c r="BL395" s="3441" t="s">
        <v>6525</v>
      </c>
      <c r="BS395" s="3470"/>
      <c r="BT395" s="3470"/>
      <c r="BU395" s="3470"/>
      <c r="BV395" s="3472"/>
      <c r="BW395" s="3472"/>
      <c r="BX395" s="3472"/>
      <c r="BY395" s="3472"/>
      <c r="BZ395" s="3472"/>
      <c r="CA395" s="3472"/>
      <c r="CB395" s="3472"/>
      <c r="CC395" s="3472"/>
      <c r="CD395" s="3472"/>
      <c r="CE395" s="3472"/>
      <c r="CF395" s="3472"/>
      <c r="CG395" s="3472"/>
      <c r="CH395" s="3472"/>
      <c r="CI395" s="3472"/>
      <c r="CJ395" s="3472"/>
      <c r="CK395" s="3472"/>
      <c r="CL395" s="3472"/>
      <c r="CM395" s="3472"/>
      <c r="CN395" s="3472"/>
      <c r="CO395" s="3472"/>
      <c r="CP395" s="3472"/>
      <c r="CQ395" s="3472"/>
      <c r="CR395" s="3472"/>
      <c r="CS395" s="3472"/>
      <c r="CT395" s="3472"/>
      <c r="CU395" s="3472"/>
      <c r="CV395" s="3472"/>
      <c r="CW395" s="3472"/>
      <c r="CX395" s="3472"/>
      <c r="CY395" s="3472"/>
      <c r="CZ395" s="3472"/>
      <c r="DA395" s="3472"/>
      <c r="DB395" s="3472"/>
      <c r="DC395" s="3472"/>
      <c r="DD395" s="3472"/>
      <c r="DE395" s="3472"/>
      <c r="DF395" s="3472"/>
      <c r="DG395" s="3472"/>
      <c r="DH395" s="3472"/>
      <c r="DI395" s="3472"/>
      <c r="DJ395" s="3472"/>
      <c r="DK395" s="3472"/>
      <c r="DL395" s="3472"/>
      <c r="DM395" s="3472"/>
      <c r="DN395" s="3472"/>
      <c r="DO395" s="3472"/>
      <c r="DP395" s="3472"/>
      <c r="DQ395" s="3472"/>
      <c r="DR395" s="3472"/>
      <c r="DS395" s="3472"/>
      <c r="DT395" s="3472"/>
      <c r="DU395" s="3472"/>
      <c r="DV395" s="3472"/>
      <c r="DW395" s="3472"/>
      <c r="DX395" s="3472"/>
      <c r="DY395" s="3472"/>
      <c r="DZ395" s="3472"/>
      <c r="EA395" s="3472"/>
      <c r="EB395" s="3472"/>
      <c r="EC395" s="3472"/>
      <c r="ED395" s="3472"/>
      <c r="EE395" s="3472"/>
      <c r="EF395" s="3472"/>
      <c r="EG395" s="3472"/>
      <c r="EH395" s="3472"/>
      <c r="EI395" s="3472"/>
      <c r="EJ395" s="3472"/>
      <c r="EK395" s="3472"/>
      <c r="EL395" s="3472"/>
      <c r="EM395" s="3472"/>
      <c r="EN395" s="3472"/>
      <c r="EO395" s="3472"/>
      <c r="EP395" s="3472"/>
      <c r="EQ395" s="3472"/>
      <c r="ER395" s="3472"/>
      <c r="ES395" s="3472"/>
      <c r="ET395" s="3472"/>
      <c r="EU395" s="3472"/>
      <c r="EV395" s="3472"/>
      <c r="EW395" s="3472"/>
      <c r="EX395" s="3472"/>
      <c r="EY395" s="3472"/>
      <c r="EZ395" s="3472"/>
      <c r="FA395" s="3472"/>
      <c r="FB395" s="3472"/>
      <c r="FC395" s="3472"/>
      <c r="FD395" s="3472"/>
      <c r="FE395" s="3472"/>
      <c r="FF395" s="3472"/>
      <c r="FG395" s="3472"/>
      <c r="FH395" s="3472"/>
      <c r="FI395" s="3472"/>
      <c r="FJ395" s="3472"/>
      <c r="FK395" s="3472"/>
      <c r="FL395" s="3472"/>
      <c r="FM395" s="3472"/>
      <c r="FN395" s="3472"/>
      <c r="FO395" s="3472"/>
      <c r="FP395" s="3472"/>
      <c r="FQ395" s="3472"/>
      <c r="FR395" s="3472"/>
      <c r="FS395" s="3472"/>
      <c r="FT395" s="3472"/>
      <c r="FU395" s="3472"/>
      <c r="FV395" s="3472"/>
      <c r="FW395" s="3472"/>
      <c r="FX395" s="3472"/>
      <c r="FY395" s="3472"/>
      <c r="FZ395" s="3472"/>
      <c r="GA395" s="3472"/>
      <c r="GB395" s="3472"/>
      <c r="GC395" s="3472"/>
      <c r="GD395" s="3472"/>
      <c r="GE395" s="3472"/>
      <c r="GF395" s="3472"/>
      <c r="GG395" s="3472"/>
      <c r="GH395" s="3472"/>
      <c r="GI395" s="3472"/>
      <c r="GJ395" s="3472"/>
      <c r="GK395" s="3472"/>
      <c r="GL395" s="3472"/>
      <c r="GM395" s="3472"/>
      <c r="GN395" s="3472"/>
      <c r="GO395" s="3472"/>
      <c r="GP395" s="3472"/>
      <c r="GQ395" s="3472"/>
      <c r="GR395" s="3472"/>
      <c r="GS395" s="3472"/>
      <c r="GT395" s="3472"/>
      <c r="GU395" s="3472"/>
      <c r="GV395" s="3472"/>
      <c r="GW395" s="3472"/>
      <c r="GX395" s="3472"/>
      <c r="GY395" s="3472"/>
      <c r="GZ395" s="3472"/>
      <c r="HA395" s="3472"/>
      <c r="HB395" s="3472"/>
      <c r="HC395" s="3472"/>
      <c r="HD395" s="3472"/>
      <c r="HE395" s="3472"/>
      <c r="HF395" s="3472"/>
      <c r="HG395" s="3472"/>
      <c r="HH395" s="3472"/>
      <c r="HI395" s="3472"/>
      <c r="HJ395" s="3472"/>
      <c r="HK395" s="3472"/>
      <c r="HL395" s="3472"/>
      <c r="HM395" s="3472"/>
      <c r="HN395" s="3472"/>
      <c r="HO395" s="3472"/>
      <c r="HP395" s="3472"/>
      <c r="HQ395" s="3472"/>
      <c r="HR395" s="3472"/>
      <c r="HS395" s="3472"/>
      <c r="HT395" s="3472"/>
      <c r="HU395" s="3472"/>
      <c r="HV395" s="3472"/>
      <c r="HW395" s="3472"/>
      <c r="HX395" s="3472"/>
      <c r="HY395" s="3472"/>
      <c r="HZ395" s="3472"/>
      <c r="IA395" s="3472"/>
      <c r="IB395" s="3472"/>
      <c r="IC395" s="3472"/>
      <c r="ID395" s="3472"/>
      <c r="IE395" s="3472"/>
      <c r="IF395" s="3472"/>
      <c r="IG395" s="3472"/>
      <c r="IH395" s="3472"/>
      <c r="II395" s="3472"/>
      <c r="IJ395" s="3472"/>
      <c r="IK395" s="3472"/>
      <c r="IL395" s="3472"/>
      <c r="IM395" s="3472"/>
      <c r="IN395" s="3472"/>
      <c r="IO395" s="3472"/>
      <c r="IP395" s="3472"/>
      <c r="IQ395" s="3472"/>
      <c r="IR395" s="3472"/>
      <c r="IS395" s="3472"/>
    </row>
    <row r="396" spans="1:253" s="3441" customFormat="1" ht="12" hidden="1">
      <c r="A396" s="3470" t="s">
        <v>6526</v>
      </c>
      <c r="B396" s="3470" t="s">
        <v>6527</v>
      </c>
      <c r="C396" s="3481" t="s">
        <v>6528</v>
      </c>
      <c r="D396" s="3481" t="s">
        <v>6529</v>
      </c>
      <c r="E396" s="3470" t="s">
        <v>2736</v>
      </c>
      <c r="F396" s="3470" t="s">
        <v>6448</v>
      </c>
      <c r="G396" s="3470"/>
      <c r="H396" s="3470" t="s">
        <v>6530</v>
      </c>
      <c r="I396" s="3470" t="s">
        <v>4854</v>
      </c>
      <c r="J396" s="3470" t="s">
        <v>3495</v>
      </c>
      <c r="K396" s="3470" t="s">
        <v>6450</v>
      </c>
      <c r="L396" s="3470">
        <v>105.74</v>
      </c>
      <c r="M396" s="3470">
        <v>2</v>
      </c>
      <c r="N396" s="3470" t="s">
        <v>4043</v>
      </c>
      <c r="O396" s="3470">
        <v>93.66</v>
      </c>
      <c r="P396" s="3470" t="s">
        <v>3452</v>
      </c>
      <c r="Q396" s="3457">
        <v>558307.19999999995</v>
      </c>
      <c r="R396" s="3495">
        <v>5280</v>
      </c>
      <c r="S396" s="3472">
        <v>55.3</v>
      </c>
      <c r="T396" s="3527">
        <v>553000</v>
      </c>
      <c r="U396" s="3470">
        <v>5230</v>
      </c>
      <c r="V396" s="3474">
        <v>0.1</v>
      </c>
      <c r="W396" s="3475">
        <v>49.77</v>
      </c>
      <c r="X396" s="3476">
        <v>497700</v>
      </c>
      <c r="Y396" s="3470">
        <v>2003</v>
      </c>
      <c r="Z396" s="3470">
        <v>6</v>
      </c>
      <c r="AA396" s="3495">
        <v>4</v>
      </c>
      <c r="AB396" s="3477">
        <v>2765</v>
      </c>
      <c r="AC396" s="3470" t="s">
        <v>3648</v>
      </c>
      <c r="AD396" s="3470"/>
      <c r="AE396" s="3470" t="s">
        <v>3547</v>
      </c>
      <c r="AF396" s="3470" t="s">
        <v>6475</v>
      </c>
      <c r="AG396" s="3470" t="s">
        <v>3454</v>
      </c>
      <c r="AH396" s="3470"/>
      <c r="AI396" s="3470" t="s">
        <v>6531</v>
      </c>
      <c r="AJ396" s="3478">
        <v>37681</v>
      </c>
      <c r="AK396" s="3500">
        <v>6</v>
      </c>
      <c r="AL396" s="3470">
        <v>67641700</v>
      </c>
      <c r="AM396" s="3470"/>
      <c r="AN396" s="3470" t="s">
        <v>3570</v>
      </c>
      <c r="AO396" s="3470"/>
      <c r="AP396" s="3470" t="s">
        <v>3922</v>
      </c>
      <c r="AQ396" s="3470" t="s">
        <v>3457</v>
      </c>
      <c r="AR396" s="3470"/>
      <c r="AS396" s="3470"/>
      <c r="AT396" s="3470"/>
      <c r="AU396" s="3470"/>
      <c r="AV396" s="3470"/>
      <c r="AW396" s="3470" t="s">
        <v>3458</v>
      </c>
      <c r="AX396" s="3508" t="s">
        <v>6532</v>
      </c>
      <c r="AY396" s="3481" t="s">
        <v>6533</v>
      </c>
      <c r="AZ396" s="3470" t="s">
        <v>6453</v>
      </c>
      <c r="BA396" s="3470" t="s">
        <v>6454</v>
      </c>
      <c r="BB396" s="3481" t="s">
        <v>6478</v>
      </c>
      <c r="BC396" s="3470" t="s">
        <v>6479</v>
      </c>
      <c r="BD396" s="3470">
        <v>100091</v>
      </c>
      <c r="BE396" s="3470">
        <v>62898116</v>
      </c>
      <c r="BF396" s="3470">
        <v>2.9</v>
      </c>
      <c r="BG396" s="3478">
        <v>37241</v>
      </c>
      <c r="BH396" s="3470" t="s">
        <v>2420</v>
      </c>
      <c r="BI396" s="3470" t="s">
        <v>3476</v>
      </c>
      <c r="BJ396" s="3508">
        <v>37774</v>
      </c>
      <c r="BK396" s="3508"/>
      <c r="BL396" s="3470" t="s">
        <v>3670</v>
      </c>
      <c r="BM396" s="3470"/>
      <c r="BN396" s="3470"/>
      <c r="BO396" s="3470"/>
      <c r="BS396" s="3470"/>
      <c r="BT396" s="3470"/>
      <c r="BU396" s="3470"/>
      <c r="BV396" s="3472"/>
      <c r="BW396" s="3472"/>
      <c r="BX396" s="3472"/>
      <c r="BY396" s="3472"/>
      <c r="BZ396" s="3472"/>
      <c r="CA396" s="3472"/>
      <c r="CB396" s="3472"/>
      <c r="CC396" s="3472"/>
      <c r="CD396" s="3472"/>
      <c r="CE396" s="3472"/>
      <c r="CF396" s="3472"/>
      <c r="CG396" s="3472"/>
      <c r="CH396" s="3472"/>
      <c r="CI396" s="3472"/>
      <c r="CJ396" s="3472"/>
      <c r="CK396" s="3472"/>
      <c r="CL396" s="3472"/>
      <c r="CM396" s="3472"/>
      <c r="CN396" s="3472"/>
      <c r="CO396" s="3472"/>
      <c r="CP396" s="3472"/>
      <c r="CQ396" s="3472"/>
      <c r="CR396" s="3472"/>
      <c r="CS396" s="3472"/>
      <c r="CT396" s="3472"/>
      <c r="CU396" s="3472"/>
      <c r="CV396" s="3472"/>
      <c r="CW396" s="3472"/>
      <c r="CX396" s="3472"/>
      <c r="CY396" s="3472"/>
      <c r="CZ396" s="3472"/>
      <c r="DA396" s="3472"/>
      <c r="DB396" s="3472"/>
      <c r="DC396" s="3472"/>
      <c r="DD396" s="3472"/>
      <c r="DE396" s="3472"/>
      <c r="DF396" s="3472"/>
      <c r="DG396" s="3472"/>
      <c r="DH396" s="3472"/>
      <c r="DI396" s="3472"/>
      <c r="DJ396" s="3472"/>
      <c r="DK396" s="3472"/>
      <c r="DL396" s="3472"/>
      <c r="DM396" s="3472"/>
      <c r="DN396" s="3472"/>
      <c r="DO396" s="3472"/>
      <c r="DP396" s="3472"/>
      <c r="DQ396" s="3472"/>
      <c r="DR396" s="3472"/>
      <c r="DS396" s="3472"/>
      <c r="DT396" s="3472"/>
      <c r="DU396" s="3472"/>
      <c r="DV396" s="3472"/>
      <c r="DW396" s="3472"/>
      <c r="DX396" s="3472"/>
      <c r="DY396" s="3472"/>
      <c r="DZ396" s="3472"/>
      <c r="EA396" s="3472"/>
      <c r="EB396" s="3472"/>
      <c r="EC396" s="3472"/>
      <c r="ED396" s="3472"/>
      <c r="EE396" s="3472"/>
      <c r="EF396" s="3472"/>
      <c r="EG396" s="3472"/>
      <c r="EH396" s="3472"/>
      <c r="EI396" s="3472"/>
      <c r="EJ396" s="3472"/>
      <c r="EK396" s="3472"/>
      <c r="EL396" s="3472"/>
      <c r="EM396" s="3472"/>
      <c r="EN396" s="3472"/>
      <c r="EO396" s="3472"/>
      <c r="EP396" s="3472"/>
      <c r="EQ396" s="3472"/>
      <c r="ER396" s="3472"/>
      <c r="ES396" s="3472"/>
      <c r="ET396" s="3472"/>
      <c r="EU396" s="3472"/>
      <c r="EV396" s="3472"/>
      <c r="EW396" s="3472"/>
      <c r="EX396" s="3472"/>
      <c r="EY396" s="3472"/>
      <c r="EZ396" s="3472"/>
      <c r="FA396" s="3472"/>
      <c r="FB396" s="3472"/>
      <c r="FC396" s="3472"/>
      <c r="FD396" s="3472"/>
      <c r="FE396" s="3472"/>
      <c r="FF396" s="3472"/>
      <c r="FG396" s="3472"/>
      <c r="FH396" s="3472"/>
      <c r="FI396" s="3472"/>
      <c r="FJ396" s="3472"/>
      <c r="FK396" s="3472"/>
      <c r="FL396" s="3472"/>
      <c r="FM396" s="3472"/>
      <c r="FN396" s="3472"/>
      <c r="FO396" s="3472"/>
      <c r="FP396" s="3472"/>
      <c r="FQ396" s="3472"/>
      <c r="FR396" s="3472"/>
      <c r="FS396" s="3472"/>
      <c r="FT396" s="3472"/>
      <c r="FU396" s="3472"/>
      <c r="FV396" s="3472"/>
      <c r="FW396" s="3472"/>
      <c r="FX396" s="3472"/>
      <c r="FY396" s="3472"/>
      <c r="FZ396" s="3472"/>
      <c r="GA396" s="3472"/>
      <c r="GB396" s="3472"/>
      <c r="GC396" s="3472"/>
      <c r="GD396" s="3472"/>
      <c r="GE396" s="3472"/>
      <c r="GF396" s="3472"/>
      <c r="GG396" s="3472"/>
      <c r="GH396" s="3472"/>
      <c r="GI396" s="3472"/>
      <c r="GJ396" s="3472"/>
      <c r="GK396" s="3472"/>
      <c r="GL396" s="3472"/>
      <c r="GM396" s="3472"/>
      <c r="GN396" s="3472"/>
      <c r="GO396" s="3472"/>
      <c r="GP396" s="3472"/>
      <c r="GQ396" s="3472"/>
      <c r="GR396" s="3472"/>
      <c r="GS396" s="3472"/>
      <c r="GT396" s="3472"/>
      <c r="GU396" s="3472"/>
      <c r="GV396" s="3472"/>
      <c r="GW396" s="3472"/>
      <c r="GX396" s="3472"/>
      <c r="GY396" s="3472"/>
      <c r="GZ396" s="3472"/>
      <c r="HA396" s="3472"/>
      <c r="HB396" s="3472"/>
      <c r="HC396" s="3472"/>
      <c r="HD396" s="3472"/>
      <c r="HE396" s="3472"/>
      <c r="HF396" s="3472"/>
      <c r="HG396" s="3472"/>
      <c r="HH396" s="3472"/>
      <c r="HI396" s="3472"/>
      <c r="HJ396" s="3472"/>
      <c r="HK396" s="3472"/>
      <c r="HL396" s="3472"/>
      <c r="HM396" s="3472"/>
      <c r="HN396" s="3472"/>
      <c r="HO396" s="3472"/>
      <c r="HP396" s="3472"/>
      <c r="HQ396" s="3472"/>
      <c r="HR396" s="3472"/>
      <c r="HS396" s="3472"/>
      <c r="HT396" s="3472"/>
      <c r="HU396" s="3472"/>
      <c r="HV396" s="3472"/>
      <c r="HW396" s="3472"/>
      <c r="HX396" s="3472"/>
      <c r="HY396" s="3472"/>
      <c r="HZ396" s="3472"/>
      <c r="IA396" s="3472"/>
      <c r="IB396" s="3472"/>
      <c r="IC396" s="3472"/>
      <c r="ID396" s="3472"/>
      <c r="IE396" s="3472"/>
      <c r="IF396" s="3472"/>
      <c r="IG396" s="3472"/>
      <c r="IH396" s="3472"/>
      <c r="II396" s="3472"/>
      <c r="IJ396" s="3472"/>
      <c r="IK396" s="3472"/>
      <c r="IL396" s="3472"/>
      <c r="IM396" s="3472"/>
      <c r="IN396" s="3472"/>
      <c r="IO396" s="3472"/>
      <c r="IP396" s="3472"/>
      <c r="IQ396" s="3472"/>
      <c r="IR396" s="3472"/>
      <c r="IS396" s="3472"/>
    </row>
    <row r="397" spans="1:253" s="3441" customFormat="1" ht="12" hidden="1">
      <c r="A397" s="3470" t="s">
        <v>6534</v>
      </c>
      <c r="B397" s="3470" t="s">
        <v>6535</v>
      </c>
      <c r="C397" s="3481" t="s">
        <v>6536</v>
      </c>
      <c r="D397" s="3481" t="s">
        <v>6537</v>
      </c>
      <c r="E397" s="3470" t="s">
        <v>3558</v>
      </c>
      <c r="F397" s="3528" t="s">
        <v>3951</v>
      </c>
      <c r="G397" s="3470"/>
      <c r="H397" s="3470" t="s">
        <v>4262</v>
      </c>
      <c r="I397" s="3470" t="s">
        <v>4441</v>
      </c>
      <c r="J397" s="3481" t="s">
        <v>6538</v>
      </c>
      <c r="K397" s="3470" t="s">
        <v>3955</v>
      </c>
      <c r="L397" s="3470">
        <v>95.07</v>
      </c>
      <c r="M397" s="3470">
        <v>6</v>
      </c>
      <c r="N397" s="3470" t="s">
        <v>3543</v>
      </c>
      <c r="O397" s="3470">
        <v>84.92</v>
      </c>
      <c r="P397" s="3470" t="s">
        <v>3452</v>
      </c>
      <c r="Q397" s="3457">
        <v>394996.83600000001</v>
      </c>
      <c r="R397" s="3470">
        <v>4154.8</v>
      </c>
      <c r="S397" s="3472">
        <v>39.03</v>
      </c>
      <c r="T397" s="3550">
        <v>390300</v>
      </c>
      <c r="U397" s="3470">
        <v>4106</v>
      </c>
      <c r="V397" s="3474">
        <v>0.1</v>
      </c>
      <c r="W397" s="3475">
        <v>35.119999999999997</v>
      </c>
      <c r="X397" s="3473">
        <v>351200</v>
      </c>
      <c r="Y397" s="3441">
        <v>2003</v>
      </c>
      <c r="Z397" s="3441">
        <v>6</v>
      </c>
      <c r="AA397" s="3470">
        <v>4</v>
      </c>
      <c r="AB397" s="3477">
        <v>1950</v>
      </c>
      <c r="AC397" s="3470" t="s">
        <v>4044</v>
      </c>
      <c r="AD397" s="3485"/>
      <c r="AE397" s="3441" t="s">
        <v>3663</v>
      </c>
      <c r="AF397" s="3470" t="s">
        <v>4152</v>
      </c>
      <c r="AG397" s="3522" t="s">
        <v>3466</v>
      </c>
      <c r="AH397" s="3485"/>
      <c r="AI397" s="3470" t="s">
        <v>3664</v>
      </c>
      <c r="AJ397" s="3523">
        <v>37832</v>
      </c>
      <c r="AK397" s="3500">
        <v>6</v>
      </c>
      <c r="AL397" s="3441" t="s">
        <v>3957</v>
      </c>
      <c r="AN397" s="3480" t="s">
        <v>3619</v>
      </c>
      <c r="AP397" s="3456" t="s">
        <v>3476</v>
      </c>
      <c r="AQ397" s="3441" t="s">
        <v>3571</v>
      </c>
      <c r="AV397" s="3441" t="s">
        <v>3568</v>
      </c>
      <c r="AW397" s="3441" t="s">
        <v>3572</v>
      </c>
      <c r="AX397" s="3441" t="s">
        <v>2511</v>
      </c>
      <c r="AY397" s="3524" t="s">
        <v>6539</v>
      </c>
      <c r="AZ397" s="3441" t="s">
        <v>3955</v>
      </c>
      <c r="BA397" s="3441" t="s">
        <v>3959</v>
      </c>
      <c r="BB397" s="3524" t="s">
        <v>3960</v>
      </c>
      <c r="BC397" s="3441" t="s">
        <v>3961</v>
      </c>
      <c r="BD397" s="3525">
        <v>102100</v>
      </c>
      <c r="BE397" s="3441">
        <v>62998398</v>
      </c>
      <c r="BF397" s="3526">
        <v>2.8</v>
      </c>
      <c r="BG397" s="3518">
        <v>37765</v>
      </c>
      <c r="BI397" s="3441" t="s">
        <v>5844</v>
      </c>
      <c r="BJ397" s="3478">
        <v>37775</v>
      </c>
      <c r="BK397" s="3484"/>
      <c r="BL397" s="3470" t="s">
        <v>3670</v>
      </c>
      <c r="BS397" s="3470"/>
      <c r="BT397" s="3470"/>
      <c r="BU397" s="3470"/>
      <c r="BV397" s="3472"/>
      <c r="BW397" s="3472"/>
      <c r="BX397" s="3472"/>
      <c r="BY397" s="3472"/>
      <c r="BZ397" s="3472"/>
      <c r="CA397" s="3472"/>
      <c r="CB397" s="3472"/>
      <c r="CC397" s="3472"/>
      <c r="CD397" s="3472"/>
      <c r="CE397" s="3472"/>
      <c r="CF397" s="3472"/>
      <c r="CG397" s="3472"/>
      <c r="CH397" s="3472"/>
      <c r="CI397" s="3472"/>
      <c r="CJ397" s="3472"/>
      <c r="CK397" s="3472"/>
      <c r="CL397" s="3472"/>
      <c r="CM397" s="3472"/>
      <c r="CN397" s="3472"/>
      <c r="CO397" s="3472"/>
      <c r="CP397" s="3472"/>
      <c r="CQ397" s="3472"/>
      <c r="CR397" s="3472"/>
      <c r="CS397" s="3472"/>
      <c r="CT397" s="3472"/>
      <c r="CU397" s="3472"/>
      <c r="CV397" s="3472"/>
      <c r="CW397" s="3472"/>
      <c r="CX397" s="3472"/>
      <c r="CY397" s="3472"/>
      <c r="CZ397" s="3472"/>
      <c r="DA397" s="3472"/>
      <c r="DB397" s="3472"/>
      <c r="DC397" s="3472"/>
      <c r="DD397" s="3472"/>
      <c r="DE397" s="3472"/>
      <c r="DF397" s="3472"/>
      <c r="DG397" s="3472"/>
      <c r="DH397" s="3472"/>
      <c r="DI397" s="3472"/>
      <c r="DJ397" s="3472"/>
      <c r="DK397" s="3472"/>
      <c r="DL397" s="3472"/>
      <c r="DM397" s="3472"/>
      <c r="DN397" s="3472"/>
      <c r="DO397" s="3472"/>
      <c r="DP397" s="3472"/>
      <c r="DQ397" s="3472"/>
      <c r="DR397" s="3472"/>
      <c r="DS397" s="3472"/>
      <c r="DT397" s="3472"/>
      <c r="DU397" s="3472"/>
      <c r="DV397" s="3472"/>
      <c r="DW397" s="3472"/>
      <c r="DX397" s="3472"/>
      <c r="DY397" s="3472"/>
      <c r="DZ397" s="3472"/>
      <c r="EA397" s="3472"/>
      <c r="EB397" s="3472"/>
      <c r="EC397" s="3472"/>
      <c r="ED397" s="3472"/>
      <c r="EE397" s="3472"/>
      <c r="EF397" s="3472"/>
      <c r="EG397" s="3472"/>
      <c r="EH397" s="3472"/>
      <c r="EI397" s="3472"/>
      <c r="EJ397" s="3472"/>
      <c r="EK397" s="3472"/>
      <c r="EL397" s="3472"/>
      <c r="EM397" s="3472"/>
      <c r="EN397" s="3472"/>
      <c r="EO397" s="3472"/>
      <c r="EP397" s="3472"/>
      <c r="EQ397" s="3472"/>
      <c r="ER397" s="3472"/>
      <c r="ES397" s="3472"/>
      <c r="ET397" s="3472"/>
      <c r="EU397" s="3472"/>
      <c r="EV397" s="3472"/>
      <c r="EW397" s="3472"/>
      <c r="EX397" s="3472"/>
      <c r="EY397" s="3472"/>
      <c r="EZ397" s="3472"/>
      <c r="FA397" s="3472"/>
      <c r="FB397" s="3472"/>
      <c r="FC397" s="3472"/>
      <c r="FD397" s="3472"/>
      <c r="FE397" s="3472"/>
      <c r="FF397" s="3472"/>
      <c r="FG397" s="3472"/>
      <c r="FH397" s="3472"/>
      <c r="FI397" s="3472"/>
      <c r="FJ397" s="3472"/>
      <c r="FK397" s="3472"/>
      <c r="FL397" s="3472"/>
      <c r="FM397" s="3472"/>
      <c r="FN397" s="3472"/>
      <c r="FO397" s="3472"/>
      <c r="FP397" s="3472"/>
      <c r="FQ397" s="3472"/>
      <c r="FR397" s="3472"/>
      <c r="FS397" s="3472"/>
      <c r="FT397" s="3472"/>
      <c r="FU397" s="3472"/>
      <c r="FV397" s="3472"/>
      <c r="FW397" s="3472"/>
      <c r="FX397" s="3472"/>
      <c r="FY397" s="3472"/>
      <c r="FZ397" s="3472"/>
      <c r="GA397" s="3472"/>
      <c r="GB397" s="3472"/>
      <c r="GC397" s="3472"/>
      <c r="GD397" s="3472"/>
      <c r="GE397" s="3472"/>
      <c r="GF397" s="3472"/>
      <c r="GG397" s="3472"/>
      <c r="GH397" s="3472"/>
      <c r="GI397" s="3472"/>
      <c r="GJ397" s="3472"/>
      <c r="GK397" s="3472"/>
      <c r="GL397" s="3472"/>
      <c r="GM397" s="3472"/>
      <c r="GN397" s="3472"/>
      <c r="GO397" s="3472"/>
      <c r="GP397" s="3472"/>
      <c r="GQ397" s="3472"/>
      <c r="GR397" s="3472"/>
      <c r="GS397" s="3472"/>
      <c r="GT397" s="3472"/>
      <c r="GU397" s="3472"/>
      <c r="GV397" s="3472"/>
      <c r="GW397" s="3472"/>
      <c r="GX397" s="3472"/>
      <c r="GY397" s="3472"/>
      <c r="GZ397" s="3472"/>
      <c r="HA397" s="3472"/>
      <c r="HB397" s="3472"/>
      <c r="HC397" s="3472"/>
      <c r="HD397" s="3472"/>
      <c r="HE397" s="3472"/>
      <c r="HF397" s="3472"/>
      <c r="HG397" s="3472"/>
      <c r="HH397" s="3472"/>
      <c r="HI397" s="3472"/>
      <c r="HJ397" s="3472"/>
      <c r="HK397" s="3472"/>
      <c r="HL397" s="3472"/>
      <c r="HM397" s="3472"/>
      <c r="HN397" s="3472"/>
      <c r="HO397" s="3472"/>
      <c r="HP397" s="3472"/>
      <c r="HQ397" s="3472"/>
      <c r="HR397" s="3472"/>
      <c r="HS397" s="3472"/>
      <c r="HT397" s="3472"/>
      <c r="HU397" s="3472"/>
      <c r="HV397" s="3472"/>
      <c r="HW397" s="3472"/>
      <c r="HX397" s="3472"/>
      <c r="HY397" s="3472"/>
      <c r="HZ397" s="3472"/>
      <c r="IA397" s="3472"/>
      <c r="IB397" s="3472"/>
      <c r="IC397" s="3472"/>
      <c r="ID397" s="3472"/>
      <c r="IE397" s="3472"/>
      <c r="IF397" s="3472"/>
      <c r="IG397" s="3472"/>
      <c r="IH397" s="3472"/>
      <c r="II397" s="3472"/>
      <c r="IJ397" s="3472"/>
      <c r="IK397" s="3472"/>
      <c r="IL397" s="3472"/>
      <c r="IM397" s="3472"/>
      <c r="IN397" s="3472"/>
      <c r="IO397" s="3472"/>
      <c r="IP397" s="3472"/>
      <c r="IQ397" s="3472"/>
      <c r="IR397" s="3472"/>
      <c r="IS397" s="3472"/>
    </row>
    <row r="398" spans="1:253" s="3441" customFormat="1" ht="12" hidden="1">
      <c r="A398" s="3485" t="s">
        <v>6540</v>
      </c>
      <c r="B398" s="3470" t="s">
        <v>6541</v>
      </c>
      <c r="C398" s="3481" t="s">
        <v>6542</v>
      </c>
      <c r="D398" s="3470">
        <v>13601116735</v>
      </c>
      <c r="E398" s="3470" t="s">
        <v>3558</v>
      </c>
      <c r="F398" s="3470" t="s">
        <v>6543</v>
      </c>
      <c r="G398" s="3470"/>
      <c r="H398" s="3470" t="s">
        <v>6114</v>
      </c>
      <c r="I398" s="3470" t="s">
        <v>6544</v>
      </c>
      <c r="J398" s="3470" t="s">
        <v>3789</v>
      </c>
      <c r="K398" s="3470" t="s">
        <v>6545</v>
      </c>
      <c r="L398" s="3470">
        <v>112.24</v>
      </c>
      <c r="M398" s="3470">
        <v>1</v>
      </c>
      <c r="N398" s="3470" t="s">
        <v>3543</v>
      </c>
      <c r="O398" s="3470">
        <v>99.81</v>
      </c>
      <c r="P398" s="3470" t="s">
        <v>3452</v>
      </c>
      <c r="Q398" s="3457">
        <v>350000.23680000001</v>
      </c>
      <c r="R398" s="3470">
        <v>3118.32</v>
      </c>
      <c r="S398" s="3472">
        <v>50.28</v>
      </c>
      <c r="T398" s="3527">
        <v>502800</v>
      </c>
      <c r="U398" s="3470">
        <v>4480</v>
      </c>
      <c r="V398" s="3474">
        <v>0.1</v>
      </c>
      <c r="W398" s="3475">
        <v>45.25</v>
      </c>
      <c r="X398" s="3494">
        <v>452500</v>
      </c>
      <c r="Y398" s="3470">
        <v>2003</v>
      </c>
      <c r="Z398" s="3470">
        <v>6</v>
      </c>
      <c r="AA398" s="3470">
        <v>6</v>
      </c>
      <c r="AB398" s="3477">
        <v>2510</v>
      </c>
      <c r="AC398" s="3470" t="s">
        <v>4294</v>
      </c>
      <c r="AD398" s="3470"/>
      <c r="AE398" s="3470" t="s">
        <v>3663</v>
      </c>
      <c r="AF398" s="3453" t="s">
        <v>3453</v>
      </c>
      <c r="AG398" s="3470" t="s">
        <v>3466</v>
      </c>
      <c r="AH398" s="3470" t="s">
        <v>6546</v>
      </c>
      <c r="AI398" s="3470" t="s">
        <v>4849</v>
      </c>
      <c r="AJ398" s="3523">
        <v>37749</v>
      </c>
      <c r="AK398" s="3500">
        <v>6</v>
      </c>
      <c r="AL398" s="3470">
        <v>67641700</v>
      </c>
      <c r="AM398" s="3470"/>
      <c r="AN398" s="3480" t="s">
        <v>3456</v>
      </c>
      <c r="AO398" s="3470"/>
      <c r="AP398" s="3441" t="s">
        <v>3476</v>
      </c>
      <c r="AQ398" s="3470" t="s">
        <v>3571</v>
      </c>
      <c r="AR398" s="3470" t="s">
        <v>3568</v>
      </c>
      <c r="AS398" s="3470" t="s">
        <v>3568</v>
      </c>
      <c r="AT398" s="3470" t="s">
        <v>3568</v>
      </c>
      <c r="AU398" s="3470"/>
      <c r="AV398" s="3470"/>
      <c r="AW398" s="3470" t="s">
        <v>3572</v>
      </c>
      <c r="AX398" s="3470" t="s">
        <v>2511</v>
      </c>
      <c r="AY398" s="3481" t="s">
        <v>6547</v>
      </c>
      <c r="AZ398" s="3470" t="s">
        <v>6548</v>
      </c>
      <c r="BA398" s="3470" t="s">
        <v>6549</v>
      </c>
      <c r="BB398" s="3481" t="s">
        <v>6550</v>
      </c>
      <c r="BC398" s="3470" t="s">
        <v>6551</v>
      </c>
      <c r="BD398" s="3482">
        <v>100085</v>
      </c>
      <c r="BE398" s="3470">
        <v>82750626</v>
      </c>
      <c r="BF398" s="3483">
        <v>2.7</v>
      </c>
      <c r="BG398" s="3478">
        <v>37734</v>
      </c>
      <c r="BH398" s="3470"/>
      <c r="BI398" s="3470" t="s">
        <v>3476</v>
      </c>
      <c r="BJ398" s="3484">
        <v>37775</v>
      </c>
      <c r="BK398" s="3508"/>
      <c r="BL398" s="3470" t="s">
        <v>3670</v>
      </c>
      <c r="BS398" s="3470"/>
      <c r="BT398" s="3470"/>
      <c r="BU398" s="3470"/>
      <c r="BV398" s="3472"/>
      <c r="BW398" s="3472"/>
      <c r="BX398" s="3472"/>
      <c r="BY398" s="3472"/>
      <c r="BZ398" s="3472"/>
      <c r="CA398" s="3472"/>
      <c r="CB398" s="3472"/>
      <c r="CC398" s="3472"/>
      <c r="CD398" s="3472"/>
      <c r="CE398" s="3472"/>
      <c r="CF398" s="3472"/>
      <c r="CG398" s="3472"/>
      <c r="CH398" s="3472"/>
      <c r="CI398" s="3472"/>
      <c r="CJ398" s="3472"/>
      <c r="CK398" s="3472"/>
      <c r="CL398" s="3472"/>
      <c r="CM398" s="3472"/>
      <c r="CN398" s="3472"/>
      <c r="CO398" s="3472"/>
      <c r="CP398" s="3472"/>
      <c r="CQ398" s="3472"/>
      <c r="CR398" s="3472"/>
      <c r="CS398" s="3472"/>
      <c r="CT398" s="3472"/>
      <c r="CU398" s="3472"/>
      <c r="CV398" s="3472"/>
      <c r="CW398" s="3472"/>
      <c r="CX398" s="3472"/>
      <c r="CY398" s="3472"/>
      <c r="CZ398" s="3472"/>
      <c r="DA398" s="3472"/>
      <c r="DB398" s="3472"/>
      <c r="DC398" s="3472"/>
      <c r="DD398" s="3472"/>
      <c r="DE398" s="3472"/>
      <c r="DF398" s="3472"/>
      <c r="DG398" s="3472"/>
      <c r="DH398" s="3472"/>
      <c r="DI398" s="3472"/>
      <c r="DJ398" s="3472"/>
      <c r="DK398" s="3472"/>
      <c r="DL398" s="3472"/>
      <c r="DM398" s="3472"/>
      <c r="DN398" s="3472"/>
      <c r="DO398" s="3472"/>
      <c r="DP398" s="3472"/>
      <c r="DQ398" s="3472"/>
      <c r="DR398" s="3472"/>
      <c r="DS398" s="3472"/>
      <c r="DT398" s="3472"/>
      <c r="DU398" s="3472"/>
      <c r="DV398" s="3472"/>
      <c r="DW398" s="3472"/>
      <c r="DX398" s="3472"/>
      <c r="DY398" s="3472"/>
      <c r="DZ398" s="3472"/>
      <c r="EA398" s="3472"/>
      <c r="EB398" s="3472"/>
      <c r="EC398" s="3472"/>
      <c r="ED398" s="3472"/>
      <c r="EE398" s="3472"/>
      <c r="EF398" s="3472"/>
      <c r="EG398" s="3472"/>
      <c r="EH398" s="3472"/>
      <c r="EI398" s="3472"/>
      <c r="EJ398" s="3472"/>
      <c r="EK398" s="3472"/>
      <c r="EL398" s="3472"/>
      <c r="EM398" s="3472"/>
      <c r="EN398" s="3472"/>
      <c r="EO398" s="3472"/>
      <c r="EP398" s="3472"/>
      <c r="EQ398" s="3472"/>
      <c r="ER398" s="3472"/>
      <c r="ES398" s="3472"/>
      <c r="ET398" s="3472"/>
      <c r="EU398" s="3472"/>
      <c r="EV398" s="3472"/>
      <c r="EW398" s="3472"/>
      <c r="EX398" s="3472"/>
      <c r="EY398" s="3472"/>
      <c r="EZ398" s="3472"/>
      <c r="FA398" s="3472"/>
      <c r="FB398" s="3472"/>
      <c r="FC398" s="3472"/>
      <c r="FD398" s="3472"/>
      <c r="FE398" s="3472"/>
      <c r="FF398" s="3472"/>
      <c r="FG398" s="3472"/>
      <c r="FH398" s="3472"/>
      <c r="FI398" s="3472"/>
      <c r="FJ398" s="3472"/>
      <c r="FK398" s="3472"/>
      <c r="FL398" s="3472"/>
      <c r="FM398" s="3472"/>
      <c r="FN398" s="3472"/>
      <c r="FO398" s="3472"/>
      <c r="FP398" s="3472"/>
      <c r="FQ398" s="3472"/>
      <c r="FR398" s="3472"/>
      <c r="FS398" s="3472"/>
      <c r="FT398" s="3472"/>
      <c r="FU398" s="3472"/>
      <c r="FV398" s="3472"/>
      <c r="FW398" s="3472"/>
      <c r="FX398" s="3472"/>
      <c r="FY398" s="3472"/>
      <c r="FZ398" s="3472"/>
      <c r="GA398" s="3472"/>
      <c r="GB398" s="3472"/>
      <c r="GC398" s="3472"/>
      <c r="GD398" s="3472"/>
      <c r="GE398" s="3472"/>
      <c r="GF398" s="3472"/>
      <c r="GG398" s="3472"/>
      <c r="GH398" s="3472"/>
      <c r="GI398" s="3472"/>
      <c r="GJ398" s="3472"/>
      <c r="GK398" s="3472"/>
      <c r="GL398" s="3472"/>
      <c r="GM398" s="3472"/>
      <c r="GN398" s="3472"/>
      <c r="GO398" s="3472"/>
      <c r="GP398" s="3472"/>
      <c r="GQ398" s="3472"/>
      <c r="GR398" s="3472"/>
      <c r="GS398" s="3472"/>
      <c r="GT398" s="3472"/>
      <c r="GU398" s="3472"/>
      <c r="GV398" s="3472"/>
      <c r="GW398" s="3472"/>
      <c r="GX398" s="3472"/>
      <c r="GY398" s="3472"/>
      <c r="GZ398" s="3472"/>
      <c r="HA398" s="3472"/>
      <c r="HB398" s="3472"/>
      <c r="HC398" s="3472"/>
      <c r="HD398" s="3472"/>
      <c r="HE398" s="3472"/>
      <c r="HF398" s="3472"/>
      <c r="HG398" s="3472"/>
      <c r="HH398" s="3472"/>
      <c r="HI398" s="3472"/>
      <c r="HJ398" s="3472"/>
      <c r="HK398" s="3472"/>
      <c r="HL398" s="3472"/>
      <c r="HM398" s="3472"/>
      <c r="HN398" s="3472"/>
      <c r="HO398" s="3472"/>
      <c r="HP398" s="3472"/>
      <c r="HQ398" s="3472"/>
      <c r="HR398" s="3472"/>
      <c r="HS398" s="3472"/>
      <c r="HT398" s="3472"/>
      <c r="HU398" s="3472"/>
      <c r="HV398" s="3472"/>
      <c r="HW398" s="3472"/>
      <c r="HX398" s="3472"/>
      <c r="HY398" s="3472"/>
      <c r="HZ398" s="3472"/>
      <c r="IA398" s="3472"/>
      <c r="IB398" s="3472"/>
      <c r="IC398" s="3472"/>
      <c r="ID398" s="3472"/>
      <c r="IE398" s="3472"/>
      <c r="IF398" s="3472"/>
      <c r="IG398" s="3472"/>
      <c r="IH398" s="3472"/>
      <c r="II398" s="3472"/>
      <c r="IJ398" s="3472"/>
      <c r="IK398" s="3472"/>
      <c r="IL398" s="3472"/>
      <c r="IM398" s="3472"/>
      <c r="IN398" s="3472"/>
      <c r="IO398" s="3472"/>
      <c r="IP398" s="3472"/>
      <c r="IQ398" s="3472"/>
      <c r="IR398" s="3472"/>
      <c r="IS398" s="3472"/>
    </row>
    <row r="399" spans="1:253" s="3441" customFormat="1" ht="12" hidden="1">
      <c r="A399" s="3470" t="s">
        <v>6552</v>
      </c>
      <c r="B399" s="3470" t="s">
        <v>6553</v>
      </c>
      <c r="C399" s="3481" t="s">
        <v>6554</v>
      </c>
      <c r="D399" s="3481" t="s">
        <v>6555</v>
      </c>
      <c r="E399" s="3470" t="s">
        <v>2736</v>
      </c>
      <c r="F399" s="3470" t="s">
        <v>6556</v>
      </c>
      <c r="G399" s="3470"/>
      <c r="H399" s="3470" t="s">
        <v>6530</v>
      </c>
      <c r="I399" s="3470" t="s">
        <v>4207</v>
      </c>
      <c r="J399" s="3470" t="s">
        <v>5058</v>
      </c>
      <c r="K399" s="3470" t="s">
        <v>6453</v>
      </c>
      <c r="L399" s="3470">
        <v>125.56</v>
      </c>
      <c r="M399" s="3470">
        <v>3</v>
      </c>
      <c r="N399" s="3470" t="s">
        <v>3632</v>
      </c>
      <c r="O399" s="3470">
        <v>111.21</v>
      </c>
      <c r="P399" s="3470" t="s">
        <v>3452</v>
      </c>
      <c r="Q399" s="3457">
        <v>700624.8</v>
      </c>
      <c r="R399" s="3495">
        <v>5580</v>
      </c>
      <c r="S399" s="3472">
        <v>69.38</v>
      </c>
      <c r="T399" s="3527">
        <v>693800</v>
      </c>
      <c r="U399" s="3470">
        <v>5526</v>
      </c>
      <c r="V399" s="3474">
        <v>0.1</v>
      </c>
      <c r="W399" s="3475">
        <v>62.44</v>
      </c>
      <c r="X399" s="3473">
        <v>624400</v>
      </c>
      <c r="Y399" s="3470">
        <v>2003</v>
      </c>
      <c r="Z399" s="3470">
        <v>6</v>
      </c>
      <c r="AA399" s="3495">
        <v>6</v>
      </c>
      <c r="AB399" s="3485">
        <v>3465</v>
      </c>
      <c r="AC399" s="3470" t="s">
        <v>3798</v>
      </c>
      <c r="AD399" s="3470"/>
      <c r="AE399" s="3470" t="s">
        <v>4914</v>
      </c>
      <c r="AF399" s="3470" t="s">
        <v>4449</v>
      </c>
      <c r="AG399" s="3470" t="s">
        <v>3454</v>
      </c>
      <c r="AH399" s="3470"/>
      <c r="AI399" s="3470" t="s">
        <v>6439</v>
      </c>
      <c r="AJ399" s="3478">
        <v>37681</v>
      </c>
      <c r="AK399" s="3500">
        <v>6</v>
      </c>
      <c r="AL399" s="3470">
        <v>67641700</v>
      </c>
      <c r="AM399" s="3470"/>
      <c r="AN399" s="3470" t="s">
        <v>3570</v>
      </c>
      <c r="AO399" s="3441" t="s">
        <v>6557</v>
      </c>
      <c r="AP399" s="3441" t="s">
        <v>3713</v>
      </c>
      <c r="AQ399" s="3470" t="s">
        <v>3457</v>
      </c>
      <c r="AR399" s="3470"/>
      <c r="AS399" s="3470"/>
      <c r="AT399" s="3470"/>
      <c r="AU399" s="3470"/>
      <c r="AV399" s="3470"/>
      <c r="AW399" s="3470" t="s">
        <v>4064</v>
      </c>
      <c r="AX399" s="3508" t="s">
        <v>6451</v>
      </c>
      <c r="AY399" s="3481" t="s">
        <v>6558</v>
      </c>
      <c r="AZ399" s="3470" t="s">
        <v>6450</v>
      </c>
      <c r="BA399" s="3470" t="s">
        <v>6454</v>
      </c>
      <c r="BB399" s="3481" t="s">
        <v>6455</v>
      </c>
      <c r="BC399" s="3470" t="s">
        <v>6559</v>
      </c>
      <c r="BD399" s="3470">
        <v>100091</v>
      </c>
      <c r="BE399" s="3470">
        <v>62898116</v>
      </c>
      <c r="BF399" s="3526">
        <v>2.9</v>
      </c>
      <c r="BG399" s="3478">
        <v>37349</v>
      </c>
      <c r="BH399" s="3470" t="s">
        <v>2420</v>
      </c>
      <c r="BI399" s="3441" t="s">
        <v>3700</v>
      </c>
      <c r="BJ399" s="3478">
        <v>37776</v>
      </c>
      <c r="BK399" s="3508"/>
      <c r="BL399" s="3470" t="s">
        <v>3670</v>
      </c>
      <c r="BM399" s="3470"/>
      <c r="BN399" s="3470"/>
      <c r="BO399" s="3470"/>
      <c r="BS399" s="3470"/>
      <c r="BT399" s="3470"/>
      <c r="BU399" s="3470"/>
      <c r="BV399" s="3472"/>
      <c r="BW399" s="3472"/>
      <c r="BX399" s="3472"/>
      <c r="BY399" s="3472"/>
      <c r="BZ399" s="3472"/>
      <c r="CA399" s="3472"/>
      <c r="CB399" s="3472"/>
      <c r="CC399" s="3472"/>
      <c r="CD399" s="3472"/>
      <c r="CE399" s="3472"/>
      <c r="CF399" s="3472"/>
      <c r="CG399" s="3472"/>
      <c r="CH399" s="3472"/>
      <c r="CI399" s="3472"/>
      <c r="CJ399" s="3472"/>
      <c r="CK399" s="3472"/>
      <c r="CL399" s="3472"/>
      <c r="CM399" s="3472"/>
      <c r="CN399" s="3472"/>
      <c r="CO399" s="3472"/>
      <c r="CP399" s="3472"/>
      <c r="CQ399" s="3472"/>
      <c r="CR399" s="3472"/>
      <c r="CS399" s="3472"/>
      <c r="CT399" s="3472"/>
      <c r="CU399" s="3472"/>
      <c r="CV399" s="3472"/>
      <c r="CW399" s="3472"/>
      <c r="CX399" s="3472"/>
      <c r="CY399" s="3472"/>
      <c r="CZ399" s="3472"/>
      <c r="DA399" s="3472"/>
      <c r="DB399" s="3472"/>
      <c r="DC399" s="3472"/>
      <c r="DD399" s="3472"/>
      <c r="DE399" s="3472"/>
      <c r="DF399" s="3472"/>
      <c r="DG399" s="3472"/>
      <c r="DH399" s="3472"/>
      <c r="DI399" s="3472"/>
      <c r="DJ399" s="3472"/>
      <c r="DK399" s="3472"/>
      <c r="DL399" s="3472"/>
      <c r="DM399" s="3472"/>
      <c r="DN399" s="3472"/>
      <c r="DO399" s="3472"/>
      <c r="DP399" s="3472"/>
      <c r="DQ399" s="3472"/>
      <c r="DR399" s="3472"/>
      <c r="DS399" s="3472"/>
      <c r="DT399" s="3472"/>
      <c r="DU399" s="3472"/>
      <c r="DV399" s="3472"/>
      <c r="DW399" s="3472"/>
      <c r="DX399" s="3472"/>
      <c r="DY399" s="3472"/>
      <c r="DZ399" s="3472"/>
      <c r="EA399" s="3472"/>
      <c r="EB399" s="3472"/>
      <c r="EC399" s="3472"/>
      <c r="ED399" s="3472"/>
      <c r="EE399" s="3472"/>
      <c r="EF399" s="3472"/>
      <c r="EG399" s="3472"/>
      <c r="EH399" s="3472"/>
      <c r="EI399" s="3472"/>
      <c r="EJ399" s="3472"/>
      <c r="EK399" s="3472"/>
      <c r="EL399" s="3472"/>
      <c r="EM399" s="3472"/>
      <c r="EN399" s="3472"/>
      <c r="EO399" s="3472"/>
      <c r="EP399" s="3472"/>
      <c r="EQ399" s="3472"/>
      <c r="ER399" s="3472"/>
      <c r="ES399" s="3472"/>
      <c r="ET399" s="3472"/>
      <c r="EU399" s="3472"/>
      <c r="EV399" s="3472"/>
      <c r="EW399" s="3472"/>
      <c r="EX399" s="3472"/>
      <c r="EY399" s="3472"/>
      <c r="EZ399" s="3472"/>
      <c r="FA399" s="3472"/>
      <c r="FB399" s="3472"/>
      <c r="FC399" s="3472"/>
      <c r="FD399" s="3472"/>
      <c r="FE399" s="3472"/>
      <c r="FF399" s="3472"/>
      <c r="FG399" s="3472"/>
      <c r="FH399" s="3472"/>
      <c r="FI399" s="3472"/>
      <c r="FJ399" s="3472"/>
      <c r="FK399" s="3472"/>
      <c r="FL399" s="3472"/>
      <c r="FM399" s="3472"/>
      <c r="FN399" s="3472"/>
      <c r="FO399" s="3472"/>
      <c r="FP399" s="3472"/>
      <c r="FQ399" s="3472"/>
      <c r="FR399" s="3472"/>
      <c r="FS399" s="3472"/>
      <c r="FT399" s="3472"/>
      <c r="FU399" s="3472"/>
      <c r="FV399" s="3472"/>
      <c r="FW399" s="3472"/>
      <c r="FX399" s="3472"/>
      <c r="FY399" s="3472"/>
      <c r="FZ399" s="3472"/>
      <c r="GA399" s="3472"/>
      <c r="GB399" s="3472"/>
      <c r="GC399" s="3472"/>
      <c r="GD399" s="3472"/>
      <c r="GE399" s="3472"/>
      <c r="GF399" s="3472"/>
      <c r="GG399" s="3472"/>
      <c r="GH399" s="3472"/>
      <c r="GI399" s="3472"/>
      <c r="GJ399" s="3472"/>
      <c r="GK399" s="3472"/>
      <c r="GL399" s="3472"/>
      <c r="GM399" s="3472"/>
      <c r="GN399" s="3472"/>
      <c r="GO399" s="3472"/>
      <c r="GP399" s="3472"/>
      <c r="GQ399" s="3472"/>
      <c r="GR399" s="3472"/>
      <c r="GS399" s="3472"/>
      <c r="GT399" s="3472"/>
      <c r="GU399" s="3472"/>
      <c r="GV399" s="3472"/>
      <c r="GW399" s="3472"/>
      <c r="GX399" s="3472"/>
      <c r="GY399" s="3472"/>
      <c r="GZ399" s="3472"/>
      <c r="HA399" s="3472"/>
      <c r="HB399" s="3472"/>
      <c r="HC399" s="3472"/>
      <c r="HD399" s="3472"/>
      <c r="HE399" s="3472"/>
      <c r="HF399" s="3472"/>
      <c r="HG399" s="3472"/>
      <c r="HH399" s="3472"/>
      <c r="HI399" s="3472"/>
      <c r="HJ399" s="3472"/>
      <c r="HK399" s="3472"/>
      <c r="HL399" s="3472"/>
      <c r="HM399" s="3472"/>
      <c r="HN399" s="3472"/>
      <c r="HO399" s="3472"/>
      <c r="HP399" s="3472"/>
      <c r="HQ399" s="3472"/>
      <c r="HR399" s="3472"/>
      <c r="HS399" s="3472"/>
      <c r="HT399" s="3472"/>
      <c r="HU399" s="3472"/>
      <c r="HV399" s="3472"/>
      <c r="HW399" s="3472"/>
      <c r="HX399" s="3472"/>
      <c r="HY399" s="3472"/>
      <c r="HZ399" s="3472"/>
      <c r="IA399" s="3472"/>
      <c r="IB399" s="3472"/>
      <c r="IC399" s="3472"/>
      <c r="ID399" s="3472"/>
      <c r="IE399" s="3472"/>
      <c r="IF399" s="3472"/>
      <c r="IG399" s="3472"/>
      <c r="IH399" s="3472"/>
      <c r="II399" s="3472"/>
      <c r="IJ399" s="3472"/>
      <c r="IK399" s="3472"/>
      <c r="IL399" s="3472"/>
      <c r="IM399" s="3472"/>
      <c r="IN399" s="3472"/>
      <c r="IO399" s="3472"/>
      <c r="IP399" s="3472"/>
      <c r="IQ399" s="3472"/>
      <c r="IR399" s="3472"/>
      <c r="IS399" s="3472"/>
    </row>
    <row r="400" spans="1:253" s="3441" customFormat="1" ht="12" hidden="1">
      <c r="A400" s="3485" t="s">
        <v>6560</v>
      </c>
      <c r="B400" s="3470" t="s">
        <v>6561</v>
      </c>
      <c r="C400" s="3481" t="s">
        <v>6562</v>
      </c>
      <c r="D400" s="3453">
        <v>13521271316</v>
      </c>
      <c r="E400" s="3470" t="s">
        <v>2736</v>
      </c>
      <c r="F400" s="3528" t="s">
        <v>3628</v>
      </c>
      <c r="G400" s="3470"/>
      <c r="H400" s="3470" t="s">
        <v>4040</v>
      </c>
      <c r="I400" s="3470" t="s">
        <v>4854</v>
      </c>
      <c r="J400" s="3481" t="s">
        <v>4335</v>
      </c>
      <c r="K400" s="3470" t="s">
        <v>3638</v>
      </c>
      <c r="L400" s="3470">
        <v>159.37</v>
      </c>
      <c r="M400" s="3470">
        <v>10</v>
      </c>
      <c r="N400" s="3470" t="s">
        <v>3632</v>
      </c>
      <c r="O400" s="3470">
        <v>126.37</v>
      </c>
      <c r="P400" s="3481" t="s">
        <v>3633</v>
      </c>
      <c r="Q400" s="3457">
        <v>1021561.7000000001</v>
      </c>
      <c r="R400" s="3470">
        <v>6410</v>
      </c>
      <c r="S400" s="3472">
        <v>101.19</v>
      </c>
      <c r="T400" s="3527">
        <v>1011900</v>
      </c>
      <c r="U400" s="3470">
        <v>6350</v>
      </c>
      <c r="V400" s="3474">
        <v>0.1</v>
      </c>
      <c r="W400" s="3475">
        <v>91.07</v>
      </c>
      <c r="X400" s="3473">
        <v>910699.99999999988</v>
      </c>
      <c r="Y400" s="3441">
        <v>2003</v>
      </c>
      <c r="Z400" s="3515">
        <v>6</v>
      </c>
      <c r="AA400" s="3470">
        <v>17</v>
      </c>
      <c r="AB400" s="3485">
        <v>5025</v>
      </c>
      <c r="AC400" s="3470" t="s">
        <v>3544</v>
      </c>
      <c r="AD400" s="3485"/>
      <c r="AE400" s="3441" t="s">
        <v>3547</v>
      </c>
      <c r="AF400" s="3470" t="s">
        <v>3618</v>
      </c>
      <c r="AG400" s="3522" t="s">
        <v>3454</v>
      </c>
      <c r="AH400" s="3485"/>
      <c r="AI400" s="3470" t="s">
        <v>3664</v>
      </c>
      <c r="AJ400" s="3523">
        <v>38027</v>
      </c>
      <c r="AK400" s="3548">
        <v>6</v>
      </c>
      <c r="AL400" s="3515">
        <v>67641700</v>
      </c>
      <c r="AN400" s="3469" t="s">
        <v>3649</v>
      </c>
      <c r="AO400" s="3470" t="s">
        <v>6563</v>
      </c>
      <c r="AP400" s="3456" t="s">
        <v>3476</v>
      </c>
      <c r="AQ400" s="3469" t="s">
        <v>3571</v>
      </c>
      <c r="AW400" s="3441" t="s">
        <v>4064</v>
      </c>
      <c r="AX400" s="3484" t="s">
        <v>3588</v>
      </c>
      <c r="AY400" s="3524" t="s">
        <v>6564</v>
      </c>
      <c r="AZ400" s="3470" t="s">
        <v>3638</v>
      </c>
      <c r="BA400" s="3441" t="s">
        <v>4338</v>
      </c>
      <c r="BB400" s="3524" t="s">
        <v>4364</v>
      </c>
      <c r="BC400" s="3441" t="s">
        <v>4049</v>
      </c>
      <c r="BD400" s="3525">
        <v>100088</v>
      </c>
      <c r="BE400" s="3441">
        <v>82058259</v>
      </c>
      <c r="BF400" s="3526">
        <v>2.9</v>
      </c>
      <c r="BG400" s="3518">
        <v>37677</v>
      </c>
      <c r="BI400" s="3470" t="s">
        <v>3476</v>
      </c>
      <c r="BJ400" s="3518">
        <v>37784</v>
      </c>
      <c r="BK400" s="3518">
        <v>37719</v>
      </c>
      <c r="BL400" s="3470" t="s">
        <v>3670</v>
      </c>
      <c r="BS400" s="3470"/>
      <c r="BT400" s="3470"/>
      <c r="BU400" s="3470"/>
    </row>
    <row r="401" spans="1:253" s="3441" customFormat="1" ht="12" hidden="1">
      <c r="A401" s="3485" t="s">
        <v>6565</v>
      </c>
      <c r="B401" s="3470" t="s">
        <v>6566</v>
      </c>
      <c r="C401" s="3481" t="s">
        <v>6567</v>
      </c>
      <c r="D401" s="3453">
        <v>13671030337</v>
      </c>
      <c r="E401" s="3470" t="s">
        <v>3763</v>
      </c>
      <c r="F401" s="3528" t="s">
        <v>3628</v>
      </c>
      <c r="G401" s="3470"/>
      <c r="H401" s="3470" t="s">
        <v>4334</v>
      </c>
      <c r="I401" s="3470" t="s">
        <v>4011</v>
      </c>
      <c r="J401" s="3481" t="s">
        <v>3495</v>
      </c>
      <c r="K401" s="3470" t="s">
        <v>3647</v>
      </c>
      <c r="L401" s="3470">
        <v>101.19</v>
      </c>
      <c r="M401" s="3470">
        <v>2</v>
      </c>
      <c r="N401" s="3470" t="s">
        <v>3486</v>
      </c>
      <c r="O401" s="3470">
        <v>81.96</v>
      </c>
      <c r="P401" s="3470" t="s">
        <v>3633</v>
      </c>
      <c r="Q401" s="3457">
        <v>564640.19999999995</v>
      </c>
      <c r="R401" s="3470">
        <v>5580</v>
      </c>
      <c r="S401" s="3472">
        <v>55.91</v>
      </c>
      <c r="T401" s="3527">
        <v>559100</v>
      </c>
      <c r="U401" s="3470">
        <v>5526</v>
      </c>
      <c r="V401" s="3474">
        <v>0.1</v>
      </c>
      <c r="W401" s="3475">
        <v>50.31</v>
      </c>
      <c r="X401" s="3473">
        <v>503100</v>
      </c>
      <c r="Y401" s="3441">
        <v>2003</v>
      </c>
      <c r="Z401" s="3515">
        <v>7</v>
      </c>
      <c r="AA401" s="3515">
        <v>21</v>
      </c>
      <c r="AB401" s="3485">
        <v>2795</v>
      </c>
      <c r="AC401" s="3470" t="s">
        <v>3544</v>
      </c>
      <c r="AD401" s="3485"/>
      <c r="AE401" s="3441" t="s">
        <v>2156</v>
      </c>
      <c r="AF401" s="3470" t="s">
        <v>3587</v>
      </c>
      <c r="AG401" s="3522" t="s">
        <v>3605</v>
      </c>
      <c r="AH401" s="3485"/>
      <c r="AI401" s="3470" t="s">
        <v>3664</v>
      </c>
      <c r="AJ401" s="3523">
        <v>37992</v>
      </c>
      <c r="AK401" s="3500">
        <v>7</v>
      </c>
      <c r="AL401" s="3515">
        <v>67641700</v>
      </c>
      <c r="AN401" s="3469" t="s">
        <v>3484</v>
      </c>
      <c r="AO401" s="3470" t="s">
        <v>6568</v>
      </c>
      <c r="AP401" s="3456" t="s">
        <v>3476</v>
      </c>
      <c r="AQ401" s="3469" t="s">
        <v>3571</v>
      </c>
      <c r="AW401" s="3441" t="s">
        <v>4064</v>
      </c>
      <c r="AX401" s="3484"/>
      <c r="AY401" s="3524" t="s">
        <v>6569</v>
      </c>
      <c r="AZ401" s="3470" t="s">
        <v>3638</v>
      </c>
      <c r="BA401" s="3441" t="s">
        <v>4338</v>
      </c>
      <c r="BB401" s="3524" t="s">
        <v>3640</v>
      </c>
      <c r="BC401" s="3441" t="s">
        <v>4049</v>
      </c>
      <c r="BD401" s="3525">
        <v>100088</v>
      </c>
      <c r="BE401" s="3441">
        <v>82058259</v>
      </c>
      <c r="BF401" s="3526" t="s">
        <v>6570</v>
      </c>
      <c r="BG401" s="3518">
        <v>37638</v>
      </c>
      <c r="BH401" s="3470" t="s">
        <v>6021</v>
      </c>
      <c r="BI401" s="3463" t="s">
        <v>3475</v>
      </c>
      <c r="BJ401" s="3518">
        <v>37788</v>
      </c>
      <c r="BK401" s="3518">
        <v>37820</v>
      </c>
      <c r="BL401" s="3470" t="s">
        <v>3670</v>
      </c>
      <c r="BS401" s="3470"/>
      <c r="BT401" s="3470"/>
      <c r="BU401" s="3470"/>
    </row>
    <row r="402" spans="1:253" s="3604" customFormat="1" ht="12" hidden="1">
      <c r="A402" s="3470" t="s">
        <v>6571</v>
      </c>
      <c r="B402" s="3470" t="s">
        <v>6572</v>
      </c>
      <c r="C402" s="3616" t="s">
        <v>6573</v>
      </c>
      <c r="D402" s="3456">
        <v>13301197064</v>
      </c>
      <c r="E402" s="3470" t="s">
        <v>3558</v>
      </c>
      <c r="F402" s="3470" t="s">
        <v>6574</v>
      </c>
      <c r="G402" s="3470"/>
      <c r="H402" s="3470" t="s">
        <v>6575</v>
      </c>
      <c r="I402" s="3470" t="s">
        <v>5706</v>
      </c>
      <c r="J402" s="3470" t="s">
        <v>6576</v>
      </c>
      <c r="K402" s="3470" t="s">
        <v>5876</v>
      </c>
      <c r="L402" s="3470">
        <v>111.66</v>
      </c>
      <c r="M402" s="3470">
        <v>10</v>
      </c>
      <c r="N402" s="3470" t="s">
        <v>3486</v>
      </c>
      <c r="O402" s="3453">
        <v>90.19</v>
      </c>
      <c r="P402" s="3453" t="s">
        <v>3452</v>
      </c>
      <c r="Q402" s="3457">
        <v>736509.36</v>
      </c>
      <c r="R402" s="3470">
        <v>6596</v>
      </c>
      <c r="S402" s="3472">
        <v>72.98</v>
      </c>
      <c r="T402" s="3527">
        <v>729800</v>
      </c>
      <c r="U402" s="3495">
        <v>6536</v>
      </c>
      <c r="V402" s="3512">
        <v>0.1</v>
      </c>
      <c r="W402" s="3475">
        <v>65.680000000000007</v>
      </c>
      <c r="X402" s="3473">
        <v>656800.00000000012</v>
      </c>
      <c r="Y402" s="3515">
        <v>2003</v>
      </c>
      <c r="Z402" s="3515">
        <v>6</v>
      </c>
      <c r="AA402" s="3470">
        <v>9</v>
      </c>
      <c r="AB402" s="3477">
        <v>3645</v>
      </c>
      <c r="AC402" s="3470" t="s">
        <v>3634</v>
      </c>
      <c r="AD402" s="3470"/>
      <c r="AE402" s="3486" t="s">
        <v>3547</v>
      </c>
      <c r="AF402" s="3453" t="s">
        <v>4442</v>
      </c>
      <c r="AG402" s="3470" t="s">
        <v>3466</v>
      </c>
      <c r="AH402" s="3470"/>
      <c r="AI402" s="3470" t="s">
        <v>4849</v>
      </c>
      <c r="AJ402" s="3478">
        <v>37924</v>
      </c>
      <c r="AK402" s="3500">
        <v>6</v>
      </c>
      <c r="AL402" s="3470">
        <v>67641700</v>
      </c>
      <c r="AM402" s="3470"/>
      <c r="AN402" s="3480" t="s">
        <v>3468</v>
      </c>
      <c r="AO402" s="3470"/>
      <c r="AP402" s="3470" t="s">
        <v>3476</v>
      </c>
      <c r="AQ402" s="3470" t="s">
        <v>3571</v>
      </c>
      <c r="AR402" s="3470"/>
      <c r="AS402" s="3470"/>
      <c r="AT402" s="3470"/>
      <c r="AU402" s="3470"/>
      <c r="AV402" s="3470" t="s">
        <v>3568</v>
      </c>
      <c r="AW402" s="3470" t="s">
        <v>3572</v>
      </c>
      <c r="AX402" s="3470" t="s">
        <v>2511</v>
      </c>
      <c r="AY402" s="3470">
        <v>285821</v>
      </c>
      <c r="AZ402" s="3470" t="s">
        <v>5876</v>
      </c>
      <c r="BA402" s="3470" t="s">
        <v>5877</v>
      </c>
      <c r="BB402" s="3470" t="s">
        <v>5878</v>
      </c>
      <c r="BC402" s="3470" t="s">
        <v>5879</v>
      </c>
      <c r="BD402" s="3470">
        <v>100036</v>
      </c>
      <c r="BE402" s="3470">
        <v>68213297</v>
      </c>
      <c r="BF402" s="3520">
        <v>2.8</v>
      </c>
      <c r="BG402" s="3478">
        <v>37724</v>
      </c>
      <c r="BH402" s="3470"/>
      <c r="BI402" s="3463" t="s">
        <v>3475</v>
      </c>
      <c r="BJ402" s="3478">
        <v>37777</v>
      </c>
      <c r="BK402" s="3470"/>
      <c r="BL402" s="3441" t="s">
        <v>3670</v>
      </c>
      <c r="BM402" s="3441"/>
      <c r="BN402" s="3441"/>
      <c r="BO402" s="3441"/>
      <c r="BP402" s="3441"/>
      <c r="BQ402" s="3441"/>
      <c r="BR402" s="3441"/>
      <c r="BS402" s="3470"/>
      <c r="BT402" s="3470"/>
      <c r="BU402" s="3470"/>
      <c r="BV402" s="3605"/>
      <c r="BW402" s="3605"/>
      <c r="BX402" s="3605"/>
      <c r="BY402" s="3605"/>
      <c r="BZ402" s="3605"/>
      <c r="CA402" s="3605"/>
      <c r="CB402" s="3605"/>
      <c r="CC402" s="3605"/>
      <c r="CD402" s="3605"/>
      <c r="CE402" s="3605"/>
      <c r="CF402" s="3605"/>
      <c r="CG402" s="3605"/>
      <c r="CH402" s="3605"/>
      <c r="CI402" s="3605"/>
      <c r="CJ402" s="3605"/>
      <c r="CK402" s="3605"/>
      <c r="CL402" s="3605"/>
      <c r="CM402" s="3605"/>
      <c r="CN402" s="3605"/>
      <c r="CO402" s="3605"/>
      <c r="CP402" s="3605"/>
      <c r="CQ402" s="3605"/>
      <c r="CR402" s="3605"/>
      <c r="CS402" s="3605"/>
      <c r="CT402" s="3605"/>
      <c r="CU402" s="3605"/>
      <c r="CV402" s="3605"/>
      <c r="CW402" s="3605"/>
      <c r="CX402" s="3605"/>
      <c r="CY402" s="3605"/>
      <c r="CZ402" s="3605"/>
      <c r="DA402" s="3605"/>
      <c r="DB402" s="3605"/>
      <c r="DC402" s="3605"/>
      <c r="DD402" s="3605"/>
      <c r="DE402" s="3605"/>
      <c r="DF402" s="3605"/>
      <c r="DG402" s="3605"/>
      <c r="DH402" s="3605"/>
      <c r="DI402" s="3605"/>
      <c r="DJ402" s="3605"/>
      <c r="DK402" s="3605"/>
      <c r="DL402" s="3605"/>
      <c r="DM402" s="3605"/>
      <c r="DN402" s="3605"/>
      <c r="DO402" s="3605"/>
      <c r="DP402" s="3605"/>
      <c r="DQ402" s="3605"/>
      <c r="DR402" s="3605"/>
      <c r="DS402" s="3605"/>
      <c r="DT402" s="3605"/>
      <c r="DU402" s="3605"/>
      <c r="DV402" s="3605"/>
      <c r="DW402" s="3605"/>
      <c r="DX402" s="3605"/>
      <c r="DY402" s="3605"/>
      <c r="DZ402" s="3605"/>
      <c r="EA402" s="3605"/>
      <c r="EB402" s="3605"/>
      <c r="EC402" s="3605"/>
      <c r="ED402" s="3605"/>
      <c r="EE402" s="3605"/>
      <c r="EF402" s="3605"/>
      <c r="EG402" s="3605"/>
      <c r="EH402" s="3605"/>
      <c r="EI402" s="3605"/>
      <c r="EJ402" s="3605"/>
      <c r="EK402" s="3605"/>
      <c r="EL402" s="3605"/>
      <c r="EM402" s="3605"/>
      <c r="EN402" s="3605"/>
      <c r="EO402" s="3605"/>
      <c r="EP402" s="3605"/>
      <c r="EQ402" s="3605"/>
      <c r="ER402" s="3605"/>
      <c r="ES402" s="3605"/>
      <c r="ET402" s="3605"/>
      <c r="EU402" s="3605"/>
      <c r="EV402" s="3605"/>
      <c r="EW402" s="3605"/>
      <c r="EX402" s="3605"/>
      <c r="EY402" s="3605"/>
      <c r="EZ402" s="3605"/>
      <c r="FA402" s="3605"/>
      <c r="FB402" s="3605"/>
      <c r="FC402" s="3605"/>
      <c r="FD402" s="3605"/>
      <c r="FE402" s="3605"/>
      <c r="FF402" s="3605"/>
      <c r="FG402" s="3605"/>
      <c r="FH402" s="3605"/>
      <c r="FI402" s="3605"/>
      <c r="FJ402" s="3605"/>
      <c r="FK402" s="3605"/>
      <c r="FL402" s="3605"/>
      <c r="FM402" s="3605"/>
      <c r="FN402" s="3605"/>
      <c r="FO402" s="3605"/>
      <c r="FP402" s="3605"/>
      <c r="FQ402" s="3605"/>
      <c r="FR402" s="3605"/>
      <c r="FS402" s="3605"/>
      <c r="FT402" s="3605"/>
      <c r="FU402" s="3605"/>
      <c r="FV402" s="3605"/>
      <c r="FW402" s="3605"/>
      <c r="FX402" s="3605"/>
      <c r="FY402" s="3605"/>
      <c r="FZ402" s="3605"/>
      <c r="GA402" s="3605"/>
      <c r="GB402" s="3605"/>
      <c r="GC402" s="3605"/>
      <c r="GD402" s="3605"/>
      <c r="GE402" s="3605"/>
      <c r="GF402" s="3605"/>
      <c r="GG402" s="3605"/>
      <c r="GH402" s="3605"/>
      <c r="GI402" s="3605"/>
      <c r="GJ402" s="3605"/>
      <c r="GK402" s="3605"/>
      <c r="GL402" s="3605"/>
      <c r="GM402" s="3605"/>
      <c r="GN402" s="3605"/>
      <c r="GO402" s="3605"/>
      <c r="GP402" s="3605"/>
      <c r="GQ402" s="3605"/>
      <c r="GR402" s="3605"/>
      <c r="GS402" s="3605"/>
      <c r="GT402" s="3605"/>
      <c r="GU402" s="3605"/>
      <c r="GV402" s="3605"/>
      <c r="GW402" s="3605"/>
      <c r="GX402" s="3605"/>
      <c r="GY402" s="3605"/>
      <c r="GZ402" s="3605"/>
      <c r="HA402" s="3605"/>
      <c r="HB402" s="3605"/>
      <c r="HC402" s="3605"/>
      <c r="HD402" s="3605"/>
      <c r="HE402" s="3605"/>
      <c r="HF402" s="3605"/>
      <c r="HG402" s="3605"/>
      <c r="HH402" s="3605"/>
      <c r="HI402" s="3605"/>
      <c r="HJ402" s="3605"/>
      <c r="HK402" s="3605"/>
      <c r="HL402" s="3605"/>
      <c r="HM402" s="3605"/>
      <c r="HN402" s="3605"/>
      <c r="HO402" s="3605"/>
      <c r="HP402" s="3605"/>
      <c r="HQ402" s="3605"/>
      <c r="HR402" s="3605"/>
      <c r="HS402" s="3605"/>
      <c r="HT402" s="3605"/>
      <c r="HU402" s="3605"/>
      <c r="HV402" s="3605"/>
      <c r="HW402" s="3605"/>
      <c r="HX402" s="3605"/>
      <c r="HY402" s="3605"/>
      <c r="HZ402" s="3605"/>
      <c r="IA402" s="3605"/>
      <c r="IB402" s="3605"/>
      <c r="IC402" s="3605"/>
      <c r="ID402" s="3605"/>
      <c r="IE402" s="3605"/>
      <c r="IF402" s="3605"/>
      <c r="IG402" s="3605"/>
      <c r="IH402" s="3605"/>
      <c r="II402" s="3605"/>
      <c r="IJ402" s="3605"/>
      <c r="IK402" s="3605"/>
      <c r="IL402" s="3605"/>
      <c r="IM402" s="3605"/>
      <c r="IN402" s="3605"/>
      <c r="IO402" s="3605"/>
      <c r="IP402" s="3605"/>
      <c r="IQ402" s="3605"/>
      <c r="IR402" s="3605"/>
      <c r="IS402" s="3605"/>
    </row>
    <row r="403" spans="1:253" s="3470" customFormat="1" ht="12" hidden="1">
      <c r="A403" s="3470" t="s">
        <v>6577</v>
      </c>
      <c r="B403" s="3470" t="s">
        <v>6578</v>
      </c>
      <c r="C403" s="3481" t="s">
        <v>6579</v>
      </c>
      <c r="D403" s="3470">
        <v>13311268284</v>
      </c>
      <c r="E403" s="3470" t="s">
        <v>3763</v>
      </c>
      <c r="F403" s="3470" t="s">
        <v>6580</v>
      </c>
      <c r="H403" s="3470" t="s">
        <v>6581</v>
      </c>
      <c r="I403" s="3470" t="s">
        <v>4207</v>
      </c>
      <c r="J403" s="3470" t="s">
        <v>6582</v>
      </c>
      <c r="K403" s="3470" t="s">
        <v>4521</v>
      </c>
      <c r="L403" s="3470">
        <v>87.29</v>
      </c>
      <c r="M403" s="3470">
        <v>15</v>
      </c>
      <c r="N403" s="3470" t="s">
        <v>3790</v>
      </c>
      <c r="O403" s="3470">
        <v>72.16</v>
      </c>
      <c r="P403" s="3470" t="s">
        <v>3452</v>
      </c>
      <c r="Q403" s="3457">
        <v>432085.50000000006</v>
      </c>
      <c r="R403" s="3470">
        <v>4950</v>
      </c>
      <c r="S403" s="3472">
        <v>42.77</v>
      </c>
      <c r="T403" s="3527">
        <v>427700.00000000006</v>
      </c>
      <c r="U403" s="3470">
        <v>4900</v>
      </c>
      <c r="V403" s="3474">
        <v>0.1</v>
      </c>
      <c r="W403" s="3475">
        <v>38.49</v>
      </c>
      <c r="X403" s="3473">
        <v>384900</v>
      </c>
      <c r="Y403" s="3441">
        <v>2003</v>
      </c>
      <c r="Z403" s="3515">
        <v>6</v>
      </c>
      <c r="AA403" s="3470">
        <v>9</v>
      </c>
      <c r="AB403" s="3485">
        <v>2135</v>
      </c>
      <c r="AC403" s="3470" t="s">
        <v>3648</v>
      </c>
      <c r="AE403" s="3470" t="s">
        <v>4914</v>
      </c>
      <c r="AF403" s="3470" t="s">
        <v>4126</v>
      </c>
      <c r="AG403" s="3470" t="s">
        <v>3605</v>
      </c>
      <c r="AI403" s="3470" t="s">
        <v>3664</v>
      </c>
      <c r="AJ403" s="3478">
        <v>37790</v>
      </c>
      <c r="AK403" s="3500">
        <v>6</v>
      </c>
      <c r="AL403" s="3470">
        <v>67641700</v>
      </c>
      <c r="AN403" s="3480" t="s">
        <v>3468</v>
      </c>
      <c r="AP403" s="3470" t="s">
        <v>3475</v>
      </c>
      <c r="AQ403" s="3470" t="s">
        <v>3650</v>
      </c>
      <c r="AV403" s="3470" t="s">
        <v>2420</v>
      </c>
      <c r="AW403" s="3470" t="s">
        <v>3458</v>
      </c>
      <c r="AX403" s="3470" t="s">
        <v>3549</v>
      </c>
      <c r="AY403" s="3481" t="s">
        <v>6583</v>
      </c>
      <c r="AZ403" s="3470" t="s">
        <v>4521</v>
      </c>
      <c r="BA403" s="3470" t="s">
        <v>4523</v>
      </c>
      <c r="BB403" s="3481" t="s">
        <v>4398</v>
      </c>
      <c r="BC403" s="3470" t="s">
        <v>4351</v>
      </c>
      <c r="BD403" s="3482">
        <v>100010</v>
      </c>
      <c r="BE403" s="3470">
        <v>65233356</v>
      </c>
      <c r="BF403" s="3483">
        <v>2.7</v>
      </c>
      <c r="BG403" s="3478">
        <v>37733</v>
      </c>
      <c r="BI403" s="3470" t="s">
        <v>3475</v>
      </c>
      <c r="BJ403" s="3478">
        <v>37777</v>
      </c>
      <c r="BK403" s="3478"/>
      <c r="BL403" s="3441" t="s">
        <v>3670</v>
      </c>
      <c r="BM403" s="3441"/>
      <c r="BN403" s="3441"/>
      <c r="BO403" s="3441"/>
      <c r="BP403" s="3441"/>
      <c r="BQ403" s="3441"/>
      <c r="BR403" s="3441"/>
    </row>
    <row r="404" spans="1:253" s="3441" customFormat="1" ht="12" hidden="1">
      <c r="A404" s="3470" t="s">
        <v>6584</v>
      </c>
      <c r="B404" s="3470" t="s">
        <v>6585</v>
      </c>
      <c r="C404" s="3481" t="s">
        <v>6586</v>
      </c>
      <c r="D404" s="3481" t="s">
        <v>6587</v>
      </c>
      <c r="E404" s="3470" t="s">
        <v>2736</v>
      </c>
      <c r="F404" s="3470" t="s">
        <v>6588</v>
      </c>
      <c r="G404" s="3470" t="s">
        <v>2420</v>
      </c>
      <c r="H404" s="3453" t="s">
        <v>6589</v>
      </c>
      <c r="I404" s="3453" t="s">
        <v>3582</v>
      </c>
      <c r="J404" s="3454" t="s">
        <v>4042</v>
      </c>
      <c r="K404" s="3470" t="s">
        <v>4136</v>
      </c>
      <c r="L404" s="3495">
        <v>158.38</v>
      </c>
      <c r="M404" s="3495">
        <v>3</v>
      </c>
      <c r="N404" s="3470" t="s">
        <v>3969</v>
      </c>
      <c r="O404" s="3495">
        <v>140.69999999999999</v>
      </c>
      <c r="P404" s="3470" t="s">
        <v>3452</v>
      </c>
      <c r="Q404" s="3457">
        <v>845749.2</v>
      </c>
      <c r="R404" s="3470">
        <v>5340</v>
      </c>
      <c r="S404" s="3472">
        <v>83.78</v>
      </c>
      <c r="T404" s="3527">
        <v>837800</v>
      </c>
      <c r="U404" s="3470">
        <v>5290</v>
      </c>
      <c r="V404" s="3474">
        <v>0.05</v>
      </c>
      <c r="W404" s="3475">
        <v>79.59</v>
      </c>
      <c r="X404" s="3476">
        <v>795900</v>
      </c>
      <c r="Y404" s="3441">
        <v>2003</v>
      </c>
      <c r="Z404" s="3495">
        <v>6</v>
      </c>
      <c r="AA404" s="3470">
        <v>9</v>
      </c>
      <c r="AB404" s="3477">
        <v>4185</v>
      </c>
      <c r="AC404" s="3470" t="s">
        <v>4044</v>
      </c>
      <c r="AD404" s="3485"/>
      <c r="AE404" s="3470" t="s">
        <v>3663</v>
      </c>
      <c r="AF404" s="3453" t="s">
        <v>4063</v>
      </c>
      <c r="AG404" s="3522" t="s">
        <v>3546</v>
      </c>
      <c r="AH404" s="3485"/>
      <c r="AI404" s="3470" t="s">
        <v>4955</v>
      </c>
      <c r="AJ404" s="3523">
        <v>37394</v>
      </c>
      <c r="AK404" s="3548">
        <v>6</v>
      </c>
      <c r="AL404" s="3495">
        <v>64256608</v>
      </c>
      <c r="AM404" s="3482"/>
      <c r="AN404" s="3469" t="s">
        <v>3695</v>
      </c>
      <c r="AO404" s="3470"/>
      <c r="AP404" s="3441" t="s">
        <v>3476</v>
      </c>
      <c r="AQ404" s="3456" t="s">
        <v>3714</v>
      </c>
      <c r="AV404" s="3519"/>
      <c r="AW404" s="3486" t="s">
        <v>3548</v>
      </c>
      <c r="AX404" s="3552" t="s">
        <v>4046</v>
      </c>
      <c r="AY404" s="3503" t="s">
        <v>6590</v>
      </c>
      <c r="AZ404" s="3470" t="s">
        <v>6591</v>
      </c>
      <c r="BA404" s="3441" t="s">
        <v>6592</v>
      </c>
      <c r="BB404" s="3441" t="s">
        <v>6593</v>
      </c>
      <c r="BC404" s="3441" t="s">
        <v>4142</v>
      </c>
      <c r="BD404" s="3441">
        <v>100080</v>
      </c>
      <c r="BE404" s="3441">
        <v>82611170</v>
      </c>
      <c r="BF404" s="3544">
        <v>2.7</v>
      </c>
      <c r="BG404" s="3514">
        <v>37093</v>
      </c>
      <c r="BI404" s="3470" t="s">
        <v>5844</v>
      </c>
      <c r="BJ404" s="3478">
        <v>37777</v>
      </c>
      <c r="BL404" s="3441" t="s">
        <v>3594</v>
      </c>
      <c r="BS404" s="3470"/>
      <c r="BT404" s="3470"/>
      <c r="BU404" s="3470"/>
    </row>
    <row r="405" spans="1:253" s="3441" customFormat="1" ht="12" hidden="1">
      <c r="A405" s="3470" t="s">
        <v>6594</v>
      </c>
      <c r="B405" s="3470" t="s">
        <v>6595</v>
      </c>
      <c r="C405" s="3481" t="s">
        <v>6596</v>
      </c>
      <c r="D405" s="3481" t="s">
        <v>6597</v>
      </c>
      <c r="E405" s="3470" t="s">
        <v>2736</v>
      </c>
      <c r="F405" s="3470" t="s">
        <v>6598</v>
      </c>
      <c r="G405" s="3470"/>
      <c r="H405" s="3470" t="s">
        <v>6599</v>
      </c>
      <c r="I405" s="3470"/>
      <c r="J405" s="3481" t="s">
        <v>6600</v>
      </c>
      <c r="K405" s="3470" t="s">
        <v>6595</v>
      </c>
      <c r="L405" s="3470">
        <v>113.3</v>
      </c>
      <c r="M405" s="3470">
        <v>15</v>
      </c>
      <c r="N405" s="3470" t="s">
        <v>3491</v>
      </c>
      <c r="O405" s="3470"/>
      <c r="P405" s="3470" t="s">
        <v>3452</v>
      </c>
      <c r="Q405" s="3457">
        <v>620000.26</v>
      </c>
      <c r="R405" s="3470">
        <v>5472.2</v>
      </c>
      <c r="S405" s="3472">
        <v>60</v>
      </c>
      <c r="T405" s="3527">
        <v>600000</v>
      </c>
      <c r="U405" s="3470">
        <v>5296</v>
      </c>
      <c r="V405" s="3474">
        <v>0.05</v>
      </c>
      <c r="W405" s="3475">
        <v>57</v>
      </c>
      <c r="X405" s="3473">
        <v>570000</v>
      </c>
      <c r="Y405" s="3441">
        <v>2003</v>
      </c>
      <c r="Z405" s="3441">
        <v>6</v>
      </c>
      <c r="AA405" s="3441">
        <v>10</v>
      </c>
      <c r="AB405" s="3485">
        <v>3000</v>
      </c>
      <c r="AC405" s="3470" t="s">
        <v>3565</v>
      </c>
      <c r="AD405" s="3485"/>
      <c r="AE405" s="3470" t="s">
        <v>3566</v>
      </c>
      <c r="AF405" s="3470" t="s">
        <v>3453</v>
      </c>
      <c r="AG405" s="3470" t="s">
        <v>3466</v>
      </c>
      <c r="AH405" s="3485"/>
      <c r="AI405" s="3470" t="s">
        <v>3569</v>
      </c>
      <c r="AJ405" s="3523"/>
      <c r="AK405" s="3479" t="s">
        <v>3455</v>
      </c>
      <c r="AL405" s="3441">
        <v>82252558</v>
      </c>
      <c r="AN405" s="3441" t="s">
        <v>3468</v>
      </c>
      <c r="AP405" s="3470" t="s">
        <v>3566</v>
      </c>
      <c r="AQ405" s="3470" t="s">
        <v>3571</v>
      </c>
      <c r="AW405" s="3441" t="s">
        <v>3458</v>
      </c>
      <c r="AY405" s="3524"/>
      <c r="BB405" s="3524"/>
      <c r="BD405" s="3525"/>
      <c r="BF405" s="3526"/>
      <c r="BG405" s="3518">
        <v>37725</v>
      </c>
      <c r="BI405" s="3441" t="s">
        <v>3566</v>
      </c>
      <c r="BJ405" s="3484">
        <v>37777</v>
      </c>
      <c r="BK405" s="3484"/>
      <c r="BL405" s="3470" t="s">
        <v>3470</v>
      </c>
      <c r="BS405" s="3470"/>
      <c r="BT405" s="3470"/>
      <c r="BU405" s="3470"/>
    </row>
    <row r="406" spans="1:253" s="3470" customFormat="1" ht="12" hidden="1">
      <c r="A406" s="3485" t="s">
        <v>6601</v>
      </c>
      <c r="B406" s="3470" t="s">
        <v>6602</v>
      </c>
      <c r="C406" s="3454" t="s">
        <v>6603</v>
      </c>
      <c r="D406" s="3470">
        <v>13671060055</v>
      </c>
      <c r="E406" s="3470" t="s">
        <v>3538</v>
      </c>
      <c r="F406" s="3470" t="s">
        <v>5583</v>
      </c>
      <c r="G406" s="3470" t="s">
        <v>3588</v>
      </c>
      <c r="H406" s="3470" t="s">
        <v>6148</v>
      </c>
      <c r="I406" s="3453" t="s">
        <v>5052</v>
      </c>
      <c r="J406" s="3453" t="s">
        <v>5511</v>
      </c>
      <c r="K406" s="3470" t="s">
        <v>5586</v>
      </c>
      <c r="L406" s="3495">
        <v>93.12</v>
      </c>
      <c r="M406" s="3495">
        <v>4</v>
      </c>
      <c r="N406" s="3470" t="s">
        <v>3709</v>
      </c>
      <c r="O406" s="3495">
        <v>81.97</v>
      </c>
      <c r="P406" s="3470" t="s">
        <v>3452</v>
      </c>
      <c r="Q406" s="3457">
        <v>354926.88</v>
      </c>
      <c r="R406" s="3470">
        <v>3811.5</v>
      </c>
      <c r="S406" s="3472">
        <v>35.049999999999997</v>
      </c>
      <c r="T406" s="3527">
        <v>350500</v>
      </c>
      <c r="U406" s="3470">
        <v>3765</v>
      </c>
      <c r="V406" s="3474">
        <v>0.1</v>
      </c>
      <c r="W406" s="3475">
        <v>31.54</v>
      </c>
      <c r="X406" s="3473">
        <v>315400</v>
      </c>
      <c r="Y406" s="3441">
        <v>2003</v>
      </c>
      <c r="Z406" s="3495">
        <v>6</v>
      </c>
      <c r="AA406" s="3470">
        <v>9</v>
      </c>
      <c r="AB406" s="3485">
        <v>1750</v>
      </c>
      <c r="AC406" s="3470" t="s">
        <v>4044</v>
      </c>
      <c r="AE406" s="3456" t="s">
        <v>3663</v>
      </c>
      <c r="AF406" s="3470" t="s">
        <v>6290</v>
      </c>
      <c r="AG406" s="3470" t="s">
        <v>3466</v>
      </c>
      <c r="AI406" s="3470" t="s">
        <v>3664</v>
      </c>
      <c r="AJ406" s="3478">
        <v>38108</v>
      </c>
      <c r="AK406" s="3548">
        <v>6</v>
      </c>
      <c r="AL406" s="3495">
        <v>67641700</v>
      </c>
      <c r="AN406" s="3480" t="s">
        <v>3791</v>
      </c>
      <c r="AO406" s="3470" t="s">
        <v>3715</v>
      </c>
      <c r="AP406" s="3456" t="s">
        <v>3476</v>
      </c>
      <c r="AQ406" s="3456" t="s">
        <v>3571</v>
      </c>
      <c r="AV406" s="3519"/>
      <c r="AW406" s="3470" t="s">
        <v>3572</v>
      </c>
      <c r="AX406" s="3470" t="s">
        <v>2420</v>
      </c>
      <c r="AY406" s="3495">
        <v>274419</v>
      </c>
      <c r="AZ406" s="3470" t="s">
        <v>5586</v>
      </c>
      <c r="BA406" s="3470" t="s">
        <v>5603</v>
      </c>
      <c r="BB406" s="3619">
        <v>1102281326100</v>
      </c>
      <c r="BC406" s="3470" t="s">
        <v>5588</v>
      </c>
      <c r="BD406" s="3470">
        <v>100055</v>
      </c>
      <c r="BE406" s="3470">
        <v>82951881</v>
      </c>
      <c r="BF406" s="3520">
        <v>2.8</v>
      </c>
      <c r="BG406" s="3478">
        <v>37695</v>
      </c>
      <c r="BI406" s="3470" t="s">
        <v>3476</v>
      </c>
      <c r="BJ406" s="3478">
        <v>37776</v>
      </c>
      <c r="BK406" s="3478"/>
      <c r="BL406" s="3441" t="s">
        <v>3670</v>
      </c>
      <c r="BM406" s="3441"/>
      <c r="BN406" s="3441"/>
      <c r="BO406" s="3441"/>
      <c r="BP406" s="3441"/>
      <c r="BQ406" s="3441"/>
      <c r="BR406" s="3441"/>
    </row>
    <row r="407" spans="1:253" s="3470" customFormat="1" ht="12" hidden="1">
      <c r="A407" s="3485" t="s">
        <v>6604</v>
      </c>
      <c r="B407" s="3470" t="s">
        <v>6605</v>
      </c>
      <c r="C407" s="3481" t="s">
        <v>6606</v>
      </c>
      <c r="D407" s="3453">
        <v>13801386832</v>
      </c>
      <c r="E407" s="3470" t="s">
        <v>3538</v>
      </c>
      <c r="F407" s="3470" t="s">
        <v>6159</v>
      </c>
      <c r="H407" s="3453" t="s">
        <v>5409</v>
      </c>
      <c r="I407" s="3453" t="s">
        <v>5440</v>
      </c>
      <c r="J407" s="3453" t="s">
        <v>3474</v>
      </c>
      <c r="K407" s="3470" t="s">
        <v>6607</v>
      </c>
      <c r="L407" s="3495">
        <v>116.81</v>
      </c>
      <c r="M407" s="3495">
        <v>5</v>
      </c>
      <c r="N407" s="3470" t="s">
        <v>3709</v>
      </c>
      <c r="O407" s="3495">
        <v>96.3</v>
      </c>
      <c r="P407" s="3453" t="s">
        <v>3452</v>
      </c>
      <c r="Q407" s="3457">
        <v>584050</v>
      </c>
      <c r="R407" s="3495">
        <v>5000</v>
      </c>
      <c r="S407" s="3472">
        <v>57.82</v>
      </c>
      <c r="T407" s="3527">
        <v>578200</v>
      </c>
      <c r="U407" s="3470">
        <v>4950</v>
      </c>
      <c r="V407" s="3512">
        <v>0.1</v>
      </c>
      <c r="W407" s="3475">
        <v>52.03</v>
      </c>
      <c r="X407" s="3473">
        <v>520300</v>
      </c>
      <c r="Y407" s="3495">
        <v>2003</v>
      </c>
      <c r="Z407" s="3495">
        <v>6</v>
      </c>
      <c r="AA407" s="3470">
        <v>9</v>
      </c>
      <c r="AB407" s="3485">
        <v>2890</v>
      </c>
      <c r="AC407" s="3470" t="s">
        <v>3585</v>
      </c>
      <c r="AE407" s="3456" t="s">
        <v>3663</v>
      </c>
      <c r="AF407" s="3453" t="s">
        <v>3587</v>
      </c>
      <c r="AG407" s="3470" t="s">
        <v>3466</v>
      </c>
      <c r="AH407" s="3470" t="s">
        <v>3568</v>
      </c>
      <c r="AI407" s="3470" t="s">
        <v>4955</v>
      </c>
      <c r="AJ407" s="3478">
        <v>37864</v>
      </c>
      <c r="AK407" s="3548">
        <v>6</v>
      </c>
      <c r="AL407" s="3495">
        <v>67641700</v>
      </c>
      <c r="AN407" s="3469" t="s">
        <v>3468</v>
      </c>
      <c r="AP407" s="3456" t="s">
        <v>3476</v>
      </c>
      <c r="AQ407" s="3456" t="s">
        <v>3571</v>
      </c>
      <c r="AU407" s="3470" t="s">
        <v>3568</v>
      </c>
      <c r="AV407" s="3495"/>
      <c r="AW407" s="3470" t="s">
        <v>3572</v>
      </c>
      <c r="AX407" s="3484"/>
      <c r="AY407" s="3632">
        <v>25161</v>
      </c>
      <c r="AZ407" s="3470" t="s">
        <v>4419</v>
      </c>
      <c r="BA407" s="3470" t="s">
        <v>6608</v>
      </c>
      <c r="BB407" s="3481" t="s">
        <v>6609</v>
      </c>
      <c r="BC407" s="3470" t="s">
        <v>6163</v>
      </c>
      <c r="BD407" s="3470">
        <v>100085</v>
      </c>
      <c r="BE407" s="3470">
        <v>62976699</v>
      </c>
      <c r="BF407" s="3520">
        <v>2.7</v>
      </c>
      <c r="BG407" s="3478">
        <v>37720</v>
      </c>
      <c r="BH407" s="3470" t="s">
        <v>6610</v>
      </c>
      <c r="BI407" s="3470" t="s">
        <v>3476</v>
      </c>
      <c r="BJ407" s="3478">
        <v>37776</v>
      </c>
      <c r="BL407" s="3470" t="s">
        <v>3670</v>
      </c>
      <c r="BM407" s="3441"/>
      <c r="BN407" s="3441"/>
      <c r="BO407" s="3441"/>
      <c r="BP407" s="3441"/>
      <c r="BQ407" s="3441"/>
      <c r="BR407" s="3441"/>
    </row>
    <row r="408" spans="1:253" s="3470" customFormat="1" ht="12" hidden="1">
      <c r="A408" s="3470" t="s">
        <v>6611</v>
      </c>
      <c r="B408" s="3470" t="s">
        <v>6612</v>
      </c>
      <c r="C408" s="3481" t="s">
        <v>6613</v>
      </c>
      <c r="D408" s="3470">
        <v>88263148</v>
      </c>
      <c r="E408" s="3470" t="s">
        <v>3538</v>
      </c>
      <c r="F408" s="3470" t="s">
        <v>6614</v>
      </c>
      <c r="H408" s="3470" t="s">
        <v>4089</v>
      </c>
      <c r="I408" s="3470" t="s">
        <v>4433</v>
      </c>
      <c r="J408" s="3470" t="s">
        <v>4549</v>
      </c>
      <c r="K408" s="3470" t="s">
        <v>6437</v>
      </c>
      <c r="L408" s="3470">
        <v>50.87</v>
      </c>
      <c r="M408" s="3470">
        <v>3</v>
      </c>
      <c r="N408" s="3485" t="s">
        <v>3678</v>
      </c>
      <c r="O408" s="3470">
        <v>43.28</v>
      </c>
      <c r="P408" s="3470" t="s">
        <v>3452</v>
      </c>
      <c r="Q408" s="3492">
        <v>356165.79629999999</v>
      </c>
      <c r="R408" s="3495">
        <v>7001.49</v>
      </c>
      <c r="S408" s="3472">
        <v>35.270000000000003</v>
      </c>
      <c r="T408" s="3527">
        <v>352700.00000000006</v>
      </c>
      <c r="U408" s="3470">
        <v>6935</v>
      </c>
      <c r="V408" s="3474">
        <v>0.1</v>
      </c>
      <c r="W408" s="3475">
        <v>31.74</v>
      </c>
      <c r="X408" s="3494">
        <v>317400</v>
      </c>
      <c r="Y408" s="3470">
        <v>2003</v>
      </c>
      <c r="Z408" s="3470">
        <v>6</v>
      </c>
      <c r="AA408" s="3470">
        <v>10</v>
      </c>
      <c r="AB408" s="3477">
        <v>1760</v>
      </c>
      <c r="AC408" s="3470" t="s">
        <v>6615</v>
      </c>
      <c r="AE408" s="3470" t="s">
        <v>4914</v>
      </c>
      <c r="AF408" s="3470" t="s">
        <v>6438</v>
      </c>
      <c r="AG408" s="3470" t="s">
        <v>3454</v>
      </c>
      <c r="AI408" s="3470" t="s">
        <v>6439</v>
      </c>
      <c r="AJ408" s="3478">
        <v>37986</v>
      </c>
      <c r="AK408" s="3500">
        <v>6</v>
      </c>
      <c r="AL408" s="3470">
        <v>67641700</v>
      </c>
      <c r="AN408" s="3469" t="s">
        <v>3468</v>
      </c>
      <c r="AP408" s="3470" t="s">
        <v>3922</v>
      </c>
      <c r="AQ408" s="3470" t="s">
        <v>3457</v>
      </c>
      <c r="AW408" s="3470" t="s">
        <v>3458</v>
      </c>
      <c r="AX408" s="3508"/>
      <c r="AY408" s="3470">
        <v>500035</v>
      </c>
      <c r="AZ408" s="3470" t="s">
        <v>6616</v>
      </c>
      <c r="BA408" s="3470" t="s">
        <v>6441</v>
      </c>
      <c r="BB408" s="3470" t="s">
        <v>6617</v>
      </c>
      <c r="BC408" s="3470" t="s">
        <v>6443</v>
      </c>
      <c r="BD408" s="3470">
        <v>100036</v>
      </c>
      <c r="BE408" s="3470">
        <v>88515522</v>
      </c>
      <c r="BF408" s="3470">
        <v>2.95</v>
      </c>
      <c r="BG408" s="3478">
        <v>37768</v>
      </c>
      <c r="BH408" s="3470" t="s">
        <v>6130</v>
      </c>
      <c r="BI408" s="3470" t="s">
        <v>3476</v>
      </c>
      <c r="BJ408" s="3508">
        <v>37778</v>
      </c>
      <c r="BK408" s="3508"/>
      <c r="BL408" s="3470" t="s">
        <v>3670</v>
      </c>
      <c r="BP408" s="3441"/>
      <c r="BQ408" s="3441"/>
      <c r="BR408" s="3441"/>
    </row>
    <row r="409" spans="1:253" s="3470" customFormat="1" ht="12" hidden="1">
      <c r="A409" s="3485" t="s">
        <v>6618</v>
      </c>
      <c r="B409" s="3470" t="s">
        <v>6619</v>
      </c>
      <c r="C409" s="3454" t="s">
        <v>6620</v>
      </c>
      <c r="D409" s="3470">
        <v>13681329043</v>
      </c>
      <c r="E409" s="3470" t="s">
        <v>2736</v>
      </c>
      <c r="F409" s="3470" t="s">
        <v>5592</v>
      </c>
      <c r="G409" s="3470" t="s">
        <v>2420</v>
      </c>
      <c r="H409" s="3470" t="s">
        <v>5793</v>
      </c>
      <c r="I409" s="3453" t="s">
        <v>4282</v>
      </c>
      <c r="J409" s="3453" t="s">
        <v>3474</v>
      </c>
      <c r="K409" s="3470" t="s">
        <v>5584</v>
      </c>
      <c r="L409" s="3495">
        <v>93.81</v>
      </c>
      <c r="M409" s="3495">
        <v>5</v>
      </c>
      <c r="N409" s="3470" t="s">
        <v>3709</v>
      </c>
      <c r="O409" s="3495">
        <v>85.35</v>
      </c>
      <c r="P409" s="3470" t="s">
        <v>3452</v>
      </c>
      <c r="Q409" s="3457">
        <v>338983.37310000003</v>
      </c>
      <c r="R409" s="3470">
        <v>3613.51</v>
      </c>
      <c r="S409" s="3472">
        <v>33.47</v>
      </c>
      <c r="T409" s="3527">
        <v>334700</v>
      </c>
      <c r="U409" s="3470">
        <v>3568</v>
      </c>
      <c r="V409" s="3474">
        <v>0.1</v>
      </c>
      <c r="W409" s="3475">
        <v>30.12</v>
      </c>
      <c r="X409" s="3473">
        <v>301200</v>
      </c>
      <c r="Y409" s="3441">
        <v>2003</v>
      </c>
      <c r="Z409" s="3495">
        <v>6</v>
      </c>
      <c r="AA409" s="3470">
        <v>16</v>
      </c>
      <c r="AB409" s="3485">
        <v>1670</v>
      </c>
      <c r="AC409" s="3470" t="s">
        <v>3544</v>
      </c>
      <c r="AE409" s="3456" t="s">
        <v>3663</v>
      </c>
      <c r="AF409" s="3470" t="s">
        <v>6383</v>
      </c>
      <c r="AG409" s="3470" t="s">
        <v>3466</v>
      </c>
      <c r="AI409" s="3470" t="s">
        <v>3664</v>
      </c>
      <c r="AJ409" s="3478">
        <v>38108</v>
      </c>
      <c r="AK409" s="3548">
        <v>6</v>
      </c>
      <c r="AL409" s="3495">
        <v>67641700</v>
      </c>
      <c r="AN409" s="3469" t="s">
        <v>3482</v>
      </c>
      <c r="AO409" s="3470" t="s">
        <v>6621</v>
      </c>
      <c r="AP409" s="3456" t="s">
        <v>3476</v>
      </c>
      <c r="AQ409" s="3456" t="s">
        <v>3571</v>
      </c>
      <c r="AV409" s="3519"/>
      <c r="AW409" s="3470" t="s">
        <v>3572</v>
      </c>
      <c r="AX409" s="3470" t="s">
        <v>2420</v>
      </c>
      <c r="AY409" s="3495">
        <v>274466</v>
      </c>
      <c r="AZ409" s="3470" t="s">
        <v>5586</v>
      </c>
      <c r="BA409" s="3470" t="s">
        <v>5587</v>
      </c>
      <c r="BB409" s="3619">
        <v>1102281326100</v>
      </c>
      <c r="BC409" s="3470" t="s">
        <v>5588</v>
      </c>
      <c r="BD409" s="3470">
        <v>100055</v>
      </c>
      <c r="BE409" s="3470">
        <v>82951881</v>
      </c>
      <c r="BF409" s="3520">
        <v>2.8</v>
      </c>
      <c r="BG409" s="3478">
        <v>37755</v>
      </c>
      <c r="BI409" s="3470" t="s">
        <v>3476</v>
      </c>
      <c r="BJ409" s="3484">
        <v>37784</v>
      </c>
      <c r="BK409" s="3478"/>
      <c r="BL409" s="3441" t="s">
        <v>3670</v>
      </c>
      <c r="BM409" s="3441"/>
      <c r="BN409" s="3441"/>
      <c r="BO409" s="3441"/>
      <c r="BP409" s="3441"/>
      <c r="BQ409" s="3441"/>
      <c r="BR409" s="3441"/>
    </row>
    <row r="410" spans="1:253" s="3470" customFormat="1" ht="12" hidden="1">
      <c r="A410" s="3485" t="s">
        <v>6622</v>
      </c>
      <c r="B410" s="3470" t="s">
        <v>6623</v>
      </c>
      <c r="C410" s="3454" t="s">
        <v>6624</v>
      </c>
      <c r="D410" s="3470">
        <v>13501113260</v>
      </c>
      <c r="E410" s="3470" t="s">
        <v>2736</v>
      </c>
      <c r="F410" s="3470" t="s">
        <v>5592</v>
      </c>
      <c r="G410" s="3470" t="s">
        <v>2420</v>
      </c>
      <c r="H410" s="3470" t="s">
        <v>5608</v>
      </c>
      <c r="I410" s="3453" t="s">
        <v>3726</v>
      </c>
      <c r="J410" s="3453" t="s">
        <v>4448</v>
      </c>
      <c r="K410" s="3470" t="s">
        <v>5601</v>
      </c>
      <c r="L410" s="3495">
        <v>114.33</v>
      </c>
      <c r="M410" s="3495">
        <v>12</v>
      </c>
      <c r="N410" s="3470" t="s">
        <v>3632</v>
      </c>
      <c r="O410" s="3495">
        <v>96.96</v>
      </c>
      <c r="P410" s="3470" t="s">
        <v>3452</v>
      </c>
      <c r="Q410" s="3457">
        <v>458463.3</v>
      </c>
      <c r="R410" s="3470">
        <v>4010</v>
      </c>
      <c r="S410" s="3472">
        <v>45.33</v>
      </c>
      <c r="T410" s="3527">
        <v>453300</v>
      </c>
      <c r="U410" s="3470">
        <v>3965</v>
      </c>
      <c r="V410" s="3474">
        <v>0.1</v>
      </c>
      <c r="W410" s="3475">
        <v>40.79</v>
      </c>
      <c r="X410" s="3473">
        <v>407900</v>
      </c>
      <c r="Y410" s="3441">
        <v>2003</v>
      </c>
      <c r="Z410" s="3495">
        <v>6</v>
      </c>
      <c r="AA410" s="3470">
        <v>10</v>
      </c>
      <c r="AB410" s="3485">
        <v>2265</v>
      </c>
      <c r="AC410" s="3470" t="s">
        <v>4116</v>
      </c>
      <c r="AE410" s="3456" t="s">
        <v>3663</v>
      </c>
      <c r="AF410" s="3470" t="s">
        <v>6625</v>
      </c>
      <c r="AG410" s="3470" t="s">
        <v>3466</v>
      </c>
      <c r="AI410" s="3470" t="s">
        <v>4849</v>
      </c>
      <c r="AJ410" s="3478">
        <v>38108</v>
      </c>
      <c r="AK410" s="3548">
        <v>6</v>
      </c>
      <c r="AL410" s="3495">
        <v>67641700</v>
      </c>
      <c r="AN410" s="3480" t="s">
        <v>3468</v>
      </c>
      <c r="AO410" s="3470" t="s">
        <v>6626</v>
      </c>
      <c r="AP410" s="3456" t="s">
        <v>3476</v>
      </c>
      <c r="AQ410" s="3456" t="s">
        <v>3571</v>
      </c>
      <c r="AV410" s="3519"/>
      <c r="AW410" s="3470" t="s">
        <v>3572</v>
      </c>
      <c r="AX410" s="3470" t="s">
        <v>2420</v>
      </c>
      <c r="AY410" s="3495">
        <v>274496</v>
      </c>
      <c r="AZ410" s="3470" t="s">
        <v>5601</v>
      </c>
      <c r="BA410" s="3470" t="s">
        <v>5587</v>
      </c>
      <c r="BB410" s="3619">
        <v>1102281326100</v>
      </c>
      <c r="BC410" s="3470" t="s">
        <v>5596</v>
      </c>
      <c r="BD410" s="3470">
        <v>100055</v>
      </c>
      <c r="BE410" s="3470">
        <v>82951881</v>
      </c>
      <c r="BF410" s="3520">
        <v>2.8</v>
      </c>
      <c r="BG410" s="3478">
        <v>37770</v>
      </c>
      <c r="BI410" s="3470" t="s">
        <v>3476</v>
      </c>
      <c r="BJ410" s="3478">
        <v>37781</v>
      </c>
      <c r="BK410" s="3478"/>
      <c r="BL410" s="3441" t="s">
        <v>3670</v>
      </c>
      <c r="BM410" s="3441"/>
      <c r="BN410" s="3441"/>
      <c r="BO410" s="3441"/>
      <c r="BP410" s="3441"/>
      <c r="BQ410" s="3441"/>
      <c r="BR410" s="3441"/>
    </row>
    <row r="411" spans="1:253" s="3470" customFormat="1" ht="12" hidden="1">
      <c r="A411" s="3485" t="s">
        <v>6627</v>
      </c>
      <c r="B411" s="3470" t="s">
        <v>6628</v>
      </c>
      <c r="C411" s="3454" t="s">
        <v>6629</v>
      </c>
      <c r="D411" s="3470">
        <v>13331003508</v>
      </c>
      <c r="E411" s="3470" t="s">
        <v>2736</v>
      </c>
      <c r="F411" s="3470" t="s">
        <v>5592</v>
      </c>
      <c r="G411" s="3470" t="s">
        <v>3588</v>
      </c>
      <c r="H411" s="3470" t="s">
        <v>6283</v>
      </c>
      <c r="I411" s="3453" t="s">
        <v>4441</v>
      </c>
      <c r="J411" s="3453" t="s">
        <v>3479</v>
      </c>
      <c r="K411" s="3470" t="s">
        <v>5586</v>
      </c>
      <c r="L411" s="3495">
        <v>87.2</v>
      </c>
      <c r="M411" s="3495">
        <v>1</v>
      </c>
      <c r="N411" s="3470" t="s">
        <v>3451</v>
      </c>
      <c r="O411" s="3495">
        <v>77.540000000000006</v>
      </c>
      <c r="P411" s="3470" t="s">
        <v>3452</v>
      </c>
      <c r="Q411" s="3457">
        <v>309560</v>
      </c>
      <c r="R411" s="3470">
        <v>3550</v>
      </c>
      <c r="S411" s="3472">
        <v>30.55</v>
      </c>
      <c r="T411" s="3527">
        <v>305500</v>
      </c>
      <c r="U411" s="3470">
        <v>3504</v>
      </c>
      <c r="V411" s="3474">
        <v>0.1</v>
      </c>
      <c r="W411" s="3475">
        <v>27.49</v>
      </c>
      <c r="X411" s="3473">
        <v>274900</v>
      </c>
      <c r="Y411" s="3441">
        <v>2003</v>
      </c>
      <c r="Z411" s="3495">
        <v>6</v>
      </c>
      <c r="AA411" s="3470">
        <v>20</v>
      </c>
      <c r="AB411" s="3485">
        <v>1525</v>
      </c>
      <c r="AC411" s="3470" t="s">
        <v>4044</v>
      </c>
      <c r="AE411" s="3456" t="s">
        <v>3663</v>
      </c>
      <c r="AF411" s="3470" t="s">
        <v>6290</v>
      </c>
      <c r="AG411" s="3470" t="s">
        <v>3466</v>
      </c>
      <c r="AI411" s="3470" t="s">
        <v>3664</v>
      </c>
      <c r="AJ411" s="3478">
        <v>38108</v>
      </c>
      <c r="AK411" s="3548">
        <v>6</v>
      </c>
      <c r="AL411" s="3495">
        <v>67641700</v>
      </c>
      <c r="AN411" s="3480" t="s">
        <v>3482</v>
      </c>
      <c r="AO411" s="3524" t="s">
        <v>6630</v>
      </c>
      <c r="AP411" s="3456" t="s">
        <v>3713</v>
      </c>
      <c r="AQ411" s="3456" t="s">
        <v>3571</v>
      </c>
      <c r="AV411" s="3519"/>
      <c r="AW411" s="3470" t="s">
        <v>3572</v>
      </c>
      <c r="AX411" s="3470" t="s">
        <v>2420</v>
      </c>
      <c r="AY411" s="3495">
        <v>299208</v>
      </c>
      <c r="AZ411" s="3470" t="s">
        <v>5586</v>
      </c>
      <c r="BA411" s="3470" t="s">
        <v>5587</v>
      </c>
      <c r="BB411" s="3619">
        <v>1102281326100</v>
      </c>
      <c r="BC411" s="3470" t="s">
        <v>5588</v>
      </c>
      <c r="BD411" s="3470">
        <v>100055</v>
      </c>
      <c r="BE411" s="3470">
        <v>82951881</v>
      </c>
      <c r="BF411" s="3520">
        <v>2.8</v>
      </c>
      <c r="BG411" s="3478">
        <v>37782</v>
      </c>
      <c r="BI411" s="3470" t="s">
        <v>3721</v>
      </c>
      <c r="BJ411" s="3478">
        <v>37790</v>
      </c>
      <c r="BK411" s="3478"/>
      <c r="BL411" s="3441" t="s">
        <v>3670</v>
      </c>
      <c r="BM411" s="3441"/>
      <c r="BN411" s="3441"/>
      <c r="BO411" s="3441"/>
      <c r="BP411" s="3441"/>
      <c r="BQ411" s="3441"/>
      <c r="BR411" s="3441"/>
    </row>
    <row r="412" spans="1:253" s="3470" customFormat="1" ht="12" hidden="1">
      <c r="A412" s="3470" t="s">
        <v>6631</v>
      </c>
      <c r="B412" s="3470" t="s">
        <v>6632</v>
      </c>
      <c r="C412" s="3470" t="s">
        <v>6633</v>
      </c>
      <c r="D412" s="3470" t="s">
        <v>6634</v>
      </c>
      <c r="E412" s="3470" t="s">
        <v>3558</v>
      </c>
      <c r="F412" s="3470" t="s">
        <v>4600</v>
      </c>
      <c r="H412" s="3470" t="s">
        <v>4876</v>
      </c>
      <c r="I412" s="3470" t="s">
        <v>4019</v>
      </c>
      <c r="J412" s="3470" t="s">
        <v>6635</v>
      </c>
      <c r="K412" s="3470" t="s">
        <v>6636</v>
      </c>
      <c r="L412" s="3470">
        <v>57.95</v>
      </c>
      <c r="M412" s="3470">
        <v>5</v>
      </c>
      <c r="N412" s="3470" t="s">
        <v>3564</v>
      </c>
      <c r="O412" s="3470" t="s">
        <v>3568</v>
      </c>
      <c r="P412" s="3470" t="s">
        <v>3452</v>
      </c>
      <c r="Q412" s="3470">
        <v>184281</v>
      </c>
      <c r="R412" s="3470">
        <v>3180</v>
      </c>
      <c r="S412" s="3470">
        <v>18.350000000000001</v>
      </c>
      <c r="T412" s="3470">
        <v>183500</v>
      </c>
      <c r="U412" s="3470">
        <v>3168</v>
      </c>
      <c r="V412" s="3470">
        <v>0.05</v>
      </c>
      <c r="W412" s="3470">
        <v>17.43</v>
      </c>
      <c r="X412" s="3470">
        <v>174300</v>
      </c>
      <c r="Y412" s="3470">
        <v>2003</v>
      </c>
      <c r="Z412" s="3470">
        <v>7</v>
      </c>
      <c r="AA412" s="3470">
        <v>28</v>
      </c>
      <c r="AB412" s="3470">
        <v>915</v>
      </c>
      <c r="AC412" s="3470" t="s">
        <v>3603</v>
      </c>
      <c r="AE412" s="3470" t="s">
        <v>3663</v>
      </c>
      <c r="AF412" s="3470" t="s">
        <v>3493</v>
      </c>
      <c r="AG412" s="3470" t="s">
        <v>3466</v>
      </c>
      <c r="AI412" s="3470" t="s">
        <v>5021</v>
      </c>
      <c r="AK412" s="3470">
        <v>7</v>
      </c>
      <c r="AL412" s="3470">
        <v>67641700</v>
      </c>
      <c r="AN412" s="3470" t="s">
        <v>4699</v>
      </c>
      <c r="AO412" s="3470" t="s">
        <v>6637</v>
      </c>
      <c r="AP412" s="3470" t="s">
        <v>3679</v>
      </c>
      <c r="AQ412" s="3470" t="s">
        <v>3571</v>
      </c>
      <c r="AW412" s="3470" t="s">
        <v>3572</v>
      </c>
      <c r="AY412" s="3481"/>
      <c r="AZ412" s="3470" t="s">
        <v>4608</v>
      </c>
      <c r="BA412" s="3470" t="s">
        <v>4609</v>
      </c>
      <c r="BB412" s="3481" t="s">
        <v>6638</v>
      </c>
      <c r="BD412" s="3482"/>
      <c r="BE412" s="3470">
        <v>64263637</v>
      </c>
      <c r="BF412" s="3483"/>
      <c r="BG412" s="3478">
        <v>37397</v>
      </c>
      <c r="BI412" s="3470" t="s">
        <v>3679</v>
      </c>
      <c r="BJ412" s="3508">
        <v>37826</v>
      </c>
      <c r="BK412" s="3508"/>
      <c r="BL412" s="3470" t="s">
        <v>5825</v>
      </c>
      <c r="BM412" s="3470" t="s">
        <v>3396</v>
      </c>
      <c r="BN412" s="3470" t="s">
        <v>6639</v>
      </c>
      <c r="BO412" s="3470" t="s">
        <v>6640</v>
      </c>
      <c r="BP412" s="3441"/>
      <c r="BQ412" s="3441"/>
      <c r="BR412" s="3441"/>
    </row>
    <row r="413" spans="1:253" s="3470" customFormat="1" ht="12" hidden="1">
      <c r="A413" s="3470" t="s">
        <v>6641</v>
      </c>
      <c r="B413" s="3470" t="s">
        <v>6642</v>
      </c>
      <c r="C413" s="3481" t="s">
        <v>6643</v>
      </c>
      <c r="D413" s="3481" t="s">
        <v>6644</v>
      </c>
      <c r="E413" s="3470" t="s">
        <v>2736</v>
      </c>
      <c r="F413" s="3470" t="s">
        <v>6473</v>
      </c>
      <c r="H413" s="3470" t="s">
        <v>6449</v>
      </c>
      <c r="I413" s="3470" t="s">
        <v>4074</v>
      </c>
      <c r="J413" s="3470" t="s">
        <v>3449</v>
      </c>
      <c r="K413" s="3470" t="s">
        <v>6645</v>
      </c>
      <c r="L413" s="3470">
        <v>125.56</v>
      </c>
      <c r="M413" s="3470">
        <v>4</v>
      </c>
      <c r="N413" s="3470" t="s">
        <v>3632</v>
      </c>
      <c r="O413" s="3470">
        <v>111.21</v>
      </c>
      <c r="P413" s="3470" t="s">
        <v>3452</v>
      </c>
      <c r="Q413" s="3457">
        <v>784624.44000000006</v>
      </c>
      <c r="R413" s="3495">
        <v>6249</v>
      </c>
      <c r="S413" s="3472">
        <v>77.77</v>
      </c>
      <c r="T413" s="3527">
        <v>777700</v>
      </c>
      <c r="U413" s="3470">
        <v>6194</v>
      </c>
      <c r="V413" s="3474">
        <v>0.1</v>
      </c>
      <c r="W413" s="3475">
        <v>69.989999999999995</v>
      </c>
      <c r="X413" s="3476">
        <v>699900</v>
      </c>
      <c r="Y413" s="3470">
        <v>2003</v>
      </c>
      <c r="Z413" s="3470">
        <v>6</v>
      </c>
      <c r="AA413" s="3470">
        <v>10</v>
      </c>
      <c r="AB413" s="3477">
        <v>3885</v>
      </c>
      <c r="AC413" s="3470" t="s">
        <v>3970</v>
      </c>
      <c r="AE413" s="3470" t="s">
        <v>2156</v>
      </c>
      <c r="AF413" s="3470" t="s">
        <v>4390</v>
      </c>
      <c r="AG413" s="3470" t="s">
        <v>3546</v>
      </c>
      <c r="AI413" s="3470" t="s">
        <v>6439</v>
      </c>
      <c r="AJ413" s="3478">
        <v>37807</v>
      </c>
      <c r="AK413" s="3500">
        <v>6</v>
      </c>
      <c r="AL413" s="3470">
        <v>67641700</v>
      </c>
      <c r="AN413" s="3480" t="s">
        <v>3791</v>
      </c>
      <c r="AP413" s="3470" t="s">
        <v>3475</v>
      </c>
      <c r="AQ413" s="3470" t="s">
        <v>3457</v>
      </c>
      <c r="AW413" s="3470" t="s">
        <v>3458</v>
      </c>
      <c r="AX413" s="3508" t="s">
        <v>6646</v>
      </c>
      <c r="AY413" s="3481" t="s">
        <v>6647</v>
      </c>
      <c r="AZ413" s="3470" t="s">
        <v>6645</v>
      </c>
      <c r="BA413" s="3470" t="s">
        <v>6648</v>
      </c>
      <c r="BB413" s="3481" t="s">
        <v>6478</v>
      </c>
      <c r="BC413" s="3470" t="s">
        <v>6479</v>
      </c>
      <c r="BD413" s="3470">
        <v>100091</v>
      </c>
      <c r="BE413" s="3470">
        <v>62898116</v>
      </c>
      <c r="BF413" s="3470">
        <v>2.9</v>
      </c>
      <c r="BG413" s="3478">
        <v>37758</v>
      </c>
      <c r="BH413" s="3470" t="s">
        <v>2420</v>
      </c>
      <c r="BI413" s="3470" t="s">
        <v>3476</v>
      </c>
      <c r="BJ413" s="3478">
        <v>37781</v>
      </c>
      <c r="BK413" s="3508"/>
      <c r="BL413" s="3470" t="s">
        <v>3670</v>
      </c>
      <c r="BP413" s="3441"/>
      <c r="BQ413" s="3441"/>
      <c r="BR413" s="3441"/>
    </row>
    <row r="414" spans="1:253" s="3441" customFormat="1" ht="12" hidden="1">
      <c r="A414" s="3470" t="s">
        <v>6649</v>
      </c>
      <c r="B414" s="3470" t="s">
        <v>6650</v>
      </c>
      <c r="C414" s="3481" t="s">
        <v>6651</v>
      </c>
      <c r="D414" s="3481" t="s">
        <v>6652</v>
      </c>
      <c r="E414" s="3470" t="s">
        <v>3558</v>
      </c>
      <c r="F414" s="3528" t="s">
        <v>3951</v>
      </c>
      <c r="G414" s="3470"/>
      <c r="H414" s="3470" t="s">
        <v>4262</v>
      </c>
      <c r="I414" s="3470" t="s">
        <v>3464</v>
      </c>
      <c r="J414" s="3481" t="s">
        <v>6653</v>
      </c>
      <c r="K414" s="3470" t="s">
        <v>3955</v>
      </c>
      <c r="L414" s="3470">
        <v>92.49</v>
      </c>
      <c r="M414" s="3470">
        <v>2</v>
      </c>
      <c r="N414" s="3470" t="s">
        <v>3709</v>
      </c>
      <c r="O414" s="3470">
        <v>82.61</v>
      </c>
      <c r="P414" s="3470" t="s">
        <v>3452</v>
      </c>
      <c r="Q414" s="3457">
        <v>398800</v>
      </c>
      <c r="R414" s="3470">
        <v>4311.8</v>
      </c>
      <c r="S414" s="3472">
        <v>39.46</v>
      </c>
      <c r="T414" s="3527">
        <v>394600</v>
      </c>
      <c r="U414" s="3470">
        <v>4267</v>
      </c>
      <c r="V414" s="3474">
        <v>0.1</v>
      </c>
      <c r="W414" s="3475">
        <v>35.51</v>
      </c>
      <c r="X414" s="3476">
        <v>355100</v>
      </c>
      <c r="Y414" s="3441">
        <v>2003</v>
      </c>
      <c r="Z414" s="3441">
        <v>6</v>
      </c>
      <c r="AA414" s="3470">
        <v>11</v>
      </c>
      <c r="AB414" s="3485">
        <v>1970</v>
      </c>
      <c r="AC414" s="3470" t="s">
        <v>4044</v>
      </c>
      <c r="AD414" s="3485"/>
      <c r="AE414" s="3441" t="s">
        <v>3663</v>
      </c>
      <c r="AF414" s="3470" t="s">
        <v>4126</v>
      </c>
      <c r="AG414" s="3522" t="s">
        <v>3466</v>
      </c>
      <c r="AH414" s="3485"/>
      <c r="AI414" s="3470" t="s">
        <v>3664</v>
      </c>
      <c r="AJ414" s="3523">
        <v>37832</v>
      </c>
      <c r="AK414" s="3500">
        <v>6</v>
      </c>
      <c r="AL414" s="3441" t="s">
        <v>3957</v>
      </c>
      <c r="AN414" s="3480" t="s">
        <v>3468</v>
      </c>
      <c r="AP414" s="3456" t="s">
        <v>3721</v>
      </c>
      <c r="AQ414" s="3441" t="s">
        <v>3571</v>
      </c>
      <c r="AV414" s="3441" t="s">
        <v>3568</v>
      </c>
      <c r="AW414" s="3441" t="s">
        <v>3572</v>
      </c>
      <c r="AX414" s="3441" t="s">
        <v>2511</v>
      </c>
      <c r="AY414" s="3524" t="s">
        <v>6654</v>
      </c>
      <c r="AZ414" s="3441" t="s">
        <v>3955</v>
      </c>
      <c r="BA414" s="3441" t="s">
        <v>3959</v>
      </c>
      <c r="BB414" s="3524" t="s">
        <v>3960</v>
      </c>
      <c r="BC414" s="3441" t="s">
        <v>3961</v>
      </c>
      <c r="BD414" s="3525">
        <v>102100</v>
      </c>
      <c r="BE414" s="3441">
        <v>62998398</v>
      </c>
      <c r="BF414" s="3526">
        <v>2.8</v>
      </c>
      <c r="BG414" s="3518">
        <v>37765</v>
      </c>
      <c r="BI414" s="3470" t="s">
        <v>3713</v>
      </c>
      <c r="BJ414" s="3484">
        <v>37778</v>
      </c>
      <c r="BK414" s="3484"/>
      <c r="BL414" s="3470" t="s">
        <v>3670</v>
      </c>
      <c r="BS414" s="3470"/>
      <c r="BT414" s="3470"/>
      <c r="BU414" s="3470"/>
      <c r="BV414" s="3472"/>
      <c r="BW414" s="3472"/>
      <c r="BX414" s="3472"/>
      <c r="BY414" s="3472"/>
      <c r="BZ414" s="3472"/>
      <c r="CA414" s="3472"/>
      <c r="CB414" s="3472"/>
      <c r="CC414" s="3472"/>
      <c r="CD414" s="3472"/>
      <c r="CE414" s="3472"/>
      <c r="CF414" s="3472"/>
      <c r="CG414" s="3472"/>
      <c r="CH414" s="3472"/>
      <c r="CI414" s="3472"/>
      <c r="CJ414" s="3472"/>
      <c r="CK414" s="3472"/>
      <c r="CL414" s="3472"/>
      <c r="CM414" s="3472"/>
      <c r="CN414" s="3472"/>
      <c r="CO414" s="3472"/>
      <c r="CP414" s="3472"/>
      <c r="CQ414" s="3472"/>
      <c r="CR414" s="3472"/>
      <c r="CS414" s="3472"/>
      <c r="CT414" s="3472"/>
      <c r="CU414" s="3472"/>
      <c r="CV414" s="3472"/>
      <c r="CW414" s="3472"/>
      <c r="CX414" s="3472"/>
      <c r="CY414" s="3472"/>
      <c r="CZ414" s="3472"/>
      <c r="DA414" s="3472"/>
      <c r="DB414" s="3472"/>
      <c r="DC414" s="3472"/>
      <c r="DD414" s="3472"/>
      <c r="DE414" s="3472"/>
      <c r="DF414" s="3472"/>
      <c r="DG414" s="3472"/>
      <c r="DH414" s="3472"/>
      <c r="DI414" s="3472"/>
      <c r="DJ414" s="3472"/>
      <c r="DK414" s="3472"/>
      <c r="DL414" s="3472"/>
      <c r="DM414" s="3472"/>
      <c r="DN414" s="3472"/>
      <c r="DO414" s="3472"/>
      <c r="DP414" s="3472"/>
      <c r="DQ414" s="3472"/>
      <c r="DR414" s="3472"/>
      <c r="DS414" s="3472"/>
      <c r="DT414" s="3472"/>
      <c r="DU414" s="3472"/>
      <c r="DV414" s="3472"/>
      <c r="DW414" s="3472"/>
      <c r="DX414" s="3472"/>
      <c r="DY414" s="3472"/>
      <c r="DZ414" s="3472"/>
      <c r="EA414" s="3472"/>
      <c r="EB414" s="3472"/>
      <c r="EC414" s="3472"/>
      <c r="ED414" s="3472"/>
      <c r="EE414" s="3472"/>
      <c r="EF414" s="3472"/>
      <c r="EG414" s="3472"/>
      <c r="EH414" s="3472"/>
      <c r="EI414" s="3472"/>
      <c r="EJ414" s="3472"/>
      <c r="EK414" s="3472"/>
      <c r="EL414" s="3472"/>
      <c r="EM414" s="3472"/>
      <c r="EN414" s="3472"/>
      <c r="EO414" s="3472"/>
      <c r="EP414" s="3472"/>
      <c r="EQ414" s="3472"/>
      <c r="ER414" s="3472"/>
      <c r="ES414" s="3472"/>
      <c r="ET414" s="3472"/>
      <c r="EU414" s="3472"/>
      <c r="EV414" s="3472"/>
      <c r="EW414" s="3472"/>
      <c r="EX414" s="3472"/>
      <c r="EY414" s="3472"/>
      <c r="EZ414" s="3472"/>
      <c r="FA414" s="3472"/>
      <c r="FB414" s="3472"/>
      <c r="FC414" s="3472"/>
      <c r="FD414" s="3472"/>
      <c r="FE414" s="3472"/>
      <c r="FF414" s="3472"/>
      <c r="FG414" s="3472"/>
      <c r="FH414" s="3472"/>
      <c r="FI414" s="3472"/>
      <c r="FJ414" s="3472"/>
      <c r="FK414" s="3472"/>
      <c r="FL414" s="3472"/>
      <c r="FM414" s="3472"/>
      <c r="FN414" s="3472"/>
      <c r="FO414" s="3472"/>
      <c r="FP414" s="3472"/>
      <c r="FQ414" s="3472"/>
      <c r="FR414" s="3472"/>
      <c r="FS414" s="3472"/>
      <c r="FT414" s="3472"/>
      <c r="FU414" s="3472"/>
      <c r="FV414" s="3472"/>
      <c r="FW414" s="3472"/>
      <c r="FX414" s="3472"/>
      <c r="FY414" s="3472"/>
      <c r="FZ414" s="3472"/>
      <c r="GA414" s="3472"/>
      <c r="GB414" s="3472"/>
      <c r="GC414" s="3472"/>
      <c r="GD414" s="3472"/>
      <c r="GE414" s="3472"/>
      <c r="GF414" s="3472"/>
      <c r="GG414" s="3472"/>
      <c r="GH414" s="3472"/>
      <c r="GI414" s="3472"/>
      <c r="GJ414" s="3472"/>
      <c r="GK414" s="3472"/>
      <c r="GL414" s="3472"/>
      <c r="GM414" s="3472"/>
      <c r="GN414" s="3472"/>
      <c r="GO414" s="3472"/>
      <c r="GP414" s="3472"/>
      <c r="GQ414" s="3472"/>
      <c r="GR414" s="3472"/>
      <c r="GS414" s="3472"/>
      <c r="GT414" s="3472"/>
      <c r="GU414" s="3472"/>
      <c r="GV414" s="3472"/>
      <c r="GW414" s="3472"/>
      <c r="GX414" s="3472"/>
      <c r="GY414" s="3472"/>
      <c r="GZ414" s="3472"/>
      <c r="HA414" s="3472"/>
      <c r="HB414" s="3472"/>
      <c r="HC414" s="3472"/>
      <c r="HD414" s="3472"/>
      <c r="HE414" s="3472"/>
      <c r="HF414" s="3472"/>
      <c r="HG414" s="3472"/>
      <c r="HH414" s="3472"/>
      <c r="HI414" s="3472"/>
      <c r="HJ414" s="3472"/>
      <c r="HK414" s="3472"/>
      <c r="HL414" s="3472"/>
      <c r="HM414" s="3472"/>
      <c r="HN414" s="3472"/>
      <c r="HO414" s="3472"/>
      <c r="HP414" s="3472"/>
      <c r="HQ414" s="3472"/>
      <c r="HR414" s="3472"/>
      <c r="HS414" s="3472"/>
      <c r="HT414" s="3472"/>
      <c r="HU414" s="3472"/>
      <c r="HV414" s="3472"/>
      <c r="HW414" s="3472"/>
      <c r="HX414" s="3472"/>
      <c r="HY414" s="3472"/>
      <c r="HZ414" s="3472"/>
      <c r="IA414" s="3472"/>
      <c r="IB414" s="3472"/>
      <c r="IC414" s="3472"/>
      <c r="ID414" s="3472"/>
      <c r="IE414" s="3472"/>
      <c r="IF414" s="3472"/>
      <c r="IG414" s="3472"/>
      <c r="IH414" s="3472"/>
      <c r="II414" s="3472"/>
      <c r="IJ414" s="3472"/>
      <c r="IK414" s="3472"/>
      <c r="IL414" s="3472"/>
      <c r="IM414" s="3472"/>
      <c r="IN414" s="3472"/>
      <c r="IO414" s="3472"/>
      <c r="IP414" s="3472"/>
      <c r="IQ414" s="3472"/>
      <c r="IR414" s="3472"/>
      <c r="IS414" s="3472"/>
    </row>
    <row r="415" spans="1:253" s="3441" customFormat="1" ht="12" hidden="1">
      <c r="A415" s="3470" t="s">
        <v>6655</v>
      </c>
      <c r="B415" s="3470" t="s">
        <v>6656</v>
      </c>
      <c r="C415" s="3481" t="s">
        <v>6657</v>
      </c>
      <c r="D415" s="3481" t="s">
        <v>6658</v>
      </c>
      <c r="E415" s="3470" t="s">
        <v>3538</v>
      </c>
      <c r="F415" s="3528" t="s">
        <v>5922</v>
      </c>
      <c r="G415" s="3470"/>
      <c r="H415" s="3470" t="s">
        <v>6659</v>
      </c>
      <c r="I415" s="3470" t="s">
        <v>4282</v>
      </c>
      <c r="J415" s="3481" t="s">
        <v>6660</v>
      </c>
      <c r="K415" s="3470" t="s">
        <v>6661</v>
      </c>
      <c r="L415" s="3470">
        <v>123.92</v>
      </c>
      <c r="M415" s="3470">
        <v>6</v>
      </c>
      <c r="N415" s="3470" t="s">
        <v>3969</v>
      </c>
      <c r="O415" s="3470"/>
      <c r="P415" s="3470" t="s">
        <v>4879</v>
      </c>
      <c r="Q415" s="3470">
        <v>330494.64</v>
      </c>
      <c r="R415" s="3470">
        <v>2667</v>
      </c>
      <c r="S415" s="3472">
        <v>35.68</v>
      </c>
      <c r="T415" s="3527">
        <v>356800</v>
      </c>
      <c r="U415" s="3470">
        <v>2880</v>
      </c>
      <c r="V415" s="3474">
        <v>0.05</v>
      </c>
      <c r="W415" s="3475">
        <v>33.89</v>
      </c>
      <c r="X415" s="3473">
        <v>338900</v>
      </c>
      <c r="Y415" s="3441">
        <v>2003</v>
      </c>
      <c r="Z415" s="3441">
        <v>6</v>
      </c>
      <c r="AA415" s="3441">
        <v>23</v>
      </c>
      <c r="AB415" s="3485">
        <v>1780</v>
      </c>
      <c r="AC415" s="3470" t="s">
        <v>3798</v>
      </c>
      <c r="AD415" s="3485"/>
      <c r="AE415" s="3441" t="s">
        <v>2156</v>
      </c>
      <c r="AF415" s="3470" t="s">
        <v>3453</v>
      </c>
      <c r="AG415" s="3522" t="s">
        <v>3466</v>
      </c>
      <c r="AH415" s="3485"/>
      <c r="AI415" s="3470" t="s">
        <v>3664</v>
      </c>
      <c r="AJ415" s="3523"/>
      <c r="AK415" s="3479" t="s">
        <v>5933</v>
      </c>
      <c r="AL415" s="3441">
        <v>67641700</v>
      </c>
      <c r="AN415" s="3441" t="s">
        <v>4427</v>
      </c>
      <c r="AO415" s="3441" t="s">
        <v>6662</v>
      </c>
      <c r="AP415" s="3441" t="s">
        <v>3665</v>
      </c>
      <c r="AQ415" s="3441" t="s">
        <v>3457</v>
      </c>
      <c r="AW415" s="3441" t="s">
        <v>3458</v>
      </c>
      <c r="AY415" s="3524"/>
      <c r="BB415" s="3524"/>
      <c r="BD415" s="3525"/>
      <c r="BF415" s="3526"/>
      <c r="BG415" s="3478">
        <v>37567</v>
      </c>
      <c r="BI415" s="3441" t="s">
        <v>3665</v>
      </c>
      <c r="BJ415" s="3484">
        <v>37790</v>
      </c>
      <c r="BK415" s="3484"/>
      <c r="BL415" s="3470"/>
      <c r="BS415" s="3470"/>
      <c r="BT415" s="3470"/>
      <c r="BU415" s="3470"/>
    </row>
    <row r="416" spans="1:253" s="3441" customFormat="1" ht="12" hidden="1">
      <c r="A416" s="3470" t="s">
        <v>6663</v>
      </c>
      <c r="B416" s="3470" t="s">
        <v>6664</v>
      </c>
      <c r="C416" s="3481" t="s">
        <v>6665</v>
      </c>
      <c r="D416" s="3481" t="s">
        <v>6666</v>
      </c>
      <c r="E416" s="3470" t="s">
        <v>3558</v>
      </c>
      <c r="F416" s="3528" t="s">
        <v>5661</v>
      </c>
      <c r="G416" s="3470"/>
      <c r="H416" s="3470" t="s">
        <v>6667</v>
      </c>
      <c r="I416" s="3470" t="s">
        <v>6668</v>
      </c>
      <c r="J416" s="3481" t="s">
        <v>6669</v>
      </c>
      <c r="K416" s="3470" t="s">
        <v>5664</v>
      </c>
      <c r="L416" s="3470">
        <v>78.069999999999993</v>
      </c>
      <c r="M416" s="3470">
        <v>1</v>
      </c>
      <c r="N416" s="3453" t="s">
        <v>3709</v>
      </c>
      <c r="O416" s="3470">
        <v>60.91</v>
      </c>
      <c r="P416" s="3470" t="s">
        <v>3452</v>
      </c>
      <c r="Q416" s="3457">
        <v>318525.59999999998</v>
      </c>
      <c r="R416" s="3470">
        <v>4080</v>
      </c>
      <c r="S416" s="3472">
        <v>31.51</v>
      </c>
      <c r="T416" s="3527">
        <v>315100</v>
      </c>
      <c r="U416" s="3470">
        <v>4037</v>
      </c>
      <c r="V416" s="3474">
        <v>0.05</v>
      </c>
      <c r="W416" s="3475">
        <v>29.93</v>
      </c>
      <c r="X416" s="3476">
        <v>299300</v>
      </c>
      <c r="Y416" s="3495">
        <v>2003</v>
      </c>
      <c r="Z416" s="3441">
        <v>6</v>
      </c>
      <c r="AA416" s="3470">
        <v>13</v>
      </c>
      <c r="AB416" s="3477">
        <v>1575</v>
      </c>
      <c r="AC416" s="3470" t="s">
        <v>3585</v>
      </c>
      <c r="AD416" s="3485"/>
      <c r="AE416" s="3469" t="s">
        <v>3663</v>
      </c>
      <c r="AF416" s="3470" t="s">
        <v>4501</v>
      </c>
      <c r="AG416" s="3522" t="s">
        <v>3466</v>
      </c>
      <c r="AH416" s="3485"/>
      <c r="AI416" s="3470" t="s">
        <v>3664</v>
      </c>
      <c r="AJ416" s="3523">
        <v>37830</v>
      </c>
      <c r="AK416" s="3548">
        <v>6</v>
      </c>
      <c r="AL416" s="3441">
        <v>67641700</v>
      </c>
      <c r="AN416" s="3469" t="s">
        <v>3791</v>
      </c>
      <c r="AP416" s="3441" t="s">
        <v>3476</v>
      </c>
      <c r="AQ416" s="3441" t="s">
        <v>3571</v>
      </c>
      <c r="AW416" s="3470" t="s">
        <v>3572</v>
      </c>
      <c r="AX416" s="3441" t="s">
        <v>2511</v>
      </c>
      <c r="AY416" s="3441">
        <v>175320</v>
      </c>
      <c r="AZ416" s="3524" t="s">
        <v>5665</v>
      </c>
      <c r="BA416" s="3441" t="s">
        <v>6670</v>
      </c>
      <c r="BB416" s="3620">
        <v>1101081434031</v>
      </c>
      <c r="BC416" s="3524" t="s">
        <v>5667</v>
      </c>
      <c r="BD416" s="3441">
        <v>100094</v>
      </c>
      <c r="BE416" s="3525">
        <v>62962485</v>
      </c>
      <c r="BF416" s="3441">
        <v>2.7</v>
      </c>
      <c r="BG416" s="3478">
        <v>37769</v>
      </c>
      <c r="BH416" s="3518"/>
      <c r="BI416" s="3441" t="s">
        <v>3476</v>
      </c>
      <c r="BJ416" s="3478">
        <v>37782</v>
      </c>
      <c r="BK416" s="3518"/>
      <c r="BL416" s="3441" t="s">
        <v>3623</v>
      </c>
      <c r="BS416" s="3470"/>
      <c r="BT416" s="3470"/>
      <c r="BU416" s="3470"/>
    </row>
    <row r="417" spans="1:253" s="3441" customFormat="1" ht="12" hidden="1">
      <c r="A417" s="3481" t="s">
        <v>6671</v>
      </c>
      <c r="B417" s="3470" t="s">
        <v>6672</v>
      </c>
      <c r="C417" s="3481" t="s">
        <v>6404</v>
      </c>
      <c r="D417" s="3481" t="s">
        <v>6405</v>
      </c>
      <c r="E417" s="3470" t="s">
        <v>2736</v>
      </c>
      <c r="F417" s="3528" t="s">
        <v>6673</v>
      </c>
      <c r="G417" s="3470"/>
      <c r="H417" s="3453" t="s">
        <v>6407</v>
      </c>
      <c r="I417" s="3453" t="s">
        <v>3615</v>
      </c>
      <c r="J417" s="3454" t="s">
        <v>3871</v>
      </c>
      <c r="K417" s="3470" t="s">
        <v>6408</v>
      </c>
      <c r="L417" s="3495">
        <v>94.4</v>
      </c>
      <c r="M417" s="3495">
        <v>4</v>
      </c>
      <c r="N417" s="3542" t="s">
        <v>3602</v>
      </c>
      <c r="O417" s="3495">
        <v>83.04</v>
      </c>
      <c r="P417" s="3470" t="s">
        <v>3452</v>
      </c>
      <c r="Q417" s="3457">
        <v>220896</v>
      </c>
      <c r="R417" s="3470">
        <v>2340</v>
      </c>
      <c r="S417" s="3472">
        <v>21.67</v>
      </c>
      <c r="T417" s="3527">
        <v>216700.00000000003</v>
      </c>
      <c r="U417" s="3495">
        <v>2296</v>
      </c>
      <c r="V417" s="3512">
        <v>0.1</v>
      </c>
      <c r="W417" s="3475">
        <v>19.5</v>
      </c>
      <c r="X417" s="3473">
        <v>195000</v>
      </c>
      <c r="Y417" s="3515">
        <v>2003</v>
      </c>
      <c r="Z417" s="3515">
        <v>6</v>
      </c>
      <c r="AA417" s="3470">
        <v>13</v>
      </c>
      <c r="AB417" s="3477">
        <v>1080</v>
      </c>
      <c r="AC417" s="3470" t="s">
        <v>3544</v>
      </c>
      <c r="AD417" s="3485"/>
      <c r="AE417" s="3469" t="s">
        <v>2156</v>
      </c>
      <c r="AF417" s="3453" t="s">
        <v>6674</v>
      </c>
      <c r="AG417" s="3522" t="s">
        <v>3605</v>
      </c>
      <c r="AH417" s="3485"/>
      <c r="AI417" s="3470" t="s">
        <v>4849</v>
      </c>
      <c r="AJ417" s="3523">
        <v>38077</v>
      </c>
      <c r="AK417" s="3500">
        <v>6</v>
      </c>
      <c r="AL417" s="3515">
        <v>67641700</v>
      </c>
      <c r="AN417" s="3480" t="s">
        <v>3695</v>
      </c>
      <c r="AO417" s="3486" t="s">
        <v>3588</v>
      </c>
      <c r="AP417" s="3502" t="s">
        <v>3475</v>
      </c>
      <c r="AQ417" s="3469" t="s">
        <v>3571</v>
      </c>
      <c r="AU417" s="3495"/>
      <c r="AV417" s="3535"/>
      <c r="AW417" s="3470" t="s">
        <v>3458</v>
      </c>
      <c r="AX417" s="3441" t="s">
        <v>2420</v>
      </c>
      <c r="AY417" s="3536" t="s">
        <v>6675</v>
      </c>
      <c r="AZ417" s="3470" t="s">
        <v>6408</v>
      </c>
      <c r="BA417" s="3463" t="s">
        <v>6424</v>
      </c>
      <c r="BB417" s="3466">
        <v>1102281149818</v>
      </c>
      <c r="BC417" s="3441" t="s">
        <v>6414</v>
      </c>
      <c r="BD417" s="3441">
        <v>100044</v>
      </c>
      <c r="BE417" s="3463">
        <v>88018575</v>
      </c>
      <c r="BF417" s="3538">
        <v>2.7</v>
      </c>
      <c r="BG417" s="3535">
        <v>37765</v>
      </c>
      <c r="BH417" s="3453"/>
      <c r="BI417" s="3470" t="s">
        <v>3476</v>
      </c>
      <c r="BJ417" s="3478">
        <v>37783</v>
      </c>
      <c r="BL417" s="3441" t="s">
        <v>3833</v>
      </c>
      <c r="BS417" s="3470"/>
      <c r="BT417" s="3470"/>
      <c r="BU417" s="3470"/>
      <c r="BV417" s="3472"/>
      <c r="BW417" s="3472"/>
      <c r="BX417" s="3472"/>
      <c r="BY417" s="3472"/>
      <c r="BZ417" s="3472"/>
      <c r="CA417" s="3472"/>
      <c r="CB417" s="3472"/>
      <c r="CC417" s="3472"/>
      <c r="CD417" s="3472"/>
      <c r="CE417" s="3472"/>
      <c r="CF417" s="3472"/>
      <c r="CG417" s="3472"/>
      <c r="CH417" s="3472"/>
      <c r="CI417" s="3472"/>
      <c r="CJ417" s="3472"/>
      <c r="CK417" s="3472"/>
      <c r="CL417" s="3472"/>
      <c r="CM417" s="3472"/>
      <c r="CN417" s="3472"/>
      <c r="CO417" s="3472"/>
      <c r="CP417" s="3472"/>
      <c r="CQ417" s="3472"/>
      <c r="CR417" s="3472"/>
      <c r="CS417" s="3472"/>
      <c r="CT417" s="3472"/>
      <c r="CU417" s="3472"/>
      <c r="CV417" s="3472"/>
      <c r="CW417" s="3472"/>
      <c r="CX417" s="3472"/>
      <c r="CY417" s="3472"/>
      <c r="CZ417" s="3472"/>
      <c r="DA417" s="3472"/>
      <c r="DB417" s="3472"/>
      <c r="DC417" s="3472"/>
      <c r="DD417" s="3472"/>
      <c r="DE417" s="3472"/>
      <c r="DF417" s="3472"/>
      <c r="DG417" s="3472"/>
      <c r="DH417" s="3472"/>
      <c r="DI417" s="3472"/>
      <c r="DJ417" s="3472"/>
      <c r="DK417" s="3472"/>
      <c r="DL417" s="3472"/>
      <c r="DM417" s="3472"/>
      <c r="DN417" s="3472"/>
      <c r="DO417" s="3472"/>
      <c r="DP417" s="3472"/>
      <c r="DQ417" s="3472"/>
      <c r="DR417" s="3472"/>
      <c r="DS417" s="3472"/>
      <c r="DT417" s="3472"/>
      <c r="DU417" s="3472"/>
      <c r="DV417" s="3472"/>
      <c r="DW417" s="3472"/>
      <c r="DX417" s="3472"/>
      <c r="DY417" s="3472"/>
      <c r="DZ417" s="3472"/>
      <c r="EA417" s="3472"/>
      <c r="EB417" s="3472"/>
      <c r="EC417" s="3472"/>
      <c r="ED417" s="3472"/>
      <c r="EE417" s="3472"/>
      <c r="EF417" s="3472"/>
      <c r="EG417" s="3472"/>
      <c r="EH417" s="3472"/>
      <c r="EI417" s="3472"/>
      <c r="EJ417" s="3472"/>
      <c r="EK417" s="3472"/>
      <c r="EL417" s="3472"/>
      <c r="EM417" s="3472"/>
      <c r="EN417" s="3472"/>
      <c r="EO417" s="3472"/>
      <c r="EP417" s="3472"/>
      <c r="EQ417" s="3472"/>
      <c r="ER417" s="3472"/>
      <c r="ES417" s="3472"/>
      <c r="ET417" s="3472"/>
      <c r="EU417" s="3472"/>
      <c r="EV417" s="3472"/>
      <c r="EW417" s="3472"/>
      <c r="EX417" s="3472"/>
      <c r="EY417" s="3472"/>
      <c r="EZ417" s="3472"/>
      <c r="FA417" s="3472"/>
      <c r="FB417" s="3472"/>
      <c r="FC417" s="3472"/>
      <c r="FD417" s="3472"/>
      <c r="FE417" s="3472"/>
      <c r="FF417" s="3472"/>
      <c r="FG417" s="3472"/>
      <c r="FH417" s="3472"/>
      <c r="FI417" s="3472"/>
      <c r="FJ417" s="3472"/>
      <c r="FK417" s="3472"/>
      <c r="FL417" s="3472"/>
      <c r="FM417" s="3472"/>
      <c r="FN417" s="3472"/>
      <c r="FO417" s="3472"/>
      <c r="FP417" s="3472"/>
      <c r="FQ417" s="3472"/>
      <c r="FR417" s="3472"/>
      <c r="FS417" s="3472"/>
      <c r="FT417" s="3472"/>
      <c r="FU417" s="3472"/>
      <c r="FV417" s="3472"/>
      <c r="FW417" s="3472"/>
      <c r="FX417" s="3472"/>
      <c r="FY417" s="3472"/>
      <c r="FZ417" s="3472"/>
      <c r="GA417" s="3472"/>
      <c r="GB417" s="3472"/>
      <c r="GC417" s="3472"/>
      <c r="GD417" s="3472"/>
      <c r="GE417" s="3472"/>
      <c r="GF417" s="3472"/>
      <c r="GG417" s="3472"/>
      <c r="GH417" s="3472"/>
      <c r="GI417" s="3472"/>
      <c r="GJ417" s="3472"/>
      <c r="GK417" s="3472"/>
      <c r="GL417" s="3472"/>
      <c r="GM417" s="3472"/>
      <c r="GN417" s="3472"/>
      <c r="GO417" s="3472"/>
      <c r="GP417" s="3472"/>
      <c r="GQ417" s="3472"/>
      <c r="GR417" s="3472"/>
      <c r="GS417" s="3472"/>
      <c r="GT417" s="3472"/>
      <c r="GU417" s="3472"/>
      <c r="GV417" s="3472"/>
      <c r="GW417" s="3472"/>
      <c r="GX417" s="3472"/>
      <c r="GY417" s="3472"/>
      <c r="GZ417" s="3472"/>
      <c r="HA417" s="3472"/>
      <c r="HB417" s="3472"/>
      <c r="HC417" s="3472"/>
      <c r="HD417" s="3472"/>
      <c r="HE417" s="3472"/>
      <c r="HF417" s="3472"/>
      <c r="HG417" s="3472"/>
      <c r="HH417" s="3472"/>
      <c r="HI417" s="3472"/>
      <c r="HJ417" s="3472"/>
      <c r="HK417" s="3472"/>
      <c r="HL417" s="3472"/>
      <c r="HM417" s="3472"/>
      <c r="HN417" s="3472"/>
      <c r="HO417" s="3472"/>
      <c r="HP417" s="3472"/>
      <c r="HQ417" s="3472"/>
      <c r="HR417" s="3472"/>
      <c r="HS417" s="3472"/>
      <c r="HT417" s="3472"/>
      <c r="HU417" s="3472"/>
      <c r="HV417" s="3472"/>
      <c r="HW417" s="3472"/>
      <c r="HX417" s="3472"/>
      <c r="HY417" s="3472"/>
      <c r="HZ417" s="3472"/>
      <c r="IA417" s="3472"/>
      <c r="IB417" s="3472"/>
      <c r="IC417" s="3472"/>
      <c r="ID417" s="3472"/>
      <c r="IE417" s="3472"/>
      <c r="IF417" s="3472"/>
      <c r="IG417" s="3472"/>
      <c r="IH417" s="3472"/>
      <c r="II417" s="3472"/>
      <c r="IJ417" s="3472"/>
      <c r="IK417" s="3472"/>
      <c r="IL417" s="3472"/>
      <c r="IM417" s="3472"/>
      <c r="IN417" s="3472"/>
      <c r="IO417" s="3472"/>
      <c r="IP417" s="3472"/>
      <c r="IQ417" s="3472"/>
      <c r="IR417" s="3472"/>
      <c r="IS417" s="3472"/>
    </row>
    <row r="418" spans="1:253" s="3441" customFormat="1" ht="12" hidden="1">
      <c r="A418" s="3481" t="s">
        <v>6676</v>
      </c>
      <c r="B418" s="3470" t="s">
        <v>6677</v>
      </c>
      <c r="C418" s="3481" t="s">
        <v>6678</v>
      </c>
      <c r="D418" s="3481" t="s">
        <v>6679</v>
      </c>
      <c r="E418" s="3470" t="s">
        <v>3538</v>
      </c>
      <c r="F418" s="3528" t="s">
        <v>6673</v>
      </c>
      <c r="G418" s="3470"/>
      <c r="H418" s="3453" t="s">
        <v>4281</v>
      </c>
      <c r="I418" s="3453" t="s">
        <v>3726</v>
      </c>
      <c r="J418" s="3454" t="s">
        <v>3449</v>
      </c>
      <c r="K418" s="3470" t="s">
        <v>6423</v>
      </c>
      <c r="L418" s="3495">
        <v>111.06</v>
      </c>
      <c r="M418" s="3495">
        <v>4</v>
      </c>
      <c r="N418" s="3542" t="s">
        <v>3632</v>
      </c>
      <c r="O418" s="3495">
        <v>98.9</v>
      </c>
      <c r="P418" s="3470" t="s">
        <v>3452</v>
      </c>
      <c r="Q418" s="3457">
        <v>493550.64</v>
      </c>
      <c r="R418" s="3470">
        <v>4444</v>
      </c>
      <c r="S418" s="3472">
        <v>48.85</v>
      </c>
      <c r="T418" s="3527">
        <v>488500</v>
      </c>
      <c r="U418" s="3495">
        <v>4399</v>
      </c>
      <c r="V418" s="3512">
        <v>0.1</v>
      </c>
      <c r="W418" s="3475">
        <v>43.96</v>
      </c>
      <c r="X418" s="3473">
        <v>439600</v>
      </c>
      <c r="Y418" s="3515">
        <v>2003</v>
      </c>
      <c r="Z418" s="3515">
        <v>6</v>
      </c>
      <c r="AA418" s="3470">
        <v>13</v>
      </c>
      <c r="AB418" s="3477">
        <v>2440</v>
      </c>
      <c r="AC418" s="3470" t="s">
        <v>3544</v>
      </c>
      <c r="AD418" s="3485"/>
      <c r="AE418" s="3469" t="s">
        <v>3547</v>
      </c>
      <c r="AF418" s="3453" t="s">
        <v>6674</v>
      </c>
      <c r="AG418" s="3522" t="s">
        <v>3454</v>
      </c>
      <c r="AH418" s="3485"/>
      <c r="AI418" s="3470" t="s">
        <v>4849</v>
      </c>
      <c r="AJ418" s="3523">
        <v>38077</v>
      </c>
      <c r="AK418" s="3500">
        <v>6</v>
      </c>
      <c r="AL418" s="3515">
        <v>67641700</v>
      </c>
      <c r="AN418" s="3480" t="s">
        <v>3695</v>
      </c>
      <c r="AO418" s="3486" t="s">
        <v>2420</v>
      </c>
      <c r="AP418" s="3502" t="s">
        <v>3475</v>
      </c>
      <c r="AQ418" s="3469" t="s">
        <v>3571</v>
      </c>
      <c r="AU418" s="3495"/>
      <c r="AV418" s="3535"/>
      <c r="AW418" s="3470" t="s">
        <v>3458</v>
      </c>
      <c r="AX418" s="3441" t="s">
        <v>2420</v>
      </c>
      <c r="AY418" s="3536" t="s">
        <v>6675</v>
      </c>
      <c r="AZ418" s="3470" t="s">
        <v>6408</v>
      </c>
      <c r="BA418" s="3463" t="s">
        <v>6413</v>
      </c>
      <c r="BB418" s="3466">
        <v>1102281149818</v>
      </c>
      <c r="BC418" s="3441" t="s">
        <v>6414</v>
      </c>
      <c r="BD418" s="3441">
        <v>100044</v>
      </c>
      <c r="BE418" s="3463">
        <v>88018575</v>
      </c>
      <c r="BF418" s="3538">
        <v>2.7</v>
      </c>
      <c r="BG418" s="3535">
        <v>37765</v>
      </c>
      <c r="BH418" s="3453"/>
      <c r="BI418" s="3470" t="s">
        <v>3476</v>
      </c>
      <c r="BJ418" s="3478">
        <v>37783</v>
      </c>
      <c r="BL418" s="3441" t="s">
        <v>3594</v>
      </c>
      <c r="BS418" s="3470"/>
      <c r="BT418" s="3470"/>
      <c r="BU418" s="3470"/>
      <c r="BV418" s="3472"/>
      <c r="BW418" s="3472"/>
      <c r="BX418" s="3472"/>
      <c r="BY418" s="3472"/>
      <c r="BZ418" s="3472"/>
      <c r="CA418" s="3472"/>
      <c r="CB418" s="3472"/>
      <c r="CC418" s="3472"/>
      <c r="CD418" s="3472"/>
      <c r="CE418" s="3472"/>
      <c r="CF418" s="3472"/>
      <c r="CG418" s="3472"/>
      <c r="CH418" s="3472"/>
      <c r="CI418" s="3472"/>
      <c r="CJ418" s="3472"/>
      <c r="CK418" s="3472"/>
      <c r="CL418" s="3472"/>
      <c r="CM418" s="3472"/>
      <c r="CN418" s="3472"/>
      <c r="CO418" s="3472"/>
      <c r="CP418" s="3472"/>
      <c r="CQ418" s="3472"/>
      <c r="CR418" s="3472"/>
      <c r="CS418" s="3472"/>
      <c r="CT418" s="3472"/>
      <c r="CU418" s="3472"/>
      <c r="CV418" s="3472"/>
      <c r="CW418" s="3472"/>
      <c r="CX418" s="3472"/>
      <c r="CY418" s="3472"/>
      <c r="CZ418" s="3472"/>
      <c r="DA418" s="3472"/>
      <c r="DB418" s="3472"/>
      <c r="DC418" s="3472"/>
      <c r="DD418" s="3472"/>
      <c r="DE418" s="3472"/>
      <c r="DF418" s="3472"/>
      <c r="DG418" s="3472"/>
      <c r="DH418" s="3472"/>
      <c r="DI418" s="3472"/>
      <c r="DJ418" s="3472"/>
      <c r="DK418" s="3472"/>
      <c r="DL418" s="3472"/>
      <c r="DM418" s="3472"/>
      <c r="DN418" s="3472"/>
      <c r="DO418" s="3472"/>
      <c r="DP418" s="3472"/>
      <c r="DQ418" s="3472"/>
      <c r="DR418" s="3472"/>
      <c r="DS418" s="3472"/>
      <c r="DT418" s="3472"/>
      <c r="DU418" s="3472"/>
      <c r="DV418" s="3472"/>
      <c r="DW418" s="3472"/>
      <c r="DX418" s="3472"/>
      <c r="DY418" s="3472"/>
      <c r="DZ418" s="3472"/>
      <c r="EA418" s="3472"/>
      <c r="EB418" s="3472"/>
      <c r="EC418" s="3472"/>
      <c r="ED418" s="3472"/>
      <c r="EE418" s="3472"/>
      <c r="EF418" s="3472"/>
      <c r="EG418" s="3472"/>
      <c r="EH418" s="3472"/>
      <c r="EI418" s="3472"/>
      <c r="EJ418" s="3472"/>
      <c r="EK418" s="3472"/>
      <c r="EL418" s="3472"/>
      <c r="EM418" s="3472"/>
      <c r="EN418" s="3472"/>
      <c r="EO418" s="3472"/>
      <c r="EP418" s="3472"/>
      <c r="EQ418" s="3472"/>
      <c r="ER418" s="3472"/>
      <c r="ES418" s="3472"/>
      <c r="ET418" s="3472"/>
      <c r="EU418" s="3472"/>
      <c r="EV418" s="3472"/>
      <c r="EW418" s="3472"/>
      <c r="EX418" s="3472"/>
      <c r="EY418" s="3472"/>
      <c r="EZ418" s="3472"/>
      <c r="FA418" s="3472"/>
      <c r="FB418" s="3472"/>
      <c r="FC418" s="3472"/>
      <c r="FD418" s="3472"/>
      <c r="FE418" s="3472"/>
      <c r="FF418" s="3472"/>
      <c r="FG418" s="3472"/>
      <c r="FH418" s="3472"/>
      <c r="FI418" s="3472"/>
      <c r="FJ418" s="3472"/>
      <c r="FK418" s="3472"/>
      <c r="FL418" s="3472"/>
      <c r="FM418" s="3472"/>
      <c r="FN418" s="3472"/>
      <c r="FO418" s="3472"/>
      <c r="FP418" s="3472"/>
      <c r="FQ418" s="3472"/>
      <c r="FR418" s="3472"/>
      <c r="FS418" s="3472"/>
      <c r="FT418" s="3472"/>
      <c r="FU418" s="3472"/>
      <c r="FV418" s="3472"/>
      <c r="FW418" s="3472"/>
      <c r="FX418" s="3472"/>
      <c r="FY418" s="3472"/>
      <c r="FZ418" s="3472"/>
      <c r="GA418" s="3472"/>
      <c r="GB418" s="3472"/>
      <c r="GC418" s="3472"/>
      <c r="GD418" s="3472"/>
      <c r="GE418" s="3472"/>
      <c r="GF418" s="3472"/>
      <c r="GG418" s="3472"/>
      <c r="GH418" s="3472"/>
      <c r="GI418" s="3472"/>
      <c r="GJ418" s="3472"/>
      <c r="GK418" s="3472"/>
      <c r="GL418" s="3472"/>
      <c r="GM418" s="3472"/>
      <c r="GN418" s="3472"/>
      <c r="GO418" s="3472"/>
      <c r="GP418" s="3472"/>
      <c r="GQ418" s="3472"/>
      <c r="GR418" s="3472"/>
      <c r="GS418" s="3472"/>
      <c r="GT418" s="3472"/>
      <c r="GU418" s="3472"/>
      <c r="GV418" s="3472"/>
      <c r="GW418" s="3472"/>
      <c r="GX418" s="3472"/>
      <c r="GY418" s="3472"/>
      <c r="GZ418" s="3472"/>
      <c r="HA418" s="3472"/>
      <c r="HB418" s="3472"/>
      <c r="HC418" s="3472"/>
      <c r="HD418" s="3472"/>
      <c r="HE418" s="3472"/>
      <c r="HF418" s="3472"/>
      <c r="HG418" s="3472"/>
      <c r="HH418" s="3472"/>
      <c r="HI418" s="3472"/>
      <c r="HJ418" s="3472"/>
      <c r="HK418" s="3472"/>
      <c r="HL418" s="3472"/>
      <c r="HM418" s="3472"/>
      <c r="HN418" s="3472"/>
      <c r="HO418" s="3472"/>
      <c r="HP418" s="3472"/>
      <c r="HQ418" s="3472"/>
      <c r="HR418" s="3472"/>
      <c r="HS418" s="3472"/>
      <c r="HT418" s="3472"/>
      <c r="HU418" s="3472"/>
      <c r="HV418" s="3472"/>
      <c r="HW418" s="3472"/>
      <c r="HX418" s="3472"/>
      <c r="HY418" s="3472"/>
      <c r="HZ418" s="3472"/>
      <c r="IA418" s="3472"/>
      <c r="IB418" s="3472"/>
      <c r="IC418" s="3472"/>
      <c r="ID418" s="3472"/>
      <c r="IE418" s="3472"/>
      <c r="IF418" s="3472"/>
      <c r="IG418" s="3472"/>
      <c r="IH418" s="3472"/>
      <c r="II418" s="3472"/>
      <c r="IJ418" s="3472"/>
      <c r="IK418" s="3472"/>
      <c r="IL418" s="3472"/>
      <c r="IM418" s="3472"/>
      <c r="IN418" s="3472"/>
      <c r="IO418" s="3472"/>
      <c r="IP418" s="3472"/>
      <c r="IQ418" s="3472"/>
      <c r="IR418" s="3472"/>
      <c r="IS418" s="3472"/>
    </row>
    <row r="419" spans="1:253" s="3453" customFormat="1" ht="12" hidden="1">
      <c r="A419" s="3470" t="s">
        <v>6680</v>
      </c>
      <c r="B419" s="3453" t="s">
        <v>6681</v>
      </c>
      <c r="C419" s="3454" t="s">
        <v>6682</v>
      </c>
      <c r="D419" s="3453">
        <v>89534061</v>
      </c>
      <c r="E419" s="3453" t="s">
        <v>2736</v>
      </c>
      <c r="F419" s="3453" t="s">
        <v>6683</v>
      </c>
      <c r="H419" s="3453" t="s">
        <v>6684</v>
      </c>
      <c r="I419" s="3453" t="s">
        <v>6685</v>
      </c>
      <c r="J419" s="3453" t="s">
        <v>6686</v>
      </c>
      <c r="K419" s="3453" t="s">
        <v>3607</v>
      </c>
      <c r="L419" s="3495">
        <v>90.39</v>
      </c>
      <c r="M419" s="3495">
        <v>22</v>
      </c>
      <c r="N419" s="3453" t="s">
        <v>3486</v>
      </c>
      <c r="O419" s="3495">
        <v>69.67</v>
      </c>
      <c r="P419" s="3453" t="s">
        <v>3452</v>
      </c>
      <c r="Q419" s="3510">
        <v>635441.69999999995</v>
      </c>
      <c r="R419" s="3495">
        <v>7030</v>
      </c>
      <c r="S419" s="3472">
        <v>63.03</v>
      </c>
      <c r="T419" s="3550">
        <v>630300</v>
      </c>
      <c r="U419" s="3495">
        <v>6974</v>
      </c>
      <c r="V419" s="3474">
        <v>0.05</v>
      </c>
      <c r="W419" s="3475">
        <v>59.87</v>
      </c>
      <c r="X419" s="3473">
        <v>598700</v>
      </c>
      <c r="Y419" s="3495">
        <v>2003</v>
      </c>
      <c r="Z419" s="3495">
        <v>6</v>
      </c>
      <c r="AA419" s="3495">
        <v>16</v>
      </c>
      <c r="AB419" s="3477">
        <v>3150</v>
      </c>
      <c r="AC419" s="3453" t="s">
        <v>3544</v>
      </c>
      <c r="AE419" s="3456" t="s">
        <v>3547</v>
      </c>
      <c r="AF419" s="3453" t="s">
        <v>4551</v>
      </c>
      <c r="AG419" s="3453" t="s">
        <v>3546</v>
      </c>
      <c r="AI419" s="3470" t="s">
        <v>3664</v>
      </c>
      <c r="AJ419" s="3478">
        <v>37813</v>
      </c>
      <c r="AK419" s="3500">
        <v>6</v>
      </c>
      <c r="AL419" s="3495">
        <v>67641700</v>
      </c>
      <c r="AM419" s="3495"/>
      <c r="AN419" s="3480" t="s">
        <v>3482</v>
      </c>
      <c r="AP419" s="3456" t="s">
        <v>3721</v>
      </c>
      <c r="AQ419" s="3456" t="s">
        <v>3650</v>
      </c>
      <c r="AV419" s="3601"/>
      <c r="AW419" s="3470" t="s">
        <v>3458</v>
      </c>
      <c r="AX419" s="3441" t="s">
        <v>3606</v>
      </c>
      <c r="AY419" s="3536" t="s">
        <v>6687</v>
      </c>
      <c r="AZ419" s="3463" t="s">
        <v>3601</v>
      </c>
      <c r="BA419" s="3463" t="s">
        <v>6688</v>
      </c>
      <c r="BB419" s="3466">
        <v>1100001504174</v>
      </c>
      <c r="BC419" s="3463" t="s">
        <v>6689</v>
      </c>
      <c r="BD419" s="3537">
        <v>100088</v>
      </c>
      <c r="BE419" s="3515">
        <v>62238844</v>
      </c>
      <c r="BF419" s="3544">
        <v>2.7</v>
      </c>
      <c r="BG419" s="3478">
        <v>37776</v>
      </c>
      <c r="BI419" s="3470" t="s">
        <v>3896</v>
      </c>
      <c r="BJ419" s="3484">
        <v>37784</v>
      </c>
      <c r="BK419" s="3441"/>
      <c r="BL419" s="3441" t="s">
        <v>3670</v>
      </c>
      <c r="BM419" s="3441"/>
      <c r="BN419" s="3441"/>
      <c r="BO419" s="3441"/>
      <c r="BP419" s="3441"/>
      <c r="BQ419" s="3441"/>
      <c r="BR419" s="3441"/>
      <c r="BS419" s="3470"/>
      <c r="BT419" s="3470"/>
      <c r="BU419" s="3470"/>
    </row>
    <row r="420" spans="1:253" s="3441" customFormat="1" ht="12" hidden="1">
      <c r="A420" s="3481" t="s">
        <v>6690</v>
      </c>
      <c r="B420" s="3470" t="s">
        <v>6691</v>
      </c>
      <c r="C420" s="3481" t="s">
        <v>6692</v>
      </c>
      <c r="D420" s="3481" t="s">
        <v>6693</v>
      </c>
      <c r="E420" s="3470" t="s">
        <v>2736</v>
      </c>
      <c r="F420" s="3528" t="s">
        <v>6419</v>
      </c>
      <c r="G420" s="3470"/>
      <c r="H420" s="3453" t="s">
        <v>4281</v>
      </c>
      <c r="I420" s="3453" t="s">
        <v>3726</v>
      </c>
      <c r="J420" s="3454" t="s">
        <v>4549</v>
      </c>
      <c r="K420" s="3470" t="s">
        <v>6408</v>
      </c>
      <c r="L420" s="3495">
        <v>111.06</v>
      </c>
      <c r="M420" s="3495">
        <v>3</v>
      </c>
      <c r="N420" s="3542" t="s">
        <v>3632</v>
      </c>
      <c r="O420" s="3495">
        <v>98.9</v>
      </c>
      <c r="P420" s="3470" t="s">
        <v>3452</v>
      </c>
      <c r="Q420" s="3457">
        <v>502879.68</v>
      </c>
      <c r="R420" s="3470">
        <v>4528</v>
      </c>
      <c r="S420" s="3472">
        <v>49.77</v>
      </c>
      <c r="T420" s="3527">
        <v>497700.00000000006</v>
      </c>
      <c r="U420" s="3495">
        <v>4482</v>
      </c>
      <c r="V420" s="3512">
        <v>0.1</v>
      </c>
      <c r="W420" s="3475">
        <v>44.79</v>
      </c>
      <c r="X420" s="3473">
        <v>447900</v>
      </c>
      <c r="Y420" s="3515">
        <v>2003</v>
      </c>
      <c r="Z420" s="3515">
        <v>6</v>
      </c>
      <c r="AA420" s="3470">
        <v>13</v>
      </c>
      <c r="AB420" s="3477">
        <v>2485</v>
      </c>
      <c r="AC420" s="3470" t="s">
        <v>3544</v>
      </c>
      <c r="AD420" s="3485"/>
      <c r="AE420" s="3469" t="s">
        <v>4914</v>
      </c>
      <c r="AF420" s="3453" t="s">
        <v>6674</v>
      </c>
      <c r="AG420" s="3522" t="s">
        <v>3454</v>
      </c>
      <c r="AH420" s="3485"/>
      <c r="AI420" s="3470" t="s">
        <v>4849</v>
      </c>
      <c r="AJ420" s="3523">
        <v>38077</v>
      </c>
      <c r="AK420" s="3500">
        <v>6</v>
      </c>
      <c r="AL420" s="3515">
        <v>67641700</v>
      </c>
      <c r="AN420" s="3480" t="s">
        <v>3695</v>
      </c>
      <c r="AO420" s="3486" t="s">
        <v>3715</v>
      </c>
      <c r="AP420" s="3502" t="s">
        <v>3475</v>
      </c>
      <c r="AQ420" s="3469" t="s">
        <v>3571</v>
      </c>
      <c r="AU420" s="3495"/>
      <c r="AV420" s="3535"/>
      <c r="AW420" s="3470" t="s">
        <v>3458</v>
      </c>
      <c r="AX420" s="3441" t="s">
        <v>3588</v>
      </c>
      <c r="AY420" s="3536" t="s">
        <v>6694</v>
      </c>
      <c r="AZ420" s="3470" t="s">
        <v>6412</v>
      </c>
      <c r="BA420" s="3463" t="s">
        <v>6695</v>
      </c>
      <c r="BB420" s="3466">
        <v>1102281149818</v>
      </c>
      <c r="BC420" s="3441" t="s">
        <v>6696</v>
      </c>
      <c r="BD420" s="3441">
        <v>100044</v>
      </c>
      <c r="BE420" s="3463">
        <v>88018575</v>
      </c>
      <c r="BF420" s="3538">
        <v>2.7</v>
      </c>
      <c r="BG420" s="3535">
        <v>37773</v>
      </c>
      <c r="BH420" s="3453"/>
      <c r="BI420" s="3470" t="s">
        <v>3476</v>
      </c>
      <c r="BJ420" s="3478">
        <v>37784</v>
      </c>
      <c r="BL420" s="3441" t="s">
        <v>3623</v>
      </c>
      <c r="BS420" s="3470"/>
      <c r="BT420" s="3470"/>
      <c r="BU420" s="3470"/>
      <c r="BV420" s="3472"/>
      <c r="BW420" s="3472"/>
      <c r="BX420" s="3472"/>
      <c r="BY420" s="3472"/>
      <c r="BZ420" s="3472"/>
      <c r="CA420" s="3472"/>
      <c r="CB420" s="3472"/>
      <c r="CC420" s="3472"/>
      <c r="CD420" s="3472"/>
      <c r="CE420" s="3472"/>
      <c r="CF420" s="3472"/>
      <c r="CG420" s="3472"/>
      <c r="CH420" s="3472"/>
      <c r="CI420" s="3472"/>
      <c r="CJ420" s="3472"/>
      <c r="CK420" s="3472"/>
      <c r="CL420" s="3472"/>
      <c r="CM420" s="3472"/>
      <c r="CN420" s="3472"/>
      <c r="CO420" s="3472"/>
      <c r="CP420" s="3472"/>
      <c r="CQ420" s="3472"/>
      <c r="CR420" s="3472"/>
      <c r="CS420" s="3472"/>
      <c r="CT420" s="3472"/>
      <c r="CU420" s="3472"/>
      <c r="CV420" s="3472"/>
      <c r="CW420" s="3472"/>
      <c r="CX420" s="3472"/>
      <c r="CY420" s="3472"/>
      <c r="CZ420" s="3472"/>
      <c r="DA420" s="3472"/>
      <c r="DB420" s="3472"/>
      <c r="DC420" s="3472"/>
      <c r="DD420" s="3472"/>
      <c r="DE420" s="3472"/>
      <c r="DF420" s="3472"/>
      <c r="DG420" s="3472"/>
      <c r="DH420" s="3472"/>
      <c r="DI420" s="3472"/>
      <c r="DJ420" s="3472"/>
      <c r="DK420" s="3472"/>
      <c r="DL420" s="3472"/>
      <c r="DM420" s="3472"/>
      <c r="DN420" s="3472"/>
      <c r="DO420" s="3472"/>
      <c r="DP420" s="3472"/>
      <c r="DQ420" s="3472"/>
      <c r="DR420" s="3472"/>
      <c r="DS420" s="3472"/>
      <c r="DT420" s="3472"/>
      <c r="DU420" s="3472"/>
      <c r="DV420" s="3472"/>
      <c r="DW420" s="3472"/>
      <c r="DX420" s="3472"/>
      <c r="DY420" s="3472"/>
      <c r="DZ420" s="3472"/>
      <c r="EA420" s="3472"/>
      <c r="EB420" s="3472"/>
      <c r="EC420" s="3472"/>
      <c r="ED420" s="3472"/>
      <c r="EE420" s="3472"/>
      <c r="EF420" s="3472"/>
      <c r="EG420" s="3472"/>
      <c r="EH420" s="3472"/>
      <c r="EI420" s="3472"/>
      <c r="EJ420" s="3472"/>
      <c r="EK420" s="3472"/>
      <c r="EL420" s="3472"/>
      <c r="EM420" s="3472"/>
      <c r="EN420" s="3472"/>
      <c r="EO420" s="3472"/>
      <c r="EP420" s="3472"/>
      <c r="EQ420" s="3472"/>
      <c r="ER420" s="3472"/>
      <c r="ES420" s="3472"/>
      <c r="ET420" s="3472"/>
      <c r="EU420" s="3472"/>
      <c r="EV420" s="3472"/>
      <c r="EW420" s="3472"/>
      <c r="EX420" s="3472"/>
      <c r="EY420" s="3472"/>
      <c r="EZ420" s="3472"/>
      <c r="FA420" s="3472"/>
      <c r="FB420" s="3472"/>
      <c r="FC420" s="3472"/>
      <c r="FD420" s="3472"/>
      <c r="FE420" s="3472"/>
      <c r="FF420" s="3472"/>
      <c r="FG420" s="3472"/>
      <c r="FH420" s="3472"/>
      <c r="FI420" s="3472"/>
      <c r="FJ420" s="3472"/>
      <c r="FK420" s="3472"/>
      <c r="FL420" s="3472"/>
      <c r="FM420" s="3472"/>
      <c r="FN420" s="3472"/>
      <c r="FO420" s="3472"/>
      <c r="FP420" s="3472"/>
      <c r="FQ420" s="3472"/>
      <c r="FR420" s="3472"/>
      <c r="FS420" s="3472"/>
      <c r="FT420" s="3472"/>
      <c r="FU420" s="3472"/>
      <c r="FV420" s="3472"/>
      <c r="FW420" s="3472"/>
      <c r="FX420" s="3472"/>
      <c r="FY420" s="3472"/>
      <c r="FZ420" s="3472"/>
      <c r="GA420" s="3472"/>
      <c r="GB420" s="3472"/>
      <c r="GC420" s="3472"/>
      <c r="GD420" s="3472"/>
      <c r="GE420" s="3472"/>
      <c r="GF420" s="3472"/>
      <c r="GG420" s="3472"/>
      <c r="GH420" s="3472"/>
      <c r="GI420" s="3472"/>
      <c r="GJ420" s="3472"/>
      <c r="GK420" s="3472"/>
      <c r="GL420" s="3472"/>
      <c r="GM420" s="3472"/>
      <c r="GN420" s="3472"/>
      <c r="GO420" s="3472"/>
      <c r="GP420" s="3472"/>
      <c r="GQ420" s="3472"/>
      <c r="GR420" s="3472"/>
      <c r="GS420" s="3472"/>
      <c r="GT420" s="3472"/>
      <c r="GU420" s="3472"/>
      <c r="GV420" s="3472"/>
      <c r="GW420" s="3472"/>
      <c r="GX420" s="3472"/>
      <c r="GY420" s="3472"/>
      <c r="GZ420" s="3472"/>
      <c r="HA420" s="3472"/>
      <c r="HB420" s="3472"/>
      <c r="HC420" s="3472"/>
      <c r="HD420" s="3472"/>
      <c r="HE420" s="3472"/>
      <c r="HF420" s="3472"/>
      <c r="HG420" s="3472"/>
      <c r="HH420" s="3472"/>
      <c r="HI420" s="3472"/>
      <c r="HJ420" s="3472"/>
      <c r="HK420" s="3472"/>
      <c r="HL420" s="3472"/>
      <c r="HM420" s="3472"/>
      <c r="HN420" s="3472"/>
      <c r="HO420" s="3472"/>
      <c r="HP420" s="3472"/>
      <c r="HQ420" s="3472"/>
      <c r="HR420" s="3472"/>
      <c r="HS420" s="3472"/>
      <c r="HT420" s="3472"/>
      <c r="HU420" s="3472"/>
      <c r="HV420" s="3472"/>
      <c r="HW420" s="3472"/>
      <c r="HX420" s="3472"/>
      <c r="HY420" s="3472"/>
      <c r="HZ420" s="3472"/>
      <c r="IA420" s="3472"/>
      <c r="IB420" s="3472"/>
      <c r="IC420" s="3472"/>
      <c r="ID420" s="3472"/>
      <c r="IE420" s="3472"/>
      <c r="IF420" s="3472"/>
      <c r="IG420" s="3472"/>
      <c r="IH420" s="3472"/>
      <c r="II420" s="3472"/>
      <c r="IJ420" s="3472"/>
      <c r="IK420" s="3472"/>
      <c r="IL420" s="3472"/>
      <c r="IM420" s="3472"/>
      <c r="IN420" s="3472"/>
      <c r="IO420" s="3472"/>
      <c r="IP420" s="3472"/>
      <c r="IQ420" s="3472"/>
      <c r="IR420" s="3472"/>
      <c r="IS420" s="3472"/>
    </row>
    <row r="421" spans="1:253" s="3441" customFormat="1" ht="12" hidden="1">
      <c r="A421" s="3470" t="s">
        <v>6697</v>
      </c>
      <c r="B421" s="3470" t="s">
        <v>6698</v>
      </c>
      <c r="C421" s="3481" t="s">
        <v>6699</v>
      </c>
      <c r="D421" s="3481" t="s">
        <v>6700</v>
      </c>
      <c r="E421" s="3470" t="s">
        <v>3558</v>
      </c>
      <c r="F421" s="3528" t="s">
        <v>5661</v>
      </c>
      <c r="G421" s="3470"/>
      <c r="H421" s="3470" t="s">
        <v>6701</v>
      </c>
      <c r="I421" s="3470" t="s">
        <v>6702</v>
      </c>
      <c r="J421" s="3481" t="s">
        <v>6669</v>
      </c>
      <c r="K421" s="3470" t="s">
        <v>5664</v>
      </c>
      <c r="L421" s="3470">
        <v>78.069999999999993</v>
      </c>
      <c r="M421" s="3470">
        <v>1</v>
      </c>
      <c r="N421" s="3453" t="s">
        <v>3451</v>
      </c>
      <c r="O421" s="3470">
        <v>60.91</v>
      </c>
      <c r="P421" s="3470" t="s">
        <v>3452</v>
      </c>
      <c r="Q421" s="3457">
        <v>318525.59999999998</v>
      </c>
      <c r="R421" s="3470">
        <v>4080</v>
      </c>
      <c r="S421" s="3472">
        <v>31.47</v>
      </c>
      <c r="T421" s="3527">
        <v>314700</v>
      </c>
      <c r="U421" s="3470">
        <v>4031</v>
      </c>
      <c r="V421" s="3474">
        <v>0.05</v>
      </c>
      <c r="W421" s="3475">
        <v>29.89</v>
      </c>
      <c r="X421" s="3476">
        <v>298900</v>
      </c>
      <c r="Y421" s="3495">
        <v>2003</v>
      </c>
      <c r="Z421" s="3441">
        <v>6</v>
      </c>
      <c r="AA421" s="3470">
        <v>16</v>
      </c>
      <c r="AB421" s="3477">
        <v>1570</v>
      </c>
      <c r="AC421" s="3470" t="s">
        <v>6703</v>
      </c>
      <c r="AD421" s="3485"/>
      <c r="AE421" s="3469" t="s">
        <v>3663</v>
      </c>
      <c r="AF421" s="3470" t="s">
        <v>4501</v>
      </c>
      <c r="AG421" s="3522" t="s">
        <v>3466</v>
      </c>
      <c r="AH421" s="3485"/>
      <c r="AI421" s="3470" t="s">
        <v>4955</v>
      </c>
      <c r="AJ421" s="3523">
        <v>37832</v>
      </c>
      <c r="AK421" s="3548">
        <v>6</v>
      </c>
      <c r="AL421" s="3441">
        <v>67641700</v>
      </c>
      <c r="AN421" s="3469" t="s">
        <v>3649</v>
      </c>
      <c r="AP421" s="3441" t="s">
        <v>3476</v>
      </c>
      <c r="AQ421" s="3441" t="s">
        <v>3571</v>
      </c>
      <c r="AW421" s="3470" t="s">
        <v>3572</v>
      </c>
      <c r="AX421" s="3441" t="s">
        <v>2511</v>
      </c>
      <c r="AY421" s="3441">
        <v>175302</v>
      </c>
      <c r="AZ421" s="3524" t="s">
        <v>6704</v>
      </c>
      <c r="BA421" s="3441" t="s">
        <v>5666</v>
      </c>
      <c r="BB421" s="3620">
        <v>1101081434031</v>
      </c>
      <c r="BC421" s="3524" t="s">
        <v>5683</v>
      </c>
      <c r="BD421" s="3441">
        <v>100094</v>
      </c>
      <c r="BE421" s="3525">
        <v>62962485</v>
      </c>
      <c r="BF421" s="3441">
        <v>2.7</v>
      </c>
      <c r="BG421" s="3478">
        <v>37771</v>
      </c>
      <c r="BH421" s="3518"/>
      <c r="BI421" s="3441" t="s">
        <v>3476</v>
      </c>
      <c r="BJ421" s="3478">
        <v>37784</v>
      </c>
      <c r="BK421" s="3518"/>
      <c r="BL421" s="3441" t="s">
        <v>3833</v>
      </c>
      <c r="BS421" s="3470"/>
      <c r="BT421" s="3470"/>
      <c r="BU421" s="3470"/>
    </row>
    <row r="422" spans="1:253" s="3441" customFormat="1" ht="12" hidden="1">
      <c r="A422" s="3485" t="s">
        <v>6705</v>
      </c>
      <c r="B422" s="3470" t="s">
        <v>6706</v>
      </c>
      <c r="C422" s="3481" t="s">
        <v>6707</v>
      </c>
      <c r="D422" s="3453">
        <v>13501261337</v>
      </c>
      <c r="E422" s="3470" t="s">
        <v>2736</v>
      </c>
      <c r="F422" s="3528" t="s">
        <v>3628</v>
      </c>
      <c r="G422" s="3470"/>
      <c r="H422" s="3470" t="s">
        <v>5537</v>
      </c>
      <c r="I422" s="3470" t="s">
        <v>3676</v>
      </c>
      <c r="J422" s="3481" t="s">
        <v>4833</v>
      </c>
      <c r="K422" s="3470" t="s">
        <v>3631</v>
      </c>
      <c r="L422" s="3470">
        <v>158.44999999999999</v>
      </c>
      <c r="M422" s="3470">
        <v>11</v>
      </c>
      <c r="N422" s="3470" t="s">
        <v>3632</v>
      </c>
      <c r="O422" s="3470">
        <v>126.37</v>
      </c>
      <c r="P422" s="3470" t="s">
        <v>3452</v>
      </c>
      <c r="Q422" s="3457">
        <v>968129.49999999988</v>
      </c>
      <c r="R422" s="3470">
        <v>6110</v>
      </c>
      <c r="S422" s="3472">
        <v>95.86</v>
      </c>
      <c r="T422" s="3527">
        <v>958600</v>
      </c>
      <c r="U422" s="3470">
        <v>6050</v>
      </c>
      <c r="V422" s="3474">
        <v>0.1</v>
      </c>
      <c r="W422" s="3475">
        <v>86.27</v>
      </c>
      <c r="X422" s="3473">
        <v>862700</v>
      </c>
      <c r="Y422" s="3441">
        <v>2003</v>
      </c>
      <c r="Z422" s="3515">
        <v>6</v>
      </c>
      <c r="AA422" s="3470">
        <v>17</v>
      </c>
      <c r="AB422" s="3485">
        <v>4790</v>
      </c>
      <c r="AC422" s="3470" t="s">
        <v>3544</v>
      </c>
      <c r="AD422" s="3485"/>
      <c r="AE422" s="3441" t="s">
        <v>4914</v>
      </c>
      <c r="AF422" s="3470" t="s">
        <v>3587</v>
      </c>
      <c r="AG422" s="3522" t="s">
        <v>3546</v>
      </c>
      <c r="AH422" s="3485"/>
      <c r="AI422" s="3470" t="s">
        <v>4955</v>
      </c>
      <c r="AJ422" s="3523">
        <v>37953</v>
      </c>
      <c r="AK422" s="3548">
        <v>6</v>
      </c>
      <c r="AL422" s="3515">
        <v>67641700</v>
      </c>
      <c r="AN422" s="3469" t="s">
        <v>3482</v>
      </c>
      <c r="AO422" s="3470" t="s">
        <v>2420</v>
      </c>
      <c r="AP422" s="3456" t="s">
        <v>3476</v>
      </c>
      <c r="AQ422" s="3469" t="s">
        <v>3571</v>
      </c>
      <c r="AW422" s="3441" t="s">
        <v>3548</v>
      </c>
      <c r="AX422" s="3484" t="s">
        <v>2420</v>
      </c>
      <c r="AY422" s="3524" t="s">
        <v>6708</v>
      </c>
      <c r="AZ422" s="3470" t="s">
        <v>3647</v>
      </c>
      <c r="BA422" s="3441" t="s">
        <v>4327</v>
      </c>
      <c r="BB422" s="3524" t="s">
        <v>3640</v>
      </c>
      <c r="BC422" s="3441" t="s">
        <v>4049</v>
      </c>
      <c r="BD422" s="3525">
        <v>100088</v>
      </c>
      <c r="BE422" s="3441">
        <v>82058259</v>
      </c>
      <c r="BF422" s="3526">
        <v>2.9</v>
      </c>
      <c r="BG422" s="3518">
        <v>37735</v>
      </c>
      <c r="BI422" s="3470" t="s">
        <v>3476</v>
      </c>
      <c r="BJ422" s="3518">
        <v>37785</v>
      </c>
      <c r="BK422" s="3518">
        <v>37788</v>
      </c>
      <c r="BL422" s="3470" t="s">
        <v>3670</v>
      </c>
      <c r="BS422" s="3470"/>
      <c r="BT422" s="3470"/>
      <c r="BU422" s="3470"/>
    </row>
    <row r="423" spans="1:253" s="3470" customFormat="1" ht="12" hidden="1">
      <c r="A423" s="3485" t="s">
        <v>6709</v>
      </c>
      <c r="B423" s="3470" t="s">
        <v>6710</v>
      </c>
      <c r="C423" s="3454" t="s">
        <v>6711</v>
      </c>
      <c r="D423" s="3470">
        <v>13520482932</v>
      </c>
      <c r="E423" s="3470" t="s">
        <v>2736</v>
      </c>
      <c r="F423" s="3470" t="s">
        <v>5583</v>
      </c>
      <c r="G423" s="3470" t="s">
        <v>3588</v>
      </c>
      <c r="H423" s="3470" t="s">
        <v>6407</v>
      </c>
      <c r="I423" s="3453" t="s">
        <v>4441</v>
      </c>
      <c r="J423" s="3453" t="s">
        <v>4135</v>
      </c>
      <c r="K423" s="3470" t="s">
        <v>5584</v>
      </c>
      <c r="L423" s="3495">
        <v>124.03</v>
      </c>
      <c r="M423" s="3495">
        <v>4</v>
      </c>
      <c r="N423" s="3470" t="s">
        <v>3632</v>
      </c>
      <c r="O423" s="3495">
        <v>112.19</v>
      </c>
      <c r="P423" s="3470" t="s">
        <v>3452</v>
      </c>
      <c r="Q423" s="3457">
        <v>531716.61</v>
      </c>
      <c r="R423" s="3470">
        <v>4287</v>
      </c>
      <c r="S423" s="3472">
        <v>52.56</v>
      </c>
      <c r="T423" s="3527">
        <v>525600</v>
      </c>
      <c r="U423" s="3470">
        <v>4238</v>
      </c>
      <c r="V423" s="3474">
        <v>0.1</v>
      </c>
      <c r="W423" s="3475">
        <v>47.3</v>
      </c>
      <c r="X423" s="3473">
        <v>473000</v>
      </c>
      <c r="Y423" s="3441">
        <v>2003</v>
      </c>
      <c r="Z423" s="3495">
        <v>6</v>
      </c>
      <c r="AA423" s="3470">
        <v>19</v>
      </c>
      <c r="AB423" s="3485">
        <v>2625</v>
      </c>
      <c r="AC423" s="3470" t="s">
        <v>4922</v>
      </c>
      <c r="AE423" s="3456" t="s">
        <v>3663</v>
      </c>
      <c r="AF423" s="3470" t="s">
        <v>6712</v>
      </c>
      <c r="AG423" s="3470" t="s">
        <v>3466</v>
      </c>
      <c r="AI423" s="3470" t="s">
        <v>3664</v>
      </c>
      <c r="AJ423" s="3478">
        <v>38108</v>
      </c>
      <c r="AK423" s="3548">
        <v>6</v>
      </c>
      <c r="AL423" s="3495">
        <v>67641700</v>
      </c>
      <c r="AN423" s="3469" t="s">
        <v>4210</v>
      </c>
      <c r="AO423" s="3470" t="s">
        <v>6713</v>
      </c>
      <c r="AP423" s="3456" t="s">
        <v>3476</v>
      </c>
      <c r="AQ423" s="3456" t="s">
        <v>3571</v>
      </c>
      <c r="AV423" s="3519"/>
      <c r="AW423" s="3470" t="s">
        <v>3572</v>
      </c>
      <c r="AX423" s="3470" t="s">
        <v>2420</v>
      </c>
      <c r="AY423" s="3495">
        <v>299234</v>
      </c>
      <c r="AZ423" s="3470" t="s">
        <v>5586</v>
      </c>
      <c r="BA423" s="3470" t="s">
        <v>5595</v>
      </c>
      <c r="BB423" s="3619">
        <v>1102281326100</v>
      </c>
      <c r="BC423" s="3470" t="s">
        <v>5604</v>
      </c>
      <c r="BD423" s="3470">
        <v>100055</v>
      </c>
      <c r="BE423" s="3470">
        <v>82951881</v>
      </c>
      <c r="BF423" s="3520">
        <v>2.8</v>
      </c>
      <c r="BG423" s="3478">
        <v>37779</v>
      </c>
      <c r="BI423" s="3470" t="s">
        <v>3476</v>
      </c>
      <c r="BJ423" s="3484">
        <v>37790</v>
      </c>
      <c r="BK423" s="3478"/>
      <c r="BL423" s="3441" t="s">
        <v>3670</v>
      </c>
      <c r="BM423" s="3441"/>
      <c r="BN423" s="3441"/>
      <c r="BO423" s="3441"/>
      <c r="BP423" s="3441"/>
      <c r="BQ423" s="3441"/>
      <c r="BR423" s="3441"/>
    </row>
    <row r="424" spans="1:253" s="3441" customFormat="1" ht="12" hidden="1">
      <c r="A424" s="3485" t="s">
        <v>6714</v>
      </c>
      <c r="B424" s="3470" t="s">
        <v>6715</v>
      </c>
      <c r="C424" s="3481" t="s">
        <v>6716</v>
      </c>
      <c r="D424" s="3481" t="s">
        <v>6717</v>
      </c>
      <c r="E424" s="3470" t="s">
        <v>3558</v>
      </c>
      <c r="F424" s="3528" t="s">
        <v>3559</v>
      </c>
      <c r="G424" s="3470"/>
      <c r="H424" s="3470" t="s">
        <v>4869</v>
      </c>
      <c r="I424" s="3470" t="s">
        <v>3615</v>
      </c>
      <c r="J424" s="3481" t="s">
        <v>6718</v>
      </c>
      <c r="K424" s="3470" t="s">
        <v>6719</v>
      </c>
      <c r="L424" s="3470">
        <v>62.75</v>
      </c>
      <c r="M424" s="3470">
        <v>17</v>
      </c>
      <c r="N424" s="3470" t="s">
        <v>3489</v>
      </c>
      <c r="O424" s="3470">
        <v>50.84</v>
      </c>
      <c r="P424" s="3470" t="s">
        <v>3452</v>
      </c>
      <c r="Q424" s="3457">
        <v>304757.92499999999</v>
      </c>
      <c r="R424" s="3470">
        <v>4856.7</v>
      </c>
      <c r="S424" s="3472">
        <v>30.15</v>
      </c>
      <c r="T424" s="3527">
        <v>301500</v>
      </c>
      <c r="U424" s="3470">
        <v>4805</v>
      </c>
      <c r="V424" s="3474">
        <v>0.1</v>
      </c>
      <c r="W424" s="3475">
        <v>27.13</v>
      </c>
      <c r="X424" s="3476">
        <v>271300</v>
      </c>
      <c r="Y424" s="3441">
        <v>2003</v>
      </c>
      <c r="Z424" s="3441">
        <v>6</v>
      </c>
      <c r="AA424" s="3470">
        <v>19</v>
      </c>
      <c r="AB424" s="3477">
        <v>1505</v>
      </c>
      <c r="AC424" s="3470" t="s">
        <v>3648</v>
      </c>
      <c r="AD424" s="3485"/>
      <c r="AE424" s="3441" t="s">
        <v>3663</v>
      </c>
      <c r="AF424" s="3470" t="s">
        <v>3604</v>
      </c>
      <c r="AG424" s="3522" t="s">
        <v>3466</v>
      </c>
      <c r="AH424" s="3485" t="s">
        <v>3568</v>
      </c>
      <c r="AI424" s="3470" t="s">
        <v>3664</v>
      </c>
      <c r="AJ424" s="3523">
        <v>37894</v>
      </c>
      <c r="AK424" s="3541">
        <v>6</v>
      </c>
      <c r="AL424" s="3441">
        <v>67641700</v>
      </c>
      <c r="AM424" s="3441" t="s">
        <v>3568</v>
      </c>
      <c r="AN424" s="3456" t="s">
        <v>3739</v>
      </c>
      <c r="AO424" s="3441" t="s">
        <v>3568</v>
      </c>
      <c r="AP424" s="3469" t="s">
        <v>3476</v>
      </c>
      <c r="AQ424" s="3441" t="s">
        <v>3571</v>
      </c>
      <c r="AW424" s="3441" t="s">
        <v>3572</v>
      </c>
      <c r="AY424" s="3524" t="s">
        <v>6720</v>
      </c>
      <c r="AZ424" s="3441" t="s">
        <v>3563</v>
      </c>
      <c r="BA424" s="3441" t="s">
        <v>3574</v>
      </c>
      <c r="BB424" s="3524" t="s">
        <v>3683</v>
      </c>
      <c r="BC424" s="3441" t="s">
        <v>3576</v>
      </c>
      <c r="BD424" s="3525">
        <v>100037</v>
      </c>
      <c r="BE424" s="3441">
        <v>84050046</v>
      </c>
      <c r="BF424" s="3526">
        <v>2.8</v>
      </c>
      <c r="BG424" s="3518">
        <v>37721</v>
      </c>
      <c r="BH424" s="3441" t="s">
        <v>6099</v>
      </c>
      <c r="BI424" s="3441" t="s">
        <v>3476</v>
      </c>
      <c r="BJ424" s="3478">
        <v>37785</v>
      </c>
      <c r="BK424" s="3484">
        <v>37789</v>
      </c>
      <c r="BL424" s="3441" t="s">
        <v>3833</v>
      </c>
      <c r="BS424" s="3470"/>
      <c r="BT424" s="3470"/>
      <c r="BU424" s="3470"/>
      <c r="BV424" s="3472"/>
      <c r="BW424" s="3472"/>
      <c r="BX424" s="3472"/>
      <c r="BY424" s="3472"/>
      <c r="BZ424" s="3472"/>
      <c r="CA424" s="3472"/>
      <c r="CB424" s="3472"/>
      <c r="CC424" s="3472"/>
      <c r="CD424" s="3472"/>
      <c r="CE424" s="3472"/>
      <c r="CF424" s="3472"/>
      <c r="CG424" s="3472"/>
      <c r="CH424" s="3472"/>
      <c r="CI424" s="3472"/>
      <c r="CJ424" s="3472"/>
      <c r="CK424" s="3472"/>
      <c r="CL424" s="3472"/>
      <c r="CM424" s="3472"/>
      <c r="CN424" s="3472"/>
      <c r="CO424" s="3472"/>
      <c r="CP424" s="3472"/>
      <c r="CQ424" s="3472"/>
      <c r="CR424" s="3472"/>
      <c r="CS424" s="3472"/>
      <c r="CT424" s="3472"/>
      <c r="CU424" s="3472"/>
      <c r="CV424" s="3472"/>
      <c r="CW424" s="3472"/>
      <c r="CX424" s="3472"/>
      <c r="CY424" s="3472"/>
      <c r="CZ424" s="3472"/>
      <c r="DA424" s="3472"/>
      <c r="DB424" s="3472"/>
      <c r="DC424" s="3472"/>
      <c r="DD424" s="3472"/>
      <c r="DE424" s="3472"/>
      <c r="DF424" s="3472"/>
      <c r="DG424" s="3472"/>
      <c r="DH424" s="3472"/>
      <c r="DI424" s="3472"/>
      <c r="DJ424" s="3472"/>
      <c r="DK424" s="3472"/>
      <c r="DL424" s="3472"/>
      <c r="DM424" s="3472"/>
      <c r="DN424" s="3472"/>
      <c r="DO424" s="3472"/>
      <c r="DP424" s="3472"/>
      <c r="DQ424" s="3472"/>
      <c r="DR424" s="3472"/>
      <c r="DS424" s="3472"/>
      <c r="DT424" s="3472"/>
      <c r="DU424" s="3472"/>
      <c r="DV424" s="3472"/>
      <c r="DW424" s="3472"/>
      <c r="DX424" s="3472"/>
      <c r="DY424" s="3472"/>
      <c r="DZ424" s="3472"/>
      <c r="EA424" s="3472"/>
      <c r="EB424" s="3472"/>
      <c r="EC424" s="3472"/>
      <c r="ED424" s="3472"/>
      <c r="EE424" s="3472"/>
      <c r="EF424" s="3472"/>
      <c r="EG424" s="3472"/>
      <c r="EH424" s="3472"/>
      <c r="EI424" s="3472"/>
      <c r="EJ424" s="3472"/>
      <c r="EK424" s="3472"/>
      <c r="EL424" s="3472"/>
      <c r="EM424" s="3472"/>
      <c r="EN424" s="3472"/>
      <c r="EO424" s="3472"/>
      <c r="EP424" s="3472"/>
      <c r="EQ424" s="3472"/>
      <c r="ER424" s="3472"/>
      <c r="ES424" s="3472"/>
      <c r="ET424" s="3472"/>
      <c r="EU424" s="3472"/>
      <c r="EV424" s="3472"/>
      <c r="EW424" s="3472"/>
      <c r="EX424" s="3472"/>
      <c r="EY424" s="3472"/>
      <c r="EZ424" s="3472"/>
      <c r="FA424" s="3472"/>
      <c r="FB424" s="3472"/>
      <c r="FC424" s="3472"/>
      <c r="FD424" s="3472"/>
      <c r="FE424" s="3472"/>
      <c r="FF424" s="3472"/>
      <c r="FG424" s="3472"/>
      <c r="FH424" s="3472"/>
      <c r="FI424" s="3472"/>
      <c r="FJ424" s="3472"/>
      <c r="FK424" s="3472"/>
      <c r="FL424" s="3472"/>
      <c r="FM424" s="3472"/>
      <c r="FN424" s="3472"/>
      <c r="FO424" s="3472"/>
      <c r="FP424" s="3472"/>
      <c r="FQ424" s="3472"/>
      <c r="FR424" s="3472"/>
      <c r="FS424" s="3472"/>
      <c r="FT424" s="3472"/>
      <c r="FU424" s="3472"/>
      <c r="FV424" s="3472"/>
      <c r="FW424" s="3472"/>
      <c r="FX424" s="3472"/>
      <c r="FY424" s="3472"/>
      <c r="FZ424" s="3472"/>
      <c r="GA424" s="3472"/>
      <c r="GB424" s="3472"/>
      <c r="GC424" s="3472"/>
      <c r="GD424" s="3472"/>
      <c r="GE424" s="3472"/>
      <c r="GF424" s="3472"/>
      <c r="GG424" s="3472"/>
      <c r="GH424" s="3472"/>
      <c r="GI424" s="3472"/>
      <c r="GJ424" s="3472"/>
      <c r="GK424" s="3472"/>
      <c r="GL424" s="3472"/>
      <c r="GM424" s="3472"/>
      <c r="GN424" s="3472"/>
      <c r="GO424" s="3472"/>
      <c r="GP424" s="3472"/>
      <c r="GQ424" s="3472"/>
      <c r="GR424" s="3472"/>
      <c r="GS424" s="3472"/>
      <c r="GT424" s="3472"/>
      <c r="GU424" s="3472"/>
      <c r="GV424" s="3472"/>
      <c r="GW424" s="3472"/>
      <c r="GX424" s="3472"/>
      <c r="GY424" s="3472"/>
      <c r="GZ424" s="3472"/>
      <c r="HA424" s="3472"/>
      <c r="HB424" s="3472"/>
      <c r="HC424" s="3472"/>
      <c r="HD424" s="3472"/>
      <c r="HE424" s="3472"/>
      <c r="HF424" s="3472"/>
      <c r="HG424" s="3472"/>
      <c r="HH424" s="3472"/>
      <c r="HI424" s="3472"/>
      <c r="HJ424" s="3472"/>
      <c r="HK424" s="3472"/>
      <c r="HL424" s="3472"/>
      <c r="HM424" s="3472"/>
      <c r="HN424" s="3472"/>
      <c r="HO424" s="3472"/>
      <c r="HP424" s="3472"/>
      <c r="HQ424" s="3472"/>
      <c r="HR424" s="3472"/>
      <c r="HS424" s="3472"/>
      <c r="HT424" s="3472"/>
      <c r="HU424" s="3472"/>
      <c r="HV424" s="3472"/>
      <c r="HW424" s="3472"/>
      <c r="HX424" s="3472"/>
      <c r="HY424" s="3472"/>
      <c r="HZ424" s="3472"/>
      <c r="IA424" s="3472"/>
      <c r="IB424" s="3472"/>
      <c r="IC424" s="3472"/>
      <c r="ID424" s="3472"/>
      <c r="IE424" s="3472"/>
      <c r="IF424" s="3472"/>
      <c r="IG424" s="3472"/>
      <c r="IH424" s="3472"/>
      <c r="II424" s="3472"/>
      <c r="IJ424" s="3472"/>
      <c r="IK424" s="3472"/>
      <c r="IL424" s="3472"/>
      <c r="IM424" s="3472"/>
      <c r="IN424" s="3472"/>
      <c r="IO424" s="3472"/>
      <c r="IP424" s="3472"/>
      <c r="IQ424" s="3472"/>
      <c r="IR424" s="3472"/>
      <c r="IS424" s="3472"/>
    </row>
    <row r="425" spans="1:253" s="3469" customFormat="1" ht="12" hidden="1">
      <c r="A425" s="3485" t="s">
        <v>6721</v>
      </c>
      <c r="B425" s="3456" t="s">
        <v>6722</v>
      </c>
      <c r="C425" s="3455" t="s">
        <v>6723</v>
      </c>
      <c r="D425" s="3455" t="s">
        <v>6724</v>
      </c>
      <c r="E425" s="3456" t="s">
        <v>2736</v>
      </c>
      <c r="F425" s="3633" t="s">
        <v>6725</v>
      </c>
      <c r="G425" s="3456"/>
      <c r="H425" s="3456" t="s">
        <v>6726</v>
      </c>
      <c r="I425" s="3456" t="s">
        <v>4441</v>
      </c>
      <c r="J425" s="3455" t="s">
        <v>5511</v>
      </c>
      <c r="K425" s="3456" t="s">
        <v>6722</v>
      </c>
      <c r="L425" s="3456">
        <v>59.91</v>
      </c>
      <c r="M425" s="3456">
        <v>4</v>
      </c>
      <c r="N425" s="3456" t="s">
        <v>3491</v>
      </c>
      <c r="O425" s="3456"/>
      <c r="P425" s="3456" t="s">
        <v>3452</v>
      </c>
      <c r="Q425" s="3457">
        <v>231899.628</v>
      </c>
      <c r="R425" s="3456">
        <v>3870.8</v>
      </c>
      <c r="S425" s="3458">
        <v>27.85</v>
      </c>
      <c r="T425" s="3459">
        <v>278500</v>
      </c>
      <c r="U425" s="3456">
        <v>4650</v>
      </c>
      <c r="V425" s="3460">
        <v>0.05</v>
      </c>
      <c r="W425" s="3590">
        <v>26.45</v>
      </c>
      <c r="X425" s="3459">
        <v>264500</v>
      </c>
      <c r="Y425" s="3469">
        <v>2003</v>
      </c>
      <c r="Z425" s="3469">
        <v>6</v>
      </c>
      <c r="AA425" s="3469">
        <v>18</v>
      </c>
      <c r="AB425" s="3522">
        <v>1390</v>
      </c>
      <c r="AC425" s="3456" t="s">
        <v>3565</v>
      </c>
      <c r="AD425" s="3522"/>
      <c r="AE425" s="3456" t="s">
        <v>3566</v>
      </c>
      <c r="AF425" s="3456" t="s">
        <v>4063</v>
      </c>
      <c r="AG425" s="3456" t="s">
        <v>3466</v>
      </c>
      <c r="AH425" s="3522"/>
      <c r="AI425" s="3456" t="s">
        <v>3569</v>
      </c>
      <c r="AJ425" s="3545"/>
      <c r="AK425" s="3479" t="s">
        <v>6497</v>
      </c>
      <c r="AL425" s="3469">
        <v>82253558</v>
      </c>
      <c r="AN425" s="3469" t="s">
        <v>3791</v>
      </c>
      <c r="AP425" s="3456" t="s">
        <v>3566</v>
      </c>
      <c r="AQ425" s="3456" t="s">
        <v>3571</v>
      </c>
      <c r="AW425" s="3469" t="s">
        <v>6727</v>
      </c>
      <c r="AY425" s="3591"/>
      <c r="BB425" s="3591"/>
      <c r="BD425" s="3592"/>
      <c r="BF425" s="3593"/>
      <c r="BG425" s="3566">
        <v>37508</v>
      </c>
      <c r="BI425" s="3469" t="s">
        <v>3566</v>
      </c>
      <c r="BJ425" s="3594">
        <v>37785</v>
      </c>
      <c r="BK425" s="3594"/>
      <c r="BL425" s="3456" t="s">
        <v>3470</v>
      </c>
      <c r="BM425" s="3469" t="s">
        <v>6728</v>
      </c>
      <c r="BN425" s="3469" t="s">
        <v>3483</v>
      </c>
      <c r="BO425" s="3469" t="s">
        <v>6729</v>
      </c>
      <c r="BP425" s="3441"/>
      <c r="BQ425" s="3441"/>
      <c r="BR425" s="3441"/>
      <c r="BS425" s="3470"/>
      <c r="BT425" s="3470"/>
      <c r="BU425" s="3470"/>
    </row>
    <row r="426" spans="1:253" s="3470" customFormat="1" ht="12" hidden="1">
      <c r="A426" s="3470" t="s">
        <v>6730</v>
      </c>
      <c r="B426" s="3470" t="s">
        <v>6731</v>
      </c>
      <c r="C426" s="3481" t="s">
        <v>6732</v>
      </c>
      <c r="D426" s="3470">
        <v>64931215</v>
      </c>
      <c r="E426" s="3470" t="s">
        <v>3558</v>
      </c>
      <c r="F426" s="3470" t="s">
        <v>4025</v>
      </c>
      <c r="H426" s="3453" t="s">
        <v>4026</v>
      </c>
      <c r="I426" s="3453" t="s">
        <v>4624</v>
      </c>
      <c r="J426" s="3453" t="s">
        <v>6733</v>
      </c>
      <c r="K426" s="3470" t="s">
        <v>4029</v>
      </c>
      <c r="L426" s="3495">
        <v>99.37</v>
      </c>
      <c r="M426" s="3495">
        <v>6</v>
      </c>
      <c r="N426" s="3470" t="s">
        <v>3491</v>
      </c>
      <c r="O426" s="3495">
        <v>80.48</v>
      </c>
      <c r="P426" s="3470" t="s">
        <v>3452</v>
      </c>
      <c r="Q426" s="3457">
        <v>407417</v>
      </c>
      <c r="R426" s="3470">
        <v>4100</v>
      </c>
      <c r="S426" s="3532">
        <v>40.29</v>
      </c>
      <c r="T426" s="3554">
        <v>402900</v>
      </c>
      <c r="U426" s="3470">
        <v>4055</v>
      </c>
      <c r="V426" s="3474">
        <v>0.1</v>
      </c>
      <c r="W426" s="3475">
        <v>36.26</v>
      </c>
      <c r="X426" s="3473">
        <v>362600</v>
      </c>
      <c r="Y426" s="3441">
        <v>2003</v>
      </c>
      <c r="Z426" s="3470">
        <v>6</v>
      </c>
      <c r="AA426" s="3470">
        <v>18</v>
      </c>
      <c r="AB426" s="3477">
        <v>2010</v>
      </c>
      <c r="AC426" s="3470" t="s">
        <v>4044</v>
      </c>
      <c r="AE426" s="3441" t="s">
        <v>3663</v>
      </c>
      <c r="AF426" s="3470" t="s">
        <v>6065</v>
      </c>
      <c r="AG426" s="3470" t="s">
        <v>3466</v>
      </c>
      <c r="AH426" s="3470" t="s">
        <v>3568</v>
      </c>
      <c r="AI426" s="3470" t="s">
        <v>3664</v>
      </c>
      <c r="AJ426" s="3478">
        <v>37742</v>
      </c>
      <c r="AK426" s="3500">
        <v>6</v>
      </c>
      <c r="AL426" s="3495">
        <v>67641700</v>
      </c>
      <c r="AN426" s="3469" t="s">
        <v>3482</v>
      </c>
      <c r="AO426" s="3470" t="s">
        <v>2420</v>
      </c>
      <c r="AP426" s="3441" t="s">
        <v>3476</v>
      </c>
      <c r="AQ426" s="3456" t="s">
        <v>3571</v>
      </c>
      <c r="AV426" s="3519"/>
      <c r="AW426" s="3470" t="s">
        <v>3572</v>
      </c>
      <c r="AX426" s="3470" t="s">
        <v>2511</v>
      </c>
      <c r="AY426" s="3495">
        <v>279400</v>
      </c>
      <c r="AZ426" s="3470" t="s">
        <v>4029</v>
      </c>
      <c r="BA426" s="3470" t="s">
        <v>4034</v>
      </c>
      <c r="BB426" s="3470" t="s">
        <v>4127</v>
      </c>
      <c r="BC426" s="3470" t="s">
        <v>4035</v>
      </c>
      <c r="BD426" s="3470">
        <v>100034</v>
      </c>
      <c r="BE426" s="3470">
        <v>66177078</v>
      </c>
      <c r="BF426" s="3520">
        <v>2.7</v>
      </c>
      <c r="BG426" s="3478">
        <v>37748</v>
      </c>
      <c r="BI426" s="3441" t="s">
        <v>3475</v>
      </c>
      <c r="BJ426" s="3566">
        <v>37777</v>
      </c>
      <c r="BK426" s="3478"/>
      <c r="BL426" s="3441" t="s">
        <v>3670</v>
      </c>
      <c r="BM426" s="3441"/>
      <c r="BN426" s="3441"/>
      <c r="BO426" s="3441"/>
      <c r="BP426" s="3441"/>
      <c r="BQ426" s="3441"/>
      <c r="BR426" s="3441"/>
    </row>
    <row r="427" spans="1:253" s="3470" customFormat="1" ht="12" hidden="1">
      <c r="A427" s="3485" t="s">
        <v>6734</v>
      </c>
      <c r="B427" s="3470" t="s">
        <v>6735</v>
      </c>
      <c r="C427" s="3530" t="s">
        <v>6736</v>
      </c>
      <c r="D427" s="3453">
        <v>13693534529</v>
      </c>
      <c r="E427" s="3470" t="s">
        <v>2736</v>
      </c>
      <c r="F427" s="3470" t="s">
        <v>6113</v>
      </c>
      <c r="G427" s="3470" t="s">
        <v>2420</v>
      </c>
      <c r="H427" s="3470" t="s">
        <v>5608</v>
      </c>
      <c r="I427" s="3453" t="s">
        <v>3464</v>
      </c>
      <c r="J427" s="3453" t="s">
        <v>6737</v>
      </c>
      <c r="K427" s="3470" t="s">
        <v>5601</v>
      </c>
      <c r="L427" s="3495">
        <v>98.22</v>
      </c>
      <c r="M427" s="3495">
        <v>13</v>
      </c>
      <c r="N427" s="3470" t="s">
        <v>3543</v>
      </c>
      <c r="O427" s="3495">
        <v>83.29</v>
      </c>
      <c r="P427" s="3470" t="s">
        <v>3452</v>
      </c>
      <c r="Q427" s="3457">
        <v>394647.96</v>
      </c>
      <c r="R427" s="3470">
        <v>4018</v>
      </c>
      <c r="S427" s="3472">
        <v>38.99</v>
      </c>
      <c r="T427" s="3527">
        <v>389900</v>
      </c>
      <c r="U427" s="3470">
        <v>3970</v>
      </c>
      <c r="V427" s="3474">
        <v>0.1</v>
      </c>
      <c r="W427" s="3475">
        <v>35.090000000000003</v>
      </c>
      <c r="X427" s="3473">
        <v>350900.00000000006</v>
      </c>
      <c r="Y427" s="3441">
        <v>2003</v>
      </c>
      <c r="Z427" s="3441">
        <v>7</v>
      </c>
      <c r="AA427" s="3441">
        <v>17</v>
      </c>
      <c r="AB427" s="3485">
        <v>1945</v>
      </c>
      <c r="AC427" s="3470" t="s">
        <v>5110</v>
      </c>
      <c r="AE427" s="3456" t="s">
        <v>3663</v>
      </c>
      <c r="AF427" s="3470" t="s">
        <v>6290</v>
      </c>
      <c r="AG427" s="3470" t="s">
        <v>3466</v>
      </c>
      <c r="AI427" s="3470" t="s">
        <v>3664</v>
      </c>
      <c r="AJ427" s="3478">
        <v>38108</v>
      </c>
      <c r="AK427" s="3500">
        <v>7</v>
      </c>
      <c r="AL427" s="3495">
        <v>67641700</v>
      </c>
      <c r="AN427" s="3441" t="s">
        <v>3739</v>
      </c>
      <c r="AO427" s="3453"/>
      <c r="AP427" s="3441" t="s">
        <v>6738</v>
      </c>
      <c r="AQ427" s="3456" t="s">
        <v>3571</v>
      </c>
      <c r="AV427" s="3519"/>
      <c r="AW427" s="3470" t="s">
        <v>3572</v>
      </c>
      <c r="AX427" s="3470" t="s">
        <v>3606</v>
      </c>
      <c r="AY427" s="3495">
        <v>274498</v>
      </c>
      <c r="AZ427" s="3470" t="s">
        <v>5586</v>
      </c>
      <c r="BA427" s="3470" t="s">
        <v>5587</v>
      </c>
      <c r="BB427" s="3619">
        <v>1102281326100</v>
      </c>
      <c r="BC427" s="3470" t="s">
        <v>5604</v>
      </c>
      <c r="BD427" s="3470">
        <v>100055</v>
      </c>
      <c r="BE427" s="3470">
        <v>82951881</v>
      </c>
      <c r="BF427" s="3520">
        <v>2.8</v>
      </c>
      <c r="BG427" s="3478">
        <v>37780</v>
      </c>
      <c r="BH427" s="3469"/>
      <c r="BI427" s="3441" t="s">
        <v>6738</v>
      </c>
      <c r="BJ427" s="3484">
        <v>37813</v>
      </c>
      <c r="BK427" s="3478"/>
      <c r="BL427" s="3441" t="s">
        <v>3670</v>
      </c>
      <c r="BM427" s="3441"/>
      <c r="BN427" s="3441"/>
      <c r="BO427" s="3441"/>
      <c r="BP427" s="3441"/>
      <c r="BQ427" s="3441"/>
      <c r="BR427" s="3441"/>
    </row>
    <row r="428" spans="1:253" s="3470" customFormat="1" ht="12" hidden="1">
      <c r="A428" s="3485" t="s">
        <v>6739</v>
      </c>
      <c r="B428" s="3470" t="s">
        <v>6740</v>
      </c>
      <c r="C428" s="3454" t="s">
        <v>6741</v>
      </c>
      <c r="D428" s="3634">
        <v>13910689413</v>
      </c>
      <c r="E428" s="3470" t="s">
        <v>2736</v>
      </c>
      <c r="F428" s="3470" t="s">
        <v>5592</v>
      </c>
      <c r="G428" s="3470" t="s">
        <v>3588</v>
      </c>
      <c r="H428" s="3470" t="s">
        <v>6376</v>
      </c>
      <c r="I428" s="3470" t="s">
        <v>3992</v>
      </c>
      <c r="J428" s="3453" t="s">
        <v>4135</v>
      </c>
      <c r="K428" s="3470" t="s">
        <v>5584</v>
      </c>
      <c r="L428" s="3495">
        <v>117.1</v>
      </c>
      <c r="M428" s="3495">
        <v>4</v>
      </c>
      <c r="N428" s="3470" t="s">
        <v>4336</v>
      </c>
      <c r="O428" s="3495">
        <v>105.92</v>
      </c>
      <c r="P428" s="3470" t="s">
        <v>3452</v>
      </c>
      <c r="Q428" s="3457">
        <v>485965</v>
      </c>
      <c r="R428" s="3470">
        <v>4150</v>
      </c>
      <c r="S428" s="3472">
        <v>48.01</v>
      </c>
      <c r="T428" s="3527">
        <v>480100</v>
      </c>
      <c r="U428" s="3470">
        <v>4100</v>
      </c>
      <c r="V428" s="3474">
        <v>0.1</v>
      </c>
      <c r="W428" s="3475">
        <v>43.2</v>
      </c>
      <c r="X428" s="3473">
        <v>432000</v>
      </c>
      <c r="Y428" s="3441">
        <v>2003</v>
      </c>
      <c r="Z428" s="3515">
        <v>7</v>
      </c>
      <c r="AA428" s="3470">
        <v>25</v>
      </c>
      <c r="AB428" s="3485">
        <v>2400</v>
      </c>
      <c r="AC428" s="3470" t="s">
        <v>3710</v>
      </c>
      <c r="AE428" s="3456" t="s">
        <v>3663</v>
      </c>
      <c r="AF428" s="3470" t="s">
        <v>6742</v>
      </c>
      <c r="AG428" s="3470" t="s">
        <v>3466</v>
      </c>
      <c r="AI428" s="3470" t="s">
        <v>4955</v>
      </c>
      <c r="AJ428" s="3478">
        <v>38108</v>
      </c>
      <c r="AK428" s="3500">
        <v>7</v>
      </c>
      <c r="AL428" s="3495">
        <v>67641700</v>
      </c>
      <c r="AN428" s="3469" t="s">
        <v>3680</v>
      </c>
      <c r="AO428" s="3470" t="s">
        <v>6743</v>
      </c>
      <c r="AP428" s="3456" t="s">
        <v>3476</v>
      </c>
      <c r="AQ428" s="3469" t="s">
        <v>3571</v>
      </c>
      <c r="AV428" s="3519"/>
      <c r="AW428" s="3470" t="s">
        <v>3572</v>
      </c>
      <c r="AX428" s="3470" t="s">
        <v>2420</v>
      </c>
      <c r="AY428" s="3495">
        <v>299241</v>
      </c>
      <c r="AZ428" s="3470" t="s">
        <v>5586</v>
      </c>
      <c r="BA428" s="3470" t="s">
        <v>5587</v>
      </c>
      <c r="BB428" s="3619">
        <v>1102281326100</v>
      </c>
      <c r="BC428" s="3470" t="s">
        <v>5604</v>
      </c>
      <c r="BD428" s="3470">
        <v>100055</v>
      </c>
      <c r="BE428" s="3470">
        <v>82951881</v>
      </c>
      <c r="BF428" s="3520">
        <v>2.8</v>
      </c>
      <c r="BG428" s="3478">
        <v>37779</v>
      </c>
      <c r="BI428" s="3470" t="s">
        <v>3476</v>
      </c>
      <c r="BJ428" s="3514">
        <v>37825</v>
      </c>
      <c r="BK428" s="3478"/>
      <c r="BL428" s="3441" t="s">
        <v>3670</v>
      </c>
      <c r="BM428" s="3441"/>
      <c r="BN428" s="3441"/>
      <c r="BO428" s="3441"/>
      <c r="BP428" s="3441"/>
      <c r="BQ428" s="3441"/>
      <c r="BR428" s="3441"/>
    </row>
    <row r="429" spans="1:253" s="3441" customFormat="1" ht="12" hidden="1">
      <c r="A429" s="3485" t="s">
        <v>6744</v>
      </c>
      <c r="B429" s="3470" t="s">
        <v>6745</v>
      </c>
      <c r="C429" s="3481" t="s">
        <v>6746</v>
      </c>
      <c r="D429" s="3453">
        <v>13301396103</v>
      </c>
      <c r="E429" s="3470" t="s">
        <v>3558</v>
      </c>
      <c r="F429" s="3470" t="s">
        <v>4403</v>
      </c>
      <c r="G429" s="3470" t="s">
        <v>3568</v>
      </c>
      <c r="H429" s="3470" t="s">
        <v>4547</v>
      </c>
      <c r="I429" s="3470" t="s">
        <v>4217</v>
      </c>
      <c r="J429" s="3481" t="s">
        <v>5452</v>
      </c>
      <c r="K429" s="3470" t="s">
        <v>4406</v>
      </c>
      <c r="L429" s="3470">
        <v>107.41</v>
      </c>
      <c r="M429" s="3470">
        <v>4</v>
      </c>
      <c r="N429" s="3470" t="s">
        <v>5289</v>
      </c>
      <c r="O429" s="3470">
        <v>95.57</v>
      </c>
      <c r="P429" s="3470" t="s">
        <v>3452</v>
      </c>
      <c r="Q429" s="3457">
        <v>555739.34</v>
      </c>
      <c r="R429" s="3470">
        <v>5174</v>
      </c>
      <c r="S429" s="3472">
        <v>55.02</v>
      </c>
      <c r="T429" s="3527">
        <v>550200</v>
      </c>
      <c r="U429" s="3470">
        <v>5123</v>
      </c>
      <c r="V429" s="3474">
        <v>0.1</v>
      </c>
      <c r="W429" s="3475">
        <v>49.51</v>
      </c>
      <c r="X429" s="3473">
        <v>495100</v>
      </c>
      <c r="Y429" s="3441">
        <v>2003</v>
      </c>
      <c r="Z429" s="3515">
        <v>6</v>
      </c>
      <c r="AA429" s="3470">
        <v>17</v>
      </c>
      <c r="AB429" s="3477">
        <v>2750</v>
      </c>
      <c r="AC429" s="3470" t="s">
        <v>6747</v>
      </c>
      <c r="AD429" s="3485"/>
      <c r="AE429" s="3441" t="s">
        <v>3663</v>
      </c>
      <c r="AF429" s="3453" t="s">
        <v>3604</v>
      </c>
      <c r="AG429" s="3522" t="s">
        <v>3466</v>
      </c>
      <c r="AH429" s="3485"/>
      <c r="AI429" s="3470" t="s">
        <v>3664</v>
      </c>
      <c r="AJ429" s="3523">
        <v>37833</v>
      </c>
      <c r="AK429" s="3548">
        <v>6</v>
      </c>
      <c r="AL429" s="3441">
        <v>67641700</v>
      </c>
      <c r="AN429" s="3469" t="s">
        <v>3482</v>
      </c>
      <c r="AO429" s="3470"/>
      <c r="AP429" s="3456" t="s">
        <v>3476</v>
      </c>
      <c r="AQ429" s="3441" t="s">
        <v>3571</v>
      </c>
      <c r="AW429" s="3441" t="s">
        <v>3572</v>
      </c>
      <c r="AX429" s="3441" t="s">
        <v>3568</v>
      </c>
      <c r="AY429" s="3524" t="s">
        <v>6748</v>
      </c>
      <c r="AZ429" s="3441" t="s">
        <v>4406</v>
      </c>
      <c r="BA429" s="3441" t="s">
        <v>4409</v>
      </c>
      <c r="BB429" s="3524" t="s">
        <v>4410</v>
      </c>
      <c r="BC429" s="3441" t="s">
        <v>4411</v>
      </c>
      <c r="BD429" s="3525" t="s">
        <v>3568</v>
      </c>
      <c r="BE429" s="3441">
        <v>68152860</v>
      </c>
      <c r="BF429" s="3526">
        <v>2.8</v>
      </c>
      <c r="BG429" s="3518">
        <v>37695</v>
      </c>
      <c r="BH429" s="3441" t="s">
        <v>4412</v>
      </c>
      <c r="BI429" s="3470" t="s">
        <v>3476</v>
      </c>
      <c r="BJ429" s="3484">
        <v>37776</v>
      </c>
      <c r="BK429" s="3484"/>
      <c r="BL429" s="3470" t="s">
        <v>3670</v>
      </c>
      <c r="BS429" s="3470"/>
      <c r="BT429" s="3470"/>
      <c r="BU429" s="3470"/>
    </row>
    <row r="430" spans="1:253" s="3470" customFormat="1" ht="12" hidden="1">
      <c r="A430" s="3485" t="s">
        <v>6749</v>
      </c>
      <c r="B430" s="3470" t="s">
        <v>6750</v>
      </c>
      <c r="C430" s="3454" t="s">
        <v>6751</v>
      </c>
      <c r="D430" s="3470">
        <v>13691489781</v>
      </c>
      <c r="E430" s="3470" t="s">
        <v>3538</v>
      </c>
      <c r="F430" s="3470" t="s">
        <v>6113</v>
      </c>
      <c r="G430" s="3470" t="s">
        <v>3715</v>
      </c>
      <c r="H430" s="3470" t="s">
        <v>6103</v>
      </c>
      <c r="I430" s="3470" t="s">
        <v>4019</v>
      </c>
      <c r="J430" s="3453" t="s">
        <v>6752</v>
      </c>
      <c r="K430" s="3470" t="s">
        <v>5586</v>
      </c>
      <c r="L430" s="3495">
        <v>98.22</v>
      </c>
      <c r="M430" s="3495">
        <v>7</v>
      </c>
      <c r="N430" s="3470" t="s">
        <v>3486</v>
      </c>
      <c r="O430" s="3495">
        <v>83.29</v>
      </c>
      <c r="P430" s="3470" t="s">
        <v>3452</v>
      </c>
      <c r="Q430" s="3457">
        <v>388951.2</v>
      </c>
      <c r="R430" s="3470">
        <v>3960</v>
      </c>
      <c r="S430" s="3472">
        <v>38.42</v>
      </c>
      <c r="T430" s="3527">
        <v>384200</v>
      </c>
      <c r="U430" s="3470">
        <v>3912</v>
      </c>
      <c r="V430" s="3474">
        <v>0.1</v>
      </c>
      <c r="W430" s="3475">
        <v>34.57</v>
      </c>
      <c r="X430" s="3473">
        <v>345700</v>
      </c>
      <c r="Y430" s="3441">
        <v>2003</v>
      </c>
      <c r="Z430" s="3495">
        <v>6</v>
      </c>
      <c r="AA430" s="3470">
        <v>18</v>
      </c>
      <c r="AB430" s="3485">
        <v>1920</v>
      </c>
      <c r="AC430" s="3470" t="s">
        <v>3585</v>
      </c>
      <c r="AE430" s="3456" t="s">
        <v>3663</v>
      </c>
      <c r="AF430" s="3470" t="s">
        <v>6625</v>
      </c>
      <c r="AG430" s="3470" t="s">
        <v>3466</v>
      </c>
      <c r="AI430" s="3470" t="s">
        <v>3664</v>
      </c>
      <c r="AJ430" s="3478">
        <v>38108</v>
      </c>
      <c r="AK430" s="3548">
        <v>6</v>
      </c>
      <c r="AL430" s="3495">
        <v>67641700</v>
      </c>
      <c r="AN430" s="3469" t="s">
        <v>4210</v>
      </c>
      <c r="AO430" s="3470" t="s">
        <v>2420</v>
      </c>
      <c r="AP430" s="3456" t="s">
        <v>3476</v>
      </c>
      <c r="AQ430" s="3456" t="s">
        <v>3571</v>
      </c>
      <c r="AV430" s="3519"/>
      <c r="AW430" s="3470" t="s">
        <v>3572</v>
      </c>
      <c r="AX430" s="3470" t="s">
        <v>3588</v>
      </c>
      <c r="AY430" s="3495">
        <v>274482</v>
      </c>
      <c r="AZ430" s="3470" t="s">
        <v>5586</v>
      </c>
      <c r="BA430" s="3470" t="s">
        <v>5595</v>
      </c>
      <c r="BB430" s="3619">
        <v>1102281326100</v>
      </c>
      <c r="BC430" s="3470" t="s">
        <v>5588</v>
      </c>
      <c r="BD430" s="3470">
        <v>100055</v>
      </c>
      <c r="BE430" s="3470">
        <v>82951881</v>
      </c>
      <c r="BF430" s="3520">
        <v>2.8</v>
      </c>
      <c r="BG430" s="3478">
        <v>37777</v>
      </c>
      <c r="BI430" s="3470" t="s">
        <v>3476</v>
      </c>
      <c r="BJ430" s="3478">
        <v>37788</v>
      </c>
      <c r="BK430" s="3478"/>
      <c r="BL430" s="3441" t="s">
        <v>3670</v>
      </c>
      <c r="BM430" s="3441"/>
      <c r="BN430" s="3441"/>
      <c r="BO430" s="3441"/>
      <c r="BP430" s="3441"/>
      <c r="BQ430" s="3441"/>
      <c r="BR430" s="3441"/>
    </row>
    <row r="431" spans="1:253" s="3441" customFormat="1" ht="12" hidden="1">
      <c r="A431" s="3485" t="s">
        <v>6753</v>
      </c>
      <c r="B431" s="3470" t="s">
        <v>6754</v>
      </c>
      <c r="C431" s="3481" t="s">
        <v>6755</v>
      </c>
      <c r="D431" s="3453">
        <v>13801091670</v>
      </c>
      <c r="E431" s="3470" t="s">
        <v>2736</v>
      </c>
      <c r="F431" s="3528" t="s">
        <v>3628</v>
      </c>
      <c r="G431" s="3470"/>
      <c r="H431" s="3470" t="s">
        <v>4334</v>
      </c>
      <c r="I431" s="3470" t="s">
        <v>5052</v>
      </c>
      <c r="J431" s="3481" t="s">
        <v>6756</v>
      </c>
      <c r="K431" s="3470" t="s">
        <v>3638</v>
      </c>
      <c r="L431" s="3470">
        <v>133.41</v>
      </c>
      <c r="M431" s="3470">
        <v>13</v>
      </c>
      <c r="N431" s="3470" t="s">
        <v>3632</v>
      </c>
      <c r="O431" s="3470">
        <v>108.06</v>
      </c>
      <c r="P431" s="3470" t="s">
        <v>3452</v>
      </c>
      <c r="Q431" s="3457">
        <v>764439.29999999993</v>
      </c>
      <c r="R431" s="3470">
        <v>5730</v>
      </c>
      <c r="S431" s="3472">
        <v>75.72</v>
      </c>
      <c r="T431" s="3527">
        <v>757200</v>
      </c>
      <c r="U431" s="3470">
        <v>5676</v>
      </c>
      <c r="V431" s="3474">
        <v>0.1</v>
      </c>
      <c r="W431" s="3475">
        <v>68.14</v>
      </c>
      <c r="X431" s="3473">
        <v>681400</v>
      </c>
      <c r="Y431" s="3441">
        <v>2003</v>
      </c>
      <c r="Z431" s="3515">
        <v>7</v>
      </c>
      <c r="AA431" s="3515">
        <v>21</v>
      </c>
      <c r="AB431" s="3485">
        <v>3785</v>
      </c>
      <c r="AC431" s="3470" t="s">
        <v>3798</v>
      </c>
      <c r="AD431" s="3485"/>
      <c r="AE431" s="3441" t="s">
        <v>2156</v>
      </c>
      <c r="AF431" s="3470" t="s">
        <v>3587</v>
      </c>
      <c r="AG431" s="3522" t="s">
        <v>3454</v>
      </c>
      <c r="AH431" s="3485"/>
      <c r="AI431" s="3470" t="s">
        <v>3664</v>
      </c>
      <c r="AJ431" s="3523">
        <v>37992</v>
      </c>
      <c r="AK431" s="3500">
        <v>7</v>
      </c>
      <c r="AL431" s="3515">
        <v>67641700</v>
      </c>
      <c r="AN431" s="3469" t="s">
        <v>3484</v>
      </c>
      <c r="AO431" s="3470" t="s">
        <v>6757</v>
      </c>
      <c r="AP431" s="3456" t="s">
        <v>3476</v>
      </c>
      <c r="AQ431" s="3469" t="s">
        <v>3571</v>
      </c>
      <c r="AW431" s="3441" t="s">
        <v>4064</v>
      </c>
      <c r="AX431" s="3484"/>
      <c r="AY431" s="3524" t="s">
        <v>6758</v>
      </c>
      <c r="AZ431" s="3470" t="s">
        <v>3647</v>
      </c>
      <c r="BA431" s="3441" t="s">
        <v>4338</v>
      </c>
      <c r="BB431" s="3524" t="s">
        <v>3640</v>
      </c>
      <c r="BC431" s="3441" t="s">
        <v>4049</v>
      </c>
      <c r="BD431" s="3525">
        <v>100088</v>
      </c>
      <c r="BE431" s="3441">
        <v>82058259</v>
      </c>
      <c r="BF431" s="3526" t="s">
        <v>6759</v>
      </c>
      <c r="BG431" s="3518">
        <v>37701</v>
      </c>
      <c r="BH431" s="3470" t="s">
        <v>6099</v>
      </c>
      <c r="BI431" s="3463" t="s">
        <v>5844</v>
      </c>
      <c r="BJ431" s="3518">
        <v>37806</v>
      </c>
      <c r="BK431" s="3518">
        <v>37820</v>
      </c>
      <c r="BL431" s="3470" t="s">
        <v>3670</v>
      </c>
      <c r="BS431" s="3470"/>
      <c r="BT431" s="3470"/>
      <c r="BU431" s="3470"/>
    </row>
    <row r="432" spans="1:253" s="3441" customFormat="1" ht="12" hidden="1">
      <c r="A432" s="3543" t="s">
        <v>6760</v>
      </c>
      <c r="B432" s="3470" t="s">
        <v>6761</v>
      </c>
      <c r="C432" s="3481" t="s">
        <v>6762</v>
      </c>
      <c r="D432" s="3481" t="s">
        <v>6763</v>
      </c>
      <c r="E432" s="3470" t="s">
        <v>3558</v>
      </c>
      <c r="F432" s="3528" t="s">
        <v>6764</v>
      </c>
      <c r="G432" s="3470"/>
      <c r="H432" s="3453" t="s">
        <v>6765</v>
      </c>
      <c r="I432" s="3453" t="s">
        <v>3615</v>
      </c>
      <c r="J432" s="3454" t="s">
        <v>6035</v>
      </c>
      <c r="K432" s="3470" t="s">
        <v>6766</v>
      </c>
      <c r="L432" s="3495">
        <v>165.21</v>
      </c>
      <c r="M432" s="3495">
        <v>1</v>
      </c>
      <c r="N432" s="3470" t="s">
        <v>4003</v>
      </c>
      <c r="O432" s="3495">
        <v>150.53</v>
      </c>
      <c r="P432" s="3470" t="s">
        <v>3452</v>
      </c>
      <c r="Q432" s="3457">
        <v>914767.77</v>
      </c>
      <c r="R432" s="3477">
        <v>5537</v>
      </c>
      <c r="S432" s="3472">
        <v>90.61</v>
      </c>
      <c r="T432" s="3527">
        <v>906100</v>
      </c>
      <c r="U432" s="3477">
        <v>5485</v>
      </c>
      <c r="V432" s="3540">
        <v>0.1</v>
      </c>
      <c r="W432" s="3475">
        <v>81.540000000000006</v>
      </c>
      <c r="X432" s="3476">
        <v>815400.00000000012</v>
      </c>
      <c r="Y432" s="3477">
        <v>2003</v>
      </c>
      <c r="Z432" s="3477">
        <v>6</v>
      </c>
      <c r="AA432" s="3477">
        <v>20</v>
      </c>
      <c r="AB432" s="3477">
        <v>4530</v>
      </c>
      <c r="AC432" s="3453" t="s">
        <v>4044</v>
      </c>
      <c r="AD432" s="3485"/>
      <c r="AE432" s="3456" t="s">
        <v>3663</v>
      </c>
      <c r="AF432" s="3453" t="s">
        <v>4551</v>
      </c>
      <c r="AG432" s="3522" t="s">
        <v>3466</v>
      </c>
      <c r="AH432" s="3485"/>
      <c r="AI432" s="3470" t="s">
        <v>4849</v>
      </c>
      <c r="AJ432" s="3523">
        <v>37817</v>
      </c>
      <c r="AK432" s="3479">
        <v>6</v>
      </c>
      <c r="AL432" s="3495">
        <v>67641700</v>
      </c>
      <c r="AN432" s="3441" t="s">
        <v>3649</v>
      </c>
      <c r="AO432" s="3441" t="s">
        <v>3715</v>
      </c>
      <c r="AP432" s="3456" t="s">
        <v>3721</v>
      </c>
      <c r="AQ432" s="3441" t="s">
        <v>3571</v>
      </c>
      <c r="AV432" s="3515"/>
      <c r="AW432" s="3441" t="s">
        <v>6767</v>
      </c>
      <c r="AX432" s="3441" t="s">
        <v>2511</v>
      </c>
      <c r="AY432" s="3536" t="s">
        <v>6768</v>
      </c>
      <c r="AZ432" s="3441" t="s">
        <v>6766</v>
      </c>
      <c r="BA432" s="3441" t="s">
        <v>6769</v>
      </c>
      <c r="BB432" s="3524" t="s">
        <v>6770</v>
      </c>
      <c r="BC432" s="3441" t="s">
        <v>6771</v>
      </c>
      <c r="BD432" s="3525">
        <v>100080</v>
      </c>
      <c r="BE432" s="3441">
        <v>82624416</v>
      </c>
      <c r="BF432" s="3544">
        <v>2.8</v>
      </c>
      <c r="BG432" s="3518">
        <v>37763</v>
      </c>
      <c r="BI432" s="3470" t="s">
        <v>3896</v>
      </c>
      <c r="BJ432" s="3518">
        <v>37790</v>
      </c>
      <c r="BK432" s="3518"/>
      <c r="BL432" s="3470" t="s">
        <v>3670</v>
      </c>
      <c r="BS432" s="3470"/>
      <c r="BT432" s="3470"/>
      <c r="BU432" s="3470"/>
    </row>
    <row r="433" spans="1:253" s="3441" customFormat="1" ht="12" hidden="1">
      <c r="A433" s="3485" t="s">
        <v>6772</v>
      </c>
      <c r="B433" s="3470" t="s">
        <v>6773</v>
      </c>
      <c r="C433" s="3481" t="s">
        <v>6774</v>
      </c>
      <c r="D433" s="3481" t="s">
        <v>6775</v>
      </c>
      <c r="E433" s="3470" t="s">
        <v>3558</v>
      </c>
      <c r="F433" s="3528" t="s">
        <v>4403</v>
      </c>
      <c r="G433" s="3470" t="s">
        <v>3568</v>
      </c>
      <c r="H433" s="3470" t="s">
        <v>5765</v>
      </c>
      <c r="I433" s="3470" t="s">
        <v>4938</v>
      </c>
      <c r="J433" s="3481" t="s">
        <v>4012</v>
      </c>
      <c r="K433" s="3470" t="s">
        <v>4406</v>
      </c>
      <c r="L433" s="3470">
        <v>90.88</v>
      </c>
      <c r="M433" s="3470">
        <v>2</v>
      </c>
      <c r="N433" s="3470" t="s">
        <v>3486</v>
      </c>
      <c r="O433" s="3470">
        <v>81.260000000000005</v>
      </c>
      <c r="P433" s="3470" t="s">
        <v>3452</v>
      </c>
      <c r="Q433" s="3531">
        <v>438041.59999999998</v>
      </c>
      <c r="R433" s="3470">
        <v>4820</v>
      </c>
      <c r="S433" s="3532">
        <v>43.34</v>
      </c>
      <c r="T433" s="3623">
        <v>433400.00000000006</v>
      </c>
      <c r="U433" s="3470">
        <v>4770</v>
      </c>
      <c r="V433" s="3474">
        <v>0.1</v>
      </c>
      <c r="W433" s="3475">
        <v>39</v>
      </c>
      <c r="X433" s="3554">
        <v>390000</v>
      </c>
      <c r="Y433" s="3441">
        <v>2003</v>
      </c>
      <c r="Z433" s="3441">
        <v>6</v>
      </c>
      <c r="AA433" s="3470">
        <v>20</v>
      </c>
      <c r="AB433" s="3477">
        <v>2165</v>
      </c>
      <c r="AC433" s="3453" t="s">
        <v>3710</v>
      </c>
      <c r="AD433" s="3485"/>
      <c r="AE433" s="3441" t="s">
        <v>3663</v>
      </c>
      <c r="AF433" s="3470" t="s">
        <v>3604</v>
      </c>
      <c r="AG433" s="3522" t="s">
        <v>3466</v>
      </c>
      <c r="AH433" s="3485"/>
      <c r="AI433" s="3470" t="s">
        <v>3664</v>
      </c>
      <c r="AJ433" s="3523">
        <v>37833</v>
      </c>
      <c r="AK433" s="3500">
        <v>6</v>
      </c>
      <c r="AL433" s="3441">
        <v>67641700</v>
      </c>
      <c r="AN433" s="3480" t="s">
        <v>3649</v>
      </c>
      <c r="AP433" s="3441" t="s">
        <v>3721</v>
      </c>
      <c r="AQ433" s="3456" t="s">
        <v>3571</v>
      </c>
      <c r="AW433" s="3441" t="s">
        <v>3572</v>
      </c>
      <c r="AX433" s="3441" t="s">
        <v>3568</v>
      </c>
      <c r="AY433" s="3524" t="s">
        <v>6776</v>
      </c>
      <c r="AZ433" s="3441" t="s">
        <v>4406</v>
      </c>
      <c r="BA433" s="3441" t="s">
        <v>4409</v>
      </c>
      <c r="BB433" s="3524" t="s">
        <v>4410</v>
      </c>
      <c r="BC433" s="3441" t="s">
        <v>4411</v>
      </c>
      <c r="BD433" s="3525" t="s">
        <v>3568</v>
      </c>
      <c r="BE433" s="3441">
        <v>68152860</v>
      </c>
      <c r="BF433" s="3526">
        <v>2.8</v>
      </c>
      <c r="BG433" s="3518">
        <v>37650</v>
      </c>
      <c r="BH433" s="3441" t="s">
        <v>4412</v>
      </c>
      <c r="BI433" s="3441" t="s">
        <v>3700</v>
      </c>
      <c r="BJ433" s="3478">
        <v>37713</v>
      </c>
      <c r="BK433" s="3484"/>
      <c r="BL433" s="3470" t="s">
        <v>3670</v>
      </c>
      <c r="BS433" s="3470"/>
      <c r="BT433" s="3470"/>
      <c r="BU433" s="3470"/>
      <c r="BV433" s="3472"/>
      <c r="BW433" s="3472"/>
      <c r="BX433" s="3472"/>
      <c r="BY433" s="3472"/>
      <c r="BZ433" s="3472"/>
      <c r="CA433" s="3472"/>
      <c r="CB433" s="3472"/>
      <c r="CC433" s="3472"/>
      <c r="CD433" s="3472"/>
      <c r="CE433" s="3472"/>
      <c r="CF433" s="3472"/>
      <c r="CG433" s="3472"/>
      <c r="CH433" s="3472"/>
      <c r="CI433" s="3472"/>
      <c r="CJ433" s="3472"/>
      <c r="CK433" s="3472"/>
      <c r="CL433" s="3472"/>
      <c r="CM433" s="3472"/>
      <c r="CN433" s="3472"/>
      <c r="CO433" s="3472"/>
      <c r="CP433" s="3472"/>
      <c r="CQ433" s="3472"/>
      <c r="CR433" s="3472"/>
      <c r="CS433" s="3472"/>
      <c r="CT433" s="3472"/>
      <c r="CU433" s="3472"/>
      <c r="CV433" s="3472"/>
      <c r="CW433" s="3472"/>
      <c r="CX433" s="3472"/>
      <c r="CY433" s="3472"/>
      <c r="CZ433" s="3472"/>
      <c r="DA433" s="3472"/>
      <c r="DB433" s="3472"/>
      <c r="DC433" s="3472"/>
      <c r="DD433" s="3472"/>
      <c r="DE433" s="3472"/>
      <c r="DF433" s="3472"/>
      <c r="DG433" s="3472"/>
      <c r="DH433" s="3472"/>
      <c r="DI433" s="3472"/>
      <c r="DJ433" s="3472"/>
      <c r="DK433" s="3472"/>
      <c r="DL433" s="3472"/>
      <c r="DM433" s="3472"/>
      <c r="DN433" s="3472"/>
      <c r="DO433" s="3472"/>
      <c r="DP433" s="3472"/>
      <c r="DQ433" s="3472"/>
      <c r="DR433" s="3472"/>
      <c r="DS433" s="3472"/>
      <c r="DT433" s="3472"/>
      <c r="DU433" s="3472"/>
      <c r="DV433" s="3472"/>
      <c r="DW433" s="3472"/>
      <c r="DX433" s="3472"/>
      <c r="DY433" s="3472"/>
      <c r="DZ433" s="3472"/>
      <c r="EA433" s="3472"/>
      <c r="EB433" s="3472"/>
      <c r="EC433" s="3472"/>
      <c r="ED433" s="3472"/>
      <c r="EE433" s="3472"/>
      <c r="EF433" s="3472"/>
      <c r="EG433" s="3472"/>
      <c r="EH433" s="3472"/>
      <c r="EI433" s="3472"/>
      <c r="EJ433" s="3472"/>
      <c r="EK433" s="3472"/>
      <c r="EL433" s="3472"/>
      <c r="EM433" s="3472"/>
      <c r="EN433" s="3472"/>
      <c r="EO433" s="3472"/>
      <c r="EP433" s="3472"/>
      <c r="EQ433" s="3472"/>
      <c r="ER433" s="3472"/>
      <c r="ES433" s="3472"/>
      <c r="ET433" s="3472"/>
      <c r="EU433" s="3472"/>
      <c r="EV433" s="3472"/>
      <c r="EW433" s="3472"/>
      <c r="EX433" s="3472"/>
      <c r="EY433" s="3472"/>
      <c r="EZ433" s="3472"/>
      <c r="FA433" s="3472"/>
      <c r="FB433" s="3472"/>
      <c r="FC433" s="3472"/>
      <c r="FD433" s="3472"/>
      <c r="FE433" s="3472"/>
      <c r="FF433" s="3472"/>
      <c r="FG433" s="3472"/>
      <c r="FH433" s="3472"/>
      <c r="FI433" s="3472"/>
      <c r="FJ433" s="3472"/>
      <c r="FK433" s="3472"/>
      <c r="FL433" s="3472"/>
      <c r="FM433" s="3472"/>
      <c r="FN433" s="3472"/>
      <c r="FO433" s="3472"/>
      <c r="FP433" s="3472"/>
      <c r="FQ433" s="3472"/>
      <c r="FR433" s="3472"/>
      <c r="FS433" s="3472"/>
      <c r="FT433" s="3472"/>
      <c r="FU433" s="3472"/>
      <c r="FV433" s="3472"/>
      <c r="FW433" s="3472"/>
      <c r="FX433" s="3472"/>
      <c r="FY433" s="3472"/>
      <c r="FZ433" s="3472"/>
      <c r="GA433" s="3472"/>
      <c r="GB433" s="3472"/>
      <c r="GC433" s="3472"/>
      <c r="GD433" s="3472"/>
      <c r="GE433" s="3472"/>
      <c r="GF433" s="3472"/>
      <c r="GG433" s="3472"/>
      <c r="GH433" s="3472"/>
      <c r="GI433" s="3472"/>
      <c r="GJ433" s="3472"/>
      <c r="GK433" s="3472"/>
      <c r="GL433" s="3472"/>
      <c r="GM433" s="3472"/>
      <c r="GN433" s="3472"/>
      <c r="GO433" s="3472"/>
      <c r="GP433" s="3472"/>
      <c r="GQ433" s="3472"/>
      <c r="GR433" s="3472"/>
      <c r="GS433" s="3472"/>
      <c r="GT433" s="3472"/>
      <c r="GU433" s="3472"/>
      <c r="GV433" s="3472"/>
      <c r="GW433" s="3472"/>
      <c r="GX433" s="3472"/>
      <c r="GY433" s="3472"/>
      <c r="GZ433" s="3472"/>
      <c r="HA433" s="3472"/>
      <c r="HB433" s="3472"/>
      <c r="HC433" s="3472"/>
      <c r="HD433" s="3472"/>
      <c r="HE433" s="3472"/>
      <c r="HF433" s="3472"/>
      <c r="HG433" s="3472"/>
      <c r="HH433" s="3472"/>
      <c r="HI433" s="3472"/>
      <c r="HJ433" s="3472"/>
      <c r="HK433" s="3472"/>
      <c r="HL433" s="3472"/>
      <c r="HM433" s="3472"/>
      <c r="HN433" s="3472"/>
      <c r="HO433" s="3472"/>
      <c r="HP433" s="3472"/>
      <c r="HQ433" s="3472"/>
      <c r="HR433" s="3472"/>
      <c r="HS433" s="3472"/>
      <c r="HT433" s="3472"/>
      <c r="HU433" s="3472"/>
      <c r="HV433" s="3472"/>
      <c r="HW433" s="3472"/>
      <c r="HX433" s="3472"/>
      <c r="HY433" s="3472"/>
      <c r="HZ433" s="3472"/>
      <c r="IA433" s="3472"/>
      <c r="IB433" s="3472"/>
      <c r="IC433" s="3472"/>
      <c r="ID433" s="3472"/>
      <c r="IE433" s="3472"/>
      <c r="IF433" s="3472"/>
      <c r="IG433" s="3472"/>
      <c r="IH433" s="3472"/>
      <c r="II433" s="3472"/>
      <c r="IJ433" s="3472"/>
      <c r="IK433" s="3472"/>
      <c r="IL433" s="3472"/>
      <c r="IM433" s="3472"/>
      <c r="IN433" s="3472"/>
      <c r="IO433" s="3472"/>
      <c r="IP433" s="3472"/>
      <c r="IQ433" s="3472"/>
      <c r="IR433" s="3472"/>
      <c r="IS433" s="3472"/>
    </row>
    <row r="434" spans="1:253" s="3441" customFormat="1" ht="12" hidden="1">
      <c r="A434" s="3481" t="s">
        <v>6777</v>
      </c>
      <c r="B434" s="3470" t="s">
        <v>6778</v>
      </c>
      <c r="C434" s="3481" t="s">
        <v>6779</v>
      </c>
      <c r="D434" s="3481" t="s">
        <v>6780</v>
      </c>
      <c r="E434" s="3470" t="s">
        <v>3763</v>
      </c>
      <c r="F434" s="3528" t="s">
        <v>6673</v>
      </c>
      <c r="G434" s="3470"/>
      <c r="H434" s="3470" t="s">
        <v>5304</v>
      </c>
      <c r="I434" s="3453" t="s">
        <v>3464</v>
      </c>
      <c r="J434" s="3454" t="s">
        <v>3871</v>
      </c>
      <c r="K434" s="3470" t="s">
        <v>6408</v>
      </c>
      <c r="L434" s="3495">
        <v>94.3</v>
      </c>
      <c r="M434" s="3495">
        <v>4</v>
      </c>
      <c r="N434" s="3470" t="s">
        <v>3451</v>
      </c>
      <c r="O434" s="3495">
        <v>82.95</v>
      </c>
      <c r="P434" s="3470" t="s">
        <v>3452</v>
      </c>
      <c r="Q434" s="3457">
        <v>412279.6</v>
      </c>
      <c r="R434" s="3547" t="s">
        <v>6781</v>
      </c>
      <c r="S434" s="3472">
        <v>40.76</v>
      </c>
      <c r="T434" s="3527">
        <v>407600</v>
      </c>
      <c r="U434" s="3470">
        <v>4323</v>
      </c>
      <c r="V434" s="3474">
        <v>0.1</v>
      </c>
      <c r="W434" s="3475">
        <v>36.68</v>
      </c>
      <c r="X434" s="3473">
        <v>366800</v>
      </c>
      <c r="Y434" s="3441">
        <v>2003</v>
      </c>
      <c r="Z434" s="3441">
        <v>6</v>
      </c>
      <c r="AA434" s="3470">
        <v>20</v>
      </c>
      <c r="AB434" s="3485">
        <v>2035</v>
      </c>
      <c r="AC434" s="3470" t="s">
        <v>3710</v>
      </c>
      <c r="AD434" s="3485"/>
      <c r="AE434" s="3469" t="s">
        <v>2156</v>
      </c>
      <c r="AF434" s="3453" t="s">
        <v>6421</v>
      </c>
      <c r="AG434" s="3522" t="s">
        <v>3605</v>
      </c>
      <c r="AH434" s="3485"/>
      <c r="AI434" s="3470" t="s">
        <v>3664</v>
      </c>
      <c r="AJ434" s="3523">
        <v>38077</v>
      </c>
      <c r="AK434" s="3500">
        <v>6</v>
      </c>
      <c r="AL434" s="3515">
        <v>67641700</v>
      </c>
      <c r="AN434" s="3456" t="s">
        <v>3739</v>
      </c>
      <c r="AO434" s="3486" t="s">
        <v>3588</v>
      </c>
      <c r="AP434" s="3502" t="s">
        <v>3922</v>
      </c>
      <c r="AQ434" s="3469" t="s">
        <v>3571</v>
      </c>
      <c r="AU434" s="3495"/>
      <c r="AV434" s="3535"/>
      <c r="AW434" s="3470" t="s">
        <v>3548</v>
      </c>
      <c r="AX434" s="3441" t="s">
        <v>3588</v>
      </c>
      <c r="AY434" s="3536" t="s">
        <v>6782</v>
      </c>
      <c r="AZ434" s="3470" t="s">
        <v>6408</v>
      </c>
      <c r="BA434" s="3463" t="s">
        <v>6424</v>
      </c>
      <c r="BB434" s="3466">
        <v>1102281149818</v>
      </c>
      <c r="BC434" s="3441" t="s">
        <v>6414</v>
      </c>
      <c r="BD434" s="3441">
        <v>100044</v>
      </c>
      <c r="BE434" s="3463">
        <v>88018575</v>
      </c>
      <c r="BF434" s="3538">
        <v>2.7</v>
      </c>
      <c r="BG434" s="3535">
        <v>37779</v>
      </c>
      <c r="BH434" s="3453"/>
      <c r="BI434" s="3470" t="s">
        <v>3476</v>
      </c>
      <c r="BJ434" s="3545">
        <v>37791</v>
      </c>
      <c r="BL434" s="3441" t="s">
        <v>3594</v>
      </c>
      <c r="BS434" s="3470"/>
      <c r="BT434" s="3470"/>
      <c r="BU434" s="3470"/>
    </row>
    <row r="435" spans="1:253" s="3470" customFormat="1" ht="12" hidden="1">
      <c r="A435" s="3470" t="s">
        <v>6783</v>
      </c>
      <c r="B435" s="3470" t="s">
        <v>6784</v>
      </c>
      <c r="C435" s="3481" t="s">
        <v>6785</v>
      </c>
      <c r="D435" s="3453">
        <v>13910923451</v>
      </c>
      <c r="E435" s="3470" t="s">
        <v>3558</v>
      </c>
      <c r="F435" s="3470" t="s">
        <v>5984</v>
      </c>
      <c r="H435" s="3470" t="s">
        <v>4054</v>
      </c>
      <c r="I435" s="3470" t="s">
        <v>6786</v>
      </c>
      <c r="J435" s="3470" t="s">
        <v>6787</v>
      </c>
      <c r="K435" s="3470" t="s">
        <v>5980</v>
      </c>
      <c r="L435" s="3470">
        <v>116.35</v>
      </c>
      <c r="M435" s="3470">
        <v>27</v>
      </c>
      <c r="N435" s="3470" t="s">
        <v>4871</v>
      </c>
      <c r="O435" s="3470">
        <v>100.92</v>
      </c>
      <c r="P435" s="3470" t="s">
        <v>3452</v>
      </c>
      <c r="Q435" s="3457">
        <v>582099.04999999993</v>
      </c>
      <c r="R435" s="3470">
        <v>5003</v>
      </c>
      <c r="S435" s="3472">
        <v>57.61</v>
      </c>
      <c r="T435" s="3527">
        <v>576100</v>
      </c>
      <c r="U435" s="3470">
        <v>4952</v>
      </c>
      <c r="V435" s="3474">
        <v>0.1</v>
      </c>
      <c r="W435" s="3475">
        <v>51.84</v>
      </c>
      <c r="X435" s="3494">
        <v>518400.00000000006</v>
      </c>
      <c r="Y435" s="3470">
        <v>2003</v>
      </c>
      <c r="Z435" s="3441">
        <v>6</v>
      </c>
      <c r="AA435" s="3470">
        <v>23</v>
      </c>
      <c r="AB435" s="3477">
        <v>2880</v>
      </c>
      <c r="AC435" s="3470" t="s">
        <v>3710</v>
      </c>
      <c r="AE435" s="3470" t="s">
        <v>3663</v>
      </c>
      <c r="AF435" s="3470" t="s">
        <v>4126</v>
      </c>
      <c r="AG435" s="3470" t="s">
        <v>3466</v>
      </c>
      <c r="AH435" s="3470" t="s">
        <v>3568</v>
      </c>
      <c r="AI435" s="3470" t="s">
        <v>3664</v>
      </c>
      <c r="AJ435" s="3523">
        <v>37925</v>
      </c>
      <c r="AK435" s="3500">
        <v>6</v>
      </c>
      <c r="AL435" s="3470">
        <v>67641700</v>
      </c>
      <c r="AN435" s="3441" t="s">
        <v>4427</v>
      </c>
      <c r="AO435" s="3470" t="s">
        <v>2420</v>
      </c>
      <c r="AP435" s="3470" t="s">
        <v>3476</v>
      </c>
      <c r="AQ435" s="3470" t="s">
        <v>3571</v>
      </c>
      <c r="AR435" s="3470" t="s">
        <v>3568</v>
      </c>
      <c r="AS435" s="3470" t="s">
        <v>3568</v>
      </c>
      <c r="AT435" s="3470" t="s">
        <v>3568</v>
      </c>
      <c r="AW435" s="3470" t="s">
        <v>3572</v>
      </c>
      <c r="AX435" s="3470" t="s">
        <v>2511</v>
      </c>
      <c r="AY435" s="3481" t="s">
        <v>6788</v>
      </c>
      <c r="AZ435" s="3470" t="s">
        <v>5980</v>
      </c>
      <c r="BA435" s="3470" t="s">
        <v>5435</v>
      </c>
      <c r="BB435" s="3481">
        <v>1101082131202</v>
      </c>
      <c r="BC435" s="3470" t="s">
        <v>5436</v>
      </c>
      <c r="BD435" s="3482">
        <v>102400</v>
      </c>
      <c r="BE435" s="3470">
        <v>62842753</v>
      </c>
      <c r="BF435" s="3483">
        <v>2.8</v>
      </c>
      <c r="BG435" s="3478">
        <v>37787</v>
      </c>
      <c r="BH435" s="3470" t="s">
        <v>2420</v>
      </c>
      <c r="BI435" s="3470" t="s">
        <v>3476</v>
      </c>
      <c r="BJ435" s="3514">
        <v>37791</v>
      </c>
      <c r="BK435" s="3508"/>
      <c r="BL435" s="3441" t="s">
        <v>3670</v>
      </c>
      <c r="BM435" s="3441"/>
      <c r="BN435" s="3441"/>
      <c r="BO435" s="3441"/>
      <c r="BP435" s="3441"/>
      <c r="BQ435" s="3441"/>
      <c r="BR435" s="3441"/>
    </row>
    <row r="436" spans="1:253" s="3441" customFormat="1" ht="12" hidden="1">
      <c r="A436" s="3485" t="s">
        <v>6789</v>
      </c>
      <c r="B436" s="3470" t="s">
        <v>6790</v>
      </c>
      <c r="C436" s="3481" t="s">
        <v>6791</v>
      </c>
      <c r="D436" s="3481" t="s">
        <v>6792</v>
      </c>
      <c r="E436" s="3470" t="s">
        <v>3763</v>
      </c>
      <c r="F436" s="3528" t="s">
        <v>3823</v>
      </c>
      <c r="G436" s="3470"/>
      <c r="H436" s="3470" t="s">
        <v>3749</v>
      </c>
      <c r="I436" s="3470"/>
      <c r="J436" s="3481" t="s">
        <v>6793</v>
      </c>
      <c r="K436" s="3470" t="s">
        <v>3793</v>
      </c>
      <c r="L436" s="3470">
        <v>108.37</v>
      </c>
      <c r="M436" s="3470">
        <v>7</v>
      </c>
      <c r="N436" s="3470" t="s">
        <v>3872</v>
      </c>
      <c r="O436" s="3470">
        <v>89.39</v>
      </c>
      <c r="P436" s="3470" t="s">
        <v>3452</v>
      </c>
      <c r="Q436" s="3457">
        <v>415057.10000000003</v>
      </c>
      <c r="R436" s="3470">
        <v>3830</v>
      </c>
      <c r="S436" s="3472">
        <v>41</v>
      </c>
      <c r="T436" s="3527">
        <v>410000</v>
      </c>
      <c r="U436" s="3470">
        <v>3784</v>
      </c>
      <c r="V436" s="3474">
        <v>0.1</v>
      </c>
      <c r="W436" s="3475">
        <v>36.9</v>
      </c>
      <c r="X436" s="3473">
        <v>369000</v>
      </c>
      <c r="Y436" s="3441">
        <v>2003</v>
      </c>
      <c r="Z436" s="3441">
        <v>7</v>
      </c>
      <c r="AA436" s="3470">
        <v>3</v>
      </c>
      <c r="AB436" s="3477">
        <v>2050</v>
      </c>
      <c r="AC436" s="3470" t="s">
        <v>3634</v>
      </c>
      <c r="AD436" s="3485"/>
      <c r="AE436" s="3441" t="s">
        <v>3663</v>
      </c>
      <c r="AF436" s="3470" t="s">
        <v>6794</v>
      </c>
      <c r="AG436" s="3470" t="s">
        <v>3466</v>
      </c>
      <c r="AH436" s="3485" t="s">
        <v>3568</v>
      </c>
      <c r="AI436" s="3470" t="s">
        <v>4955</v>
      </c>
      <c r="AJ436" s="3523">
        <v>38138</v>
      </c>
      <c r="AK436" s="3500">
        <v>7</v>
      </c>
      <c r="AL436" s="3441">
        <v>67641700</v>
      </c>
      <c r="AN436" s="3441" t="s">
        <v>3570</v>
      </c>
      <c r="AO436" s="3485" t="s">
        <v>6795</v>
      </c>
      <c r="AP436" s="3456" t="s">
        <v>3476</v>
      </c>
      <c r="AQ436" s="3441" t="s">
        <v>3571</v>
      </c>
      <c r="AV436" s="3441" t="s">
        <v>3568</v>
      </c>
      <c r="AW436" s="3470" t="s">
        <v>3572</v>
      </c>
      <c r="AY436" s="3441">
        <v>263918</v>
      </c>
      <c r="AZ436" s="3470" t="s">
        <v>3793</v>
      </c>
      <c r="BA436" s="3441" t="s">
        <v>3755</v>
      </c>
      <c r="BB436" s="3441" t="s">
        <v>3771</v>
      </c>
      <c r="BC436" s="3524" t="s">
        <v>3772</v>
      </c>
      <c r="BD436" s="3441">
        <v>102488</v>
      </c>
      <c r="BE436" s="3525">
        <v>63023627</v>
      </c>
      <c r="BF436" s="3520">
        <v>2.8</v>
      </c>
      <c r="BG436" s="3518">
        <v>37724</v>
      </c>
      <c r="BH436" s="3518"/>
      <c r="BI436" s="3470" t="s">
        <v>3476</v>
      </c>
      <c r="BJ436" s="3508">
        <v>37803</v>
      </c>
      <c r="BK436" s="3518"/>
      <c r="BL436" s="3441" t="s">
        <v>3833</v>
      </c>
      <c r="BS436" s="3470"/>
      <c r="BT436" s="3470"/>
      <c r="BU436" s="3470"/>
    </row>
    <row r="437" spans="1:253" s="3622" customFormat="1" ht="12" hidden="1">
      <c r="A437" s="3496" t="s">
        <v>6796</v>
      </c>
      <c r="B437" s="3490" t="s">
        <v>6797</v>
      </c>
      <c r="C437" s="3487" t="s">
        <v>6798</v>
      </c>
      <c r="D437" s="3487" t="s">
        <v>6799</v>
      </c>
      <c r="E437" s="3490" t="s">
        <v>3763</v>
      </c>
      <c r="F437" s="3558" t="s">
        <v>6800</v>
      </c>
      <c r="G437" s="3490"/>
      <c r="H437" s="3490" t="s">
        <v>3472</v>
      </c>
      <c r="I437" s="3490" t="s">
        <v>6801</v>
      </c>
      <c r="J437" s="3487" t="s">
        <v>3474</v>
      </c>
      <c r="K437" s="3490" t="s">
        <v>6802</v>
      </c>
      <c r="L437" s="3490">
        <v>120.8</v>
      </c>
      <c r="M437" s="3490">
        <v>5</v>
      </c>
      <c r="N437" s="3490" t="s">
        <v>6803</v>
      </c>
      <c r="O437" s="3490"/>
      <c r="P437" s="3490" t="s">
        <v>3452</v>
      </c>
      <c r="Q437" s="3557">
        <v>430000</v>
      </c>
      <c r="R437" s="3490">
        <v>3560</v>
      </c>
      <c r="S437" s="3532">
        <v>52.14</v>
      </c>
      <c r="T437" s="3554">
        <v>521400</v>
      </c>
      <c r="U437" s="3490">
        <v>4317</v>
      </c>
      <c r="V437" s="3559">
        <v>0.05</v>
      </c>
      <c r="W437" s="3560">
        <v>49.53</v>
      </c>
      <c r="X437" s="3534">
        <v>495300</v>
      </c>
      <c r="Y437" s="3502">
        <v>2003</v>
      </c>
      <c r="Z437" s="3502">
        <v>6</v>
      </c>
      <c r="AA437" s="3502">
        <v>24</v>
      </c>
      <c r="AB437" s="3496">
        <v>2605</v>
      </c>
      <c r="AC437" s="3490" t="s">
        <v>3565</v>
      </c>
      <c r="AD437" s="3496"/>
      <c r="AE437" s="3490" t="s">
        <v>3566</v>
      </c>
      <c r="AF437" s="3490" t="s">
        <v>3453</v>
      </c>
      <c r="AG437" s="3490" t="s">
        <v>3466</v>
      </c>
      <c r="AH437" s="3496"/>
      <c r="AI437" s="3490" t="s">
        <v>3569</v>
      </c>
      <c r="AJ437" s="3499"/>
      <c r="AK437" s="3562" t="s">
        <v>3455</v>
      </c>
      <c r="AL437" s="3502">
        <v>67641700</v>
      </c>
      <c r="AM437" s="3502"/>
      <c r="AN437" s="3502"/>
      <c r="AO437" s="3502"/>
      <c r="AP437" s="3502" t="s">
        <v>3586</v>
      </c>
      <c r="AQ437" s="3502" t="s">
        <v>3457</v>
      </c>
      <c r="AR437" s="3502"/>
      <c r="AS437" s="3502"/>
      <c r="AT437" s="3502"/>
      <c r="AU437" s="3502"/>
      <c r="AV437" s="3502"/>
      <c r="AW437" s="3502" t="s">
        <v>4064</v>
      </c>
      <c r="AX437" s="3502"/>
      <c r="AY437" s="3504"/>
      <c r="AZ437" s="3502"/>
      <c r="BA437" s="3502"/>
      <c r="BB437" s="3504"/>
      <c r="BC437" s="3502"/>
      <c r="BD437" s="3505"/>
      <c r="BE437" s="3502"/>
      <c r="BF437" s="3563"/>
      <c r="BG437" s="3507">
        <v>37759</v>
      </c>
      <c r="BH437" s="3502"/>
      <c r="BI437" s="3502"/>
      <c r="BJ437" s="3564">
        <v>37792</v>
      </c>
      <c r="BK437" s="3564"/>
      <c r="BL437" s="3490"/>
      <c r="BM437" s="3502" t="s">
        <v>6804</v>
      </c>
      <c r="BN437" s="3502" t="s">
        <v>6805</v>
      </c>
      <c r="BO437" s="3502" t="s">
        <v>6806</v>
      </c>
      <c r="BP437" s="3441"/>
      <c r="BQ437" s="3441"/>
      <c r="BR437" s="3441"/>
      <c r="BS437" s="3470"/>
      <c r="BT437" s="3470"/>
      <c r="BU437" s="3470"/>
    </row>
    <row r="438" spans="1:253" s="3441" customFormat="1" ht="12" hidden="1">
      <c r="A438" s="3485" t="s">
        <v>6807</v>
      </c>
      <c r="B438" s="3470" t="s">
        <v>6808</v>
      </c>
      <c r="C438" s="3481" t="s">
        <v>6809</v>
      </c>
      <c r="D438" s="3481" t="s">
        <v>6810</v>
      </c>
      <c r="E438" s="3470" t="s">
        <v>2736</v>
      </c>
      <c r="F438" s="3528" t="s">
        <v>3748</v>
      </c>
      <c r="G438" s="3470"/>
      <c r="H438" s="3470" t="s">
        <v>3837</v>
      </c>
      <c r="I438" s="3470"/>
      <c r="J438" s="3481" t="s">
        <v>6811</v>
      </c>
      <c r="K438" s="3470" t="s">
        <v>3793</v>
      </c>
      <c r="L438" s="3470">
        <v>82.8</v>
      </c>
      <c r="M438" s="3470">
        <v>13</v>
      </c>
      <c r="N438" s="3470" t="s">
        <v>3543</v>
      </c>
      <c r="O438" s="3470">
        <v>67.12</v>
      </c>
      <c r="P438" s="3470" t="s">
        <v>3452</v>
      </c>
      <c r="Q438" s="3457">
        <v>320436</v>
      </c>
      <c r="R438" s="3470">
        <v>3870</v>
      </c>
      <c r="S438" s="3472">
        <v>31.67</v>
      </c>
      <c r="T438" s="3527">
        <v>316700</v>
      </c>
      <c r="U438" s="3470">
        <v>3825</v>
      </c>
      <c r="V438" s="3474">
        <v>0.1</v>
      </c>
      <c r="W438" s="3475">
        <v>28.5</v>
      </c>
      <c r="X438" s="3473">
        <v>285000</v>
      </c>
      <c r="Y438" s="3441">
        <v>2003</v>
      </c>
      <c r="Z438" s="3441">
        <v>7</v>
      </c>
      <c r="AA438" s="3470">
        <v>3</v>
      </c>
      <c r="AB438" s="3477">
        <v>1580</v>
      </c>
      <c r="AC438" s="3470" t="s">
        <v>3634</v>
      </c>
      <c r="AD438" s="3485"/>
      <c r="AE438" s="3441" t="s">
        <v>3663</v>
      </c>
      <c r="AF438" s="3470" t="s">
        <v>6284</v>
      </c>
      <c r="AG438" s="3470" t="s">
        <v>3466</v>
      </c>
      <c r="AH438" s="3485" t="s">
        <v>3568</v>
      </c>
      <c r="AI438" s="3470" t="s">
        <v>4955</v>
      </c>
      <c r="AJ438" s="3523">
        <v>38138</v>
      </c>
      <c r="AK438" s="3500">
        <v>7</v>
      </c>
      <c r="AL438" s="3441">
        <v>67641700</v>
      </c>
      <c r="AN438" s="3441" t="s">
        <v>3570</v>
      </c>
      <c r="AO438" s="3485" t="s">
        <v>6812</v>
      </c>
      <c r="AP438" s="3456" t="s">
        <v>3476</v>
      </c>
      <c r="AQ438" s="3441" t="s">
        <v>3571</v>
      </c>
      <c r="AV438" s="3441" t="s">
        <v>3568</v>
      </c>
      <c r="AW438" s="3470" t="s">
        <v>3572</v>
      </c>
      <c r="AY438" s="3441">
        <v>262858</v>
      </c>
      <c r="AZ438" s="3470" t="s">
        <v>3793</v>
      </c>
      <c r="BA438" s="3441" t="s">
        <v>3781</v>
      </c>
      <c r="BB438" s="3441" t="s">
        <v>3803</v>
      </c>
      <c r="BC438" s="3524" t="s">
        <v>3757</v>
      </c>
      <c r="BD438" s="3441">
        <v>102488</v>
      </c>
      <c r="BE438" s="3525">
        <v>63023627</v>
      </c>
      <c r="BF438" s="3520">
        <v>2.8</v>
      </c>
      <c r="BG438" s="3518">
        <v>37777</v>
      </c>
      <c r="BH438" s="3518"/>
      <c r="BI438" s="3470" t="s">
        <v>3476</v>
      </c>
      <c r="BJ438" s="3508">
        <v>37803</v>
      </c>
      <c r="BK438" s="3518"/>
      <c r="BL438" s="3441" t="s">
        <v>3594</v>
      </c>
      <c r="BS438" s="3470"/>
      <c r="BT438" s="3470"/>
      <c r="BU438" s="3470"/>
    </row>
    <row r="439" spans="1:253" s="3470" customFormat="1" ht="12" hidden="1">
      <c r="A439" s="3485" t="s">
        <v>6813</v>
      </c>
      <c r="B439" s="3470" t="s">
        <v>6814</v>
      </c>
      <c r="C439" s="3454" t="s">
        <v>6815</v>
      </c>
      <c r="D439" s="3453">
        <v>13301060430</v>
      </c>
      <c r="E439" s="3470" t="s">
        <v>3538</v>
      </c>
      <c r="F439" s="3470" t="s">
        <v>5592</v>
      </c>
      <c r="G439" s="3470" t="s">
        <v>3588</v>
      </c>
      <c r="H439" s="3470" t="s">
        <v>6103</v>
      </c>
      <c r="I439" s="3453" t="s">
        <v>5440</v>
      </c>
      <c r="J439" s="3453" t="s">
        <v>6752</v>
      </c>
      <c r="K439" s="3470" t="s">
        <v>5586</v>
      </c>
      <c r="L439" s="3495">
        <v>98.22</v>
      </c>
      <c r="M439" s="3495">
        <v>7</v>
      </c>
      <c r="N439" s="3470" t="s">
        <v>3543</v>
      </c>
      <c r="O439" s="3495">
        <v>83.29</v>
      </c>
      <c r="P439" s="3470" t="s">
        <v>3452</v>
      </c>
      <c r="Q439" s="3457">
        <v>389923.57799999998</v>
      </c>
      <c r="R439" s="3470">
        <v>3969.9</v>
      </c>
      <c r="S439" s="3472">
        <v>38.54</v>
      </c>
      <c r="T439" s="3527">
        <v>385400</v>
      </c>
      <c r="U439" s="3470">
        <v>3924</v>
      </c>
      <c r="V439" s="3474">
        <v>0.1</v>
      </c>
      <c r="W439" s="3475">
        <v>34.68</v>
      </c>
      <c r="X439" s="3473">
        <v>346800</v>
      </c>
      <c r="Y439" s="3441">
        <v>2003</v>
      </c>
      <c r="Z439" s="3441">
        <v>7</v>
      </c>
      <c r="AA439" s="3441">
        <v>8</v>
      </c>
      <c r="AB439" s="3485">
        <v>1925</v>
      </c>
      <c r="AC439" s="3470" t="s">
        <v>4922</v>
      </c>
      <c r="AE439" s="3456" t="s">
        <v>3663</v>
      </c>
      <c r="AF439" s="3470" t="s">
        <v>6220</v>
      </c>
      <c r="AG439" s="3470" t="s">
        <v>3466</v>
      </c>
      <c r="AI439" s="3470" t="s">
        <v>3664</v>
      </c>
      <c r="AJ439" s="3478">
        <v>38108</v>
      </c>
      <c r="AK439" s="3500">
        <v>7</v>
      </c>
      <c r="AL439" s="3495">
        <v>67641700</v>
      </c>
      <c r="AN439" s="3456" t="s">
        <v>3695</v>
      </c>
      <c r="AO439" s="3453" t="s">
        <v>6816</v>
      </c>
      <c r="AP439" s="3456" t="s">
        <v>6257</v>
      </c>
      <c r="AQ439" s="3456" t="s">
        <v>3571</v>
      </c>
      <c r="AV439" s="3519"/>
      <c r="AW439" s="3470" t="s">
        <v>3572</v>
      </c>
      <c r="AX439" s="3470" t="s">
        <v>3715</v>
      </c>
      <c r="AY439" s="3495">
        <v>299254</v>
      </c>
      <c r="AZ439" s="3470" t="s">
        <v>5601</v>
      </c>
      <c r="BA439" s="3470" t="s">
        <v>5603</v>
      </c>
      <c r="BB439" s="3619">
        <v>1102281326100</v>
      </c>
      <c r="BC439" s="3470" t="s">
        <v>5604</v>
      </c>
      <c r="BD439" s="3470">
        <v>100055</v>
      </c>
      <c r="BE439" s="3470">
        <v>82951881</v>
      </c>
      <c r="BF439" s="3520">
        <v>2.8</v>
      </c>
      <c r="BG439" s="3478">
        <v>37794</v>
      </c>
      <c r="BH439" s="3469" t="s">
        <v>3783</v>
      </c>
      <c r="BI439" s="3441" t="s">
        <v>6257</v>
      </c>
      <c r="BJ439" s="3484">
        <v>37809</v>
      </c>
      <c r="BK439" s="3478"/>
      <c r="BL439" s="3441" t="s">
        <v>3670</v>
      </c>
      <c r="BM439" s="3441"/>
      <c r="BN439" s="3441"/>
      <c r="BO439" s="3441"/>
      <c r="BP439" s="3441"/>
      <c r="BQ439" s="3441"/>
      <c r="BR439" s="3441"/>
    </row>
    <row r="440" spans="1:253" s="3470" customFormat="1" ht="12" hidden="1">
      <c r="A440" s="3485" t="s">
        <v>6817</v>
      </c>
      <c r="B440" s="3470" t="s">
        <v>6818</v>
      </c>
      <c r="C440" s="3454" t="s">
        <v>6819</v>
      </c>
      <c r="D440" s="3470">
        <v>13911175256</v>
      </c>
      <c r="E440" s="3470" t="s">
        <v>2736</v>
      </c>
      <c r="F440" s="3470" t="s">
        <v>5592</v>
      </c>
      <c r="G440" s="3470" t="s">
        <v>2420</v>
      </c>
      <c r="H440" s="3470" t="s">
        <v>6820</v>
      </c>
      <c r="I440" s="3453" t="s">
        <v>3676</v>
      </c>
      <c r="J440" s="3453" t="s">
        <v>5862</v>
      </c>
      <c r="K440" s="3470" t="s">
        <v>5584</v>
      </c>
      <c r="L440" s="3495">
        <v>124.03</v>
      </c>
      <c r="M440" s="3495">
        <v>3</v>
      </c>
      <c r="N440" s="3470" t="s">
        <v>3632</v>
      </c>
      <c r="O440" s="3495">
        <v>112.19</v>
      </c>
      <c r="P440" s="3470" t="s">
        <v>3452</v>
      </c>
      <c r="Q440" s="3457">
        <v>549452.9</v>
      </c>
      <c r="R440" s="3470">
        <v>4430</v>
      </c>
      <c r="S440" s="3472">
        <v>54.32</v>
      </c>
      <c r="T440" s="3527">
        <v>543200</v>
      </c>
      <c r="U440" s="3470">
        <v>4380</v>
      </c>
      <c r="V440" s="3474">
        <v>0.1</v>
      </c>
      <c r="W440" s="3475">
        <v>48.88</v>
      </c>
      <c r="X440" s="3473">
        <v>488800</v>
      </c>
      <c r="Y440" s="3441">
        <v>2003</v>
      </c>
      <c r="Z440" s="3495">
        <v>6</v>
      </c>
      <c r="AA440" s="3470">
        <v>26</v>
      </c>
      <c r="AB440" s="3485">
        <v>2715</v>
      </c>
      <c r="AC440" s="3470" t="s">
        <v>3648</v>
      </c>
      <c r="AE440" s="3456" t="s">
        <v>3663</v>
      </c>
      <c r="AF440" s="3470" t="s">
        <v>6377</v>
      </c>
      <c r="AG440" s="3470" t="s">
        <v>3466</v>
      </c>
      <c r="AI440" s="3470" t="s">
        <v>3664</v>
      </c>
      <c r="AJ440" s="3478">
        <v>38108</v>
      </c>
      <c r="AK440" s="3548">
        <v>6</v>
      </c>
      <c r="AL440" s="3495">
        <v>67641700</v>
      </c>
      <c r="AN440" s="3480" t="s">
        <v>3484</v>
      </c>
      <c r="AO440" s="3470" t="s">
        <v>6821</v>
      </c>
      <c r="AP440" s="3456" t="s">
        <v>3476</v>
      </c>
      <c r="AQ440" s="3456" t="s">
        <v>3571</v>
      </c>
      <c r="AV440" s="3519"/>
      <c r="AW440" s="3470" t="s">
        <v>3572</v>
      </c>
      <c r="AX440" s="3470" t="s">
        <v>2420</v>
      </c>
      <c r="AY440" s="3495">
        <v>299243</v>
      </c>
      <c r="AZ440" s="3470" t="s">
        <v>5586</v>
      </c>
      <c r="BA440" s="3470" t="s">
        <v>5587</v>
      </c>
      <c r="BB440" s="3619">
        <v>1102281326100</v>
      </c>
      <c r="BC440" s="3470" t="s">
        <v>5588</v>
      </c>
      <c r="BD440" s="3470">
        <v>100055</v>
      </c>
      <c r="BE440" s="3470">
        <v>82951881</v>
      </c>
      <c r="BF440" s="3520">
        <v>2.8</v>
      </c>
      <c r="BG440" s="3478">
        <v>37786</v>
      </c>
      <c r="BI440" s="3470" t="s">
        <v>3476</v>
      </c>
      <c r="BJ440" s="3478">
        <v>37796</v>
      </c>
      <c r="BK440" s="3478"/>
      <c r="BL440" s="3441" t="s">
        <v>3670</v>
      </c>
      <c r="BM440" s="3441"/>
      <c r="BN440" s="3441"/>
      <c r="BO440" s="3441"/>
      <c r="BP440" s="3441"/>
      <c r="BQ440" s="3441"/>
      <c r="BR440" s="3441"/>
    </row>
    <row r="441" spans="1:253" s="3470" customFormat="1" ht="12" hidden="1">
      <c r="A441" s="3485" t="s">
        <v>6822</v>
      </c>
      <c r="B441" s="3470" t="s">
        <v>6823</v>
      </c>
      <c r="C441" s="3454" t="s">
        <v>6824</v>
      </c>
      <c r="D441" s="3470">
        <v>13701354819</v>
      </c>
      <c r="E441" s="3470" t="s">
        <v>2736</v>
      </c>
      <c r="F441" s="3470" t="s">
        <v>5583</v>
      </c>
      <c r="G441" s="3470" t="s">
        <v>3588</v>
      </c>
      <c r="H441" s="3470" t="s">
        <v>6103</v>
      </c>
      <c r="I441" s="3453" t="s">
        <v>4207</v>
      </c>
      <c r="J441" s="3453" t="s">
        <v>6825</v>
      </c>
      <c r="K441" s="3470" t="s">
        <v>5584</v>
      </c>
      <c r="L441" s="3495">
        <v>98.22</v>
      </c>
      <c r="M441" s="3495">
        <v>4</v>
      </c>
      <c r="N441" s="3470" t="s">
        <v>3486</v>
      </c>
      <c r="O441" s="3495">
        <v>83.29</v>
      </c>
      <c r="P441" s="3470" t="s">
        <v>3452</v>
      </c>
      <c r="Q441" s="3457">
        <v>383058</v>
      </c>
      <c r="R441" s="3470">
        <v>3900</v>
      </c>
      <c r="S441" s="3472">
        <v>37.840000000000003</v>
      </c>
      <c r="T441" s="3527">
        <v>378400.00000000006</v>
      </c>
      <c r="U441" s="3470">
        <v>3853</v>
      </c>
      <c r="V441" s="3474">
        <v>0.1</v>
      </c>
      <c r="W441" s="3475">
        <v>34.049999999999997</v>
      </c>
      <c r="X441" s="3473">
        <v>340500</v>
      </c>
      <c r="Y441" s="3441">
        <v>2003</v>
      </c>
      <c r="Z441" s="3515">
        <v>7</v>
      </c>
      <c r="AA441" s="3515">
        <v>21</v>
      </c>
      <c r="AB441" s="3485">
        <v>1890</v>
      </c>
      <c r="AC441" s="3470" t="s">
        <v>4922</v>
      </c>
      <c r="AE441" s="3456" t="s">
        <v>3663</v>
      </c>
      <c r="AF441" s="3470" t="s">
        <v>6712</v>
      </c>
      <c r="AG441" s="3470" t="s">
        <v>3466</v>
      </c>
      <c r="AI441" s="3470" t="s">
        <v>3664</v>
      </c>
      <c r="AJ441" s="3478">
        <v>38108</v>
      </c>
      <c r="AK441" s="3500">
        <v>7</v>
      </c>
      <c r="AL441" s="3495">
        <v>67641700</v>
      </c>
      <c r="AN441" s="3469" t="s">
        <v>3680</v>
      </c>
      <c r="AO441" s="3470" t="s">
        <v>6826</v>
      </c>
      <c r="AP441" s="3456" t="s">
        <v>3476</v>
      </c>
      <c r="AQ441" s="3469" t="s">
        <v>3571</v>
      </c>
      <c r="AV441" s="3519"/>
      <c r="AW441" s="3470" t="s">
        <v>3572</v>
      </c>
      <c r="AX441" s="3470" t="s">
        <v>3715</v>
      </c>
      <c r="AY441" s="3495">
        <v>299217</v>
      </c>
      <c r="AZ441" s="3470" t="s">
        <v>5586</v>
      </c>
      <c r="BA441" s="3470" t="s">
        <v>5587</v>
      </c>
      <c r="BB441" s="3619">
        <v>1102281326100</v>
      </c>
      <c r="BC441" s="3470" t="s">
        <v>5604</v>
      </c>
      <c r="BD441" s="3470">
        <v>100055</v>
      </c>
      <c r="BE441" s="3470">
        <v>82951881</v>
      </c>
      <c r="BF441" s="3520">
        <v>2.8</v>
      </c>
      <c r="BG441" s="3478">
        <v>37792</v>
      </c>
      <c r="BI441" s="3470" t="s">
        <v>3476</v>
      </c>
      <c r="BJ441" s="3508">
        <v>37820</v>
      </c>
      <c r="BK441" s="3478"/>
      <c r="BL441" s="3441" t="s">
        <v>3670</v>
      </c>
      <c r="BM441" s="3441"/>
      <c r="BN441" s="3441"/>
      <c r="BO441" s="3441"/>
      <c r="BP441" s="3441"/>
      <c r="BQ441" s="3441"/>
      <c r="BR441" s="3441"/>
    </row>
    <row r="442" spans="1:253" s="3470" customFormat="1" ht="12" hidden="1">
      <c r="A442" s="3485" t="s">
        <v>6827</v>
      </c>
      <c r="B442" s="3470" t="s">
        <v>6828</v>
      </c>
      <c r="C442" s="3454" t="s">
        <v>6829</v>
      </c>
      <c r="D442" s="3470">
        <v>13301027219</v>
      </c>
      <c r="E442" s="3470" t="s">
        <v>3538</v>
      </c>
      <c r="F442" s="3470" t="s">
        <v>5592</v>
      </c>
      <c r="G442" s="3470" t="s">
        <v>3715</v>
      </c>
      <c r="H442" s="3470" t="s">
        <v>6148</v>
      </c>
      <c r="I442" s="3453" t="s">
        <v>4282</v>
      </c>
      <c r="J442" s="3453" t="s">
        <v>4549</v>
      </c>
      <c r="K442" s="3470" t="s">
        <v>5601</v>
      </c>
      <c r="L442" s="3495">
        <v>93.81</v>
      </c>
      <c r="M442" s="3495">
        <v>3</v>
      </c>
      <c r="N442" s="3470" t="s">
        <v>3486</v>
      </c>
      <c r="O442" s="3495">
        <v>85.35</v>
      </c>
      <c r="P442" s="3470" t="s">
        <v>3452</v>
      </c>
      <c r="Q442" s="3457">
        <v>370549.5</v>
      </c>
      <c r="R442" s="3470">
        <v>3950</v>
      </c>
      <c r="S442" s="3472">
        <v>36.630000000000003</v>
      </c>
      <c r="T442" s="3527">
        <v>366300</v>
      </c>
      <c r="U442" s="3470">
        <v>3905</v>
      </c>
      <c r="V442" s="3474">
        <v>0.1</v>
      </c>
      <c r="W442" s="3475">
        <v>32.96</v>
      </c>
      <c r="X442" s="3473">
        <v>329600</v>
      </c>
      <c r="Y442" s="3441">
        <v>2003</v>
      </c>
      <c r="Z442" s="3441">
        <v>7</v>
      </c>
      <c r="AA442" s="3470">
        <v>1</v>
      </c>
      <c r="AB442" s="3485">
        <v>1830</v>
      </c>
      <c r="AC442" s="3470" t="s">
        <v>4224</v>
      </c>
      <c r="AE442" s="3456" t="s">
        <v>3663</v>
      </c>
      <c r="AF442" s="3470" t="s">
        <v>6625</v>
      </c>
      <c r="AG442" s="3470" t="s">
        <v>3466</v>
      </c>
      <c r="AI442" s="3470" t="s">
        <v>3664</v>
      </c>
      <c r="AJ442" s="3478">
        <v>38108</v>
      </c>
      <c r="AK442" s="3500">
        <v>7</v>
      </c>
      <c r="AL442" s="3495">
        <v>67641700</v>
      </c>
      <c r="AN442" s="3441" t="s">
        <v>3570</v>
      </c>
      <c r="AO442" s="3470" t="s">
        <v>6830</v>
      </c>
      <c r="AP442" s="3456" t="s">
        <v>3476</v>
      </c>
      <c r="AQ442" s="3456" t="s">
        <v>3571</v>
      </c>
      <c r="AV442" s="3519"/>
      <c r="AW442" s="3470" t="s">
        <v>3572</v>
      </c>
      <c r="AX442" s="3470" t="s">
        <v>2420</v>
      </c>
      <c r="AY442" s="3495">
        <v>299244</v>
      </c>
      <c r="AZ442" s="3470" t="s">
        <v>5586</v>
      </c>
      <c r="BA442" s="3470" t="s">
        <v>5603</v>
      </c>
      <c r="BB442" s="3619">
        <v>1102281326100</v>
      </c>
      <c r="BC442" s="3470" t="s">
        <v>5596</v>
      </c>
      <c r="BD442" s="3470">
        <v>100055</v>
      </c>
      <c r="BE442" s="3470">
        <v>82951881</v>
      </c>
      <c r="BF442" s="3520">
        <v>2.8</v>
      </c>
      <c r="BG442" s="3478">
        <v>37793</v>
      </c>
      <c r="BI442" s="3470" t="s">
        <v>3476</v>
      </c>
      <c r="BJ442" s="3508">
        <v>37802</v>
      </c>
      <c r="BK442" s="3478"/>
      <c r="BL442" s="3441" t="s">
        <v>3670</v>
      </c>
      <c r="BM442" s="3441"/>
      <c r="BN442" s="3441"/>
      <c r="BO442" s="3441"/>
      <c r="BP442" s="3441"/>
      <c r="BQ442" s="3441"/>
      <c r="BR442" s="3441"/>
    </row>
    <row r="443" spans="1:253" s="3441" customFormat="1" ht="12" hidden="1">
      <c r="A443" s="3485" t="s">
        <v>6831</v>
      </c>
      <c r="B443" s="3470" t="s">
        <v>6832</v>
      </c>
      <c r="C443" s="3481" t="s">
        <v>6833</v>
      </c>
      <c r="D443" s="3481" t="s">
        <v>6834</v>
      </c>
      <c r="E443" s="3470" t="s">
        <v>3558</v>
      </c>
      <c r="F443" s="3528" t="s">
        <v>3559</v>
      </c>
      <c r="G443" s="3470"/>
      <c r="H443" s="3470" t="s">
        <v>6835</v>
      </c>
      <c r="I443" s="3470" t="s">
        <v>3448</v>
      </c>
      <c r="J443" s="3481" t="s">
        <v>4549</v>
      </c>
      <c r="K443" s="3470" t="s">
        <v>6836</v>
      </c>
      <c r="L443" s="3470">
        <v>101.42</v>
      </c>
      <c r="M443" s="3470">
        <v>3</v>
      </c>
      <c r="N443" s="3470" t="s">
        <v>4871</v>
      </c>
      <c r="O443" s="3470">
        <v>82.17</v>
      </c>
      <c r="P443" s="3470" t="s">
        <v>3452</v>
      </c>
      <c r="Q443" s="3457">
        <v>475051.28</v>
      </c>
      <c r="R443" s="3470">
        <v>4684</v>
      </c>
      <c r="S443" s="3472">
        <v>47</v>
      </c>
      <c r="T443" s="3527">
        <v>470000</v>
      </c>
      <c r="U443" s="3470">
        <v>4635</v>
      </c>
      <c r="V443" s="3474">
        <v>0.1</v>
      </c>
      <c r="W443" s="3475">
        <v>42.3</v>
      </c>
      <c r="X443" s="3476">
        <v>423000</v>
      </c>
      <c r="Y443" s="3441">
        <v>2003</v>
      </c>
      <c r="Z443" s="3441">
        <v>7</v>
      </c>
      <c r="AA443" s="3441">
        <v>16</v>
      </c>
      <c r="AB443" s="3477">
        <v>2350</v>
      </c>
      <c r="AC443" s="3470" t="s">
        <v>3648</v>
      </c>
      <c r="AD443" s="3485"/>
      <c r="AE443" s="3441" t="s">
        <v>3663</v>
      </c>
      <c r="AF443" s="3470" t="s">
        <v>3604</v>
      </c>
      <c r="AG443" s="3522" t="s">
        <v>3466</v>
      </c>
      <c r="AH443" s="3485" t="s">
        <v>3568</v>
      </c>
      <c r="AI443" s="3470" t="s">
        <v>3664</v>
      </c>
      <c r="AJ443" s="3523">
        <v>37894</v>
      </c>
      <c r="AK443" s="3541">
        <v>7</v>
      </c>
      <c r="AL443" s="3441">
        <v>67641700</v>
      </c>
      <c r="AM443" s="3441" t="s">
        <v>3568</v>
      </c>
      <c r="AN443" s="3456" t="s">
        <v>3739</v>
      </c>
      <c r="AO443" s="3441" t="s">
        <v>3568</v>
      </c>
      <c r="AP443" s="3469" t="s">
        <v>3476</v>
      </c>
      <c r="AQ443" s="3441" t="s">
        <v>3571</v>
      </c>
      <c r="AW443" s="3441" t="s">
        <v>3572</v>
      </c>
      <c r="AY443" s="3524" t="s">
        <v>6837</v>
      </c>
      <c r="AZ443" s="3441" t="s">
        <v>3563</v>
      </c>
      <c r="BA443" s="3441" t="s">
        <v>3574</v>
      </c>
      <c r="BB443" s="3524" t="s">
        <v>3683</v>
      </c>
      <c r="BC443" s="3441" t="s">
        <v>3576</v>
      </c>
      <c r="BD443" s="3525">
        <v>100037</v>
      </c>
      <c r="BE443" s="3441">
        <v>84050046</v>
      </c>
      <c r="BF443" s="3526">
        <v>2.8</v>
      </c>
      <c r="BG443" s="3518">
        <v>37681</v>
      </c>
      <c r="BH443" s="3441" t="s">
        <v>4711</v>
      </c>
      <c r="BI443" s="3441" t="s">
        <v>3476</v>
      </c>
      <c r="BJ443" s="3478">
        <v>37711</v>
      </c>
      <c r="BK443" s="3484">
        <v>37811</v>
      </c>
      <c r="BL443" s="3441" t="s">
        <v>3833</v>
      </c>
      <c r="BS443" s="3470"/>
      <c r="BT443" s="3470"/>
      <c r="BU443" s="3470"/>
      <c r="BV443" s="3472"/>
      <c r="BW443" s="3472"/>
      <c r="BX443" s="3472"/>
      <c r="BY443" s="3472"/>
      <c r="BZ443" s="3472"/>
      <c r="CA443" s="3472"/>
      <c r="CB443" s="3472"/>
      <c r="CC443" s="3472"/>
      <c r="CD443" s="3472"/>
      <c r="CE443" s="3472"/>
      <c r="CF443" s="3472"/>
      <c r="CG443" s="3472"/>
      <c r="CH443" s="3472"/>
      <c r="CI443" s="3472"/>
      <c r="CJ443" s="3472"/>
      <c r="CK443" s="3472"/>
      <c r="CL443" s="3472"/>
      <c r="CM443" s="3472"/>
      <c r="CN443" s="3472"/>
      <c r="CO443" s="3472"/>
      <c r="CP443" s="3472"/>
      <c r="CQ443" s="3472"/>
      <c r="CR443" s="3472"/>
      <c r="CS443" s="3472"/>
      <c r="CT443" s="3472"/>
      <c r="CU443" s="3472"/>
      <c r="CV443" s="3472"/>
      <c r="CW443" s="3472"/>
      <c r="CX443" s="3472"/>
      <c r="CY443" s="3472"/>
      <c r="CZ443" s="3472"/>
      <c r="DA443" s="3472"/>
      <c r="DB443" s="3472"/>
      <c r="DC443" s="3472"/>
      <c r="DD443" s="3472"/>
      <c r="DE443" s="3472"/>
      <c r="DF443" s="3472"/>
      <c r="DG443" s="3472"/>
      <c r="DH443" s="3472"/>
      <c r="DI443" s="3472"/>
      <c r="DJ443" s="3472"/>
      <c r="DK443" s="3472"/>
      <c r="DL443" s="3472"/>
      <c r="DM443" s="3472"/>
      <c r="DN443" s="3472"/>
      <c r="DO443" s="3472"/>
      <c r="DP443" s="3472"/>
      <c r="DQ443" s="3472"/>
      <c r="DR443" s="3472"/>
      <c r="DS443" s="3472"/>
      <c r="DT443" s="3472"/>
      <c r="DU443" s="3472"/>
      <c r="DV443" s="3472"/>
      <c r="DW443" s="3472"/>
      <c r="DX443" s="3472"/>
      <c r="DY443" s="3472"/>
      <c r="DZ443" s="3472"/>
      <c r="EA443" s="3472"/>
      <c r="EB443" s="3472"/>
      <c r="EC443" s="3472"/>
      <c r="ED443" s="3472"/>
      <c r="EE443" s="3472"/>
      <c r="EF443" s="3472"/>
      <c r="EG443" s="3472"/>
      <c r="EH443" s="3472"/>
      <c r="EI443" s="3472"/>
      <c r="EJ443" s="3472"/>
      <c r="EK443" s="3472"/>
      <c r="EL443" s="3472"/>
      <c r="EM443" s="3472"/>
      <c r="EN443" s="3472"/>
      <c r="EO443" s="3472"/>
      <c r="EP443" s="3472"/>
      <c r="EQ443" s="3472"/>
      <c r="ER443" s="3472"/>
      <c r="ES443" s="3472"/>
      <c r="ET443" s="3472"/>
      <c r="EU443" s="3472"/>
      <c r="EV443" s="3472"/>
      <c r="EW443" s="3472"/>
      <c r="EX443" s="3472"/>
      <c r="EY443" s="3472"/>
      <c r="EZ443" s="3472"/>
      <c r="FA443" s="3472"/>
      <c r="FB443" s="3472"/>
      <c r="FC443" s="3472"/>
      <c r="FD443" s="3472"/>
      <c r="FE443" s="3472"/>
      <c r="FF443" s="3472"/>
      <c r="FG443" s="3472"/>
      <c r="FH443" s="3472"/>
      <c r="FI443" s="3472"/>
      <c r="FJ443" s="3472"/>
      <c r="FK443" s="3472"/>
      <c r="FL443" s="3472"/>
      <c r="FM443" s="3472"/>
      <c r="FN443" s="3472"/>
      <c r="FO443" s="3472"/>
      <c r="FP443" s="3472"/>
      <c r="FQ443" s="3472"/>
      <c r="FR443" s="3472"/>
      <c r="FS443" s="3472"/>
      <c r="FT443" s="3472"/>
      <c r="FU443" s="3472"/>
      <c r="FV443" s="3472"/>
      <c r="FW443" s="3472"/>
      <c r="FX443" s="3472"/>
      <c r="FY443" s="3472"/>
      <c r="FZ443" s="3472"/>
      <c r="GA443" s="3472"/>
      <c r="GB443" s="3472"/>
      <c r="GC443" s="3472"/>
      <c r="GD443" s="3472"/>
      <c r="GE443" s="3472"/>
      <c r="GF443" s="3472"/>
      <c r="GG443" s="3472"/>
      <c r="GH443" s="3472"/>
      <c r="GI443" s="3472"/>
      <c r="GJ443" s="3472"/>
      <c r="GK443" s="3472"/>
      <c r="GL443" s="3472"/>
      <c r="GM443" s="3472"/>
      <c r="GN443" s="3472"/>
      <c r="GO443" s="3472"/>
      <c r="GP443" s="3472"/>
      <c r="GQ443" s="3472"/>
      <c r="GR443" s="3472"/>
      <c r="GS443" s="3472"/>
      <c r="GT443" s="3472"/>
      <c r="GU443" s="3472"/>
      <c r="GV443" s="3472"/>
      <c r="GW443" s="3472"/>
      <c r="GX443" s="3472"/>
      <c r="GY443" s="3472"/>
      <c r="GZ443" s="3472"/>
      <c r="HA443" s="3472"/>
      <c r="HB443" s="3472"/>
      <c r="HC443" s="3472"/>
      <c r="HD443" s="3472"/>
      <c r="HE443" s="3472"/>
      <c r="HF443" s="3472"/>
      <c r="HG443" s="3472"/>
      <c r="HH443" s="3472"/>
      <c r="HI443" s="3472"/>
      <c r="HJ443" s="3472"/>
      <c r="HK443" s="3472"/>
      <c r="HL443" s="3472"/>
      <c r="HM443" s="3472"/>
      <c r="HN443" s="3472"/>
      <c r="HO443" s="3472"/>
      <c r="HP443" s="3472"/>
      <c r="HQ443" s="3472"/>
      <c r="HR443" s="3472"/>
      <c r="HS443" s="3472"/>
      <c r="HT443" s="3472"/>
      <c r="HU443" s="3472"/>
      <c r="HV443" s="3472"/>
      <c r="HW443" s="3472"/>
      <c r="HX443" s="3472"/>
      <c r="HY443" s="3472"/>
      <c r="HZ443" s="3472"/>
      <c r="IA443" s="3472"/>
      <c r="IB443" s="3472"/>
      <c r="IC443" s="3472"/>
      <c r="ID443" s="3472"/>
      <c r="IE443" s="3472"/>
      <c r="IF443" s="3472"/>
      <c r="IG443" s="3472"/>
      <c r="IH443" s="3472"/>
      <c r="II443" s="3472"/>
      <c r="IJ443" s="3472"/>
      <c r="IK443" s="3472"/>
      <c r="IL443" s="3472"/>
      <c r="IM443" s="3472"/>
      <c r="IN443" s="3472"/>
      <c r="IO443" s="3472"/>
      <c r="IP443" s="3472"/>
      <c r="IQ443" s="3472"/>
      <c r="IR443" s="3472"/>
      <c r="IS443" s="3472"/>
    </row>
    <row r="444" spans="1:253" s="3441" customFormat="1" ht="12" hidden="1">
      <c r="A444" s="3485" t="s">
        <v>6838</v>
      </c>
      <c r="B444" s="3470" t="s">
        <v>6839</v>
      </c>
      <c r="C444" s="3481" t="s">
        <v>6840</v>
      </c>
      <c r="D444" s="3453">
        <v>13693159955</v>
      </c>
      <c r="E444" s="3470" t="s">
        <v>3558</v>
      </c>
      <c r="F444" s="3470" t="s">
        <v>4403</v>
      </c>
      <c r="G444" s="3470" t="s">
        <v>3568</v>
      </c>
      <c r="H444" s="3470" t="s">
        <v>4465</v>
      </c>
      <c r="I444" s="3470" t="s">
        <v>4188</v>
      </c>
      <c r="J444" s="3481" t="s">
        <v>4325</v>
      </c>
      <c r="K444" s="3470" t="s">
        <v>4406</v>
      </c>
      <c r="L444" s="3470">
        <v>122.52</v>
      </c>
      <c r="M444" s="3470">
        <v>5</v>
      </c>
      <c r="N444" s="3470" t="s">
        <v>3661</v>
      </c>
      <c r="O444" s="3470">
        <v>109.86</v>
      </c>
      <c r="P444" s="3470" t="s">
        <v>3452</v>
      </c>
      <c r="Q444" s="3457">
        <v>602798.4</v>
      </c>
      <c r="R444" s="3470">
        <v>4920</v>
      </c>
      <c r="S444" s="3472">
        <v>59.66</v>
      </c>
      <c r="T444" s="3527">
        <v>596600</v>
      </c>
      <c r="U444" s="3470">
        <v>4870</v>
      </c>
      <c r="V444" s="3474">
        <v>0.1</v>
      </c>
      <c r="W444" s="3475">
        <v>53.69</v>
      </c>
      <c r="X444" s="3473">
        <v>536900</v>
      </c>
      <c r="Y444" s="3441">
        <v>2003</v>
      </c>
      <c r="Z444" s="3441">
        <v>7</v>
      </c>
      <c r="AA444" s="3470">
        <v>4</v>
      </c>
      <c r="AB444" s="3477">
        <v>2980</v>
      </c>
      <c r="AC444" s="3485" t="s">
        <v>4102</v>
      </c>
      <c r="AD444" s="3485"/>
      <c r="AE444" s="3441" t="s">
        <v>3663</v>
      </c>
      <c r="AF444" s="3453" t="s">
        <v>4126</v>
      </c>
      <c r="AG444" s="3522" t="s">
        <v>3466</v>
      </c>
      <c r="AH444" s="3485"/>
      <c r="AI444" s="3470" t="s">
        <v>4849</v>
      </c>
      <c r="AJ444" s="3523">
        <v>37833</v>
      </c>
      <c r="AK444" s="3500">
        <v>7</v>
      </c>
      <c r="AL444" s="3441">
        <v>67641700</v>
      </c>
      <c r="AN444" s="3441" t="s">
        <v>3570</v>
      </c>
      <c r="AO444" s="3470" t="s">
        <v>6841</v>
      </c>
      <c r="AP444" s="3456" t="s">
        <v>3476</v>
      </c>
      <c r="AQ444" s="3441" t="s">
        <v>6842</v>
      </c>
      <c r="AR444" s="3441">
        <v>2003</v>
      </c>
      <c r="AS444" s="3441">
        <v>7</v>
      </c>
      <c r="AT444" s="3441">
        <v>7</v>
      </c>
      <c r="AW444" s="3441" t="s">
        <v>3572</v>
      </c>
      <c r="AX444" s="3441" t="s">
        <v>3568</v>
      </c>
      <c r="AY444" s="3524" t="s">
        <v>6843</v>
      </c>
      <c r="AZ444" s="3441" t="s">
        <v>4076</v>
      </c>
      <c r="BA444" s="3441" t="s">
        <v>4409</v>
      </c>
      <c r="BB444" s="3524" t="s">
        <v>4410</v>
      </c>
      <c r="BC444" s="3441" t="s">
        <v>4411</v>
      </c>
      <c r="BD444" s="3525" t="s">
        <v>3568</v>
      </c>
      <c r="BE444" s="3441">
        <v>68152860</v>
      </c>
      <c r="BF444" s="3526">
        <v>2.8</v>
      </c>
      <c r="BG444" s="3518">
        <v>37690</v>
      </c>
      <c r="BH444" s="3441" t="s">
        <v>4412</v>
      </c>
      <c r="BI444" s="3470" t="s">
        <v>3476</v>
      </c>
      <c r="BJ444" s="3508">
        <v>37805</v>
      </c>
      <c r="BK444" s="3484"/>
      <c r="BL444" s="3470" t="s">
        <v>3670</v>
      </c>
      <c r="BS444" s="3470"/>
      <c r="BT444" s="3470"/>
      <c r="BU444" s="3470"/>
    </row>
    <row r="445" spans="1:253" s="3470" customFormat="1" ht="13.2" hidden="1">
      <c r="A445" s="3481" t="s">
        <v>6844</v>
      </c>
      <c r="B445" s="3470" t="s">
        <v>6845</v>
      </c>
      <c r="C445" s="3481" t="s">
        <v>6846</v>
      </c>
      <c r="D445" s="3481" t="s">
        <v>6847</v>
      </c>
      <c r="E445" s="3481" t="s">
        <v>3538</v>
      </c>
      <c r="F445" s="3481" t="s">
        <v>4534</v>
      </c>
      <c r="H445" s="3470" t="s">
        <v>6848</v>
      </c>
      <c r="I445" s="3470" t="s">
        <v>4563</v>
      </c>
      <c r="J445" s="3470" t="s">
        <v>4536</v>
      </c>
      <c r="K445" s="3481" t="s">
        <v>6849</v>
      </c>
      <c r="L445" s="3470">
        <v>101.69</v>
      </c>
      <c r="M445" s="3470">
        <v>4</v>
      </c>
      <c r="N445" s="3470" t="s">
        <v>4030</v>
      </c>
      <c r="O445" s="3470">
        <v>79.099999999999994</v>
      </c>
      <c r="P445" s="3481" t="s">
        <v>3452</v>
      </c>
      <c r="Q445" s="3457">
        <v>664442.46</v>
      </c>
      <c r="R445" s="3470">
        <v>6534</v>
      </c>
      <c r="S445" s="3472">
        <v>65.84</v>
      </c>
      <c r="T445" s="3527">
        <v>658400</v>
      </c>
      <c r="U445" s="3470">
        <v>6475</v>
      </c>
      <c r="V445" s="3493">
        <v>0.1</v>
      </c>
      <c r="W445" s="3475">
        <v>59.25</v>
      </c>
      <c r="X445" s="3476">
        <v>592500</v>
      </c>
      <c r="Y445" s="3470">
        <v>2003</v>
      </c>
      <c r="Z445" s="3470">
        <v>6</v>
      </c>
      <c r="AA445" s="3470">
        <v>26</v>
      </c>
      <c r="AB445" s="3477">
        <v>3290</v>
      </c>
      <c r="AC445" s="3481" t="s">
        <v>3710</v>
      </c>
      <c r="AE445" s="3455" t="s">
        <v>3663</v>
      </c>
      <c r="AF445" s="3454" t="s">
        <v>3752</v>
      </c>
      <c r="AG445" s="3481" t="s">
        <v>3466</v>
      </c>
      <c r="AI445" s="3470" t="s">
        <v>4955</v>
      </c>
      <c r="AJ445" s="3478">
        <v>38347</v>
      </c>
      <c r="AK445" s="3548">
        <v>6</v>
      </c>
      <c r="AL445" s="3524">
        <v>67641700</v>
      </c>
      <c r="AN445" s="3469" t="s">
        <v>3680</v>
      </c>
      <c r="AP445" s="3441" t="s">
        <v>3475</v>
      </c>
      <c r="AQ445" s="3524" t="s">
        <v>6850</v>
      </c>
      <c r="AR445" s="3635">
        <v>2003</v>
      </c>
      <c r="AS445" s="3470">
        <v>6</v>
      </c>
      <c r="AT445" s="3470">
        <v>30</v>
      </c>
      <c r="AW445" s="3441" t="s">
        <v>3548</v>
      </c>
      <c r="AX445" s="3508"/>
      <c r="AY445" s="3481" t="s">
        <v>6851</v>
      </c>
      <c r="AZ445" s="3481" t="s">
        <v>6852</v>
      </c>
      <c r="BA445" s="3481" t="s">
        <v>4540</v>
      </c>
      <c r="BB445" s="3524" t="s">
        <v>4541</v>
      </c>
      <c r="BC445" s="3481" t="s">
        <v>4542</v>
      </c>
      <c r="BD445" s="3481">
        <v>100089</v>
      </c>
      <c r="BE445" s="3481">
        <v>68719656</v>
      </c>
      <c r="BF445" s="3526">
        <v>2.8</v>
      </c>
      <c r="BG445" s="3478">
        <v>37784</v>
      </c>
      <c r="BH445" s="3481" t="s">
        <v>3758</v>
      </c>
      <c r="BI445" s="3441" t="s">
        <v>3476</v>
      </c>
      <c r="BJ445" s="3508">
        <v>37795</v>
      </c>
      <c r="BK445" s="3601"/>
      <c r="BL445" s="3470" t="s">
        <v>3670</v>
      </c>
      <c r="BP445" s="3441"/>
      <c r="BQ445" s="3441"/>
      <c r="BR445" s="3441"/>
    </row>
    <row r="446" spans="1:253" s="3441" customFormat="1" ht="12" hidden="1">
      <c r="A446" s="3470" t="s">
        <v>6853</v>
      </c>
      <c r="B446" s="3470" t="s">
        <v>6854</v>
      </c>
      <c r="C446" s="3481" t="s">
        <v>6855</v>
      </c>
      <c r="D446" s="3481" t="s">
        <v>6856</v>
      </c>
      <c r="E446" s="3470" t="s">
        <v>3558</v>
      </c>
      <c r="F446" s="3528" t="s">
        <v>3951</v>
      </c>
      <c r="G446" s="3470"/>
      <c r="H446" s="3470" t="s">
        <v>4418</v>
      </c>
      <c r="I446" s="3470" t="s">
        <v>3676</v>
      </c>
      <c r="J446" s="3481" t="s">
        <v>6857</v>
      </c>
      <c r="K446" s="3470" t="s">
        <v>3955</v>
      </c>
      <c r="L446" s="3470">
        <v>111.11</v>
      </c>
      <c r="M446" s="3470">
        <v>9</v>
      </c>
      <c r="N446" s="3453" t="s">
        <v>3602</v>
      </c>
      <c r="O446" s="3470">
        <v>91.94</v>
      </c>
      <c r="P446" s="3470" t="s">
        <v>3452</v>
      </c>
      <c r="Q446" s="3457">
        <v>445328.88</v>
      </c>
      <c r="R446" s="3470">
        <v>4008</v>
      </c>
      <c r="S446" s="3472">
        <v>43.99</v>
      </c>
      <c r="T446" s="3550">
        <v>439900</v>
      </c>
      <c r="U446" s="3470">
        <v>3960</v>
      </c>
      <c r="V446" s="3474">
        <v>0.05</v>
      </c>
      <c r="W446" s="3475">
        <v>41.79</v>
      </c>
      <c r="X446" s="3473">
        <v>417900</v>
      </c>
      <c r="Y446" s="3441">
        <v>2003</v>
      </c>
      <c r="Z446" s="3441">
        <v>6</v>
      </c>
      <c r="AA446" s="3470">
        <v>26</v>
      </c>
      <c r="AB446" s="3477">
        <v>2195</v>
      </c>
      <c r="AC446" s="3470" t="s">
        <v>3544</v>
      </c>
      <c r="AD446" s="3485"/>
      <c r="AE446" s="3441" t="s">
        <v>3663</v>
      </c>
      <c r="AF446" s="3470" t="s">
        <v>3453</v>
      </c>
      <c r="AG446" s="3522" t="s">
        <v>3466</v>
      </c>
      <c r="AH446" s="3485"/>
      <c r="AI446" s="3470" t="s">
        <v>3664</v>
      </c>
      <c r="AJ446" s="3523">
        <v>37832</v>
      </c>
      <c r="AK446" s="3500">
        <v>6</v>
      </c>
      <c r="AL446" s="3441" t="s">
        <v>3957</v>
      </c>
      <c r="AN446" s="3441" t="s">
        <v>3680</v>
      </c>
      <c r="AP446" s="3456" t="s">
        <v>3476</v>
      </c>
      <c r="AQ446" s="3441" t="s">
        <v>3571</v>
      </c>
      <c r="AV446" s="3441" t="s">
        <v>3568</v>
      </c>
      <c r="AW446" s="3441" t="s">
        <v>3572</v>
      </c>
      <c r="AX446" s="3441" t="s">
        <v>2511</v>
      </c>
      <c r="AY446" s="3524" t="s">
        <v>6858</v>
      </c>
      <c r="AZ446" s="3441" t="s">
        <v>3955</v>
      </c>
      <c r="BA446" s="3441" t="s">
        <v>3959</v>
      </c>
      <c r="BB446" s="3524" t="s">
        <v>3960</v>
      </c>
      <c r="BC446" s="3441" t="s">
        <v>3961</v>
      </c>
      <c r="BD446" s="3525">
        <v>102100</v>
      </c>
      <c r="BE446" s="3441">
        <v>62998398</v>
      </c>
      <c r="BF446" s="3526">
        <v>2.8</v>
      </c>
      <c r="BG446" s="3518">
        <v>37767</v>
      </c>
      <c r="BI446" s="3441" t="s">
        <v>3922</v>
      </c>
      <c r="BJ446" s="3478">
        <v>37797</v>
      </c>
      <c r="BK446" s="3484"/>
      <c r="BL446" s="3470" t="s">
        <v>3670</v>
      </c>
      <c r="BS446" s="3470"/>
      <c r="BT446" s="3470"/>
      <c r="BU446" s="3470"/>
    </row>
    <row r="447" spans="1:253" s="3470" customFormat="1" ht="12" hidden="1">
      <c r="A447" s="3470" t="s">
        <v>6859</v>
      </c>
      <c r="B447" s="3470" t="s">
        <v>6860</v>
      </c>
      <c r="C447" s="3470" t="s">
        <v>6861</v>
      </c>
      <c r="D447" s="3470">
        <v>13910082327</v>
      </c>
      <c r="E447" s="3470" t="s">
        <v>3558</v>
      </c>
      <c r="F447" s="3470" t="s">
        <v>3733</v>
      </c>
      <c r="H447" s="3470" t="s">
        <v>4661</v>
      </c>
      <c r="I447" s="3470" t="s">
        <v>4309</v>
      </c>
      <c r="J447" s="3470" t="s">
        <v>4685</v>
      </c>
      <c r="K447" s="3470" t="s">
        <v>3737</v>
      </c>
      <c r="L447" s="3470">
        <v>133.41</v>
      </c>
      <c r="M447" s="3470">
        <v>11</v>
      </c>
      <c r="N447" s="3470" t="s">
        <v>4003</v>
      </c>
      <c r="O447" s="3470">
        <v>108.06</v>
      </c>
      <c r="P447" s="3470" t="s">
        <v>3452</v>
      </c>
      <c r="Q447" s="3470">
        <v>808464.6</v>
      </c>
      <c r="R447" s="3470">
        <v>6060</v>
      </c>
      <c r="S447" s="3470">
        <v>80.040000000000006</v>
      </c>
      <c r="T447" s="3470">
        <v>800400</v>
      </c>
      <c r="U447" s="3470">
        <v>6000</v>
      </c>
      <c r="V447" s="3470">
        <v>0.1</v>
      </c>
      <c r="W447" s="3470">
        <v>72.03</v>
      </c>
      <c r="X447" s="3470">
        <v>720300</v>
      </c>
      <c r="Y447" s="3470">
        <v>2003</v>
      </c>
      <c r="Z447" s="3470">
        <v>8</v>
      </c>
      <c r="AA447" s="3470">
        <v>5</v>
      </c>
      <c r="AB447" s="3470">
        <v>4000</v>
      </c>
      <c r="AC447" s="3470" t="s">
        <v>3693</v>
      </c>
      <c r="AE447" s="3470" t="s">
        <v>3663</v>
      </c>
      <c r="AF447" s="3470" t="s">
        <v>3728</v>
      </c>
      <c r="AG447" s="3470" t="s">
        <v>3466</v>
      </c>
      <c r="AI447" s="3470" t="s">
        <v>5021</v>
      </c>
      <c r="AJ447" s="3470">
        <v>37992</v>
      </c>
      <c r="AK447" s="3470">
        <v>8</v>
      </c>
      <c r="AL447" s="3470">
        <v>67641700</v>
      </c>
      <c r="AN447" s="3470" t="s">
        <v>3695</v>
      </c>
      <c r="AO447" s="3470" t="s">
        <v>6862</v>
      </c>
      <c r="AP447" s="3470" t="s">
        <v>3476</v>
      </c>
      <c r="AQ447" s="3470" t="s">
        <v>3571</v>
      </c>
      <c r="AW447" s="3470" t="s">
        <v>3572</v>
      </c>
      <c r="AY447" s="3481" t="s">
        <v>6863</v>
      </c>
      <c r="AZ447" s="3470" t="s">
        <v>3737</v>
      </c>
      <c r="BA447" s="3470" t="s">
        <v>3742</v>
      </c>
      <c r="BB447" s="3481" t="s">
        <v>3743</v>
      </c>
      <c r="BC447" s="3470" t="s">
        <v>3744</v>
      </c>
      <c r="BD447" s="3482">
        <v>100088</v>
      </c>
      <c r="BE447" s="3470">
        <v>82058259</v>
      </c>
      <c r="BF447" s="3483" t="s">
        <v>6864</v>
      </c>
      <c r="BG447" s="3478">
        <v>37706</v>
      </c>
      <c r="BH447" s="3470" t="s">
        <v>4753</v>
      </c>
      <c r="BI447" s="3470" t="s">
        <v>3476</v>
      </c>
      <c r="BJ447" s="3508">
        <v>37813</v>
      </c>
      <c r="BK447" s="3508">
        <v>37824</v>
      </c>
      <c r="BL447" s="3470" t="s">
        <v>3670</v>
      </c>
      <c r="BP447" s="3441"/>
      <c r="BQ447" s="3441"/>
      <c r="BR447" s="3441"/>
    </row>
    <row r="448" spans="1:253" s="3497" customFormat="1" ht="13.2" hidden="1">
      <c r="A448" s="3485" t="s">
        <v>6865</v>
      </c>
      <c r="B448" s="3555" t="s">
        <v>6866</v>
      </c>
      <c r="C448" s="3636" t="s">
        <v>6867</v>
      </c>
      <c r="D448" s="3453">
        <v>13641195508</v>
      </c>
      <c r="E448" s="3498" t="s">
        <v>2736</v>
      </c>
      <c r="F448" s="3573" t="s">
        <v>4562</v>
      </c>
      <c r="G448" s="3561"/>
      <c r="H448" s="3498" t="s">
        <v>6868</v>
      </c>
      <c r="I448" s="3636" t="s">
        <v>6869</v>
      </c>
      <c r="J448" s="3636" t="s">
        <v>6870</v>
      </c>
      <c r="K448" s="3555" t="s">
        <v>4565</v>
      </c>
      <c r="L448" s="3574">
        <v>43.56</v>
      </c>
      <c r="M448" s="3574">
        <v>21</v>
      </c>
      <c r="N448" s="3441" t="s">
        <v>6871</v>
      </c>
      <c r="O448" s="3574">
        <v>34.340000000000003</v>
      </c>
      <c r="P448" s="3496" t="s">
        <v>3452</v>
      </c>
      <c r="Q448" s="3457">
        <v>318467.16000000003</v>
      </c>
      <c r="R448" s="3574">
        <v>7311</v>
      </c>
      <c r="S448" s="3532">
        <v>31.57</v>
      </c>
      <c r="T448" s="3550">
        <v>315700</v>
      </c>
      <c r="U448" s="3574">
        <v>7249</v>
      </c>
      <c r="V448" s="3529">
        <v>0.1</v>
      </c>
      <c r="W448" s="3475">
        <v>28.41</v>
      </c>
      <c r="X448" s="3459">
        <v>284100</v>
      </c>
      <c r="Y448" s="3491">
        <v>2003</v>
      </c>
      <c r="Z448" s="3441">
        <v>7</v>
      </c>
      <c r="AA448" s="3470">
        <v>1</v>
      </c>
      <c r="AB448" s="3477">
        <v>1575</v>
      </c>
      <c r="AC448" s="3490" t="s">
        <v>4294</v>
      </c>
      <c r="AD448" s="3561"/>
      <c r="AE448" s="3470" t="s">
        <v>3663</v>
      </c>
      <c r="AF448" s="3555" t="s">
        <v>6872</v>
      </c>
      <c r="AG448" s="3555" t="s">
        <v>3454</v>
      </c>
      <c r="AH448" s="3555"/>
      <c r="AI448" s="3470" t="s">
        <v>3664</v>
      </c>
      <c r="AJ448" s="3575">
        <v>38199</v>
      </c>
      <c r="AK448" s="3548">
        <v>7</v>
      </c>
      <c r="AL448" s="3470">
        <v>67641700</v>
      </c>
      <c r="AM448" s="3502"/>
      <c r="AN448" s="3441" t="s">
        <v>6873</v>
      </c>
      <c r="AP448" s="3456" t="s">
        <v>3476</v>
      </c>
      <c r="AQ448" s="3456" t="s">
        <v>3457</v>
      </c>
      <c r="AV448" s="3556"/>
      <c r="AW448" s="3490" t="s">
        <v>3458</v>
      </c>
      <c r="AX448" s="3502" t="s">
        <v>3606</v>
      </c>
      <c r="AY448" s="3637" t="s">
        <v>6874</v>
      </c>
      <c r="AZ448" s="3555" t="s">
        <v>4568</v>
      </c>
      <c r="BA448" s="3552" t="s">
        <v>4569</v>
      </c>
      <c r="BB448" s="3466">
        <v>1101081437256</v>
      </c>
      <c r="BC448" s="3552" t="s">
        <v>4570</v>
      </c>
      <c r="BD448" s="3569">
        <v>100037</v>
      </c>
      <c r="BE448" s="3501">
        <v>68348381</v>
      </c>
      <c r="BF448" s="3506">
        <v>2.8</v>
      </c>
      <c r="BG448" s="3539">
        <v>37772</v>
      </c>
      <c r="BI448" s="3441" t="s">
        <v>3475</v>
      </c>
      <c r="BJ448" s="3566">
        <v>37795</v>
      </c>
      <c r="BK448" s="3441"/>
      <c r="BL448" s="3470" t="s">
        <v>3594</v>
      </c>
      <c r="BM448" s="3441"/>
      <c r="BN448" s="3441"/>
      <c r="BO448" s="3441"/>
      <c r="BP448" s="3441"/>
      <c r="BQ448" s="3441"/>
      <c r="BR448" s="3441"/>
      <c r="BS448" s="3470"/>
      <c r="BT448" s="3470"/>
      <c r="BU448" s="3470"/>
    </row>
    <row r="449" spans="1:253" s="3470" customFormat="1" ht="12" hidden="1">
      <c r="A449" s="3485" t="s">
        <v>6875</v>
      </c>
      <c r="B449" s="3470" t="s">
        <v>6876</v>
      </c>
      <c r="C449" s="3454" t="s">
        <v>6877</v>
      </c>
      <c r="D449" s="3470">
        <v>13910396846</v>
      </c>
      <c r="E449" s="3470" t="s">
        <v>2736</v>
      </c>
      <c r="F449" s="3470" t="s">
        <v>6878</v>
      </c>
      <c r="G449" s="3470" t="s">
        <v>6879</v>
      </c>
      <c r="H449" s="3470" t="s">
        <v>5600</v>
      </c>
      <c r="I449" s="3453" t="s">
        <v>3676</v>
      </c>
      <c r="J449" s="3453" t="s">
        <v>6035</v>
      </c>
      <c r="K449" s="3470" t="s">
        <v>6880</v>
      </c>
      <c r="L449" s="3495">
        <v>122.2</v>
      </c>
      <c r="M449" s="3495">
        <v>1</v>
      </c>
      <c r="N449" s="3485" t="s">
        <v>4336</v>
      </c>
      <c r="O449" s="3495">
        <v>111.4</v>
      </c>
      <c r="P449" s="3470" t="s">
        <v>3452</v>
      </c>
      <c r="Q449" s="3457">
        <v>470470</v>
      </c>
      <c r="R449" s="3470">
        <v>3850</v>
      </c>
      <c r="S449" s="3472">
        <v>46.48</v>
      </c>
      <c r="T449" s="3527">
        <v>464799.99999999994</v>
      </c>
      <c r="U449" s="3470">
        <v>3804</v>
      </c>
      <c r="V449" s="3474">
        <v>0.1</v>
      </c>
      <c r="W449" s="3475">
        <v>41.83</v>
      </c>
      <c r="X449" s="3473">
        <v>418300</v>
      </c>
      <c r="Y449" s="3441">
        <v>2003</v>
      </c>
      <c r="Z449" s="3441">
        <v>7</v>
      </c>
      <c r="AA449" s="3470">
        <v>2</v>
      </c>
      <c r="AB449" s="3485">
        <v>2320</v>
      </c>
      <c r="AC449" s="3470" t="s">
        <v>3585</v>
      </c>
      <c r="AE449" s="3456" t="s">
        <v>3663</v>
      </c>
      <c r="AF449" s="3470" t="s">
        <v>6625</v>
      </c>
      <c r="AG449" s="3470" t="s">
        <v>3466</v>
      </c>
      <c r="AI449" s="3470" t="s">
        <v>3664</v>
      </c>
      <c r="AJ449" s="3478">
        <v>38108</v>
      </c>
      <c r="AK449" s="3500">
        <v>7</v>
      </c>
      <c r="AL449" s="3495">
        <v>67641700</v>
      </c>
      <c r="AN449" s="3441" t="s">
        <v>3570</v>
      </c>
      <c r="AO449" s="3470" t="s">
        <v>6881</v>
      </c>
      <c r="AP449" s="3456" t="s">
        <v>3476</v>
      </c>
      <c r="AQ449" s="3456" t="s">
        <v>3571</v>
      </c>
      <c r="AV449" s="3519"/>
      <c r="AW449" s="3470" t="s">
        <v>3572</v>
      </c>
      <c r="AX449" s="3470" t="s">
        <v>2420</v>
      </c>
      <c r="AY449" s="3495">
        <v>299228</v>
      </c>
      <c r="AZ449" s="3470" t="s">
        <v>5586</v>
      </c>
      <c r="BA449" s="3470" t="s">
        <v>5595</v>
      </c>
      <c r="BB449" s="3619">
        <v>1102281326100</v>
      </c>
      <c r="BC449" s="3470" t="s">
        <v>5588</v>
      </c>
      <c r="BD449" s="3470">
        <v>100055</v>
      </c>
      <c r="BE449" s="3470">
        <v>82951881</v>
      </c>
      <c r="BF449" s="3520">
        <v>2.8</v>
      </c>
      <c r="BG449" s="3478">
        <v>37789</v>
      </c>
      <c r="BI449" s="3470" t="s">
        <v>3476</v>
      </c>
      <c r="BJ449" s="3508">
        <v>37802</v>
      </c>
      <c r="BK449" s="3478"/>
      <c r="BL449" s="3441" t="s">
        <v>3670</v>
      </c>
      <c r="BM449" s="3441"/>
      <c r="BN449" s="3441"/>
      <c r="BO449" s="3441"/>
      <c r="BP449" s="3441"/>
      <c r="BQ449" s="3441"/>
      <c r="BR449" s="3441"/>
    </row>
    <row r="450" spans="1:253" s="3441" customFormat="1" ht="13.2" hidden="1">
      <c r="A450" s="3485" t="s">
        <v>6882</v>
      </c>
      <c r="B450" s="3470" t="s">
        <v>6883</v>
      </c>
      <c r="C450" s="3596" t="s">
        <v>6884</v>
      </c>
      <c r="D450" s="3596" t="s">
        <v>6885</v>
      </c>
      <c r="E450" s="3470" t="s">
        <v>2736</v>
      </c>
      <c r="F450" s="3528" t="s">
        <v>6886</v>
      </c>
      <c r="G450" s="3470"/>
      <c r="H450" s="3470" t="s">
        <v>6887</v>
      </c>
      <c r="I450" s="3638" t="s">
        <v>6888</v>
      </c>
      <c r="J450" s="3481" t="s">
        <v>6889</v>
      </c>
      <c r="K450" s="3470" t="s">
        <v>6890</v>
      </c>
      <c r="L450" s="3470">
        <v>123.45</v>
      </c>
      <c r="M450" s="3470">
        <v>9</v>
      </c>
      <c r="N450" s="3470" t="s">
        <v>3661</v>
      </c>
      <c r="O450" s="3470">
        <v>103.67</v>
      </c>
      <c r="P450" s="3470" t="s">
        <v>3452</v>
      </c>
      <c r="Q450" s="3457">
        <v>954268.5</v>
      </c>
      <c r="R450" s="3470">
        <v>7730</v>
      </c>
      <c r="S450" s="3472">
        <v>94.68</v>
      </c>
      <c r="T450" s="3527">
        <v>946800.00000000012</v>
      </c>
      <c r="U450" s="3491">
        <v>7670</v>
      </c>
      <c r="V450" s="3529">
        <v>0.1</v>
      </c>
      <c r="W450" s="3475">
        <v>85.21</v>
      </c>
      <c r="X450" s="3476">
        <v>852099.99999999988</v>
      </c>
      <c r="Y450" s="3495">
        <v>2003</v>
      </c>
      <c r="Z450" s="3495">
        <v>6</v>
      </c>
      <c r="AA450" s="3515">
        <v>27</v>
      </c>
      <c r="AB450" s="3477">
        <v>4730</v>
      </c>
      <c r="AC450" s="3441" t="s">
        <v>6891</v>
      </c>
      <c r="AD450" s="3485"/>
      <c r="AE450" s="3441" t="s">
        <v>3663</v>
      </c>
      <c r="AF450" s="3470" t="s">
        <v>3604</v>
      </c>
      <c r="AG450" s="3522" t="s">
        <v>3466</v>
      </c>
      <c r="AH450" s="3485"/>
      <c r="AI450" s="3470" t="s">
        <v>3664</v>
      </c>
      <c r="AJ450" s="3523">
        <v>37983</v>
      </c>
      <c r="AK450" s="3500">
        <v>6</v>
      </c>
      <c r="AL450" s="3441">
        <v>67641700</v>
      </c>
      <c r="AN450" s="3480" t="s">
        <v>6892</v>
      </c>
      <c r="AP450" s="3441" t="s">
        <v>3721</v>
      </c>
      <c r="AQ450" s="3441" t="s">
        <v>3571</v>
      </c>
      <c r="AW450" s="3441" t="s">
        <v>3572</v>
      </c>
      <c r="AX450" s="3441" t="s">
        <v>2511</v>
      </c>
      <c r="AY450" s="3597" t="s">
        <v>6893</v>
      </c>
      <c r="AZ450" s="3441" t="s">
        <v>6890</v>
      </c>
      <c r="BA450" s="3441" t="s">
        <v>6894</v>
      </c>
      <c r="BB450" s="3524" t="s">
        <v>6895</v>
      </c>
      <c r="BC450" s="3441" t="s">
        <v>6896</v>
      </c>
      <c r="BD450" s="3525">
        <v>100089</v>
      </c>
      <c r="BE450" s="3441">
        <v>88458881</v>
      </c>
      <c r="BF450" s="3526">
        <v>2.9</v>
      </c>
      <c r="BG450" s="3518">
        <v>37776</v>
      </c>
      <c r="BI450" s="3470" t="s">
        <v>3721</v>
      </c>
      <c r="BJ450" s="3478">
        <v>37798</v>
      </c>
      <c r="BK450" s="3518"/>
      <c r="BL450" s="3441" t="s">
        <v>6897</v>
      </c>
      <c r="BS450" s="3470"/>
      <c r="BT450" s="3470"/>
      <c r="BU450" s="3470"/>
    </row>
    <row r="451" spans="1:253" s="3441" customFormat="1" ht="13.2" hidden="1">
      <c r="A451" s="3481" t="s">
        <v>6898</v>
      </c>
      <c r="B451" s="3470" t="s">
        <v>6899</v>
      </c>
      <c r="C451" s="3596" t="s">
        <v>6900</v>
      </c>
      <c r="D451" s="3596" t="s">
        <v>6901</v>
      </c>
      <c r="E451" s="3470" t="s">
        <v>3763</v>
      </c>
      <c r="F451" s="3528" t="s">
        <v>6902</v>
      </c>
      <c r="G451" s="3470"/>
      <c r="H451" s="3639" t="s">
        <v>6903</v>
      </c>
      <c r="I451" s="3639" t="s">
        <v>6904</v>
      </c>
      <c r="J451" s="3640" t="s">
        <v>6905</v>
      </c>
      <c r="K451" s="3470" t="s">
        <v>6408</v>
      </c>
      <c r="L451" s="3495">
        <v>94.3</v>
      </c>
      <c r="M451" s="3495">
        <v>3</v>
      </c>
      <c r="N451" s="3470" t="s">
        <v>4871</v>
      </c>
      <c r="O451" s="3495">
        <v>82.95</v>
      </c>
      <c r="P451" s="3470" t="s">
        <v>3452</v>
      </c>
      <c r="Q451" s="3457">
        <v>420012.2</v>
      </c>
      <c r="R451" s="3470">
        <v>4454</v>
      </c>
      <c r="S451" s="3472">
        <v>41.53</v>
      </c>
      <c r="T451" s="3527">
        <v>415300</v>
      </c>
      <c r="U451" s="3495">
        <v>4405</v>
      </c>
      <c r="V451" s="3512">
        <v>0.1</v>
      </c>
      <c r="W451" s="3475">
        <v>37.369999999999997</v>
      </c>
      <c r="X451" s="3473">
        <v>373700</v>
      </c>
      <c r="Y451" s="3515">
        <v>2003</v>
      </c>
      <c r="Z451" s="3515">
        <v>6</v>
      </c>
      <c r="AA451" s="3470">
        <v>27</v>
      </c>
      <c r="AB451" s="3477">
        <v>2075</v>
      </c>
      <c r="AC451" s="3470" t="s">
        <v>3544</v>
      </c>
      <c r="AD451" s="3485"/>
      <c r="AE451" s="3469" t="s">
        <v>6906</v>
      </c>
      <c r="AF451" s="3453" t="s">
        <v>6907</v>
      </c>
      <c r="AG451" s="3522" t="s">
        <v>6908</v>
      </c>
      <c r="AH451" s="3485"/>
      <c r="AI451" s="3470" t="s">
        <v>3664</v>
      </c>
      <c r="AJ451" s="3523">
        <v>38077</v>
      </c>
      <c r="AK451" s="3500">
        <v>6</v>
      </c>
      <c r="AL451" s="3515">
        <v>67641700</v>
      </c>
      <c r="AN451" s="3441" t="s">
        <v>3680</v>
      </c>
      <c r="AO451" s="3486" t="s">
        <v>2420</v>
      </c>
      <c r="AP451" s="3502" t="s">
        <v>3475</v>
      </c>
      <c r="AQ451" s="3469" t="s">
        <v>3571</v>
      </c>
      <c r="AU451" s="3495"/>
      <c r="AV451" s="3535"/>
      <c r="AW451" s="3470" t="s">
        <v>6909</v>
      </c>
      <c r="AX451" s="3441" t="s">
        <v>2420</v>
      </c>
      <c r="AY451" s="3641" t="s">
        <v>6910</v>
      </c>
      <c r="AZ451" s="3470" t="s">
        <v>6911</v>
      </c>
      <c r="BA451" s="3463" t="s">
        <v>6424</v>
      </c>
      <c r="BB451" s="3466">
        <v>1102281149818</v>
      </c>
      <c r="BC451" s="3441" t="s">
        <v>6696</v>
      </c>
      <c r="BD451" s="3441">
        <v>100044</v>
      </c>
      <c r="BE451" s="3463">
        <v>88018575</v>
      </c>
      <c r="BF451" s="3538">
        <v>2.7</v>
      </c>
      <c r="BG451" s="3535">
        <v>37765</v>
      </c>
      <c r="BH451" s="3453"/>
      <c r="BI451" s="3470" t="s">
        <v>3476</v>
      </c>
      <c r="BJ451" s="3508">
        <v>37798</v>
      </c>
      <c r="BL451" s="3441" t="s">
        <v>3833</v>
      </c>
      <c r="BS451" s="3470"/>
      <c r="BT451" s="3470"/>
      <c r="BU451" s="3470"/>
      <c r="BV451" s="3472"/>
      <c r="BW451" s="3472"/>
      <c r="BX451" s="3472"/>
      <c r="BY451" s="3472"/>
      <c r="BZ451" s="3472"/>
      <c r="CA451" s="3472"/>
      <c r="CB451" s="3472"/>
      <c r="CC451" s="3472"/>
      <c r="CD451" s="3472"/>
      <c r="CE451" s="3472"/>
      <c r="CF451" s="3472"/>
      <c r="CG451" s="3472"/>
      <c r="CH451" s="3472"/>
      <c r="CI451" s="3472"/>
      <c r="CJ451" s="3472"/>
      <c r="CK451" s="3472"/>
      <c r="CL451" s="3472"/>
      <c r="CM451" s="3472"/>
      <c r="CN451" s="3472"/>
      <c r="CO451" s="3472"/>
      <c r="CP451" s="3472"/>
      <c r="CQ451" s="3472"/>
      <c r="CR451" s="3472"/>
      <c r="CS451" s="3472"/>
      <c r="CT451" s="3472"/>
      <c r="CU451" s="3472"/>
      <c r="CV451" s="3472"/>
      <c r="CW451" s="3472"/>
      <c r="CX451" s="3472"/>
      <c r="CY451" s="3472"/>
      <c r="CZ451" s="3472"/>
      <c r="DA451" s="3472"/>
      <c r="DB451" s="3472"/>
      <c r="DC451" s="3472"/>
      <c r="DD451" s="3472"/>
      <c r="DE451" s="3472"/>
      <c r="DF451" s="3472"/>
      <c r="DG451" s="3472"/>
      <c r="DH451" s="3472"/>
      <c r="DI451" s="3472"/>
      <c r="DJ451" s="3472"/>
      <c r="DK451" s="3472"/>
      <c r="DL451" s="3472"/>
      <c r="DM451" s="3472"/>
      <c r="DN451" s="3472"/>
      <c r="DO451" s="3472"/>
      <c r="DP451" s="3472"/>
      <c r="DQ451" s="3472"/>
      <c r="DR451" s="3472"/>
      <c r="DS451" s="3472"/>
      <c r="DT451" s="3472"/>
      <c r="DU451" s="3472"/>
      <c r="DV451" s="3472"/>
      <c r="DW451" s="3472"/>
      <c r="DX451" s="3472"/>
      <c r="DY451" s="3472"/>
      <c r="DZ451" s="3472"/>
      <c r="EA451" s="3472"/>
      <c r="EB451" s="3472"/>
      <c r="EC451" s="3472"/>
      <c r="ED451" s="3472"/>
      <c r="EE451" s="3472"/>
      <c r="EF451" s="3472"/>
      <c r="EG451" s="3472"/>
      <c r="EH451" s="3472"/>
      <c r="EI451" s="3472"/>
      <c r="EJ451" s="3472"/>
      <c r="EK451" s="3472"/>
      <c r="EL451" s="3472"/>
      <c r="EM451" s="3472"/>
      <c r="EN451" s="3472"/>
      <c r="EO451" s="3472"/>
      <c r="EP451" s="3472"/>
      <c r="EQ451" s="3472"/>
      <c r="ER451" s="3472"/>
      <c r="ES451" s="3472"/>
      <c r="ET451" s="3472"/>
      <c r="EU451" s="3472"/>
      <c r="EV451" s="3472"/>
      <c r="EW451" s="3472"/>
      <c r="EX451" s="3472"/>
      <c r="EY451" s="3472"/>
      <c r="EZ451" s="3472"/>
      <c r="FA451" s="3472"/>
      <c r="FB451" s="3472"/>
      <c r="FC451" s="3472"/>
      <c r="FD451" s="3472"/>
      <c r="FE451" s="3472"/>
      <c r="FF451" s="3472"/>
      <c r="FG451" s="3472"/>
      <c r="FH451" s="3472"/>
      <c r="FI451" s="3472"/>
      <c r="FJ451" s="3472"/>
      <c r="FK451" s="3472"/>
      <c r="FL451" s="3472"/>
      <c r="FM451" s="3472"/>
      <c r="FN451" s="3472"/>
      <c r="FO451" s="3472"/>
      <c r="FP451" s="3472"/>
      <c r="FQ451" s="3472"/>
      <c r="FR451" s="3472"/>
      <c r="FS451" s="3472"/>
      <c r="FT451" s="3472"/>
      <c r="FU451" s="3472"/>
      <c r="FV451" s="3472"/>
      <c r="FW451" s="3472"/>
      <c r="FX451" s="3472"/>
      <c r="FY451" s="3472"/>
      <c r="FZ451" s="3472"/>
      <c r="GA451" s="3472"/>
      <c r="GB451" s="3472"/>
      <c r="GC451" s="3472"/>
      <c r="GD451" s="3472"/>
      <c r="GE451" s="3472"/>
      <c r="GF451" s="3472"/>
      <c r="GG451" s="3472"/>
      <c r="GH451" s="3472"/>
      <c r="GI451" s="3472"/>
      <c r="GJ451" s="3472"/>
      <c r="GK451" s="3472"/>
      <c r="GL451" s="3472"/>
      <c r="GM451" s="3472"/>
      <c r="GN451" s="3472"/>
      <c r="GO451" s="3472"/>
      <c r="GP451" s="3472"/>
      <c r="GQ451" s="3472"/>
      <c r="GR451" s="3472"/>
      <c r="GS451" s="3472"/>
      <c r="GT451" s="3472"/>
      <c r="GU451" s="3472"/>
      <c r="GV451" s="3472"/>
      <c r="GW451" s="3472"/>
      <c r="GX451" s="3472"/>
      <c r="GY451" s="3472"/>
      <c r="GZ451" s="3472"/>
      <c r="HA451" s="3472"/>
      <c r="HB451" s="3472"/>
      <c r="HC451" s="3472"/>
      <c r="HD451" s="3472"/>
      <c r="HE451" s="3472"/>
      <c r="HF451" s="3472"/>
      <c r="HG451" s="3472"/>
      <c r="HH451" s="3472"/>
      <c r="HI451" s="3472"/>
      <c r="HJ451" s="3472"/>
      <c r="HK451" s="3472"/>
      <c r="HL451" s="3472"/>
      <c r="HM451" s="3472"/>
      <c r="HN451" s="3472"/>
      <c r="HO451" s="3472"/>
      <c r="HP451" s="3472"/>
      <c r="HQ451" s="3472"/>
      <c r="HR451" s="3472"/>
      <c r="HS451" s="3472"/>
      <c r="HT451" s="3472"/>
      <c r="HU451" s="3472"/>
      <c r="HV451" s="3472"/>
      <c r="HW451" s="3472"/>
      <c r="HX451" s="3472"/>
      <c r="HY451" s="3472"/>
      <c r="HZ451" s="3472"/>
      <c r="IA451" s="3472"/>
      <c r="IB451" s="3472"/>
      <c r="IC451" s="3472"/>
      <c r="ID451" s="3472"/>
      <c r="IE451" s="3472"/>
      <c r="IF451" s="3472"/>
      <c r="IG451" s="3472"/>
      <c r="IH451" s="3472"/>
      <c r="II451" s="3472"/>
      <c r="IJ451" s="3472"/>
      <c r="IK451" s="3472"/>
      <c r="IL451" s="3472"/>
      <c r="IM451" s="3472"/>
      <c r="IN451" s="3472"/>
      <c r="IO451" s="3472"/>
      <c r="IP451" s="3472"/>
      <c r="IQ451" s="3472"/>
      <c r="IR451" s="3472"/>
      <c r="IS451" s="3472"/>
    </row>
    <row r="452" spans="1:253" s="3497" customFormat="1" ht="13.2" hidden="1">
      <c r="A452" s="3485" t="s">
        <v>6912</v>
      </c>
      <c r="B452" s="3555" t="s">
        <v>6913</v>
      </c>
      <c r="C452" s="3636" t="s">
        <v>6914</v>
      </c>
      <c r="D452" s="3453">
        <v>13910726397</v>
      </c>
      <c r="E452" s="3498" t="s">
        <v>2736</v>
      </c>
      <c r="F452" s="3573" t="s">
        <v>6915</v>
      </c>
      <c r="G452" s="3561"/>
      <c r="H452" s="3498" t="s">
        <v>6916</v>
      </c>
      <c r="I452" s="3636" t="s">
        <v>6917</v>
      </c>
      <c r="J452" s="3636" t="s">
        <v>6918</v>
      </c>
      <c r="K452" s="3555" t="s">
        <v>4565</v>
      </c>
      <c r="L452" s="3574">
        <v>51.45</v>
      </c>
      <c r="M452" s="3574">
        <v>20</v>
      </c>
      <c r="N452" s="3441" t="s">
        <v>6871</v>
      </c>
      <c r="O452" s="3574">
        <v>40.56</v>
      </c>
      <c r="P452" s="3496" t="s">
        <v>3452</v>
      </c>
      <c r="Q452" s="3457">
        <v>382427.85000000003</v>
      </c>
      <c r="R452" s="3574">
        <v>7433</v>
      </c>
      <c r="S452" s="3532">
        <v>37.93</v>
      </c>
      <c r="T452" s="3550">
        <v>379300</v>
      </c>
      <c r="U452" s="3574">
        <v>7373</v>
      </c>
      <c r="V452" s="3529">
        <v>0.1</v>
      </c>
      <c r="W452" s="3475">
        <v>34.130000000000003</v>
      </c>
      <c r="X452" s="3459">
        <v>341300</v>
      </c>
      <c r="Y452" s="3491">
        <v>2003</v>
      </c>
      <c r="Z452" s="3441">
        <v>7</v>
      </c>
      <c r="AA452" s="3470">
        <v>1</v>
      </c>
      <c r="AB452" s="3477">
        <v>1895</v>
      </c>
      <c r="AC452" s="3490" t="s">
        <v>3585</v>
      </c>
      <c r="AD452" s="3561"/>
      <c r="AE452" s="3470" t="s">
        <v>3663</v>
      </c>
      <c r="AF452" s="3555" t="s">
        <v>6872</v>
      </c>
      <c r="AG452" s="3555" t="s">
        <v>3454</v>
      </c>
      <c r="AH452" s="3555"/>
      <c r="AI452" s="3470" t="s">
        <v>3664</v>
      </c>
      <c r="AJ452" s="3575">
        <v>38199</v>
      </c>
      <c r="AK452" s="3548">
        <v>7</v>
      </c>
      <c r="AL452" s="3470">
        <v>67641700</v>
      </c>
      <c r="AM452" s="3502"/>
      <c r="AN452" s="3441" t="s">
        <v>3456</v>
      </c>
      <c r="AP452" s="3456" t="s">
        <v>3476</v>
      </c>
      <c r="AQ452" s="3456" t="s">
        <v>3457</v>
      </c>
      <c r="AV452" s="3556"/>
      <c r="AW452" s="3490" t="s">
        <v>3458</v>
      </c>
      <c r="AX452" s="3502" t="s">
        <v>4046</v>
      </c>
      <c r="AY452" s="3637" t="s">
        <v>6919</v>
      </c>
      <c r="AZ452" s="3555" t="s">
        <v>4568</v>
      </c>
      <c r="BA452" s="3552" t="s">
        <v>6920</v>
      </c>
      <c r="BB452" s="3466">
        <v>1101081437256</v>
      </c>
      <c r="BC452" s="3552" t="s">
        <v>6921</v>
      </c>
      <c r="BD452" s="3569">
        <v>100037</v>
      </c>
      <c r="BE452" s="3501">
        <v>68348381</v>
      </c>
      <c r="BF452" s="3506">
        <v>2.8</v>
      </c>
      <c r="BG452" s="3539">
        <v>37770</v>
      </c>
      <c r="BI452" s="3441" t="s">
        <v>3475</v>
      </c>
      <c r="BJ452" s="3566">
        <v>37797</v>
      </c>
      <c r="BK452" s="3441"/>
      <c r="BL452" s="3470" t="s">
        <v>3594</v>
      </c>
      <c r="BM452" s="3441"/>
      <c r="BN452" s="3441"/>
      <c r="BO452" s="3441"/>
      <c r="BP452" s="3441"/>
      <c r="BQ452" s="3441"/>
      <c r="BR452" s="3441"/>
      <c r="BS452" s="3470"/>
      <c r="BT452" s="3470"/>
      <c r="BU452" s="3470"/>
    </row>
    <row r="453" spans="1:253" s="3470" customFormat="1" ht="12" hidden="1">
      <c r="A453" s="3470" t="s">
        <v>6922</v>
      </c>
      <c r="B453" s="3470" t="s">
        <v>6923</v>
      </c>
      <c r="C453" s="3454" t="s">
        <v>6924</v>
      </c>
      <c r="D453" s="3456">
        <v>13801027806</v>
      </c>
      <c r="E453" s="3470" t="s">
        <v>3558</v>
      </c>
      <c r="F453" s="3470" t="s">
        <v>6925</v>
      </c>
      <c r="H453" s="3453" t="s">
        <v>6926</v>
      </c>
      <c r="I453" s="3453" t="s">
        <v>3726</v>
      </c>
      <c r="J453" s="3453" t="s">
        <v>3465</v>
      </c>
      <c r="K453" s="3470" t="s">
        <v>6927</v>
      </c>
      <c r="L453" s="3495">
        <v>153.77000000000001</v>
      </c>
      <c r="M453" s="3495">
        <v>6</v>
      </c>
      <c r="N453" s="3470" t="s">
        <v>3632</v>
      </c>
      <c r="O453" s="3495">
        <v>127.58</v>
      </c>
      <c r="P453" s="3453" t="s">
        <v>3452</v>
      </c>
      <c r="Q453" s="3457">
        <v>1093138.6284</v>
      </c>
      <c r="R453" s="3495">
        <v>7108.92</v>
      </c>
      <c r="S453" s="3472">
        <v>108.36</v>
      </c>
      <c r="T453" s="3527">
        <v>1083600</v>
      </c>
      <c r="U453" s="3495">
        <v>7047</v>
      </c>
      <c r="V453" s="3512">
        <v>0.05</v>
      </c>
      <c r="W453" s="3475">
        <v>102.94</v>
      </c>
      <c r="X453" s="3473">
        <v>1029400</v>
      </c>
      <c r="Y453" s="3495">
        <v>2003</v>
      </c>
      <c r="Z453" s="3495">
        <v>7</v>
      </c>
      <c r="AA453" s="3495">
        <v>1</v>
      </c>
      <c r="AB453" s="3477">
        <v>5205</v>
      </c>
      <c r="AC453" s="3470" t="s">
        <v>3544</v>
      </c>
      <c r="AE453" s="3456" t="s">
        <v>3663</v>
      </c>
      <c r="AF453" s="3453" t="s">
        <v>3453</v>
      </c>
      <c r="AG453" s="3470" t="s">
        <v>3466</v>
      </c>
      <c r="AH453" s="3470" t="s">
        <v>3463</v>
      </c>
      <c r="AI453" s="3470" t="s">
        <v>3664</v>
      </c>
      <c r="AJ453" s="3478">
        <v>37560</v>
      </c>
      <c r="AK453" s="3500">
        <v>7</v>
      </c>
      <c r="AL453" s="3495">
        <v>67641700</v>
      </c>
      <c r="AN453" s="3456" t="s">
        <v>6873</v>
      </c>
      <c r="AP453" s="3441" t="s">
        <v>3721</v>
      </c>
      <c r="AQ453" s="3456" t="s">
        <v>3571</v>
      </c>
      <c r="AV453" s="3495"/>
      <c r="AW453" s="3470" t="s">
        <v>3572</v>
      </c>
      <c r="AX453" s="3470" t="s">
        <v>2511</v>
      </c>
      <c r="AY453" s="3495">
        <v>242057</v>
      </c>
      <c r="AZ453" s="3470" t="s">
        <v>6928</v>
      </c>
      <c r="BA453" s="3470" t="s">
        <v>6929</v>
      </c>
      <c r="BB453" s="3470" t="s">
        <v>6930</v>
      </c>
      <c r="BC453" s="3470" t="s">
        <v>6931</v>
      </c>
      <c r="BD453" s="3470">
        <v>100035</v>
      </c>
      <c r="BE453" s="3470">
        <v>66001188</v>
      </c>
      <c r="BF453" s="3520">
        <v>2.8</v>
      </c>
      <c r="BG453" s="3478">
        <v>37735</v>
      </c>
      <c r="BI453" s="3453" t="s">
        <v>3713</v>
      </c>
      <c r="BJ453" s="3478">
        <v>37799</v>
      </c>
      <c r="BL453" s="3470" t="s">
        <v>3833</v>
      </c>
      <c r="BM453" s="3441"/>
      <c r="BN453" s="3441"/>
      <c r="BO453" s="3441"/>
      <c r="BP453" s="3441"/>
      <c r="BQ453" s="3441"/>
      <c r="BR453" s="3441"/>
    </row>
    <row r="454" spans="1:253" s="3469" customFormat="1" ht="13.2" hidden="1">
      <c r="A454" s="3485" t="s">
        <v>6932</v>
      </c>
      <c r="B454" s="3542" t="s">
        <v>6933</v>
      </c>
      <c r="C454" s="3530" t="s">
        <v>6934</v>
      </c>
      <c r="D454" s="3453">
        <v>62281351</v>
      </c>
      <c r="E454" s="3530" t="s">
        <v>2736</v>
      </c>
      <c r="F454" s="3598" t="s">
        <v>4613</v>
      </c>
      <c r="G454" s="3522"/>
      <c r="H454" s="3530" t="s">
        <v>6935</v>
      </c>
      <c r="I454" s="3530" t="s">
        <v>6936</v>
      </c>
      <c r="J454" s="3530" t="s">
        <v>6937</v>
      </c>
      <c r="K454" s="3542" t="s">
        <v>6938</v>
      </c>
      <c r="L454" s="3477">
        <v>51.45</v>
      </c>
      <c r="M454" s="3477">
        <v>6</v>
      </c>
      <c r="N454" s="3441" t="s">
        <v>3489</v>
      </c>
      <c r="O454" s="3477">
        <v>40.56</v>
      </c>
      <c r="P454" s="3485" t="s">
        <v>3452</v>
      </c>
      <c r="Q454" s="3457">
        <v>379340.85000000003</v>
      </c>
      <c r="R454" s="3477">
        <v>7373</v>
      </c>
      <c r="S454" s="3472">
        <v>37.58</v>
      </c>
      <c r="T454" s="3550">
        <v>375800</v>
      </c>
      <c r="U454" s="3477">
        <v>7305</v>
      </c>
      <c r="V454" s="3512">
        <v>0.1</v>
      </c>
      <c r="W454" s="3475">
        <v>33.82</v>
      </c>
      <c r="X454" s="3459">
        <v>338200</v>
      </c>
      <c r="Y454" s="3495">
        <v>2003</v>
      </c>
      <c r="Z454" s="3441">
        <v>7</v>
      </c>
      <c r="AA454" s="3470">
        <v>1</v>
      </c>
      <c r="AB454" s="3477">
        <v>1875</v>
      </c>
      <c r="AC454" s="3470" t="s">
        <v>3634</v>
      </c>
      <c r="AD454" s="3522"/>
      <c r="AE454" s="3470" t="s">
        <v>3663</v>
      </c>
      <c r="AF454" s="3542" t="s">
        <v>6939</v>
      </c>
      <c r="AG454" s="3542" t="s">
        <v>3454</v>
      </c>
      <c r="AH454" s="3542"/>
      <c r="AI454" s="3470" t="s">
        <v>3664</v>
      </c>
      <c r="AJ454" s="3513">
        <v>38199</v>
      </c>
      <c r="AK454" s="3500">
        <v>7</v>
      </c>
      <c r="AL454" s="3470">
        <v>67641700</v>
      </c>
      <c r="AM454" s="3441"/>
      <c r="AN454" s="3441" t="s">
        <v>3456</v>
      </c>
      <c r="AP454" s="3456" t="s">
        <v>3476</v>
      </c>
      <c r="AQ454" s="3456" t="s">
        <v>3457</v>
      </c>
      <c r="AV454" s="3599"/>
      <c r="AW454" s="3470" t="s">
        <v>3458</v>
      </c>
      <c r="AX454" s="3441" t="s">
        <v>3606</v>
      </c>
      <c r="AY454" s="3536" t="s">
        <v>6940</v>
      </c>
      <c r="AZ454" s="3542" t="s">
        <v>4619</v>
      </c>
      <c r="BA454" s="3463" t="s">
        <v>4569</v>
      </c>
      <c r="BB454" s="3466">
        <v>1101081437256</v>
      </c>
      <c r="BC454" s="3463" t="s">
        <v>4587</v>
      </c>
      <c r="BD454" s="3537">
        <v>100037</v>
      </c>
      <c r="BE454" s="3515">
        <v>68348381</v>
      </c>
      <c r="BF454" s="3538">
        <v>2.8</v>
      </c>
      <c r="BG454" s="3535">
        <v>37769</v>
      </c>
      <c r="BI454" s="3441" t="s">
        <v>5844</v>
      </c>
      <c r="BJ454" s="3508">
        <v>37799</v>
      </c>
      <c r="BK454" s="3441"/>
      <c r="BL454" s="3470" t="s">
        <v>3594</v>
      </c>
      <c r="BM454" s="3441"/>
      <c r="BN454" s="3441"/>
      <c r="BO454" s="3441"/>
      <c r="BP454" s="3441"/>
      <c r="BQ454" s="3441"/>
      <c r="BR454" s="3441"/>
      <c r="BS454" s="3470"/>
      <c r="BT454" s="3470"/>
      <c r="BU454" s="3470"/>
    </row>
    <row r="455" spans="1:253" s="3470" customFormat="1" ht="12" hidden="1">
      <c r="A455" s="3470" t="s">
        <v>6941</v>
      </c>
      <c r="B455" s="3470" t="s">
        <v>6942</v>
      </c>
      <c r="C455" s="3470" t="s">
        <v>6943</v>
      </c>
      <c r="D455" s="3470">
        <v>13011171681</v>
      </c>
      <c r="E455" s="3470" t="s">
        <v>3558</v>
      </c>
      <c r="F455" s="3470" t="s">
        <v>4403</v>
      </c>
      <c r="G455" s="3470" t="s">
        <v>3568</v>
      </c>
      <c r="H455" s="3470" t="s">
        <v>6944</v>
      </c>
      <c r="I455" s="3470" t="s">
        <v>4965</v>
      </c>
      <c r="J455" s="3470" t="s">
        <v>4002</v>
      </c>
      <c r="K455" s="3470" t="s">
        <v>4406</v>
      </c>
      <c r="L455" s="3470">
        <v>129.66999999999999</v>
      </c>
      <c r="M455" s="3470">
        <v>1</v>
      </c>
      <c r="N455" s="3470" t="s">
        <v>4003</v>
      </c>
      <c r="O455" s="3470">
        <v>116.27</v>
      </c>
      <c r="P455" s="3470" t="s">
        <v>3452</v>
      </c>
      <c r="Q455" s="3470">
        <v>640569.80000000005</v>
      </c>
      <c r="R455" s="3470">
        <v>4940</v>
      </c>
      <c r="S455" s="3470">
        <v>63.43</v>
      </c>
      <c r="T455" s="3470">
        <v>634300</v>
      </c>
      <c r="U455" s="3470">
        <v>4892</v>
      </c>
      <c r="V455" s="3470">
        <v>0.1</v>
      </c>
      <c r="W455" s="3470">
        <v>57.08</v>
      </c>
      <c r="X455" s="3470">
        <v>570800</v>
      </c>
      <c r="Y455" s="3470">
        <v>2003</v>
      </c>
      <c r="Z455" s="3470">
        <v>8</v>
      </c>
      <c r="AA455" s="3470">
        <v>6</v>
      </c>
      <c r="AB455" s="3470">
        <v>3170</v>
      </c>
      <c r="AC455" s="3470" t="s">
        <v>3693</v>
      </c>
      <c r="AE455" s="3470" t="s">
        <v>3663</v>
      </c>
      <c r="AF455" s="3470" t="s">
        <v>5090</v>
      </c>
      <c r="AG455" s="3470" t="s">
        <v>3466</v>
      </c>
      <c r="AI455" s="3470" t="s">
        <v>5021</v>
      </c>
      <c r="AJ455" s="3470">
        <v>37833</v>
      </c>
      <c r="AK455" s="3470">
        <v>8</v>
      </c>
      <c r="AL455" s="3470">
        <v>67641700</v>
      </c>
      <c r="AN455" s="3470" t="s">
        <v>3695</v>
      </c>
      <c r="AO455" s="3470" t="s">
        <v>6945</v>
      </c>
      <c r="AP455" s="3470" t="s">
        <v>3476</v>
      </c>
      <c r="AQ455" s="3470" t="s">
        <v>3571</v>
      </c>
      <c r="AR455" s="3470" t="s">
        <v>3568</v>
      </c>
      <c r="AS455" s="3470" t="s">
        <v>3568</v>
      </c>
      <c r="AT455" s="3470" t="s">
        <v>3568</v>
      </c>
      <c r="AW455" s="3470" t="s">
        <v>3572</v>
      </c>
      <c r="AX455" s="3470" t="s">
        <v>3568</v>
      </c>
      <c r="AY455" s="3481" t="s">
        <v>6946</v>
      </c>
      <c r="AZ455" s="3470" t="s">
        <v>4406</v>
      </c>
      <c r="BA455" s="3470" t="s">
        <v>4409</v>
      </c>
      <c r="BB455" s="3481" t="s">
        <v>4410</v>
      </c>
      <c r="BC455" s="3470" t="s">
        <v>4411</v>
      </c>
      <c r="BD455" s="3482" t="s">
        <v>3568</v>
      </c>
      <c r="BE455" s="3470">
        <v>68152860</v>
      </c>
      <c r="BF455" s="3483">
        <v>2.8</v>
      </c>
      <c r="BG455" s="3478">
        <v>37797</v>
      </c>
      <c r="BH455" s="3470" t="s">
        <v>4412</v>
      </c>
      <c r="BI455" s="3470" t="s">
        <v>3476</v>
      </c>
      <c r="BJ455" s="3508">
        <v>37838</v>
      </c>
      <c r="BK455" s="3508"/>
      <c r="BL455" s="3470" t="s">
        <v>3670</v>
      </c>
      <c r="BP455" s="3441"/>
      <c r="BQ455" s="3441"/>
      <c r="BR455" s="3441"/>
    </row>
    <row r="456" spans="1:253" s="3441" customFormat="1" ht="12" hidden="1">
      <c r="A456" s="3485" t="s">
        <v>6947</v>
      </c>
      <c r="B456" s="3470" t="s">
        <v>6948</v>
      </c>
      <c r="C456" s="3481" t="s">
        <v>6949</v>
      </c>
      <c r="D456" s="3453">
        <v>13911576886</v>
      </c>
      <c r="E456" s="3470" t="s">
        <v>3558</v>
      </c>
      <c r="F456" s="3470" t="s">
        <v>4403</v>
      </c>
      <c r="G456" s="3470" t="s">
        <v>3568</v>
      </c>
      <c r="H456" s="3470" t="s">
        <v>5294</v>
      </c>
      <c r="I456" s="3470" t="s">
        <v>6950</v>
      </c>
      <c r="J456" s="3481" t="s">
        <v>3492</v>
      </c>
      <c r="K456" s="3470" t="s">
        <v>4406</v>
      </c>
      <c r="L456" s="3470">
        <v>123.22</v>
      </c>
      <c r="M456" s="3470">
        <v>6</v>
      </c>
      <c r="N456" s="3485" t="s">
        <v>3632</v>
      </c>
      <c r="O456" s="3470">
        <v>110.31</v>
      </c>
      <c r="P456" s="3470" t="s">
        <v>3452</v>
      </c>
      <c r="Q456" s="3457">
        <v>603778</v>
      </c>
      <c r="R456" s="3470">
        <v>4900</v>
      </c>
      <c r="S456" s="3472">
        <v>59.82</v>
      </c>
      <c r="T456" s="3527">
        <v>598200</v>
      </c>
      <c r="U456" s="3470">
        <v>4855</v>
      </c>
      <c r="V456" s="3474">
        <v>0.1</v>
      </c>
      <c r="W456" s="3475">
        <v>53.83</v>
      </c>
      <c r="X456" s="3473">
        <v>538300</v>
      </c>
      <c r="Y456" s="3441">
        <v>2003</v>
      </c>
      <c r="Z456" s="3441">
        <v>7</v>
      </c>
      <c r="AA456" s="3470">
        <v>1</v>
      </c>
      <c r="AB456" s="3477">
        <v>2990</v>
      </c>
      <c r="AC456" s="3470" t="s">
        <v>4294</v>
      </c>
      <c r="AD456" s="3485"/>
      <c r="AE456" s="3441" t="s">
        <v>3663</v>
      </c>
      <c r="AF456" s="3453" t="s">
        <v>3604</v>
      </c>
      <c r="AG456" s="3522" t="s">
        <v>3466</v>
      </c>
      <c r="AH456" s="3485"/>
      <c r="AI456" s="3470" t="s">
        <v>3664</v>
      </c>
      <c r="AJ456" s="3523">
        <v>37833</v>
      </c>
      <c r="AK456" s="3500">
        <v>7</v>
      </c>
      <c r="AL456" s="3441">
        <v>67641700</v>
      </c>
      <c r="AN456" s="3441" t="s">
        <v>3570</v>
      </c>
      <c r="AO456" s="3470" t="s">
        <v>6951</v>
      </c>
      <c r="AP456" s="3456" t="s">
        <v>3476</v>
      </c>
      <c r="AQ456" s="3441" t="s">
        <v>3571</v>
      </c>
      <c r="AW456" s="3441" t="s">
        <v>3572</v>
      </c>
      <c r="AX456" s="3441" t="s">
        <v>3568</v>
      </c>
      <c r="AY456" s="3524" t="s">
        <v>6952</v>
      </c>
      <c r="AZ456" s="3441" t="s">
        <v>4406</v>
      </c>
      <c r="BA456" s="3441" t="s">
        <v>4409</v>
      </c>
      <c r="BB456" s="3524" t="s">
        <v>4410</v>
      </c>
      <c r="BC456" s="3441" t="s">
        <v>4411</v>
      </c>
      <c r="BD456" s="3525" t="s">
        <v>3568</v>
      </c>
      <c r="BE456" s="3441">
        <v>68152860</v>
      </c>
      <c r="BF456" s="3526">
        <v>2.8</v>
      </c>
      <c r="BG456" s="3518">
        <v>37765</v>
      </c>
      <c r="BH456" s="3441" t="s">
        <v>4412</v>
      </c>
      <c r="BI456" s="3470" t="s">
        <v>3476</v>
      </c>
      <c r="BJ456" s="3508">
        <v>37802</v>
      </c>
      <c r="BK456" s="3484"/>
      <c r="BL456" s="3470" t="s">
        <v>3670</v>
      </c>
      <c r="BS456" s="3470"/>
      <c r="BT456" s="3470"/>
      <c r="BU456" s="3470"/>
    </row>
    <row r="457" spans="1:253" s="3441" customFormat="1" ht="12" hidden="1">
      <c r="A457" s="3485" t="s">
        <v>6953</v>
      </c>
      <c r="B457" s="3470" t="s">
        <v>6954</v>
      </c>
      <c r="C457" s="3481" t="s">
        <v>6955</v>
      </c>
      <c r="D457" s="3453">
        <v>13910008586</v>
      </c>
      <c r="E457" s="3470" t="s">
        <v>3558</v>
      </c>
      <c r="F457" s="3470" t="s">
        <v>4403</v>
      </c>
      <c r="G457" s="3470" t="s">
        <v>3568</v>
      </c>
      <c r="H457" s="3470" t="s">
        <v>4273</v>
      </c>
      <c r="I457" s="3470" t="s">
        <v>4217</v>
      </c>
      <c r="J457" s="3481" t="s">
        <v>6956</v>
      </c>
      <c r="K457" s="3470" t="s">
        <v>4406</v>
      </c>
      <c r="L457" s="3470">
        <v>72.31</v>
      </c>
      <c r="M457" s="3470">
        <v>1</v>
      </c>
      <c r="N457" s="3470" t="s">
        <v>3489</v>
      </c>
      <c r="O457" s="3470">
        <v>64.66</v>
      </c>
      <c r="P457" s="3470" t="s">
        <v>3452</v>
      </c>
      <c r="Q457" s="3457">
        <v>347811.10000000003</v>
      </c>
      <c r="R457" s="3470">
        <v>4810</v>
      </c>
      <c r="S457" s="3472">
        <v>34.42</v>
      </c>
      <c r="T457" s="3527">
        <v>344200</v>
      </c>
      <c r="U457" s="3470">
        <v>4761</v>
      </c>
      <c r="V457" s="3474">
        <v>0.1</v>
      </c>
      <c r="W457" s="3475">
        <v>30.97</v>
      </c>
      <c r="X457" s="3473">
        <v>309700</v>
      </c>
      <c r="Y457" s="3441">
        <v>2003</v>
      </c>
      <c r="Z457" s="3441">
        <v>7</v>
      </c>
      <c r="AA457" s="3470">
        <v>3</v>
      </c>
      <c r="AB457" s="3477">
        <v>1720</v>
      </c>
      <c r="AC457" s="3470" t="s">
        <v>4922</v>
      </c>
      <c r="AD457" s="3485"/>
      <c r="AE457" s="3441" t="s">
        <v>3663</v>
      </c>
      <c r="AF457" s="3453" t="s">
        <v>6957</v>
      </c>
      <c r="AG457" s="3522" t="s">
        <v>3466</v>
      </c>
      <c r="AH457" s="3485"/>
      <c r="AI457" s="3470" t="s">
        <v>3664</v>
      </c>
      <c r="AJ457" s="3523">
        <v>37833</v>
      </c>
      <c r="AK457" s="3500">
        <v>7</v>
      </c>
      <c r="AL457" s="3441">
        <v>67641700</v>
      </c>
      <c r="AN457" s="3441" t="s">
        <v>3570</v>
      </c>
      <c r="AO457" s="3470" t="s">
        <v>6958</v>
      </c>
      <c r="AP457" s="3456" t="s">
        <v>3476</v>
      </c>
      <c r="AQ457" s="3441" t="s">
        <v>3571</v>
      </c>
      <c r="AW457" s="3441" t="s">
        <v>3572</v>
      </c>
      <c r="AX457" s="3441" t="s">
        <v>3568</v>
      </c>
      <c r="AY457" s="3524" t="s">
        <v>6959</v>
      </c>
      <c r="AZ457" s="3441" t="s">
        <v>4076</v>
      </c>
      <c r="BA457" s="3441" t="s">
        <v>4409</v>
      </c>
      <c r="BB457" s="3524" t="s">
        <v>4410</v>
      </c>
      <c r="BC457" s="3441" t="s">
        <v>4411</v>
      </c>
      <c r="BD457" s="3525" t="s">
        <v>3568</v>
      </c>
      <c r="BE457" s="3441">
        <v>68152860</v>
      </c>
      <c r="BF457" s="3526">
        <v>2.8</v>
      </c>
      <c r="BG457" s="3518">
        <v>37766</v>
      </c>
      <c r="BH457" s="3441" t="s">
        <v>4412</v>
      </c>
      <c r="BI457" s="3470" t="s">
        <v>3476</v>
      </c>
      <c r="BJ457" s="3508">
        <v>37803</v>
      </c>
      <c r="BK457" s="3484"/>
      <c r="BL457" s="3470" t="s">
        <v>3670</v>
      </c>
      <c r="BS457" s="3470"/>
      <c r="BT457" s="3470"/>
      <c r="BU457" s="3470"/>
    </row>
    <row r="458" spans="1:253" s="3469" customFormat="1" ht="13.2" hidden="1">
      <c r="A458" s="3485" t="s">
        <v>6960</v>
      </c>
      <c r="B458" s="3542" t="s">
        <v>6961</v>
      </c>
      <c r="C458" s="3530" t="s">
        <v>6962</v>
      </c>
      <c r="D458" s="3453">
        <v>63908612</v>
      </c>
      <c r="E458" s="3530" t="s">
        <v>2736</v>
      </c>
      <c r="F458" s="3598" t="s">
        <v>4623</v>
      </c>
      <c r="G458" s="3522"/>
      <c r="H458" s="3530" t="s">
        <v>6916</v>
      </c>
      <c r="I458" s="3530" t="s">
        <v>4563</v>
      </c>
      <c r="J458" s="3530" t="s">
        <v>6963</v>
      </c>
      <c r="K458" s="3542" t="s">
        <v>4565</v>
      </c>
      <c r="L458" s="3477">
        <v>52.86</v>
      </c>
      <c r="M458" s="3477">
        <v>4</v>
      </c>
      <c r="N458" s="3441" t="s">
        <v>6871</v>
      </c>
      <c r="O458" s="3477">
        <v>41.67</v>
      </c>
      <c r="P458" s="3485" t="s">
        <v>3452</v>
      </c>
      <c r="Q458" s="3457">
        <v>386988.06</v>
      </c>
      <c r="R458" s="3477">
        <v>7321</v>
      </c>
      <c r="S458" s="3472">
        <v>38.340000000000003</v>
      </c>
      <c r="T458" s="3550">
        <v>383400.00000000006</v>
      </c>
      <c r="U458" s="3477">
        <v>7254</v>
      </c>
      <c r="V458" s="3512">
        <v>0.1</v>
      </c>
      <c r="W458" s="3475">
        <v>34.5</v>
      </c>
      <c r="X458" s="3459">
        <v>345000</v>
      </c>
      <c r="Y458" s="3495">
        <v>2003</v>
      </c>
      <c r="Z458" s="3441">
        <v>7</v>
      </c>
      <c r="AA458" s="3470">
        <v>1</v>
      </c>
      <c r="AB458" s="3477">
        <v>1915</v>
      </c>
      <c r="AC458" s="3470" t="s">
        <v>4294</v>
      </c>
      <c r="AD458" s="3522"/>
      <c r="AE458" s="3470" t="s">
        <v>3663</v>
      </c>
      <c r="AF458" s="3542" t="s">
        <v>6872</v>
      </c>
      <c r="AG458" s="3542" t="s">
        <v>3454</v>
      </c>
      <c r="AH458" s="3542"/>
      <c r="AI458" s="3470" t="s">
        <v>3664</v>
      </c>
      <c r="AJ458" s="3513">
        <v>38199</v>
      </c>
      <c r="AK458" s="3500">
        <v>7</v>
      </c>
      <c r="AL458" s="3470">
        <v>67641700</v>
      </c>
      <c r="AM458" s="3441"/>
      <c r="AN458" s="3441" t="s">
        <v>3456</v>
      </c>
      <c r="AP458" s="3456" t="s">
        <v>3476</v>
      </c>
      <c r="AQ458" s="3456" t="s">
        <v>3457</v>
      </c>
      <c r="AV458" s="3599"/>
      <c r="AW458" s="3470" t="s">
        <v>3458</v>
      </c>
      <c r="AX458" s="3441" t="s">
        <v>4046</v>
      </c>
      <c r="AY458" s="3536" t="s">
        <v>6964</v>
      </c>
      <c r="AZ458" s="3542" t="s">
        <v>4568</v>
      </c>
      <c r="BA458" s="3463" t="s">
        <v>6920</v>
      </c>
      <c r="BB458" s="3466">
        <v>1101081437256</v>
      </c>
      <c r="BC458" s="3463" t="s">
        <v>4587</v>
      </c>
      <c r="BD458" s="3537">
        <v>100037</v>
      </c>
      <c r="BE458" s="3515">
        <v>68348381</v>
      </c>
      <c r="BF458" s="3538">
        <v>2.8</v>
      </c>
      <c r="BG458" s="3535">
        <v>37781</v>
      </c>
      <c r="BI458" s="3441" t="s">
        <v>3475</v>
      </c>
      <c r="BJ458" s="3508">
        <v>37799</v>
      </c>
      <c r="BK458" s="3441"/>
      <c r="BL458" s="3470" t="s">
        <v>6897</v>
      </c>
      <c r="BM458" s="3441"/>
      <c r="BN458" s="3441"/>
      <c r="BO458" s="3441"/>
      <c r="BP458" s="3441"/>
      <c r="BQ458" s="3441"/>
      <c r="BR458" s="3441"/>
      <c r="BS458" s="3470"/>
      <c r="BT458" s="3470"/>
      <c r="BU458" s="3470"/>
    </row>
    <row r="459" spans="1:253" s="3441" customFormat="1" ht="12" hidden="1">
      <c r="A459" s="3470" t="s">
        <v>6965</v>
      </c>
      <c r="B459" s="3470" t="s">
        <v>6966</v>
      </c>
      <c r="C459" s="3481" t="s">
        <v>6967</v>
      </c>
      <c r="D459" s="3481" t="s">
        <v>6968</v>
      </c>
      <c r="E459" s="3470" t="s">
        <v>3558</v>
      </c>
      <c r="F459" s="3528" t="s">
        <v>5661</v>
      </c>
      <c r="G459" s="3470"/>
      <c r="H459" s="3470" t="s">
        <v>6969</v>
      </c>
      <c r="I459" s="3470" t="s">
        <v>4387</v>
      </c>
      <c r="J459" s="3481" t="s">
        <v>6970</v>
      </c>
      <c r="K459" s="3470" t="s">
        <v>5664</v>
      </c>
      <c r="L459" s="3470">
        <v>92.06</v>
      </c>
      <c r="M459" s="3470">
        <v>7</v>
      </c>
      <c r="N459" s="3453" t="s">
        <v>3451</v>
      </c>
      <c r="O459" s="3470">
        <v>71.819999999999993</v>
      </c>
      <c r="P459" s="3470" t="s">
        <v>3452</v>
      </c>
      <c r="Q459" s="3457">
        <v>409667</v>
      </c>
      <c r="R459" s="3470">
        <v>4450</v>
      </c>
      <c r="S459" s="3472">
        <v>40.549999999999997</v>
      </c>
      <c r="T459" s="3527">
        <v>405500</v>
      </c>
      <c r="U459" s="3470">
        <v>4405</v>
      </c>
      <c r="V459" s="3474">
        <v>0.05</v>
      </c>
      <c r="W459" s="3475">
        <v>38.520000000000003</v>
      </c>
      <c r="X459" s="3476">
        <v>385200.00000000006</v>
      </c>
      <c r="Y459" s="3495">
        <v>2003</v>
      </c>
      <c r="Z459" s="3441">
        <v>7</v>
      </c>
      <c r="AA459" s="3470">
        <v>1</v>
      </c>
      <c r="AB459" s="3477">
        <v>2025</v>
      </c>
      <c r="AC459" s="3470" t="s">
        <v>6971</v>
      </c>
      <c r="AD459" s="3485"/>
      <c r="AE459" s="3469" t="s">
        <v>3663</v>
      </c>
      <c r="AF459" s="3470" t="s">
        <v>3453</v>
      </c>
      <c r="AG459" s="3522" t="s">
        <v>3466</v>
      </c>
      <c r="AH459" s="3485"/>
      <c r="AI459" s="3470" t="s">
        <v>6972</v>
      </c>
      <c r="AJ459" s="3523">
        <v>37846</v>
      </c>
      <c r="AK459" s="3500">
        <v>7</v>
      </c>
      <c r="AL459" s="3441">
        <v>67641700</v>
      </c>
      <c r="AN459" s="3441" t="s">
        <v>3570</v>
      </c>
      <c r="AP459" s="3441" t="s">
        <v>3476</v>
      </c>
      <c r="AQ459" s="3441" t="s">
        <v>3571</v>
      </c>
      <c r="AW459" s="3470" t="s">
        <v>3572</v>
      </c>
      <c r="AX459" s="3441" t="s">
        <v>2511</v>
      </c>
      <c r="AY459" s="3441">
        <v>126735</v>
      </c>
      <c r="AZ459" s="3524" t="s">
        <v>6704</v>
      </c>
      <c r="BA459" s="3441" t="s">
        <v>6670</v>
      </c>
      <c r="BB459" s="3620">
        <v>1101081434031</v>
      </c>
      <c r="BC459" s="3524" t="s">
        <v>6973</v>
      </c>
      <c r="BD459" s="3441">
        <v>100094</v>
      </c>
      <c r="BE459" s="3525">
        <v>62962485</v>
      </c>
      <c r="BF459" s="3441">
        <v>2.7</v>
      </c>
      <c r="BG459" s="3478">
        <v>37785</v>
      </c>
      <c r="BH459" s="3518"/>
      <c r="BI459" s="3441" t="s">
        <v>3476</v>
      </c>
      <c r="BJ459" s="3478">
        <v>37799</v>
      </c>
      <c r="BK459" s="3518"/>
      <c r="BL459" s="3441" t="s">
        <v>3594</v>
      </c>
      <c r="BS459" s="3470"/>
      <c r="BT459" s="3470"/>
      <c r="BU459" s="3470"/>
    </row>
    <row r="460" spans="1:253" s="3470" customFormat="1" ht="12" hidden="1">
      <c r="A460" s="3485" t="s">
        <v>6974</v>
      </c>
      <c r="B460" s="3470" t="s">
        <v>6975</v>
      </c>
      <c r="C460" s="3454" t="s">
        <v>6976</v>
      </c>
      <c r="D460" s="3470">
        <v>138010215875</v>
      </c>
      <c r="E460" s="3470" t="s">
        <v>2736</v>
      </c>
      <c r="F460" s="3470" t="s">
        <v>5583</v>
      </c>
      <c r="G460" s="3470" t="s">
        <v>2420</v>
      </c>
      <c r="H460" s="3470" t="s">
        <v>5793</v>
      </c>
      <c r="I460" s="3470" t="s">
        <v>4433</v>
      </c>
      <c r="J460" s="3453" t="s">
        <v>3871</v>
      </c>
      <c r="K460" s="3470" t="s">
        <v>5586</v>
      </c>
      <c r="L460" s="3495">
        <v>122.2</v>
      </c>
      <c r="M460" s="3495">
        <v>4</v>
      </c>
      <c r="N460" s="3470" t="s">
        <v>3632</v>
      </c>
      <c r="O460" s="3495">
        <v>111.4</v>
      </c>
      <c r="P460" s="3470" t="s">
        <v>3452</v>
      </c>
      <c r="Q460" s="3457">
        <v>523016</v>
      </c>
      <c r="R460" s="3470">
        <v>4280</v>
      </c>
      <c r="S460" s="3472">
        <v>51.73</v>
      </c>
      <c r="T460" s="3527">
        <v>517299.99999999994</v>
      </c>
      <c r="U460" s="3470">
        <v>4234</v>
      </c>
      <c r="V460" s="3474">
        <v>0.1</v>
      </c>
      <c r="W460" s="3475">
        <v>46.55</v>
      </c>
      <c r="X460" s="3473">
        <v>465500</v>
      </c>
      <c r="Y460" s="3441">
        <v>2003</v>
      </c>
      <c r="Z460" s="3515">
        <v>7</v>
      </c>
      <c r="AA460" s="3470">
        <v>22</v>
      </c>
      <c r="AB460" s="3485">
        <v>2585</v>
      </c>
      <c r="AC460" s="3470" t="s">
        <v>6977</v>
      </c>
      <c r="AE460" s="3456" t="s">
        <v>3663</v>
      </c>
      <c r="AF460" s="3470" t="s">
        <v>6742</v>
      </c>
      <c r="AG460" s="3470" t="s">
        <v>3466</v>
      </c>
      <c r="AI460" s="3470" t="s">
        <v>6972</v>
      </c>
      <c r="AJ460" s="3478">
        <v>38108</v>
      </c>
      <c r="AK460" s="3500">
        <v>7</v>
      </c>
      <c r="AL460" s="3495">
        <v>67641700</v>
      </c>
      <c r="AN460" s="3469" t="s">
        <v>3680</v>
      </c>
      <c r="AO460" s="3470" t="s">
        <v>6978</v>
      </c>
      <c r="AP460" s="3456" t="s">
        <v>3476</v>
      </c>
      <c r="AQ460" s="3469" t="s">
        <v>3571</v>
      </c>
      <c r="AV460" s="3519"/>
      <c r="AW460" s="3470" t="s">
        <v>3572</v>
      </c>
      <c r="AX460" s="3470" t="s">
        <v>3715</v>
      </c>
      <c r="AY460" s="3495">
        <v>299261</v>
      </c>
      <c r="AZ460" s="3470" t="s">
        <v>6880</v>
      </c>
      <c r="BA460" s="3470" t="s">
        <v>5587</v>
      </c>
      <c r="BB460" s="3619">
        <v>1102281326100</v>
      </c>
      <c r="BC460" s="3470" t="s">
        <v>5588</v>
      </c>
      <c r="BD460" s="3470">
        <v>100055</v>
      </c>
      <c r="BE460" s="3470">
        <v>82951881</v>
      </c>
      <c r="BF460" s="3520">
        <v>2.8</v>
      </c>
      <c r="BG460" s="3478">
        <v>37797</v>
      </c>
      <c r="BI460" s="3470" t="s">
        <v>3476</v>
      </c>
      <c r="BJ460" s="3508">
        <v>37820</v>
      </c>
      <c r="BK460" s="3478"/>
      <c r="BL460" s="3441" t="s">
        <v>3670</v>
      </c>
      <c r="BM460" s="3441"/>
      <c r="BN460" s="3441"/>
      <c r="BO460" s="3441"/>
      <c r="BP460" s="3441"/>
      <c r="BQ460" s="3441"/>
      <c r="BR460" s="3441"/>
    </row>
    <row r="461" spans="1:253" s="3470" customFormat="1" ht="12" hidden="1">
      <c r="A461" s="3485" t="s">
        <v>6979</v>
      </c>
      <c r="B461" s="3470" t="s">
        <v>6980</v>
      </c>
      <c r="C461" s="3454" t="s">
        <v>6981</v>
      </c>
      <c r="D461" s="3470">
        <v>13901237339</v>
      </c>
      <c r="E461" s="3470" t="s">
        <v>2736</v>
      </c>
      <c r="F461" s="3470" t="s">
        <v>5592</v>
      </c>
      <c r="G461" s="3470" t="s">
        <v>2420</v>
      </c>
      <c r="H461" s="3470" t="s">
        <v>6148</v>
      </c>
      <c r="I461" s="3453" t="s">
        <v>3676</v>
      </c>
      <c r="J461" s="3453" t="s">
        <v>4549</v>
      </c>
      <c r="K461" s="3470" t="s">
        <v>5586</v>
      </c>
      <c r="L461" s="3495">
        <v>122.2</v>
      </c>
      <c r="M461" s="3495">
        <v>3</v>
      </c>
      <c r="N461" s="3470" t="s">
        <v>3632</v>
      </c>
      <c r="O461" s="3495">
        <v>111.4</v>
      </c>
      <c r="P461" s="3470" t="s">
        <v>3452</v>
      </c>
      <c r="Q461" s="3457">
        <v>535236</v>
      </c>
      <c r="R461" s="3470">
        <v>4380</v>
      </c>
      <c r="S461" s="3472">
        <v>52.91</v>
      </c>
      <c r="T461" s="3527">
        <v>529100</v>
      </c>
      <c r="U461" s="3470">
        <v>4330</v>
      </c>
      <c r="V461" s="3474">
        <v>0.1</v>
      </c>
      <c r="W461" s="3475">
        <v>47.61</v>
      </c>
      <c r="X461" s="3473">
        <v>476100</v>
      </c>
      <c r="Y461" s="3441">
        <v>2003</v>
      </c>
      <c r="Z461" s="3441">
        <v>7</v>
      </c>
      <c r="AA461" s="3441">
        <v>11</v>
      </c>
      <c r="AB461" s="3485">
        <v>2645</v>
      </c>
      <c r="AC461" s="3470" t="s">
        <v>4922</v>
      </c>
      <c r="AE461" s="3456" t="s">
        <v>3663</v>
      </c>
      <c r="AF461" s="3470" t="s">
        <v>6982</v>
      </c>
      <c r="AG461" s="3470" t="s">
        <v>3466</v>
      </c>
      <c r="AI461" s="3470" t="s">
        <v>4849</v>
      </c>
      <c r="AJ461" s="3478">
        <v>38108</v>
      </c>
      <c r="AK461" s="3500">
        <v>7</v>
      </c>
      <c r="AL461" s="3495">
        <v>67641700</v>
      </c>
      <c r="AN461" s="3469" t="s">
        <v>3695</v>
      </c>
      <c r="AO461" s="3470" t="s">
        <v>6983</v>
      </c>
      <c r="AP461" s="3456" t="s">
        <v>3476</v>
      </c>
      <c r="AQ461" s="3456" t="s">
        <v>3571</v>
      </c>
      <c r="AV461" s="3519"/>
      <c r="AW461" s="3470" t="s">
        <v>3572</v>
      </c>
      <c r="AX461" s="3470" t="s">
        <v>2420</v>
      </c>
      <c r="AY461" s="3495">
        <v>299279</v>
      </c>
      <c r="AZ461" s="3470" t="s">
        <v>5586</v>
      </c>
      <c r="BA461" s="3470" t="s">
        <v>5587</v>
      </c>
      <c r="BB461" s="3619">
        <v>1102281326100</v>
      </c>
      <c r="BC461" s="3470" t="s">
        <v>5604</v>
      </c>
      <c r="BD461" s="3470">
        <v>100055</v>
      </c>
      <c r="BE461" s="3470">
        <v>82951881</v>
      </c>
      <c r="BF461" s="3520">
        <v>2.8</v>
      </c>
      <c r="BG461" s="3478">
        <v>37800</v>
      </c>
      <c r="BI461" s="3470" t="s">
        <v>3476</v>
      </c>
      <c r="BJ461" s="3508">
        <v>37811</v>
      </c>
      <c r="BK461" s="3478"/>
      <c r="BL461" s="3441" t="s">
        <v>3670</v>
      </c>
      <c r="BM461" s="3441"/>
      <c r="BN461" s="3441"/>
      <c r="BO461" s="3441"/>
      <c r="BP461" s="3441"/>
      <c r="BQ461" s="3441"/>
      <c r="BR461" s="3441"/>
    </row>
    <row r="462" spans="1:253" s="3470" customFormat="1" ht="12" hidden="1">
      <c r="A462" s="3485" t="s">
        <v>6984</v>
      </c>
      <c r="B462" s="3470" t="s">
        <v>6985</v>
      </c>
      <c r="C462" s="3454" t="s">
        <v>6986</v>
      </c>
      <c r="D462" s="3470">
        <v>13701156218</v>
      </c>
      <c r="E462" s="3470" t="s">
        <v>6987</v>
      </c>
      <c r="F462" s="3470" t="s">
        <v>6878</v>
      </c>
      <c r="G462" s="3470" t="s">
        <v>6879</v>
      </c>
      <c r="H462" s="3470" t="s">
        <v>6988</v>
      </c>
      <c r="I462" s="3453" t="s">
        <v>6989</v>
      </c>
      <c r="J462" s="3453" t="s">
        <v>6990</v>
      </c>
      <c r="K462" s="3470" t="s">
        <v>5586</v>
      </c>
      <c r="L462" s="3495">
        <v>117.1</v>
      </c>
      <c r="M462" s="3495">
        <v>4</v>
      </c>
      <c r="N462" s="3470" t="s">
        <v>3632</v>
      </c>
      <c r="O462" s="3495">
        <v>105.92</v>
      </c>
      <c r="P462" s="3470" t="s">
        <v>3452</v>
      </c>
      <c r="Q462" s="3457">
        <v>497675</v>
      </c>
      <c r="R462" s="3470">
        <v>4250</v>
      </c>
      <c r="S462" s="3472">
        <v>49.18</v>
      </c>
      <c r="T462" s="3527">
        <v>491800</v>
      </c>
      <c r="U462" s="3470">
        <v>4200</v>
      </c>
      <c r="V462" s="3474">
        <v>0.1</v>
      </c>
      <c r="W462" s="3475">
        <v>44.26</v>
      </c>
      <c r="X462" s="3473">
        <v>442600</v>
      </c>
      <c r="Y462" s="3441">
        <v>2003</v>
      </c>
      <c r="Z462" s="3441">
        <v>7</v>
      </c>
      <c r="AA462" s="3441">
        <v>11</v>
      </c>
      <c r="AB462" s="3485">
        <v>2455</v>
      </c>
      <c r="AC462" s="3470" t="s">
        <v>6891</v>
      </c>
      <c r="AE462" s="3456" t="s">
        <v>3663</v>
      </c>
      <c r="AF462" s="3470" t="s">
        <v>6625</v>
      </c>
      <c r="AG462" s="3470" t="s">
        <v>3466</v>
      </c>
      <c r="AI462" s="3470" t="s">
        <v>3664</v>
      </c>
      <c r="AJ462" s="3478">
        <v>38108</v>
      </c>
      <c r="AK462" s="3500">
        <v>7</v>
      </c>
      <c r="AL462" s="3495">
        <v>67641700</v>
      </c>
      <c r="AN462" s="3469" t="s">
        <v>3695</v>
      </c>
      <c r="AO462" s="3470" t="s">
        <v>6991</v>
      </c>
      <c r="AP462" s="3456" t="s">
        <v>3476</v>
      </c>
      <c r="AQ462" s="3456" t="s">
        <v>3571</v>
      </c>
      <c r="AV462" s="3519"/>
      <c r="AW462" s="3470" t="s">
        <v>3572</v>
      </c>
      <c r="AX462" s="3470" t="s">
        <v>2420</v>
      </c>
      <c r="AY462" s="3495">
        <v>299269</v>
      </c>
      <c r="AZ462" s="3470" t="s">
        <v>6880</v>
      </c>
      <c r="BA462" s="3470" t="s">
        <v>5587</v>
      </c>
      <c r="BB462" s="3619">
        <v>1102281326100</v>
      </c>
      <c r="BC462" s="3470" t="s">
        <v>5588</v>
      </c>
      <c r="BD462" s="3470">
        <v>100055</v>
      </c>
      <c r="BE462" s="3470">
        <v>82951881</v>
      </c>
      <c r="BF462" s="3520">
        <v>2.8</v>
      </c>
      <c r="BG462" s="3478">
        <v>37801</v>
      </c>
      <c r="BI462" s="3470" t="s">
        <v>3476</v>
      </c>
      <c r="BJ462" s="3508">
        <v>37811</v>
      </c>
      <c r="BK462" s="3478"/>
      <c r="BL462" s="3441" t="s">
        <v>3670</v>
      </c>
      <c r="BM462" s="3441"/>
      <c r="BN462" s="3441"/>
      <c r="BO462" s="3441"/>
      <c r="BP462" s="3441"/>
      <c r="BQ462" s="3441"/>
      <c r="BR462" s="3441"/>
    </row>
    <row r="463" spans="1:253" s="3470" customFormat="1" ht="12" hidden="1">
      <c r="A463" s="3485" t="s">
        <v>6992</v>
      </c>
      <c r="B463" s="3470" t="s">
        <v>6993</v>
      </c>
      <c r="C463" s="3454" t="s">
        <v>6994</v>
      </c>
      <c r="D463" s="3470">
        <v>13671090631</v>
      </c>
      <c r="E463" s="3470" t="s">
        <v>2736</v>
      </c>
      <c r="F463" s="3470" t="s">
        <v>5592</v>
      </c>
      <c r="G463" s="3470" t="s">
        <v>2420</v>
      </c>
      <c r="H463" s="3470" t="s">
        <v>6103</v>
      </c>
      <c r="I463" s="3453" t="s">
        <v>3582</v>
      </c>
      <c r="J463" s="3453" t="s">
        <v>6295</v>
      </c>
      <c r="K463" s="3470" t="s">
        <v>5586</v>
      </c>
      <c r="L463" s="3495">
        <v>98.22</v>
      </c>
      <c r="M463" s="3495">
        <v>9</v>
      </c>
      <c r="N463" s="3470" t="s">
        <v>4871</v>
      </c>
      <c r="O463" s="3495">
        <v>83.29</v>
      </c>
      <c r="P463" s="3470" t="s">
        <v>3452</v>
      </c>
      <c r="Q463" s="3457">
        <v>397791</v>
      </c>
      <c r="R463" s="3470">
        <v>4050</v>
      </c>
      <c r="S463" s="3472">
        <v>39.28</v>
      </c>
      <c r="T463" s="3527">
        <v>392800</v>
      </c>
      <c r="U463" s="3470">
        <v>4000</v>
      </c>
      <c r="V463" s="3474">
        <v>0.1</v>
      </c>
      <c r="W463" s="3475">
        <v>35.35</v>
      </c>
      <c r="X463" s="3473">
        <v>353500</v>
      </c>
      <c r="Y463" s="3441">
        <v>2003</v>
      </c>
      <c r="Z463" s="3441">
        <v>7</v>
      </c>
      <c r="AA463" s="3441">
        <v>11</v>
      </c>
      <c r="AB463" s="3485">
        <v>1960</v>
      </c>
      <c r="AC463" s="3470" t="s">
        <v>5870</v>
      </c>
      <c r="AE463" s="3456" t="s">
        <v>3663</v>
      </c>
      <c r="AF463" s="3470" t="s">
        <v>6104</v>
      </c>
      <c r="AG463" s="3470" t="s">
        <v>3466</v>
      </c>
      <c r="AI463" s="3470" t="s">
        <v>3664</v>
      </c>
      <c r="AJ463" s="3478">
        <v>38108</v>
      </c>
      <c r="AK463" s="3500">
        <v>7</v>
      </c>
      <c r="AL463" s="3495">
        <v>67641700</v>
      </c>
      <c r="AN463" s="3469" t="s">
        <v>3695</v>
      </c>
      <c r="AO463" s="3470" t="s">
        <v>6995</v>
      </c>
      <c r="AP463" s="3456" t="s">
        <v>3476</v>
      </c>
      <c r="AQ463" s="3456" t="s">
        <v>3571</v>
      </c>
      <c r="AV463" s="3519"/>
      <c r="AW463" s="3470" t="s">
        <v>3572</v>
      </c>
      <c r="AX463" s="3470" t="s">
        <v>2420</v>
      </c>
      <c r="AY463" s="3495">
        <v>299255</v>
      </c>
      <c r="AZ463" s="3470" t="s">
        <v>5586</v>
      </c>
      <c r="BA463" s="3470" t="s">
        <v>5595</v>
      </c>
      <c r="BB463" s="3619">
        <v>1102281326100</v>
      </c>
      <c r="BC463" s="3470" t="s">
        <v>5588</v>
      </c>
      <c r="BD463" s="3470">
        <v>100055</v>
      </c>
      <c r="BE463" s="3470">
        <v>82951881</v>
      </c>
      <c r="BF463" s="3520">
        <v>2.8</v>
      </c>
      <c r="BG463" s="3478">
        <v>37794</v>
      </c>
      <c r="BI463" s="3470" t="s">
        <v>3476</v>
      </c>
      <c r="BJ463" s="3508">
        <v>37809</v>
      </c>
      <c r="BK463" s="3478"/>
      <c r="BL463" s="3441" t="s">
        <v>3670</v>
      </c>
      <c r="BM463" s="3441"/>
      <c r="BN463" s="3441"/>
      <c r="BO463" s="3441"/>
      <c r="BP463" s="3441"/>
      <c r="BQ463" s="3441"/>
      <c r="BR463" s="3441"/>
    </row>
    <row r="464" spans="1:253" s="3441" customFormat="1" ht="12" hidden="1">
      <c r="A464" s="3485" t="s">
        <v>6996</v>
      </c>
      <c r="B464" s="3470" t="s">
        <v>6997</v>
      </c>
      <c r="C464" s="3481" t="s">
        <v>6998</v>
      </c>
      <c r="D464" s="3481" t="s">
        <v>6999</v>
      </c>
      <c r="E464" s="3470" t="s">
        <v>3558</v>
      </c>
      <c r="F464" s="3470" t="s">
        <v>7000</v>
      </c>
      <c r="G464" s="3470" t="s">
        <v>7001</v>
      </c>
      <c r="H464" s="3470" t="s">
        <v>7002</v>
      </c>
      <c r="I464" s="3470" t="s">
        <v>3582</v>
      </c>
      <c r="J464" s="3481" t="s">
        <v>7003</v>
      </c>
      <c r="K464" s="3470" t="s">
        <v>5500</v>
      </c>
      <c r="L464" s="3470">
        <v>161.99</v>
      </c>
      <c r="M464" s="3470">
        <v>5</v>
      </c>
      <c r="N464" s="3470" t="s">
        <v>4003</v>
      </c>
      <c r="O464" s="3470">
        <v>136.07</v>
      </c>
      <c r="P464" s="3470" t="s">
        <v>3452</v>
      </c>
      <c r="Q464" s="3457">
        <v>1023452.8200000001</v>
      </c>
      <c r="R464" s="3470">
        <v>6318</v>
      </c>
      <c r="S464" s="3472">
        <v>101.43</v>
      </c>
      <c r="T464" s="3527">
        <v>1014300.0000000001</v>
      </c>
      <c r="U464" s="3470">
        <v>6262</v>
      </c>
      <c r="V464" s="3474">
        <v>0.1</v>
      </c>
      <c r="W464" s="3475">
        <v>91.28</v>
      </c>
      <c r="X464" s="3476">
        <v>912800</v>
      </c>
      <c r="Y464" s="3441">
        <v>2003</v>
      </c>
      <c r="Z464" s="3441">
        <v>7</v>
      </c>
      <c r="AA464" s="3441">
        <v>2</v>
      </c>
      <c r="AB464" s="3485">
        <v>5035</v>
      </c>
      <c r="AC464" s="3470" t="s">
        <v>7004</v>
      </c>
      <c r="AD464" s="3485"/>
      <c r="AE464" s="3441" t="s">
        <v>3663</v>
      </c>
      <c r="AF464" s="3470" t="s">
        <v>7005</v>
      </c>
      <c r="AG464" s="3522" t="s">
        <v>3466</v>
      </c>
      <c r="AH464" s="3485"/>
      <c r="AI464" s="3470" t="s">
        <v>6972</v>
      </c>
      <c r="AJ464" s="3478">
        <v>38077</v>
      </c>
      <c r="AK464" s="3500">
        <v>7</v>
      </c>
      <c r="AL464" s="3441">
        <v>67641700</v>
      </c>
      <c r="AN464" s="3441" t="s">
        <v>6873</v>
      </c>
      <c r="AO464" s="3441" t="s">
        <v>7006</v>
      </c>
      <c r="AP464" s="3456" t="s">
        <v>3721</v>
      </c>
      <c r="AQ464" s="3441" t="s">
        <v>3571</v>
      </c>
      <c r="AW464" s="3441" t="s">
        <v>3572</v>
      </c>
      <c r="AX464" s="3441" t="s">
        <v>2511</v>
      </c>
      <c r="AY464" s="3524" t="s">
        <v>7007</v>
      </c>
      <c r="AZ464" s="3441" t="s">
        <v>5500</v>
      </c>
      <c r="BA464" s="3470" t="s">
        <v>7008</v>
      </c>
      <c r="BB464" s="3524" t="s">
        <v>5502</v>
      </c>
      <c r="BC464" s="3441" t="s">
        <v>7009</v>
      </c>
      <c r="BD464" s="3525">
        <v>100089</v>
      </c>
      <c r="BE464" s="3441">
        <v>88442745</v>
      </c>
      <c r="BF464" s="3526">
        <v>2.8</v>
      </c>
      <c r="BG464" s="3518">
        <v>37793</v>
      </c>
      <c r="BI464" s="3441" t="s">
        <v>3700</v>
      </c>
      <c r="BJ464" s="3478">
        <v>37802</v>
      </c>
      <c r="BK464" s="3484"/>
      <c r="BL464" s="3470" t="s">
        <v>3670</v>
      </c>
      <c r="BS464" s="3470"/>
      <c r="BT464" s="3470"/>
      <c r="BU464" s="3470"/>
    </row>
    <row r="465" spans="1:253" s="3441" customFormat="1" ht="12" hidden="1">
      <c r="A465" s="3485" t="s">
        <v>7010</v>
      </c>
      <c r="B465" s="3470" t="s">
        <v>7011</v>
      </c>
      <c r="C465" s="3481" t="s">
        <v>7012</v>
      </c>
      <c r="D465" s="3453">
        <v>13910224343</v>
      </c>
      <c r="E465" s="3470" t="s">
        <v>6987</v>
      </c>
      <c r="F465" s="3528" t="s">
        <v>7013</v>
      </c>
      <c r="G465" s="3470"/>
      <c r="H465" s="3470" t="s">
        <v>7014</v>
      </c>
      <c r="I465" s="3453" t="s">
        <v>6989</v>
      </c>
      <c r="J465" s="3481" t="s">
        <v>7015</v>
      </c>
      <c r="K465" s="3441" t="s">
        <v>7016</v>
      </c>
      <c r="L465" s="3470">
        <v>90.1</v>
      </c>
      <c r="M465" s="3470">
        <v>6</v>
      </c>
      <c r="N465" s="3470" t="s">
        <v>7017</v>
      </c>
      <c r="O465" s="3470">
        <v>76.52</v>
      </c>
      <c r="P465" s="3470" t="s">
        <v>3452</v>
      </c>
      <c r="Q465" s="3457">
        <v>446445.5</v>
      </c>
      <c r="R465" s="3470">
        <v>4955</v>
      </c>
      <c r="S465" s="3472">
        <v>44.18</v>
      </c>
      <c r="T465" s="3527">
        <v>441800</v>
      </c>
      <c r="U465" s="3495">
        <v>4904</v>
      </c>
      <c r="V465" s="3512">
        <v>0.1</v>
      </c>
      <c r="W465" s="3475">
        <v>39.76</v>
      </c>
      <c r="X465" s="3473">
        <v>397600</v>
      </c>
      <c r="Y465" s="3515">
        <v>2003</v>
      </c>
      <c r="Z465" s="3441">
        <v>7</v>
      </c>
      <c r="AA465" s="3470">
        <v>2</v>
      </c>
      <c r="AB465" s="3477">
        <v>2205</v>
      </c>
      <c r="AC465" s="3470" t="s">
        <v>5917</v>
      </c>
      <c r="AD465" s="3485"/>
      <c r="AE465" s="3441" t="s">
        <v>3663</v>
      </c>
      <c r="AF465" s="3453" t="s">
        <v>3728</v>
      </c>
      <c r="AG465" s="3522" t="s">
        <v>3466</v>
      </c>
      <c r="AH465" s="3485" t="s">
        <v>3568</v>
      </c>
      <c r="AI465" s="3470" t="s">
        <v>6972</v>
      </c>
      <c r="AJ465" s="3523">
        <v>37986</v>
      </c>
      <c r="AK465" s="3500">
        <v>7</v>
      </c>
      <c r="AL465" s="3441">
        <v>67641700</v>
      </c>
      <c r="AN465" s="3441" t="s">
        <v>3570</v>
      </c>
      <c r="AP465" s="3441" t="s">
        <v>3476</v>
      </c>
      <c r="AQ465" s="3441" t="s">
        <v>3571</v>
      </c>
      <c r="AV465" s="3441" t="s">
        <v>3568</v>
      </c>
      <c r="AW465" s="3441" t="s">
        <v>3572</v>
      </c>
      <c r="AY465" s="3524" t="s">
        <v>7018</v>
      </c>
      <c r="AZ465" s="3441" t="s">
        <v>6367</v>
      </c>
      <c r="BA465" s="3441" t="s">
        <v>7019</v>
      </c>
      <c r="BB465" s="3524" t="s">
        <v>6371</v>
      </c>
      <c r="BC465" s="3441" t="s">
        <v>7020</v>
      </c>
      <c r="BD465" s="3525">
        <v>100025</v>
      </c>
      <c r="BE465" s="3441">
        <v>62908858</v>
      </c>
      <c r="BF465" s="3526">
        <v>2.7</v>
      </c>
      <c r="BG465" s="3518">
        <v>37767</v>
      </c>
      <c r="BH465" s="3441" t="s">
        <v>7021</v>
      </c>
      <c r="BI465" s="3441" t="s">
        <v>3476</v>
      </c>
      <c r="BJ465" s="3478">
        <v>37802</v>
      </c>
      <c r="BK465" s="3484"/>
      <c r="BL465" s="3470" t="s">
        <v>3670</v>
      </c>
      <c r="BS465" s="3470"/>
      <c r="BT465" s="3470"/>
      <c r="BU465" s="3470"/>
      <c r="BV465" s="3472"/>
      <c r="BW465" s="3472"/>
      <c r="BX465" s="3472"/>
      <c r="BY465" s="3472"/>
      <c r="BZ465" s="3472"/>
      <c r="CA465" s="3472"/>
      <c r="CB465" s="3472"/>
      <c r="CC465" s="3472"/>
      <c r="CD465" s="3472"/>
      <c r="CE465" s="3472"/>
      <c r="CF465" s="3472"/>
      <c r="CG465" s="3472"/>
      <c r="CH465" s="3472"/>
      <c r="CI465" s="3472"/>
      <c r="CJ465" s="3472"/>
      <c r="CK465" s="3472"/>
      <c r="CL465" s="3472"/>
      <c r="CM465" s="3472"/>
      <c r="CN465" s="3472"/>
      <c r="CO465" s="3472"/>
      <c r="CP465" s="3472"/>
      <c r="CQ465" s="3472"/>
      <c r="CR465" s="3472"/>
      <c r="CS465" s="3472"/>
      <c r="CT465" s="3472"/>
      <c r="CU465" s="3472"/>
      <c r="CV465" s="3472"/>
      <c r="CW465" s="3472"/>
      <c r="CX465" s="3472"/>
      <c r="CY465" s="3472"/>
      <c r="CZ465" s="3472"/>
      <c r="DA465" s="3472"/>
      <c r="DB465" s="3472"/>
      <c r="DC465" s="3472"/>
      <c r="DD465" s="3472"/>
      <c r="DE465" s="3472"/>
      <c r="DF465" s="3472"/>
      <c r="DG465" s="3472"/>
      <c r="DH465" s="3472"/>
      <c r="DI465" s="3472"/>
      <c r="DJ465" s="3472"/>
      <c r="DK465" s="3472"/>
      <c r="DL465" s="3472"/>
      <c r="DM465" s="3472"/>
      <c r="DN465" s="3472"/>
      <c r="DO465" s="3472"/>
      <c r="DP465" s="3472"/>
      <c r="DQ465" s="3472"/>
      <c r="DR465" s="3472"/>
      <c r="DS465" s="3472"/>
      <c r="DT465" s="3472"/>
      <c r="DU465" s="3472"/>
      <c r="DV465" s="3472"/>
      <c r="DW465" s="3472"/>
      <c r="DX465" s="3472"/>
      <c r="DY465" s="3472"/>
      <c r="DZ465" s="3472"/>
      <c r="EA465" s="3472"/>
      <c r="EB465" s="3472"/>
      <c r="EC465" s="3472"/>
      <c r="ED465" s="3472"/>
      <c r="EE465" s="3472"/>
      <c r="EF465" s="3472"/>
      <c r="EG465" s="3472"/>
      <c r="EH465" s="3472"/>
      <c r="EI465" s="3472"/>
      <c r="EJ465" s="3472"/>
      <c r="EK465" s="3472"/>
      <c r="EL465" s="3472"/>
      <c r="EM465" s="3472"/>
      <c r="EN465" s="3472"/>
      <c r="EO465" s="3472"/>
      <c r="EP465" s="3472"/>
      <c r="EQ465" s="3472"/>
      <c r="ER465" s="3472"/>
      <c r="ES465" s="3472"/>
      <c r="ET465" s="3472"/>
      <c r="EU465" s="3472"/>
      <c r="EV465" s="3472"/>
      <c r="EW465" s="3472"/>
      <c r="EX465" s="3472"/>
      <c r="EY465" s="3472"/>
      <c r="EZ465" s="3472"/>
      <c r="FA465" s="3472"/>
      <c r="FB465" s="3472"/>
      <c r="FC465" s="3472"/>
      <c r="FD465" s="3472"/>
      <c r="FE465" s="3472"/>
      <c r="FF465" s="3472"/>
      <c r="FG465" s="3472"/>
      <c r="FH465" s="3472"/>
      <c r="FI465" s="3472"/>
      <c r="FJ465" s="3472"/>
      <c r="FK465" s="3472"/>
      <c r="FL465" s="3472"/>
      <c r="FM465" s="3472"/>
      <c r="FN465" s="3472"/>
      <c r="FO465" s="3472"/>
      <c r="FP465" s="3472"/>
      <c r="FQ465" s="3472"/>
      <c r="FR465" s="3472"/>
      <c r="FS465" s="3472"/>
      <c r="FT465" s="3472"/>
      <c r="FU465" s="3472"/>
      <c r="FV465" s="3472"/>
      <c r="FW465" s="3472"/>
      <c r="FX465" s="3472"/>
      <c r="FY465" s="3472"/>
      <c r="FZ465" s="3472"/>
      <c r="GA465" s="3472"/>
      <c r="GB465" s="3472"/>
      <c r="GC465" s="3472"/>
      <c r="GD465" s="3472"/>
      <c r="GE465" s="3472"/>
      <c r="GF465" s="3472"/>
      <c r="GG465" s="3472"/>
      <c r="GH465" s="3472"/>
      <c r="GI465" s="3472"/>
      <c r="GJ465" s="3472"/>
      <c r="GK465" s="3472"/>
      <c r="GL465" s="3472"/>
      <c r="GM465" s="3472"/>
      <c r="GN465" s="3472"/>
      <c r="GO465" s="3472"/>
      <c r="GP465" s="3472"/>
      <c r="GQ465" s="3472"/>
      <c r="GR465" s="3472"/>
      <c r="GS465" s="3472"/>
      <c r="GT465" s="3472"/>
      <c r="GU465" s="3472"/>
      <c r="GV465" s="3472"/>
      <c r="GW465" s="3472"/>
      <c r="GX465" s="3472"/>
      <c r="GY465" s="3472"/>
      <c r="GZ465" s="3472"/>
      <c r="HA465" s="3472"/>
      <c r="HB465" s="3472"/>
      <c r="HC465" s="3472"/>
      <c r="HD465" s="3472"/>
      <c r="HE465" s="3472"/>
      <c r="HF465" s="3472"/>
      <c r="HG465" s="3472"/>
      <c r="HH465" s="3472"/>
      <c r="HI465" s="3472"/>
      <c r="HJ465" s="3472"/>
      <c r="HK465" s="3472"/>
      <c r="HL465" s="3472"/>
      <c r="HM465" s="3472"/>
      <c r="HN465" s="3472"/>
      <c r="HO465" s="3472"/>
      <c r="HP465" s="3472"/>
      <c r="HQ465" s="3472"/>
      <c r="HR465" s="3472"/>
      <c r="HS465" s="3472"/>
      <c r="HT465" s="3472"/>
      <c r="HU465" s="3472"/>
      <c r="HV465" s="3472"/>
      <c r="HW465" s="3472"/>
      <c r="HX465" s="3472"/>
      <c r="HY465" s="3472"/>
      <c r="HZ465" s="3472"/>
      <c r="IA465" s="3472"/>
      <c r="IB465" s="3472"/>
      <c r="IC465" s="3472"/>
      <c r="ID465" s="3472"/>
      <c r="IE465" s="3472"/>
      <c r="IF465" s="3472"/>
      <c r="IG465" s="3472"/>
      <c r="IH465" s="3472"/>
      <c r="II465" s="3472"/>
      <c r="IJ465" s="3472"/>
      <c r="IK465" s="3472"/>
      <c r="IL465" s="3472"/>
      <c r="IM465" s="3472"/>
      <c r="IN465" s="3472"/>
      <c r="IO465" s="3472"/>
      <c r="IP465" s="3472"/>
      <c r="IQ465" s="3472"/>
      <c r="IR465" s="3472"/>
      <c r="IS465" s="3472"/>
    </row>
    <row r="466" spans="1:253" s="3441" customFormat="1" ht="12" hidden="1">
      <c r="A466" s="3470" t="s">
        <v>7022</v>
      </c>
      <c r="B466" s="3470" t="s">
        <v>7023</v>
      </c>
      <c r="C466" s="3481" t="s">
        <v>7024</v>
      </c>
      <c r="D466" s="3481" t="s">
        <v>7025</v>
      </c>
      <c r="E466" s="3470" t="s">
        <v>2736</v>
      </c>
      <c r="F466" s="3470" t="s">
        <v>7026</v>
      </c>
      <c r="G466" s="3470"/>
      <c r="H466" s="3470" t="s">
        <v>6530</v>
      </c>
      <c r="I466" s="3470" t="s">
        <v>3676</v>
      </c>
      <c r="J466" s="3470" t="s">
        <v>4042</v>
      </c>
      <c r="K466" s="3470" t="s">
        <v>6453</v>
      </c>
      <c r="L466" s="3470">
        <v>125.56</v>
      </c>
      <c r="M466" s="3470">
        <v>3</v>
      </c>
      <c r="N466" s="3470" t="s">
        <v>4336</v>
      </c>
      <c r="O466" s="3470">
        <v>111.21</v>
      </c>
      <c r="P466" s="3470" t="s">
        <v>3452</v>
      </c>
      <c r="Q466" s="3457">
        <v>738292.8</v>
      </c>
      <c r="R466" s="3495">
        <v>5880</v>
      </c>
      <c r="S466" s="3472">
        <v>73.13</v>
      </c>
      <c r="T466" s="3527">
        <v>731300</v>
      </c>
      <c r="U466" s="3495">
        <v>5825</v>
      </c>
      <c r="V466" s="3512">
        <v>0.1</v>
      </c>
      <c r="W466" s="3475">
        <v>65.81</v>
      </c>
      <c r="X466" s="3476">
        <v>658100</v>
      </c>
      <c r="Y466" s="3470">
        <v>2003</v>
      </c>
      <c r="Z466" s="3441">
        <v>7</v>
      </c>
      <c r="AA466" s="3470">
        <v>2</v>
      </c>
      <c r="AB466" s="3477">
        <v>3655</v>
      </c>
      <c r="AC466" s="3470" t="s">
        <v>7004</v>
      </c>
      <c r="AD466" s="3470"/>
      <c r="AE466" s="3470" t="s">
        <v>3547</v>
      </c>
      <c r="AF466" s="3470" t="s">
        <v>7027</v>
      </c>
      <c r="AG466" s="3470" t="s">
        <v>3546</v>
      </c>
      <c r="AH466" s="3470"/>
      <c r="AI466" s="3470" t="s">
        <v>7028</v>
      </c>
      <c r="AJ466" s="3478">
        <v>37681</v>
      </c>
      <c r="AK466" s="3500">
        <v>7</v>
      </c>
      <c r="AL466" s="3470">
        <v>67641700</v>
      </c>
      <c r="AM466" s="3470"/>
      <c r="AN466" s="3470" t="s">
        <v>3570</v>
      </c>
      <c r="AO466" s="3470"/>
      <c r="AP466" s="3470" t="s">
        <v>3475</v>
      </c>
      <c r="AQ466" s="3470" t="s">
        <v>3714</v>
      </c>
      <c r="AR466" s="3470"/>
      <c r="AS466" s="3470"/>
      <c r="AT466" s="3470"/>
      <c r="AU466" s="3470"/>
      <c r="AV466" s="3470"/>
      <c r="AW466" s="3470" t="s">
        <v>6909</v>
      </c>
      <c r="AX466" s="3508" t="s">
        <v>6646</v>
      </c>
      <c r="AY466" s="3481" t="s">
        <v>7029</v>
      </c>
      <c r="AZ466" s="3470" t="s">
        <v>6645</v>
      </c>
      <c r="BA466" s="3470" t="s">
        <v>6648</v>
      </c>
      <c r="BB466" s="3481" t="s">
        <v>6478</v>
      </c>
      <c r="BC466" s="3470" t="s">
        <v>6559</v>
      </c>
      <c r="BD466" s="3470">
        <v>100091</v>
      </c>
      <c r="BE466" s="3470">
        <v>62898116</v>
      </c>
      <c r="BF466" s="3470">
        <v>2.9</v>
      </c>
      <c r="BG466" s="3478">
        <v>37386</v>
      </c>
      <c r="BH466" s="3470" t="s">
        <v>3715</v>
      </c>
      <c r="BI466" s="3470" t="s">
        <v>3476</v>
      </c>
      <c r="BJ466" s="3508">
        <v>37798</v>
      </c>
      <c r="BK466" s="3508"/>
      <c r="BL466" s="3470" t="s">
        <v>3670</v>
      </c>
      <c r="BM466" s="3470"/>
      <c r="BN466" s="3470"/>
      <c r="BO466" s="3470"/>
      <c r="BS466" s="3470"/>
      <c r="BT466" s="3470"/>
      <c r="BU466" s="3470"/>
      <c r="BV466" s="3472"/>
      <c r="BW466" s="3472"/>
      <c r="BX466" s="3472"/>
      <c r="BY466" s="3472"/>
      <c r="BZ466" s="3472"/>
      <c r="CA466" s="3472"/>
      <c r="CB466" s="3472"/>
      <c r="CC466" s="3472"/>
      <c r="CD466" s="3472"/>
      <c r="CE466" s="3472"/>
      <c r="CF466" s="3472"/>
      <c r="CG466" s="3472"/>
      <c r="CH466" s="3472"/>
      <c r="CI466" s="3472"/>
      <c r="CJ466" s="3472"/>
      <c r="CK466" s="3472"/>
      <c r="CL466" s="3472"/>
      <c r="CM466" s="3472"/>
      <c r="CN466" s="3472"/>
      <c r="CO466" s="3472"/>
      <c r="CP466" s="3472"/>
      <c r="CQ466" s="3472"/>
      <c r="CR466" s="3472"/>
      <c r="CS466" s="3472"/>
      <c r="CT466" s="3472"/>
      <c r="CU466" s="3472"/>
      <c r="CV466" s="3472"/>
      <c r="CW466" s="3472"/>
      <c r="CX466" s="3472"/>
      <c r="CY466" s="3472"/>
      <c r="CZ466" s="3472"/>
      <c r="DA466" s="3472"/>
      <c r="DB466" s="3472"/>
      <c r="DC466" s="3472"/>
      <c r="DD466" s="3472"/>
      <c r="DE466" s="3472"/>
      <c r="DF466" s="3472"/>
      <c r="DG466" s="3472"/>
      <c r="DH466" s="3472"/>
      <c r="DI466" s="3472"/>
      <c r="DJ466" s="3472"/>
      <c r="DK466" s="3472"/>
      <c r="DL466" s="3472"/>
      <c r="DM466" s="3472"/>
      <c r="DN466" s="3472"/>
      <c r="DO466" s="3472"/>
      <c r="DP466" s="3472"/>
      <c r="DQ466" s="3472"/>
      <c r="DR466" s="3472"/>
      <c r="DS466" s="3472"/>
      <c r="DT466" s="3472"/>
      <c r="DU466" s="3472"/>
      <c r="DV466" s="3472"/>
      <c r="DW466" s="3472"/>
      <c r="DX466" s="3472"/>
      <c r="DY466" s="3472"/>
      <c r="DZ466" s="3472"/>
      <c r="EA466" s="3472"/>
      <c r="EB466" s="3472"/>
      <c r="EC466" s="3472"/>
      <c r="ED466" s="3472"/>
      <c r="EE466" s="3472"/>
      <c r="EF466" s="3472"/>
      <c r="EG466" s="3472"/>
      <c r="EH466" s="3472"/>
      <c r="EI466" s="3472"/>
      <c r="EJ466" s="3472"/>
      <c r="EK466" s="3472"/>
      <c r="EL466" s="3472"/>
      <c r="EM466" s="3472"/>
      <c r="EN466" s="3472"/>
      <c r="EO466" s="3472"/>
      <c r="EP466" s="3472"/>
      <c r="EQ466" s="3472"/>
      <c r="ER466" s="3472"/>
      <c r="ES466" s="3472"/>
      <c r="ET466" s="3472"/>
      <c r="EU466" s="3472"/>
      <c r="EV466" s="3472"/>
      <c r="EW466" s="3472"/>
      <c r="EX466" s="3472"/>
      <c r="EY466" s="3472"/>
      <c r="EZ466" s="3472"/>
      <c r="FA466" s="3472"/>
      <c r="FB466" s="3472"/>
      <c r="FC466" s="3472"/>
      <c r="FD466" s="3472"/>
      <c r="FE466" s="3472"/>
      <c r="FF466" s="3472"/>
      <c r="FG466" s="3472"/>
      <c r="FH466" s="3472"/>
      <c r="FI466" s="3472"/>
      <c r="FJ466" s="3472"/>
      <c r="FK466" s="3472"/>
      <c r="FL466" s="3472"/>
      <c r="FM466" s="3472"/>
      <c r="FN466" s="3472"/>
      <c r="FO466" s="3472"/>
      <c r="FP466" s="3472"/>
      <c r="FQ466" s="3472"/>
      <c r="FR466" s="3472"/>
      <c r="FS466" s="3472"/>
      <c r="FT466" s="3472"/>
      <c r="FU466" s="3472"/>
      <c r="FV466" s="3472"/>
      <c r="FW466" s="3472"/>
      <c r="FX466" s="3472"/>
      <c r="FY466" s="3472"/>
      <c r="FZ466" s="3472"/>
      <c r="GA466" s="3472"/>
      <c r="GB466" s="3472"/>
      <c r="GC466" s="3472"/>
      <c r="GD466" s="3472"/>
      <c r="GE466" s="3472"/>
      <c r="GF466" s="3472"/>
      <c r="GG466" s="3472"/>
      <c r="GH466" s="3472"/>
      <c r="GI466" s="3472"/>
      <c r="GJ466" s="3472"/>
      <c r="GK466" s="3472"/>
      <c r="GL466" s="3472"/>
      <c r="GM466" s="3472"/>
      <c r="GN466" s="3472"/>
      <c r="GO466" s="3472"/>
      <c r="GP466" s="3472"/>
      <c r="GQ466" s="3472"/>
      <c r="GR466" s="3472"/>
      <c r="GS466" s="3472"/>
      <c r="GT466" s="3472"/>
      <c r="GU466" s="3472"/>
      <c r="GV466" s="3472"/>
      <c r="GW466" s="3472"/>
      <c r="GX466" s="3472"/>
      <c r="GY466" s="3472"/>
      <c r="GZ466" s="3472"/>
      <c r="HA466" s="3472"/>
      <c r="HB466" s="3472"/>
      <c r="HC466" s="3472"/>
      <c r="HD466" s="3472"/>
      <c r="HE466" s="3472"/>
      <c r="HF466" s="3472"/>
      <c r="HG466" s="3472"/>
      <c r="HH466" s="3472"/>
      <c r="HI466" s="3472"/>
      <c r="HJ466" s="3472"/>
      <c r="HK466" s="3472"/>
      <c r="HL466" s="3472"/>
      <c r="HM466" s="3472"/>
      <c r="HN466" s="3472"/>
      <c r="HO466" s="3472"/>
      <c r="HP466" s="3472"/>
      <c r="HQ466" s="3472"/>
      <c r="HR466" s="3472"/>
      <c r="HS466" s="3472"/>
      <c r="HT466" s="3472"/>
      <c r="HU466" s="3472"/>
      <c r="HV466" s="3472"/>
      <c r="HW466" s="3472"/>
      <c r="HX466" s="3472"/>
      <c r="HY466" s="3472"/>
      <c r="HZ466" s="3472"/>
      <c r="IA466" s="3472"/>
      <c r="IB466" s="3472"/>
      <c r="IC466" s="3472"/>
      <c r="ID466" s="3472"/>
      <c r="IE466" s="3472"/>
      <c r="IF466" s="3472"/>
      <c r="IG466" s="3472"/>
      <c r="IH466" s="3472"/>
      <c r="II466" s="3472"/>
      <c r="IJ466" s="3472"/>
      <c r="IK466" s="3472"/>
      <c r="IL466" s="3472"/>
      <c r="IM466" s="3472"/>
      <c r="IN466" s="3472"/>
      <c r="IO466" s="3472"/>
      <c r="IP466" s="3472"/>
      <c r="IQ466" s="3472"/>
      <c r="IR466" s="3472"/>
      <c r="IS466" s="3472"/>
    </row>
    <row r="467" spans="1:253" s="3441" customFormat="1" ht="13.2" hidden="1">
      <c r="A467" s="3485" t="s">
        <v>7030</v>
      </c>
      <c r="B467" s="3470" t="s">
        <v>7031</v>
      </c>
      <c r="C467" s="3481" t="s">
        <v>7032</v>
      </c>
      <c r="D467" s="3481" t="s">
        <v>7033</v>
      </c>
      <c r="E467" s="3470" t="s">
        <v>3763</v>
      </c>
      <c r="F467" s="3521" t="s">
        <v>7034</v>
      </c>
      <c r="G467" s="3470"/>
      <c r="H467" s="3470" t="s">
        <v>7035</v>
      </c>
      <c r="I467" s="3470" t="s">
        <v>3726</v>
      </c>
      <c r="J467" s="3481" t="s">
        <v>3777</v>
      </c>
      <c r="K467" s="3470" t="s">
        <v>7036</v>
      </c>
      <c r="L467" s="3470">
        <v>66.930000000000007</v>
      </c>
      <c r="M467" s="3470">
        <v>7</v>
      </c>
      <c r="N467" s="3470" t="s">
        <v>3489</v>
      </c>
      <c r="O467" s="3470">
        <v>54.45</v>
      </c>
      <c r="P467" s="3470" t="s">
        <v>3452</v>
      </c>
      <c r="Q467" s="3457">
        <v>258349.80000000002</v>
      </c>
      <c r="R467" s="3470">
        <v>3860</v>
      </c>
      <c r="S467" s="3472">
        <v>25.54</v>
      </c>
      <c r="T467" s="3527">
        <v>255400</v>
      </c>
      <c r="U467" s="3495">
        <v>3816</v>
      </c>
      <c r="V467" s="3474">
        <v>0.1</v>
      </c>
      <c r="W467" s="3475">
        <v>22.98</v>
      </c>
      <c r="X467" s="3476">
        <v>229800</v>
      </c>
      <c r="Y467" s="3441">
        <v>2003</v>
      </c>
      <c r="Z467" s="3441">
        <v>7</v>
      </c>
      <c r="AA467" s="3441">
        <v>9</v>
      </c>
      <c r="AB467" s="3477">
        <v>1275</v>
      </c>
      <c r="AC467" s="3470" t="s">
        <v>3634</v>
      </c>
      <c r="AD467" s="3485"/>
      <c r="AE467" s="3441" t="s">
        <v>3663</v>
      </c>
      <c r="AF467" s="3470" t="s">
        <v>6065</v>
      </c>
      <c r="AG467" s="3522" t="s">
        <v>3466</v>
      </c>
      <c r="AH467" s="3485"/>
      <c r="AI467" s="3470" t="s">
        <v>7028</v>
      </c>
      <c r="AJ467" s="3523">
        <v>37857</v>
      </c>
      <c r="AK467" s="3479">
        <v>7</v>
      </c>
      <c r="AL467" s="3441">
        <v>67641700</v>
      </c>
      <c r="AN467" s="3441" t="s">
        <v>3695</v>
      </c>
      <c r="AP467" s="3456" t="s">
        <v>6257</v>
      </c>
      <c r="AQ467" s="3441" t="s">
        <v>3571</v>
      </c>
      <c r="AW467" s="3441" t="s">
        <v>3572</v>
      </c>
      <c r="AY467" s="3524" t="s">
        <v>7037</v>
      </c>
      <c r="AZ467" s="3441" t="s">
        <v>7036</v>
      </c>
      <c r="BA467" s="3441" t="s">
        <v>7038</v>
      </c>
      <c r="BB467" s="3524" t="s">
        <v>7039</v>
      </c>
      <c r="BC467" s="3441" t="s">
        <v>7040</v>
      </c>
      <c r="BD467" s="3525">
        <v>100083</v>
      </c>
      <c r="BE467" s="3441">
        <v>82355171</v>
      </c>
      <c r="BF467" s="3526">
        <v>2.7</v>
      </c>
      <c r="BG467" s="3518">
        <v>37796</v>
      </c>
      <c r="BH467" s="3441" t="s">
        <v>4681</v>
      </c>
      <c r="BI467" s="3441" t="s">
        <v>7041</v>
      </c>
      <c r="BJ467" s="3484">
        <v>37803</v>
      </c>
      <c r="BK467" s="3484"/>
      <c r="BL467" s="3441" t="s">
        <v>6897</v>
      </c>
      <c r="BS467" s="3470"/>
      <c r="BT467" s="3470"/>
      <c r="BU467" s="3470"/>
    </row>
    <row r="468" spans="1:253" s="3456" customFormat="1" ht="12" hidden="1">
      <c r="A468" s="3530" t="s">
        <v>7042</v>
      </c>
      <c r="B468" s="3456" t="s">
        <v>7043</v>
      </c>
      <c r="C468" s="3454" t="s">
        <v>7044</v>
      </c>
      <c r="D468" s="3454" t="s">
        <v>7045</v>
      </c>
      <c r="E468" s="3453" t="s">
        <v>6987</v>
      </c>
      <c r="F468" s="3453" t="s">
        <v>7046</v>
      </c>
      <c r="H468" s="3453"/>
      <c r="I468" s="3453" t="s">
        <v>3726</v>
      </c>
      <c r="J468" s="3454" t="s">
        <v>7047</v>
      </c>
      <c r="K468" s="3453" t="s">
        <v>7048</v>
      </c>
      <c r="L468" s="3495">
        <v>57.4</v>
      </c>
      <c r="M468" s="3495">
        <v>5</v>
      </c>
      <c r="N468" s="3470" t="s">
        <v>3451</v>
      </c>
      <c r="O468" s="3495"/>
      <c r="P468" s="3456" t="s">
        <v>3452</v>
      </c>
      <c r="Q468" s="3600">
        <v>229600</v>
      </c>
      <c r="R468" s="3495">
        <v>4000</v>
      </c>
      <c r="S468" s="3472">
        <v>27.42</v>
      </c>
      <c r="T468" s="3527">
        <v>274200</v>
      </c>
      <c r="U468" s="3495">
        <v>4778</v>
      </c>
      <c r="V468" s="3474">
        <v>0.05</v>
      </c>
      <c r="W468" s="3475">
        <v>26.04</v>
      </c>
      <c r="X468" s="3494">
        <v>260400</v>
      </c>
      <c r="Y468" s="3441">
        <v>2003</v>
      </c>
      <c r="Z468" s="3441">
        <v>7</v>
      </c>
      <c r="AA468" s="3470">
        <v>7</v>
      </c>
      <c r="AB468" s="3477">
        <v>1370</v>
      </c>
      <c r="AC468" s="3453" t="s">
        <v>6971</v>
      </c>
      <c r="AD468" s="3455"/>
      <c r="AE468" s="3469" t="s">
        <v>3566</v>
      </c>
      <c r="AF468" s="3453" t="s">
        <v>3493</v>
      </c>
      <c r="AG468" s="3453" t="s">
        <v>3466</v>
      </c>
      <c r="AI468" s="3470" t="s">
        <v>2152</v>
      </c>
      <c r="AJ468" s="3535"/>
      <c r="AK468" s="3500">
        <v>7</v>
      </c>
      <c r="AL468" s="3470">
        <v>82253557</v>
      </c>
      <c r="AM468" s="3441"/>
      <c r="AN468" s="3469"/>
      <c r="AO468" s="3470"/>
      <c r="AP468" s="3470" t="s">
        <v>2152</v>
      </c>
      <c r="AQ468" s="3456" t="s">
        <v>3571</v>
      </c>
      <c r="AU468" s="3522"/>
      <c r="AV468" s="3519"/>
      <c r="AW468" s="3470" t="s">
        <v>3460</v>
      </c>
      <c r="AX468" s="3441"/>
      <c r="AY468" s="3536"/>
      <c r="AZ468" s="3463"/>
      <c r="BA468" s="3463"/>
      <c r="BB468" s="3466"/>
      <c r="BC468" s="3463"/>
      <c r="BD468" s="3537"/>
      <c r="BE468" s="3463"/>
      <c r="BF468" s="3538"/>
      <c r="BG468" s="3566">
        <v>37765</v>
      </c>
      <c r="BH468" s="3522"/>
      <c r="BI468" s="3470" t="s">
        <v>3569</v>
      </c>
      <c r="BJ468" s="3518">
        <v>37791</v>
      </c>
      <c r="BK468" s="3441"/>
      <c r="BL468" s="3441" t="s">
        <v>3470</v>
      </c>
      <c r="BM468" s="3441" t="s">
        <v>7049</v>
      </c>
      <c r="BN468" s="3441" t="s">
        <v>3483</v>
      </c>
      <c r="BO468" s="3441" t="s">
        <v>7050</v>
      </c>
      <c r="BP468" s="3441"/>
      <c r="BQ468" s="3441"/>
      <c r="BR468" s="3441"/>
      <c r="BS468" s="3470"/>
      <c r="BT468" s="3470"/>
      <c r="BU468" s="3470"/>
    </row>
    <row r="469" spans="1:253" s="3469" customFormat="1" ht="13.2" hidden="1">
      <c r="A469" s="3485" t="s">
        <v>7051</v>
      </c>
      <c r="B469" s="3542" t="s">
        <v>7052</v>
      </c>
      <c r="C469" s="3530" t="s">
        <v>7053</v>
      </c>
      <c r="D469" s="3453">
        <v>13651324999</v>
      </c>
      <c r="E469" s="3530" t="s">
        <v>2736</v>
      </c>
      <c r="F469" s="3598" t="s">
        <v>4613</v>
      </c>
      <c r="G469" s="3522"/>
      <c r="H469" s="3530" t="s">
        <v>6916</v>
      </c>
      <c r="I469" s="3530" t="s">
        <v>4535</v>
      </c>
      <c r="J469" s="3530" t="s">
        <v>7054</v>
      </c>
      <c r="K469" s="3542" t="s">
        <v>7055</v>
      </c>
      <c r="L469" s="3477">
        <v>51.45</v>
      </c>
      <c r="M469" s="3477">
        <v>3</v>
      </c>
      <c r="N469" s="3441" t="s">
        <v>3489</v>
      </c>
      <c r="O469" s="3477">
        <v>40.56</v>
      </c>
      <c r="P469" s="3485" t="s">
        <v>3452</v>
      </c>
      <c r="Q469" s="3457">
        <v>368124.75</v>
      </c>
      <c r="R469" s="3477">
        <v>7155</v>
      </c>
      <c r="S469" s="3472">
        <v>36.520000000000003</v>
      </c>
      <c r="T469" s="3550">
        <v>365200.00000000006</v>
      </c>
      <c r="U469" s="3477">
        <v>7099</v>
      </c>
      <c r="V469" s="3512">
        <v>0.1</v>
      </c>
      <c r="W469" s="3475">
        <v>32.86</v>
      </c>
      <c r="X469" s="3459">
        <v>328600</v>
      </c>
      <c r="Y469" s="3495">
        <v>2003</v>
      </c>
      <c r="Z469" s="3441">
        <v>7</v>
      </c>
      <c r="AA469" s="3470">
        <v>8</v>
      </c>
      <c r="AB469" s="3477">
        <v>1825</v>
      </c>
      <c r="AC469" s="3470" t="s">
        <v>4044</v>
      </c>
      <c r="AD469" s="3522"/>
      <c r="AE469" s="3470" t="s">
        <v>3663</v>
      </c>
      <c r="AF469" s="3542" t="s">
        <v>6939</v>
      </c>
      <c r="AG469" s="3542" t="s">
        <v>3454</v>
      </c>
      <c r="AH469" s="3542"/>
      <c r="AI469" s="3470" t="s">
        <v>6972</v>
      </c>
      <c r="AJ469" s="3513">
        <v>38199</v>
      </c>
      <c r="AK469" s="3500">
        <v>7</v>
      </c>
      <c r="AL469" s="3470">
        <v>67641700</v>
      </c>
      <c r="AM469" s="3441"/>
      <c r="AN469" s="3441" t="s">
        <v>7056</v>
      </c>
      <c r="AO469" s="3453" t="s">
        <v>7057</v>
      </c>
      <c r="AP469" s="3456" t="s">
        <v>2153</v>
      </c>
      <c r="AQ469" s="3456" t="s">
        <v>3457</v>
      </c>
      <c r="AV469" s="3599"/>
      <c r="AW469" s="3470" t="s">
        <v>3458</v>
      </c>
      <c r="AX469" s="3441"/>
      <c r="AY469" s="3536" t="s">
        <v>7058</v>
      </c>
      <c r="AZ469" s="3542" t="s">
        <v>4619</v>
      </c>
      <c r="BA469" s="3463" t="s">
        <v>7059</v>
      </c>
      <c r="BB469" s="3466">
        <v>1101081437256</v>
      </c>
      <c r="BC469" s="3463" t="s">
        <v>4587</v>
      </c>
      <c r="BD469" s="3537">
        <v>100037</v>
      </c>
      <c r="BE469" s="3515">
        <v>68348381</v>
      </c>
      <c r="BF469" s="3538">
        <v>2.8</v>
      </c>
      <c r="BG469" s="3535">
        <v>37773</v>
      </c>
      <c r="BH469" s="3469" t="s">
        <v>3437</v>
      </c>
      <c r="BI469" s="3441" t="s">
        <v>2153</v>
      </c>
      <c r="BJ469" s="3566">
        <v>37806</v>
      </c>
      <c r="BK469" s="3441"/>
      <c r="BL469" s="3470" t="s">
        <v>6897</v>
      </c>
      <c r="BM469" s="3441"/>
      <c r="BN469" s="3441"/>
      <c r="BO469" s="3441"/>
      <c r="BP469" s="3441"/>
      <c r="BQ469" s="3441"/>
      <c r="BR469" s="3441"/>
      <c r="BS469" s="3470"/>
      <c r="BT469" s="3470"/>
      <c r="BU469" s="3470"/>
    </row>
    <row r="470" spans="1:253" s="3469" customFormat="1" ht="13.2" hidden="1">
      <c r="A470" s="3485" t="s">
        <v>7060</v>
      </c>
      <c r="B470" s="3542" t="s">
        <v>7061</v>
      </c>
      <c r="C470" s="3530" t="s">
        <v>7062</v>
      </c>
      <c r="D470" s="3453">
        <v>13601060230</v>
      </c>
      <c r="E470" s="3530" t="s">
        <v>2736</v>
      </c>
      <c r="F470" s="3598" t="s">
        <v>4613</v>
      </c>
      <c r="G470" s="3522"/>
      <c r="H470" s="3530" t="s">
        <v>6935</v>
      </c>
      <c r="I470" s="3530" t="s">
        <v>4301</v>
      </c>
      <c r="J470" s="3530" t="s">
        <v>7063</v>
      </c>
      <c r="K470" s="3542" t="s">
        <v>4565</v>
      </c>
      <c r="L470" s="3477">
        <v>95.92</v>
      </c>
      <c r="M470" s="3477">
        <v>8</v>
      </c>
      <c r="N470" s="3470" t="s">
        <v>3486</v>
      </c>
      <c r="O470" s="3477">
        <v>75.61</v>
      </c>
      <c r="P470" s="3485" t="s">
        <v>3452</v>
      </c>
      <c r="Q470" s="3457">
        <v>734267.6</v>
      </c>
      <c r="R470" s="3477">
        <v>7655</v>
      </c>
      <c r="S470" s="3472">
        <v>72.8</v>
      </c>
      <c r="T470" s="3550">
        <v>728000</v>
      </c>
      <c r="U470" s="3477">
        <v>7590</v>
      </c>
      <c r="V470" s="3512">
        <v>0.1</v>
      </c>
      <c r="W470" s="3475">
        <v>65.52</v>
      </c>
      <c r="X470" s="3459">
        <v>655200</v>
      </c>
      <c r="Y470" s="3495">
        <v>2003</v>
      </c>
      <c r="Z470" s="3441">
        <v>7</v>
      </c>
      <c r="AA470" s="3470">
        <v>11</v>
      </c>
      <c r="AB470" s="3477">
        <v>3640</v>
      </c>
      <c r="AC470" s="3470" t="s">
        <v>3544</v>
      </c>
      <c r="AD470" s="3522"/>
      <c r="AE470" s="3470" t="s">
        <v>3663</v>
      </c>
      <c r="AF470" s="3542" t="s">
        <v>7064</v>
      </c>
      <c r="AG470" s="3542" t="s">
        <v>3454</v>
      </c>
      <c r="AH470" s="3542"/>
      <c r="AI470" s="3470" t="s">
        <v>4849</v>
      </c>
      <c r="AJ470" s="3513">
        <v>38199</v>
      </c>
      <c r="AK470" s="3500">
        <v>7</v>
      </c>
      <c r="AL470" s="3470">
        <v>67641700</v>
      </c>
      <c r="AM470" s="3441"/>
      <c r="AN470" s="3469" t="s">
        <v>3695</v>
      </c>
      <c r="AP470" s="3456" t="s">
        <v>3476</v>
      </c>
      <c r="AQ470" s="3456" t="s">
        <v>3714</v>
      </c>
      <c r="AV470" s="3599"/>
      <c r="AW470" s="3470" t="s">
        <v>3458</v>
      </c>
      <c r="AX470" s="3441" t="s">
        <v>3606</v>
      </c>
      <c r="AY470" s="3536" t="s">
        <v>7065</v>
      </c>
      <c r="AZ470" s="3542" t="s">
        <v>7066</v>
      </c>
      <c r="BA470" s="3463" t="s">
        <v>6920</v>
      </c>
      <c r="BB470" s="3466">
        <v>1101081437256</v>
      </c>
      <c r="BC470" s="3463" t="s">
        <v>4587</v>
      </c>
      <c r="BD470" s="3537">
        <v>100037</v>
      </c>
      <c r="BE470" s="3515">
        <v>68348381</v>
      </c>
      <c r="BF470" s="3538">
        <v>2.8</v>
      </c>
      <c r="BG470" s="3535">
        <v>37777</v>
      </c>
      <c r="BI470" s="3441" t="s">
        <v>3475</v>
      </c>
      <c r="BJ470" s="3484">
        <v>37805</v>
      </c>
      <c r="BK470" s="3441"/>
      <c r="BL470" s="3470" t="s">
        <v>6897</v>
      </c>
      <c r="BM470" s="3441"/>
      <c r="BN470" s="3441"/>
      <c r="BO470" s="3441"/>
      <c r="BP470" s="3441"/>
      <c r="BQ470" s="3441"/>
      <c r="BR470" s="3441"/>
      <c r="BS470" s="3470"/>
      <c r="BT470" s="3470"/>
      <c r="BU470" s="3470"/>
    </row>
    <row r="471" spans="1:253" s="3441" customFormat="1" ht="12" hidden="1">
      <c r="A471" s="3485" t="s">
        <v>7067</v>
      </c>
      <c r="B471" s="3470" t="s">
        <v>7068</v>
      </c>
      <c r="C471" s="3481" t="s">
        <v>7069</v>
      </c>
      <c r="D471" s="3453">
        <v>68580194</v>
      </c>
      <c r="E471" s="3470" t="s">
        <v>3558</v>
      </c>
      <c r="F471" s="3470" t="s">
        <v>4403</v>
      </c>
      <c r="G471" s="3470" t="s">
        <v>3568</v>
      </c>
      <c r="H471" s="3470" t="s">
        <v>4187</v>
      </c>
      <c r="I471" s="3470" t="s">
        <v>5518</v>
      </c>
      <c r="J471" s="3481" t="s">
        <v>6035</v>
      </c>
      <c r="K471" s="3470" t="s">
        <v>4406</v>
      </c>
      <c r="L471" s="3470">
        <v>122.73</v>
      </c>
      <c r="M471" s="3470">
        <v>1</v>
      </c>
      <c r="N471" s="3470" t="s">
        <v>7070</v>
      </c>
      <c r="O471" s="3470">
        <v>109.36</v>
      </c>
      <c r="P471" s="3470" t="s">
        <v>3452</v>
      </c>
      <c r="Q471" s="3457">
        <v>567012.6</v>
      </c>
      <c r="R471" s="3470">
        <v>4620</v>
      </c>
      <c r="S471" s="3472">
        <v>56.08</v>
      </c>
      <c r="T471" s="3527">
        <v>560800</v>
      </c>
      <c r="U471" s="3470">
        <v>4570</v>
      </c>
      <c r="V471" s="3474">
        <v>0.1</v>
      </c>
      <c r="W471" s="3475">
        <v>50.47</v>
      </c>
      <c r="X471" s="3473">
        <v>504700</v>
      </c>
      <c r="Y471" s="3441">
        <v>2003</v>
      </c>
      <c r="Z471" s="3441">
        <v>7</v>
      </c>
      <c r="AA471" s="3470">
        <v>4</v>
      </c>
      <c r="AB471" s="3477">
        <v>2800</v>
      </c>
      <c r="AC471" s="3485" t="s">
        <v>7071</v>
      </c>
      <c r="AD471" s="3485"/>
      <c r="AE471" s="3441" t="s">
        <v>3663</v>
      </c>
      <c r="AF471" s="3453" t="s">
        <v>6957</v>
      </c>
      <c r="AG471" s="3522" t="s">
        <v>3466</v>
      </c>
      <c r="AH471" s="3485"/>
      <c r="AI471" s="3470" t="s">
        <v>3664</v>
      </c>
      <c r="AJ471" s="3523">
        <v>37833</v>
      </c>
      <c r="AK471" s="3500">
        <v>7</v>
      </c>
      <c r="AL471" s="3441">
        <v>67641700</v>
      </c>
      <c r="AN471" s="3441" t="s">
        <v>3570</v>
      </c>
      <c r="AO471" s="3470" t="s">
        <v>3715</v>
      </c>
      <c r="AP471" s="3456" t="s">
        <v>3476</v>
      </c>
      <c r="AQ471" s="3441" t="s">
        <v>3571</v>
      </c>
      <c r="AW471" s="3441" t="s">
        <v>3572</v>
      </c>
      <c r="AX471" s="3441" t="s">
        <v>3568</v>
      </c>
      <c r="AY471" s="3524" t="s">
        <v>7072</v>
      </c>
      <c r="AZ471" s="3441" t="s">
        <v>4080</v>
      </c>
      <c r="BA471" s="3441" t="s">
        <v>4409</v>
      </c>
      <c r="BB471" s="3524" t="s">
        <v>4410</v>
      </c>
      <c r="BC471" s="3441" t="s">
        <v>4411</v>
      </c>
      <c r="BD471" s="3525" t="s">
        <v>3568</v>
      </c>
      <c r="BE471" s="3441">
        <v>68152860</v>
      </c>
      <c r="BF471" s="3526">
        <v>2.8</v>
      </c>
      <c r="BG471" s="3518">
        <v>37632</v>
      </c>
      <c r="BH471" s="3441" t="s">
        <v>4412</v>
      </c>
      <c r="BI471" s="3470" t="s">
        <v>3476</v>
      </c>
      <c r="BJ471" s="3508">
        <v>37805</v>
      </c>
      <c r="BK471" s="3484"/>
      <c r="BL471" s="3470" t="s">
        <v>3670</v>
      </c>
      <c r="BS471" s="3470"/>
      <c r="BT471" s="3470"/>
      <c r="BU471" s="3470"/>
    </row>
    <row r="472" spans="1:253" s="3441" customFormat="1" ht="12" hidden="1">
      <c r="A472" s="3470" t="s">
        <v>7073</v>
      </c>
      <c r="B472" s="3470" t="s">
        <v>7074</v>
      </c>
      <c r="C472" s="3481" t="s">
        <v>7075</v>
      </c>
      <c r="D472" s="3481" t="s">
        <v>7076</v>
      </c>
      <c r="E472" s="3470" t="s">
        <v>2736</v>
      </c>
      <c r="F472" s="3528" t="s">
        <v>6419</v>
      </c>
      <c r="G472" s="3470"/>
      <c r="H472" s="3453" t="s">
        <v>3614</v>
      </c>
      <c r="I472" s="3453" t="s">
        <v>3992</v>
      </c>
      <c r="J472" s="3454" t="s">
        <v>3495</v>
      </c>
      <c r="K472" s="3470" t="s">
        <v>6408</v>
      </c>
      <c r="L472" s="3495">
        <v>93.12</v>
      </c>
      <c r="M472" s="3495">
        <v>2</v>
      </c>
      <c r="N472" s="3470" t="s">
        <v>7017</v>
      </c>
      <c r="O472" s="3495">
        <v>81.25</v>
      </c>
      <c r="P472" s="3470" t="s">
        <v>3452</v>
      </c>
      <c r="Q472" s="3457">
        <v>392221.44</v>
      </c>
      <c r="R472" s="3470">
        <v>4212</v>
      </c>
      <c r="S472" s="3472">
        <v>38.76</v>
      </c>
      <c r="T472" s="3527">
        <v>387600</v>
      </c>
      <c r="U472" s="3495">
        <v>4163</v>
      </c>
      <c r="V472" s="3512">
        <v>0.1</v>
      </c>
      <c r="W472" s="3475">
        <v>34.880000000000003</v>
      </c>
      <c r="X472" s="3473">
        <v>348800</v>
      </c>
      <c r="Y472" s="3515">
        <v>2003</v>
      </c>
      <c r="Z472" s="3441">
        <v>7</v>
      </c>
      <c r="AA472" s="3470">
        <v>4</v>
      </c>
      <c r="AB472" s="3477">
        <v>1935</v>
      </c>
      <c r="AC472" s="3470" t="s">
        <v>6891</v>
      </c>
      <c r="AD472" s="3485"/>
      <c r="AE472" s="3469" t="s">
        <v>6906</v>
      </c>
      <c r="AF472" s="3453" t="s">
        <v>6674</v>
      </c>
      <c r="AG472" s="3522" t="s">
        <v>6908</v>
      </c>
      <c r="AH472" s="3485"/>
      <c r="AI472" s="3470" t="s">
        <v>3664</v>
      </c>
      <c r="AJ472" s="3523">
        <v>38077</v>
      </c>
      <c r="AK472" s="3500">
        <v>7</v>
      </c>
      <c r="AL472" s="3515">
        <v>67641700</v>
      </c>
      <c r="AN472" s="3441" t="s">
        <v>3570</v>
      </c>
      <c r="AO472" s="3453" t="s">
        <v>3715</v>
      </c>
      <c r="AP472" s="3441" t="s">
        <v>3475</v>
      </c>
      <c r="AQ472" s="3469" t="s">
        <v>3571</v>
      </c>
      <c r="AU472" s="3495"/>
      <c r="AV472" s="3535"/>
      <c r="AW472" s="3470" t="s">
        <v>6909</v>
      </c>
      <c r="AX472" s="3441" t="s">
        <v>6879</v>
      </c>
      <c r="AY472" s="3536" t="s">
        <v>7077</v>
      </c>
      <c r="AZ472" s="3470" t="s">
        <v>6408</v>
      </c>
      <c r="BA472" s="3463" t="s">
        <v>6424</v>
      </c>
      <c r="BB472" s="3466">
        <v>1102281149818</v>
      </c>
      <c r="BC472" s="3441" t="s">
        <v>6696</v>
      </c>
      <c r="BD472" s="3441">
        <v>100044</v>
      </c>
      <c r="BE472" s="3463">
        <v>88018575</v>
      </c>
      <c r="BF472" s="3538">
        <v>2.7</v>
      </c>
      <c r="BG472" s="3535">
        <v>37790</v>
      </c>
      <c r="BH472" s="3453"/>
      <c r="BI472" s="3470" t="s">
        <v>3476</v>
      </c>
      <c r="BJ472" s="3484">
        <v>37805</v>
      </c>
      <c r="BL472" s="3441" t="s">
        <v>3594</v>
      </c>
      <c r="BS472" s="3470"/>
      <c r="BT472" s="3470"/>
      <c r="BU472" s="3470"/>
      <c r="BV472" s="3472"/>
      <c r="BW472" s="3472"/>
      <c r="BX472" s="3472"/>
      <c r="BY472" s="3472"/>
      <c r="BZ472" s="3472"/>
      <c r="CA472" s="3472"/>
      <c r="CB472" s="3472"/>
      <c r="CC472" s="3472"/>
      <c r="CD472" s="3472"/>
      <c r="CE472" s="3472"/>
      <c r="CF472" s="3472"/>
      <c r="CG472" s="3472"/>
      <c r="CH472" s="3472"/>
      <c r="CI472" s="3472"/>
      <c r="CJ472" s="3472"/>
      <c r="CK472" s="3472"/>
      <c r="CL472" s="3472"/>
      <c r="CM472" s="3472"/>
      <c r="CN472" s="3472"/>
      <c r="CO472" s="3472"/>
      <c r="CP472" s="3472"/>
      <c r="CQ472" s="3472"/>
      <c r="CR472" s="3472"/>
      <c r="CS472" s="3472"/>
      <c r="CT472" s="3472"/>
      <c r="CU472" s="3472"/>
      <c r="CV472" s="3472"/>
      <c r="CW472" s="3472"/>
      <c r="CX472" s="3472"/>
      <c r="CY472" s="3472"/>
      <c r="CZ472" s="3472"/>
      <c r="DA472" s="3472"/>
      <c r="DB472" s="3472"/>
      <c r="DC472" s="3472"/>
      <c r="DD472" s="3472"/>
      <c r="DE472" s="3472"/>
      <c r="DF472" s="3472"/>
      <c r="DG472" s="3472"/>
      <c r="DH472" s="3472"/>
      <c r="DI472" s="3472"/>
      <c r="DJ472" s="3472"/>
      <c r="DK472" s="3472"/>
      <c r="DL472" s="3472"/>
      <c r="DM472" s="3472"/>
      <c r="DN472" s="3472"/>
      <c r="DO472" s="3472"/>
      <c r="DP472" s="3472"/>
      <c r="DQ472" s="3472"/>
      <c r="DR472" s="3472"/>
      <c r="DS472" s="3472"/>
      <c r="DT472" s="3472"/>
      <c r="DU472" s="3472"/>
      <c r="DV472" s="3472"/>
      <c r="DW472" s="3472"/>
      <c r="DX472" s="3472"/>
      <c r="DY472" s="3472"/>
      <c r="DZ472" s="3472"/>
      <c r="EA472" s="3472"/>
      <c r="EB472" s="3472"/>
      <c r="EC472" s="3472"/>
      <c r="ED472" s="3472"/>
      <c r="EE472" s="3472"/>
      <c r="EF472" s="3472"/>
      <c r="EG472" s="3472"/>
      <c r="EH472" s="3472"/>
      <c r="EI472" s="3472"/>
      <c r="EJ472" s="3472"/>
      <c r="EK472" s="3472"/>
      <c r="EL472" s="3472"/>
      <c r="EM472" s="3472"/>
      <c r="EN472" s="3472"/>
      <c r="EO472" s="3472"/>
      <c r="EP472" s="3472"/>
      <c r="EQ472" s="3472"/>
      <c r="ER472" s="3472"/>
      <c r="ES472" s="3472"/>
      <c r="ET472" s="3472"/>
      <c r="EU472" s="3472"/>
      <c r="EV472" s="3472"/>
      <c r="EW472" s="3472"/>
      <c r="EX472" s="3472"/>
      <c r="EY472" s="3472"/>
      <c r="EZ472" s="3472"/>
      <c r="FA472" s="3472"/>
      <c r="FB472" s="3472"/>
      <c r="FC472" s="3472"/>
      <c r="FD472" s="3472"/>
      <c r="FE472" s="3472"/>
      <c r="FF472" s="3472"/>
      <c r="FG472" s="3472"/>
      <c r="FH472" s="3472"/>
      <c r="FI472" s="3472"/>
      <c r="FJ472" s="3472"/>
      <c r="FK472" s="3472"/>
      <c r="FL472" s="3472"/>
      <c r="FM472" s="3472"/>
      <c r="FN472" s="3472"/>
      <c r="FO472" s="3472"/>
      <c r="FP472" s="3472"/>
      <c r="FQ472" s="3472"/>
      <c r="FR472" s="3472"/>
      <c r="FS472" s="3472"/>
      <c r="FT472" s="3472"/>
      <c r="FU472" s="3472"/>
      <c r="FV472" s="3472"/>
      <c r="FW472" s="3472"/>
      <c r="FX472" s="3472"/>
      <c r="FY472" s="3472"/>
      <c r="FZ472" s="3472"/>
      <c r="GA472" s="3472"/>
      <c r="GB472" s="3472"/>
      <c r="GC472" s="3472"/>
      <c r="GD472" s="3472"/>
      <c r="GE472" s="3472"/>
      <c r="GF472" s="3472"/>
      <c r="GG472" s="3472"/>
      <c r="GH472" s="3472"/>
      <c r="GI472" s="3472"/>
      <c r="GJ472" s="3472"/>
      <c r="GK472" s="3472"/>
      <c r="GL472" s="3472"/>
      <c r="GM472" s="3472"/>
      <c r="GN472" s="3472"/>
      <c r="GO472" s="3472"/>
      <c r="GP472" s="3472"/>
      <c r="GQ472" s="3472"/>
      <c r="GR472" s="3472"/>
      <c r="GS472" s="3472"/>
      <c r="GT472" s="3472"/>
      <c r="GU472" s="3472"/>
      <c r="GV472" s="3472"/>
      <c r="GW472" s="3472"/>
      <c r="GX472" s="3472"/>
      <c r="GY472" s="3472"/>
      <c r="GZ472" s="3472"/>
      <c r="HA472" s="3472"/>
      <c r="HB472" s="3472"/>
      <c r="HC472" s="3472"/>
      <c r="HD472" s="3472"/>
      <c r="HE472" s="3472"/>
      <c r="HF472" s="3472"/>
      <c r="HG472" s="3472"/>
      <c r="HH472" s="3472"/>
      <c r="HI472" s="3472"/>
      <c r="HJ472" s="3472"/>
      <c r="HK472" s="3472"/>
      <c r="HL472" s="3472"/>
      <c r="HM472" s="3472"/>
      <c r="HN472" s="3472"/>
      <c r="HO472" s="3472"/>
      <c r="HP472" s="3472"/>
      <c r="HQ472" s="3472"/>
      <c r="HR472" s="3472"/>
      <c r="HS472" s="3472"/>
      <c r="HT472" s="3472"/>
      <c r="HU472" s="3472"/>
      <c r="HV472" s="3472"/>
      <c r="HW472" s="3472"/>
      <c r="HX472" s="3472"/>
      <c r="HY472" s="3472"/>
      <c r="HZ472" s="3472"/>
      <c r="IA472" s="3472"/>
      <c r="IB472" s="3472"/>
      <c r="IC472" s="3472"/>
      <c r="ID472" s="3472"/>
      <c r="IE472" s="3472"/>
      <c r="IF472" s="3472"/>
      <c r="IG472" s="3472"/>
      <c r="IH472" s="3472"/>
      <c r="II472" s="3472"/>
      <c r="IJ472" s="3472"/>
      <c r="IK472" s="3472"/>
      <c r="IL472" s="3472"/>
      <c r="IM472" s="3472"/>
      <c r="IN472" s="3472"/>
      <c r="IO472" s="3472"/>
      <c r="IP472" s="3472"/>
      <c r="IQ472" s="3472"/>
      <c r="IR472" s="3472"/>
      <c r="IS472" s="3472"/>
    </row>
    <row r="473" spans="1:253" s="3441" customFormat="1" ht="12" hidden="1">
      <c r="A473" s="3470" t="s">
        <v>7078</v>
      </c>
      <c r="B473" s="3470" t="s">
        <v>7079</v>
      </c>
      <c r="C473" s="3481" t="s">
        <v>7080</v>
      </c>
      <c r="D473" s="3481" t="s">
        <v>7081</v>
      </c>
      <c r="E473" s="3470" t="s">
        <v>3763</v>
      </c>
      <c r="F473" s="3528" t="s">
        <v>6902</v>
      </c>
      <c r="G473" s="3470"/>
      <c r="H473" s="3453" t="s">
        <v>5409</v>
      </c>
      <c r="I473" s="3453" t="s">
        <v>4011</v>
      </c>
      <c r="J473" s="3454" t="s">
        <v>7082</v>
      </c>
      <c r="K473" s="3470" t="s">
        <v>6408</v>
      </c>
      <c r="L473" s="3495">
        <v>58.38</v>
      </c>
      <c r="M473" s="3495">
        <v>1</v>
      </c>
      <c r="N473" s="3485" t="s">
        <v>3489</v>
      </c>
      <c r="O473" s="3495">
        <v>51.99</v>
      </c>
      <c r="P473" s="3470" t="s">
        <v>3452</v>
      </c>
      <c r="Q473" s="3457">
        <v>240175.32</v>
      </c>
      <c r="R473" s="3470">
        <v>4114</v>
      </c>
      <c r="S473" s="3472">
        <v>23.73</v>
      </c>
      <c r="T473" s="3527">
        <v>237300</v>
      </c>
      <c r="U473" s="3495">
        <v>4066</v>
      </c>
      <c r="V473" s="3512">
        <v>0.1</v>
      </c>
      <c r="W473" s="3475">
        <v>21.35</v>
      </c>
      <c r="X473" s="3473">
        <v>213500</v>
      </c>
      <c r="Y473" s="3515">
        <v>2003</v>
      </c>
      <c r="Z473" s="3441">
        <v>7</v>
      </c>
      <c r="AA473" s="3470">
        <v>4</v>
      </c>
      <c r="AB473" s="3477">
        <v>1185</v>
      </c>
      <c r="AC473" s="3470" t="s">
        <v>3544</v>
      </c>
      <c r="AD473" s="3485"/>
      <c r="AE473" s="3469" t="s">
        <v>3547</v>
      </c>
      <c r="AF473" s="3453" t="s">
        <v>6674</v>
      </c>
      <c r="AG473" s="3522" t="s">
        <v>3546</v>
      </c>
      <c r="AH473" s="3485"/>
      <c r="AI473" s="3470" t="s">
        <v>3664</v>
      </c>
      <c r="AJ473" s="3523">
        <v>38077</v>
      </c>
      <c r="AK473" s="3500">
        <v>7</v>
      </c>
      <c r="AL473" s="3515">
        <v>67641700</v>
      </c>
      <c r="AN473" s="3441" t="s">
        <v>3570</v>
      </c>
      <c r="AO473" s="3453" t="s">
        <v>2420</v>
      </c>
      <c r="AP473" s="3441" t="s">
        <v>3475</v>
      </c>
      <c r="AQ473" s="3469" t="s">
        <v>3571</v>
      </c>
      <c r="AU473" s="3495"/>
      <c r="AV473" s="3535"/>
      <c r="AW473" s="3470" t="s">
        <v>3458</v>
      </c>
      <c r="AX473" s="3441" t="s">
        <v>2420</v>
      </c>
      <c r="AY473" s="3536" t="s">
        <v>7083</v>
      </c>
      <c r="AZ473" s="3470" t="s">
        <v>6408</v>
      </c>
      <c r="BA473" s="3463" t="s">
        <v>6424</v>
      </c>
      <c r="BB473" s="3466">
        <v>1102281149818</v>
      </c>
      <c r="BC473" s="3441" t="s">
        <v>7084</v>
      </c>
      <c r="BD473" s="3441">
        <v>100044</v>
      </c>
      <c r="BE473" s="3463">
        <v>88018575</v>
      </c>
      <c r="BF473" s="3538">
        <v>2.7</v>
      </c>
      <c r="BG473" s="3535">
        <v>37785</v>
      </c>
      <c r="BH473" s="3453"/>
      <c r="BI473" s="3470" t="s">
        <v>3476</v>
      </c>
      <c r="BJ473" s="3484">
        <v>37805</v>
      </c>
      <c r="BL473" s="3441" t="s">
        <v>3594</v>
      </c>
      <c r="BS473" s="3470"/>
      <c r="BT473" s="3470"/>
      <c r="BU473" s="3470"/>
      <c r="BV473" s="3472"/>
      <c r="BW473" s="3472"/>
      <c r="BX473" s="3472"/>
      <c r="BY473" s="3472"/>
      <c r="BZ473" s="3472"/>
      <c r="CA473" s="3472"/>
      <c r="CB473" s="3472"/>
      <c r="CC473" s="3472"/>
      <c r="CD473" s="3472"/>
      <c r="CE473" s="3472"/>
      <c r="CF473" s="3472"/>
      <c r="CG473" s="3472"/>
      <c r="CH473" s="3472"/>
      <c r="CI473" s="3472"/>
      <c r="CJ473" s="3472"/>
      <c r="CK473" s="3472"/>
      <c r="CL473" s="3472"/>
      <c r="CM473" s="3472"/>
      <c r="CN473" s="3472"/>
      <c r="CO473" s="3472"/>
      <c r="CP473" s="3472"/>
      <c r="CQ473" s="3472"/>
      <c r="CR473" s="3472"/>
      <c r="CS473" s="3472"/>
      <c r="CT473" s="3472"/>
      <c r="CU473" s="3472"/>
      <c r="CV473" s="3472"/>
      <c r="CW473" s="3472"/>
      <c r="CX473" s="3472"/>
      <c r="CY473" s="3472"/>
      <c r="CZ473" s="3472"/>
      <c r="DA473" s="3472"/>
      <c r="DB473" s="3472"/>
      <c r="DC473" s="3472"/>
      <c r="DD473" s="3472"/>
      <c r="DE473" s="3472"/>
      <c r="DF473" s="3472"/>
      <c r="DG473" s="3472"/>
      <c r="DH473" s="3472"/>
      <c r="DI473" s="3472"/>
      <c r="DJ473" s="3472"/>
      <c r="DK473" s="3472"/>
      <c r="DL473" s="3472"/>
      <c r="DM473" s="3472"/>
      <c r="DN473" s="3472"/>
      <c r="DO473" s="3472"/>
      <c r="DP473" s="3472"/>
      <c r="DQ473" s="3472"/>
      <c r="DR473" s="3472"/>
      <c r="DS473" s="3472"/>
      <c r="DT473" s="3472"/>
      <c r="DU473" s="3472"/>
      <c r="DV473" s="3472"/>
      <c r="DW473" s="3472"/>
      <c r="DX473" s="3472"/>
      <c r="DY473" s="3472"/>
      <c r="DZ473" s="3472"/>
      <c r="EA473" s="3472"/>
      <c r="EB473" s="3472"/>
      <c r="EC473" s="3472"/>
      <c r="ED473" s="3472"/>
      <c r="EE473" s="3472"/>
      <c r="EF473" s="3472"/>
      <c r="EG473" s="3472"/>
      <c r="EH473" s="3472"/>
      <c r="EI473" s="3472"/>
      <c r="EJ473" s="3472"/>
      <c r="EK473" s="3472"/>
      <c r="EL473" s="3472"/>
      <c r="EM473" s="3472"/>
      <c r="EN473" s="3472"/>
      <c r="EO473" s="3472"/>
      <c r="EP473" s="3472"/>
      <c r="EQ473" s="3472"/>
      <c r="ER473" s="3472"/>
      <c r="ES473" s="3472"/>
      <c r="ET473" s="3472"/>
      <c r="EU473" s="3472"/>
      <c r="EV473" s="3472"/>
      <c r="EW473" s="3472"/>
      <c r="EX473" s="3472"/>
      <c r="EY473" s="3472"/>
      <c r="EZ473" s="3472"/>
      <c r="FA473" s="3472"/>
      <c r="FB473" s="3472"/>
      <c r="FC473" s="3472"/>
      <c r="FD473" s="3472"/>
      <c r="FE473" s="3472"/>
      <c r="FF473" s="3472"/>
      <c r="FG473" s="3472"/>
      <c r="FH473" s="3472"/>
      <c r="FI473" s="3472"/>
      <c r="FJ473" s="3472"/>
      <c r="FK473" s="3472"/>
      <c r="FL473" s="3472"/>
      <c r="FM473" s="3472"/>
      <c r="FN473" s="3472"/>
      <c r="FO473" s="3472"/>
      <c r="FP473" s="3472"/>
      <c r="FQ473" s="3472"/>
      <c r="FR473" s="3472"/>
      <c r="FS473" s="3472"/>
      <c r="FT473" s="3472"/>
      <c r="FU473" s="3472"/>
      <c r="FV473" s="3472"/>
      <c r="FW473" s="3472"/>
      <c r="FX473" s="3472"/>
      <c r="FY473" s="3472"/>
      <c r="FZ473" s="3472"/>
      <c r="GA473" s="3472"/>
      <c r="GB473" s="3472"/>
      <c r="GC473" s="3472"/>
      <c r="GD473" s="3472"/>
      <c r="GE473" s="3472"/>
      <c r="GF473" s="3472"/>
      <c r="GG473" s="3472"/>
      <c r="GH473" s="3472"/>
      <c r="GI473" s="3472"/>
      <c r="GJ473" s="3472"/>
      <c r="GK473" s="3472"/>
      <c r="GL473" s="3472"/>
      <c r="GM473" s="3472"/>
      <c r="GN473" s="3472"/>
      <c r="GO473" s="3472"/>
      <c r="GP473" s="3472"/>
      <c r="GQ473" s="3472"/>
      <c r="GR473" s="3472"/>
      <c r="GS473" s="3472"/>
      <c r="GT473" s="3472"/>
      <c r="GU473" s="3472"/>
      <c r="GV473" s="3472"/>
      <c r="GW473" s="3472"/>
      <c r="GX473" s="3472"/>
      <c r="GY473" s="3472"/>
      <c r="GZ473" s="3472"/>
      <c r="HA473" s="3472"/>
      <c r="HB473" s="3472"/>
      <c r="HC473" s="3472"/>
      <c r="HD473" s="3472"/>
      <c r="HE473" s="3472"/>
      <c r="HF473" s="3472"/>
      <c r="HG473" s="3472"/>
      <c r="HH473" s="3472"/>
      <c r="HI473" s="3472"/>
      <c r="HJ473" s="3472"/>
      <c r="HK473" s="3472"/>
      <c r="HL473" s="3472"/>
      <c r="HM473" s="3472"/>
      <c r="HN473" s="3472"/>
      <c r="HO473" s="3472"/>
      <c r="HP473" s="3472"/>
      <c r="HQ473" s="3472"/>
      <c r="HR473" s="3472"/>
      <c r="HS473" s="3472"/>
      <c r="HT473" s="3472"/>
      <c r="HU473" s="3472"/>
      <c r="HV473" s="3472"/>
      <c r="HW473" s="3472"/>
      <c r="HX473" s="3472"/>
      <c r="HY473" s="3472"/>
      <c r="HZ473" s="3472"/>
      <c r="IA473" s="3472"/>
      <c r="IB473" s="3472"/>
      <c r="IC473" s="3472"/>
      <c r="ID473" s="3472"/>
      <c r="IE473" s="3472"/>
      <c r="IF473" s="3472"/>
      <c r="IG473" s="3472"/>
      <c r="IH473" s="3472"/>
      <c r="II473" s="3472"/>
      <c r="IJ473" s="3472"/>
      <c r="IK473" s="3472"/>
      <c r="IL473" s="3472"/>
      <c r="IM473" s="3472"/>
      <c r="IN473" s="3472"/>
      <c r="IO473" s="3472"/>
      <c r="IP473" s="3472"/>
      <c r="IQ473" s="3472"/>
      <c r="IR473" s="3472"/>
      <c r="IS473" s="3472"/>
    </row>
    <row r="474" spans="1:253" s="3441" customFormat="1" ht="12" hidden="1">
      <c r="A474" s="3470" t="s">
        <v>7085</v>
      </c>
      <c r="B474" s="3470" t="s">
        <v>7086</v>
      </c>
      <c r="C474" s="3481" t="s">
        <v>7087</v>
      </c>
      <c r="D474" s="3481" t="s">
        <v>7088</v>
      </c>
      <c r="E474" s="3470" t="s">
        <v>3763</v>
      </c>
      <c r="F474" s="3528" t="s">
        <v>6419</v>
      </c>
      <c r="G474" s="3470"/>
      <c r="H474" s="3453" t="s">
        <v>7089</v>
      </c>
      <c r="I474" s="3453" t="s">
        <v>3464</v>
      </c>
      <c r="J474" s="3454" t="s">
        <v>7090</v>
      </c>
      <c r="K474" s="3470" t="s">
        <v>6408</v>
      </c>
      <c r="L474" s="3495">
        <v>93.1</v>
      </c>
      <c r="M474" s="3495">
        <v>6</v>
      </c>
      <c r="N474" s="3470" t="s">
        <v>3486</v>
      </c>
      <c r="O474" s="3495">
        <v>81.23</v>
      </c>
      <c r="P474" s="3470" t="s">
        <v>3452</v>
      </c>
      <c r="Q474" s="3457">
        <v>380965.19999999995</v>
      </c>
      <c r="R474" s="3470">
        <v>4092</v>
      </c>
      <c r="S474" s="3472">
        <v>37.64</v>
      </c>
      <c r="T474" s="3527">
        <v>376400</v>
      </c>
      <c r="U474" s="3495">
        <v>4043</v>
      </c>
      <c r="V474" s="3512">
        <v>0.1</v>
      </c>
      <c r="W474" s="3475">
        <v>33.869999999999997</v>
      </c>
      <c r="X474" s="3473">
        <v>338700</v>
      </c>
      <c r="Y474" s="3515">
        <v>2003</v>
      </c>
      <c r="Z474" s="3441">
        <v>7</v>
      </c>
      <c r="AA474" s="3470">
        <v>4</v>
      </c>
      <c r="AB474" s="3477">
        <v>1880</v>
      </c>
      <c r="AC474" s="3470" t="s">
        <v>3544</v>
      </c>
      <c r="AD474" s="3485"/>
      <c r="AE474" s="3469" t="s">
        <v>6906</v>
      </c>
      <c r="AF474" s="3453" t="s">
        <v>6674</v>
      </c>
      <c r="AG474" s="3522" t="s">
        <v>3546</v>
      </c>
      <c r="AH474" s="3485"/>
      <c r="AI474" s="3470" t="s">
        <v>6972</v>
      </c>
      <c r="AJ474" s="3523">
        <v>38077</v>
      </c>
      <c r="AK474" s="3500">
        <v>7</v>
      </c>
      <c r="AL474" s="3515">
        <v>67641700</v>
      </c>
      <c r="AN474" s="3441" t="s">
        <v>3570</v>
      </c>
      <c r="AO474" s="3453" t="s">
        <v>2420</v>
      </c>
      <c r="AP474" s="3441" t="s">
        <v>5844</v>
      </c>
      <c r="AQ474" s="3469" t="s">
        <v>3571</v>
      </c>
      <c r="AU474" s="3495"/>
      <c r="AV474" s="3535"/>
      <c r="AW474" s="3470" t="s">
        <v>6909</v>
      </c>
      <c r="AX474" s="3441" t="s">
        <v>2420</v>
      </c>
      <c r="AY474" s="3536" t="s">
        <v>7091</v>
      </c>
      <c r="AZ474" s="3470" t="s">
        <v>6911</v>
      </c>
      <c r="BA474" s="3463" t="s">
        <v>7092</v>
      </c>
      <c r="BB474" s="3466">
        <v>1102281149818</v>
      </c>
      <c r="BC474" s="3441" t="s">
        <v>7084</v>
      </c>
      <c r="BD474" s="3441">
        <v>100044</v>
      </c>
      <c r="BE474" s="3463">
        <v>88018575</v>
      </c>
      <c r="BF474" s="3538">
        <v>2.7</v>
      </c>
      <c r="BG474" s="3535">
        <v>37793</v>
      </c>
      <c r="BH474" s="3453"/>
      <c r="BI474" s="3470" t="s">
        <v>3476</v>
      </c>
      <c r="BJ474" s="3484">
        <v>37805</v>
      </c>
      <c r="BL474" s="3441" t="s">
        <v>6897</v>
      </c>
      <c r="BS474" s="3470"/>
      <c r="BT474" s="3470"/>
      <c r="BU474" s="3470"/>
      <c r="BV474" s="3472"/>
      <c r="BW474" s="3472"/>
      <c r="BX474" s="3472"/>
      <c r="BY474" s="3472"/>
      <c r="BZ474" s="3472"/>
      <c r="CA474" s="3472"/>
      <c r="CB474" s="3472"/>
      <c r="CC474" s="3472"/>
      <c r="CD474" s="3472"/>
      <c r="CE474" s="3472"/>
      <c r="CF474" s="3472"/>
      <c r="CG474" s="3472"/>
      <c r="CH474" s="3472"/>
      <c r="CI474" s="3472"/>
      <c r="CJ474" s="3472"/>
      <c r="CK474" s="3472"/>
      <c r="CL474" s="3472"/>
      <c r="CM474" s="3472"/>
      <c r="CN474" s="3472"/>
      <c r="CO474" s="3472"/>
      <c r="CP474" s="3472"/>
      <c r="CQ474" s="3472"/>
      <c r="CR474" s="3472"/>
      <c r="CS474" s="3472"/>
      <c r="CT474" s="3472"/>
      <c r="CU474" s="3472"/>
      <c r="CV474" s="3472"/>
      <c r="CW474" s="3472"/>
      <c r="CX474" s="3472"/>
      <c r="CY474" s="3472"/>
      <c r="CZ474" s="3472"/>
      <c r="DA474" s="3472"/>
      <c r="DB474" s="3472"/>
      <c r="DC474" s="3472"/>
      <c r="DD474" s="3472"/>
      <c r="DE474" s="3472"/>
      <c r="DF474" s="3472"/>
      <c r="DG474" s="3472"/>
      <c r="DH474" s="3472"/>
      <c r="DI474" s="3472"/>
      <c r="DJ474" s="3472"/>
      <c r="DK474" s="3472"/>
      <c r="DL474" s="3472"/>
      <c r="DM474" s="3472"/>
      <c r="DN474" s="3472"/>
      <c r="DO474" s="3472"/>
      <c r="DP474" s="3472"/>
      <c r="DQ474" s="3472"/>
      <c r="DR474" s="3472"/>
      <c r="DS474" s="3472"/>
      <c r="DT474" s="3472"/>
      <c r="DU474" s="3472"/>
      <c r="DV474" s="3472"/>
      <c r="DW474" s="3472"/>
      <c r="DX474" s="3472"/>
      <c r="DY474" s="3472"/>
      <c r="DZ474" s="3472"/>
      <c r="EA474" s="3472"/>
      <c r="EB474" s="3472"/>
      <c r="EC474" s="3472"/>
      <c r="ED474" s="3472"/>
      <c r="EE474" s="3472"/>
      <c r="EF474" s="3472"/>
      <c r="EG474" s="3472"/>
      <c r="EH474" s="3472"/>
      <c r="EI474" s="3472"/>
      <c r="EJ474" s="3472"/>
      <c r="EK474" s="3472"/>
      <c r="EL474" s="3472"/>
      <c r="EM474" s="3472"/>
      <c r="EN474" s="3472"/>
      <c r="EO474" s="3472"/>
      <c r="EP474" s="3472"/>
      <c r="EQ474" s="3472"/>
      <c r="ER474" s="3472"/>
      <c r="ES474" s="3472"/>
      <c r="ET474" s="3472"/>
      <c r="EU474" s="3472"/>
      <c r="EV474" s="3472"/>
      <c r="EW474" s="3472"/>
      <c r="EX474" s="3472"/>
      <c r="EY474" s="3472"/>
      <c r="EZ474" s="3472"/>
      <c r="FA474" s="3472"/>
      <c r="FB474" s="3472"/>
      <c r="FC474" s="3472"/>
      <c r="FD474" s="3472"/>
      <c r="FE474" s="3472"/>
      <c r="FF474" s="3472"/>
      <c r="FG474" s="3472"/>
      <c r="FH474" s="3472"/>
      <c r="FI474" s="3472"/>
      <c r="FJ474" s="3472"/>
      <c r="FK474" s="3472"/>
      <c r="FL474" s="3472"/>
      <c r="FM474" s="3472"/>
      <c r="FN474" s="3472"/>
      <c r="FO474" s="3472"/>
      <c r="FP474" s="3472"/>
      <c r="FQ474" s="3472"/>
      <c r="FR474" s="3472"/>
      <c r="FS474" s="3472"/>
      <c r="FT474" s="3472"/>
      <c r="FU474" s="3472"/>
      <c r="FV474" s="3472"/>
      <c r="FW474" s="3472"/>
      <c r="FX474" s="3472"/>
      <c r="FY474" s="3472"/>
      <c r="FZ474" s="3472"/>
      <c r="GA474" s="3472"/>
      <c r="GB474" s="3472"/>
      <c r="GC474" s="3472"/>
      <c r="GD474" s="3472"/>
      <c r="GE474" s="3472"/>
      <c r="GF474" s="3472"/>
      <c r="GG474" s="3472"/>
      <c r="GH474" s="3472"/>
      <c r="GI474" s="3472"/>
      <c r="GJ474" s="3472"/>
      <c r="GK474" s="3472"/>
      <c r="GL474" s="3472"/>
      <c r="GM474" s="3472"/>
      <c r="GN474" s="3472"/>
      <c r="GO474" s="3472"/>
      <c r="GP474" s="3472"/>
      <c r="GQ474" s="3472"/>
      <c r="GR474" s="3472"/>
      <c r="GS474" s="3472"/>
      <c r="GT474" s="3472"/>
      <c r="GU474" s="3472"/>
      <c r="GV474" s="3472"/>
      <c r="GW474" s="3472"/>
      <c r="GX474" s="3472"/>
      <c r="GY474" s="3472"/>
      <c r="GZ474" s="3472"/>
      <c r="HA474" s="3472"/>
      <c r="HB474" s="3472"/>
      <c r="HC474" s="3472"/>
      <c r="HD474" s="3472"/>
      <c r="HE474" s="3472"/>
      <c r="HF474" s="3472"/>
      <c r="HG474" s="3472"/>
      <c r="HH474" s="3472"/>
      <c r="HI474" s="3472"/>
      <c r="HJ474" s="3472"/>
      <c r="HK474" s="3472"/>
      <c r="HL474" s="3472"/>
      <c r="HM474" s="3472"/>
      <c r="HN474" s="3472"/>
      <c r="HO474" s="3472"/>
      <c r="HP474" s="3472"/>
      <c r="HQ474" s="3472"/>
      <c r="HR474" s="3472"/>
      <c r="HS474" s="3472"/>
      <c r="HT474" s="3472"/>
      <c r="HU474" s="3472"/>
      <c r="HV474" s="3472"/>
      <c r="HW474" s="3472"/>
      <c r="HX474" s="3472"/>
      <c r="HY474" s="3472"/>
      <c r="HZ474" s="3472"/>
      <c r="IA474" s="3472"/>
      <c r="IB474" s="3472"/>
      <c r="IC474" s="3472"/>
      <c r="ID474" s="3472"/>
      <c r="IE474" s="3472"/>
      <c r="IF474" s="3472"/>
      <c r="IG474" s="3472"/>
      <c r="IH474" s="3472"/>
      <c r="II474" s="3472"/>
      <c r="IJ474" s="3472"/>
      <c r="IK474" s="3472"/>
      <c r="IL474" s="3472"/>
      <c r="IM474" s="3472"/>
      <c r="IN474" s="3472"/>
      <c r="IO474" s="3472"/>
      <c r="IP474" s="3472"/>
      <c r="IQ474" s="3472"/>
      <c r="IR474" s="3472"/>
      <c r="IS474" s="3472"/>
    </row>
    <row r="475" spans="1:253" s="3441" customFormat="1" ht="12" hidden="1">
      <c r="A475" s="3485" t="s">
        <v>7093</v>
      </c>
      <c r="B475" s="3470" t="s">
        <v>7094</v>
      </c>
      <c r="C475" s="3481" t="s">
        <v>7095</v>
      </c>
      <c r="D475" s="3481" t="s">
        <v>7096</v>
      </c>
      <c r="E475" s="3470" t="s">
        <v>2736</v>
      </c>
      <c r="F475" s="3528" t="s">
        <v>7097</v>
      </c>
      <c r="G475" s="3470"/>
      <c r="H475" s="3470" t="s">
        <v>3837</v>
      </c>
      <c r="I475" s="3470"/>
      <c r="J475" s="3481" t="s">
        <v>5848</v>
      </c>
      <c r="K475" s="3470" t="s">
        <v>7098</v>
      </c>
      <c r="L475" s="3470">
        <v>110.36</v>
      </c>
      <c r="M475" s="3470">
        <v>5</v>
      </c>
      <c r="N475" s="3470" t="s">
        <v>3778</v>
      </c>
      <c r="O475" s="3470">
        <v>89.46</v>
      </c>
      <c r="P475" s="3470" t="s">
        <v>3452</v>
      </c>
      <c r="Q475" s="3510">
        <v>424886</v>
      </c>
      <c r="R475" s="3495">
        <v>3850</v>
      </c>
      <c r="S475" s="3472">
        <v>42.02</v>
      </c>
      <c r="T475" s="3511">
        <v>420200.00000000006</v>
      </c>
      <c r="U475" s="3495">
        <v>3808</v>
      </c>
      <c r="V475" s="3512">
        <v>0.1</v>
      </c>
      <c r="W475" s="3475">
        <v>37.81</v>
      </c>
      <c r="X475" s="3527">
        <v>378100</v>
      </c>
      <c r="Y475" s="3515">
        <v>2003</v>
      </c>
      <c r="Z475" s="3441">
        <v>7</v>
      </c>
      <c r="AA475" s="3470">
        <v>24</v>
      </c>
      <c r="AB475" s="3477">
        <v>2100</v>
      </c>
      <c r="AC475" s="3470" t="s">
        <v>3634</v>
      </c>
      <c r="AD475" s="3485"/>
      <c r="AE475" s="3441" t="s">
        <v>3663</v>
      </c>
      <c r="AF475" s="3470" t="s">
        <v>7099</v>
      </c>
      <c r="AG475" s="3470" t="s">
        <v>3466</v>
      </c>
      <c r="AH475" s="3485" t="s">
        <v>3568</v>
      </c>
      <c r="AI475" s="3470" t="s">
        <v>3664</v>
      </c>
      <c r="AJ475" s="3523">
        <v>38138</v>
      </c>
      <c r="AK475" s="3500">
        <v>7</v>
      </c>
      <c r="AL475" s="3441">
        <v>67641700</v>
      </c>
      <c r="AN475" s="3470" t="s">
        <v>3680</v>
      </c>
      <c r="AO475" s="3485" t="s">
        <v>7100</v>
      </c>
      <c r="AP475" s="3456" t="s">
        <v>3476</v>
      </c>
      <c r="AQ475" s="3441" t="s">
        <v>3571</v>
      </c>
      <c r="AV475" s="3441" t="s">
        <v>3568</v>
      </c>
      <c r="AW475" s="3470" t="s">
        <v>3572</v>
      </c>
      <c r="AY475" s="3441">
        <v>263260</v>
      </c>
      <c r="AZ475" s="3470" t="s">
        <v>7098</v>
      </c>
      <c r="BA475" s="3441" t="s">
        <v>7101</v>
      </c>
      <c r="BB475" s="3441" t="s">
        <v>3771</v>
      </c>
      <c r="BC475" s="3524" t="s">
        <v>3772</v>
      </c>
      <c r="BD475" s="3441">
        <v>102488</v>
      </c>
      <c r="BE475" s="3525">
        <v>63023627</v>
      </c>
      <c r="BF475" s="3520">
        <v>2.8</v>
      </c>
      <c r="BG475" s="3518">
        <v>37780</v>
      </c>
      <c r="BH475" s="3518"/>
      <c r="BI475" s="3470" t="s">
        <v>3476</v>
      </c>
      <c r="BJ475" s="3508">
        <v>37813</v>
      </c>
      <c r="BK475" s="3518"/>
      <c r="BL475" s="3441" t="s">
        <v>3833</v>
      </c>
      <c r="BS475" s="3470"/>
      <c r="BT475" s="3470"/>
      <c r="BU475" s="3470"/>
    </row>
    <row r="476" spans="1:253" s="3441" customFormat="1" ht="13.2" hidden="1">
      <c r="A476" s="3485" t="s">
        <v>7102</v>
      </c>
      <c r="B476" s="3470" t="s">
        <v>7103</v>
      </c>
      <c r="C476" s="3481" t="s">
        <v>7104</v>
      </c>
      <c r="D476" s="3481" t="s">
        <v>7105</v>
      </c>
      <c r="E476" s="3470" t="s">
        <v>2736</v>
      </c>
      <c r="F476" s="3521" t="s">
        <v>7034</v>
      </c>
      <c r="G476" s="3470"/>
      <c r="H476" s="3470" t="s">
        <v>7106</v>
      </c>
      <c r="I476" s="3470" t="s">
        <v>4854</v>
      </c>
      <c r="J476" s="3481" t="s">
        <v>3777</v>
      </c>
      <c r="K476" s="3470" t="s">
        <v>4507</v>
      </c>
      <c r="L476" s="3470">
        <v>66.930000000000007</v>
      </c>
      <c r="M476" s="3470">
        <v>7</v>
      </c>
      <c r="N476" s="3470" t="s">
        <v>6871</v>
      </c>
      <c r="O476" s="3470">
        <v>54.45</v>
      </c>
      <c r="P476" s="3470" t="s">
        <v>3452</v>
      </c>
      <c r="Q476" s="3457">
        <v>258349.80000000002</v>
      </c>
      <c r="R476" s="3470">
        <v>3860</v>
      </c>
      <c r="S476" s="3472">
        <v>25.54</v>
      </c>
      <c r="T476" s="3527">
        <v>255400</v>
      </c>
      <c r="U476" s="3495">
        <v>3816</v>
      </c>
      <c r="V476" s="3474">
        <v>0.1</v>
      </c>
      <c r="W476" s="3475">
        <v>22.98</v>
      </c>
      <c r="X476" s="3476">
        <v>229800</v>
      </c>
      <c r="Y476" s="3441">
        <v>2003</v>
      </c>
      <c r="Z476" s="3441">
        <v>7</v>
      </c>
      <c r="AA476" s="3441">
        <v>9</v>
      </c>
      <c r="AB476" s="3477">
        <v>1275</v>
      </c>
      <c r="AC476" s="3470" t="s">
        <v>3585</v>
      </c>
      <c r="AD476" s="3485"/>
      <c r="AE476" s="3441" t="s">
        <v>3663</v>
      </c>
      <c r="AF476" s="3470" t="s">
        <v>6065</v>
      </c>
      <c r="AG476" s="3522" t="s">
        <v>3466</v>
      </c>
      <c r="AH476" s="3485"/>
      <c r="AI476" s="3470" t="s">
        <v>7028</v>
      </c>
      <c r="AJ476" s="3523">
        <v>37860</v>
      </c>
      <c r="AK476" s="3479">
        <v>7</v>
      </c>
      <c r="AL476" s="3441">
        <v>67641700</v>
      </c>
      <c r="AN476" s="3441" t="s">
        <v>3695</v>
      </c>
      <c r="AP476" s="3456" t="s">
        <v>6257</v>
      </c>
      <c r="AQ476" s="3441" t="s">
        <v>3571</v>
      </c>
      <c r="AW476" s="3441" t="s">
        <v>3572</v>
      </c>
      <c r="AY476" s="3524" t="s">
        <v>7107</v>
      </c>
      <c r="AZ476" s="3441" t="s">
        <v>7036</v>
      </c>
      <c r="BA476" s="3441" t="s">
        <v>7108</v>
      </c>
      <c r="BB476" s="3524" t="s">
        <v>7039</v>
      </c>
      <c r="BC476" s="3441" t="s">
        <v>4509</v>
      </c>
      <c r="BD476" s="3525">
        <v>100083</v>
      </c>
      <c r="BE476" s="3441">
        <v>82355171</v>
      </c>
      <c r="BF476" s="3526">
        <v>2.7</v>
      </c>
      <c r="BG476" s="3518">
        <v>37799</v>
      </c>
      <c r="BH476" s="3441" t="s">
        <v>4681</v>
      </c>
      <c r="BI476" s="3441" t="s">
        <v>2153</v>
      </c>
      <c r="BJ476" s="3484">
        <v>37805</v>
      </c>
      <c r="BK476" s="3484"/>
      <c r="BL476" s="3441" t="s">
        <v>3594</v>
      </c>
      <c r="BS476" s="3470"/>
      <c r="BT476" s="3470"/>
      <c r="BU476" s="3470"/>
    </row>
    <row r="477" spans="1:253" s="3441" customFormat="1" ht="13.2" hidden="1">
      <c r="A477" s="3485" t="s">
        <v>7109</v>
      </c>
      <c r="B477" s="3470" t="s">
        <v>7110</v>
      </c>
      <c r="C477" s="3481" t="s">
        <v>7111</v>
      </c>
      <c r="D477" s="3481" t="s">
        <v>7112</v>
      </c>
      <c r="E477" s="3470" t="s">
        <v>2736</v>
      </c>
      <c r="F477" s="3521" t="s">
        <v>7113</v>
      </c>
      <c r="G477" s="3470"/>
      <c r="H477" s="3470" t="s">
        <v>7106</v>
      </c>
      <c r="I477" s="3470" t="s">
        <v>7114</v>
      </c>
      <c r="J477" s="3481" t="s">
        <v>4498</v>
      </c>
      <c r="K477" s="3470" t="s">
        <v>7115</v>
      </c>
      <c r="L477" s="3470">
        <v>66.930000000000007</v>
      </c>
      <c r="M477" s="3470">
        <v>5</v>
      </c>
      <c r="N477" s="3470" t="s">
        <v>3489</v>
      </c>
      <c r="O477" s="3470">
        <v>54.45</v>
      </c>
      <c r="P477" s="3470" t="s">
        <v>3452</v>
      </c>
      <c r="Q477" s="3457">
        <v>251656.80000000002</v>
      </c>
      <c r="R477" s="3470">
        <v>3760</v>
      </c>
      <c r="S477" s="3472">
        <v>24.87</v>
      </c>
      <c r="T477" s="3527">
        <v>248700</v>
      </c>
      <c r="U477" s="3495">
        <v>3717</v>
      </c>
      <c r="V477" s="3474">
        <v>0.1</v>
      </c>
      <c r="W477" s="3475">
        <v>22.38</v>
      </c>
      <c r="X477" s="3476">
        <v>223800</v>
      </c>
      <c r="Y477" s="3441">
        <v>2003</v>
      </c>
      <c r="Z477" s="3441">
        <v>7</v>
      </c>
      <c r="AA477" s="3441">
        <v>9</v>
      </c>
      <c r="AB477" s="3477">
        <v>1240</v>
      </c>
      <c r="AC477" s="3470" t="s">
        <v>3585</v>
      </c>
      <c r="AD477" s="3485"/>
      <c r="AE477" s="3441" t="s">
        <v>3663</v>
      </c>
      <c r="AF477" s="3470" t="s">
        <v>7027</v>
      </c>
      <c r="AG477" s="3522" t="s">
        <v>3466</v>
      </c>
      <c r="AH477" s="3485"/>
      <c r="AI477" s="3470" t="s">
        <v>6439</v>
      </c>
      <c r="AJ477" s="3523">
        <v>37858</v>
      </c>
      <c r="AK477" s="3479">
        <v>7</v>
      </c>
      <c r="AL477" s="3441">
        <v>67641700</v>
      </c>
      <c r="AN477" s="3441" t="s">
        <v>3695</v>
      </c>
      <c r="AP477" s="3456" t="s">
        <v>6257</v>
      </c>
      <c r="AQ477" s="3441" t="s">
        <v>3571</v>
      </c>
      <c r="AW477" s="3441" t="s">
        <v>3572</v>
      </c>
      <c r="AY477" s="3524" t="s">
        <v>7116</v>
      </c>
      <c r="AZ477" s="3441" t="s">
        <v>4507</v>
      </c>
      <c r="BA477" s="3441" t="s">
        <v>7038</v>
      </c>
      <c r="BB477" s="3524" t="s">
        <v>7117</v>
      </c>
      <c r="BC477" s="3441" t="s">
        <v>7118</v>
      </c>
      <c r="BD477" s="3525">
        <v>100083</v>
      </c>
      <c r="BE477" s="3441">
        <v>82355171</v>
      </c>
      <c r="BF477" s="3526">
        <v>2.7</v>
      </c>
      <c r="BG477" s="3518">
        <v>37797</v>
      </c>
      <c r="BH477" s="3441" t="s">
        <v>4681</v>
      </c>
      <c r="BI477" s="3441" t="s">
        <v>2153</v>
      </c>
      <c r="BJ477" s="3484">
        <v>37806</v>
      </c>
      <c r="BK477" s="3484"/>
      <c r="BL477" s="3441" t="s">
        <v>3594</v>
      </c>
      <c r="BS477" s="3470"/>
      <c r="BT477" s="3470"/>
      <c r="BU477" s="3470"/>
    </row>
    <row r="478" spans="1:253" s="3441" customFormat="1" ht="13.2" hidden="1">
      <c r="A478" s="3485" t="s">
        <v>7119</v>
      </c>
      <c r="B478" s="3470" t="s">
        <v>7120</v>
      </c>
      <c r="C478" s="3481" t="s">
        <v>7121</v>
      </c>
      <c r="D478" s="3481" t="s">
        <v>7122</v>
      </c>
      <c r="E478" s="3470" t="s">
        <v>2736</v>
      </c>
      <c r="F478" s="3521" t="s">
        <v>7113</v>
      </c>
      <c r="G478" s="3470"/>
      <c r="H478" s="3470" t="s">
        <v>7123</v>
      </c>
      <c r="I478" s="3470" t="s">
        <v>3464</v>
      </c>
      <c r="J478" s="3481" t="s">
        <v>7124</v>
      </c>
      <c r="K478" s="3470" t="s">
        <v>4507</v>
      </c>
      <c r="L478" s="3470">
        <v>64.459999999999994</v>
      </c>
      <c r="M478" s="3470">
        <v>9</v>
      </c>
      <c r="N478" s="3470" t="s">
        <v>3489</v>
      </c>
      <c r="O478" s="3470">
        <v>54.08</v>
      </c>
      <c r="P478" s="3470" t="s">
        <v>3452</v>
      </c>
      <c r="Q478" s="3457">
        <v>248815.59999999998</v>
      </c>
      <c r="R478" s="3470">
        <v>3860</v>
      </c>
      <c r="S478" s="3472">
        <v>24.59</v>
      </c>
      <c r="T478" s="3527">
        <v>245900</v>
      </c>
      <c r="U478" s="3495">
        <v>3816</v>
      </c>
      <c r="V478" s="3474">
        <v>0.1</v>
      </c>
      <c r="W478" s="3475">
        <v>22.13</v>
      </c>
      <c r="X478" s="3476">
        <v>221300</v>
      </c>
      <c r="Y478" s="3441">
        <v>2003</v>
      </c>
      <c r="Z478" s="3441">
        <v>7</v>
      </c>
      <c r="AA478" s="3441">
        <v>9</v>
      </c>
      <c r="AB478" s="3477">
        <v>1225</v>
      </c>
      <c r="AC478" s="3470" t="s">
        <v>3585</v>
      </c>
      <c r="AD478" s="3485"/>
      <c r="AE478" s="3441" t="s">
        <v>3663</v>
      </c>
      <c r="AF478" s="3470" t="s">
        <v>7125</v>
      </c>
      <c r="AG478" s="3522" t="s">
        <v>3466</v>
      </c>
      <c r="AH478" s="3485"/>
      <c r="AI478" s="3470" t="s">
        <v>6531</v>
      </c>
      <c r="AJ478" s="3523">
        <v>37858</v>
      </c>
      <c r="AK478" s="3479">
        <v>7</v>
      </c>
      <c r="AL478" s="3441">
        <v>67641700</v>
      </c>
      <c r="AN478" s="3441" t="s">
        <v>3695</v>
      </c>
      <c r="AP478" s="3456" t="s">
        <v>2153</v>
      </c>
      <c r="AQ478" s="3441" t="s">
        <v>3571</v>
      </c>
      <c r="AW478" s="3441" t="s">
        <v>3572</v>
      </c>
      <c r="AY478" s="3524" t="s">
        <v>7126</v>
      </c>
      <c r="AZ478" s="3441" t="s">
        <v>4507</v>
      </c>
      <c r="BA478" s="3441" t="s">
        <v>7038</v>
      </c>
      <c r="BB478" s="3524" t="s">
        <v>7117</v>
      </c>
      <c r="BC478" s="3441" t="s">
        <v>4509</v>
      </c>
      <c r="BD478" s="3525">
        <v>100083</v>
      </c>
      <c r="BE478" s="3441">
        <v>82355171</v>
      </c>
      <c r="BF478" s="3526">
        <v>2.7</v>
      </c>
      <c r="BG478" s="3518">
        <v>37797</v>
      </c>
      <c r="BH478" s="3441" t="s">
        <v>4681</v>
      </c>
      <c r="BI478" s="3441" t="s">
        <v>7041</v>
      </c>
      <c r="BJ478" s="3484">
        <v>37806</v>
      </c>
      <c r="BK478" s="3484"/>
      <c r="BL478" s="3441" t="s">
        <v>3833</v>
      </c>
      <c r="BS478" s="3470"/>
      <c r="BT478" s="3470"/>
      <c r="BU478" s="3470"/>
    </row>
    <row r="479" spans="1:253" s="3441" customFormat="1" ht="12" hidden="1">
      <c r="A479" s="3470" t="s">
        <v>7127</v>
      </c>
      <c r="B479" s="3470" t="s">
        <v>7128</v>
      </c>
      <c r="C479" s="3481" t="s">
        <v>7129</v>
      </c>
      <c r="D479" s="3481" t="s">
        <v>7130</v>
      </c>
      <c r="E479" s="3470" t="s">
        <v>2736</v>
      </c>
      <c r="F479" s="3528" t="s">
        <v>6419</v>
      </c>
      <c r="G479" s="3470"/>
      <c r="H479" s="3453" t="s">
        <v>4759</v>
      </c>
      <c r="I479" s="3453" t="s">
        <v>3676</v>
      </c>
      <c r="J479" s="3454" t="s">
        <v>7015</v>
      </c>
      <c r="K479" s="3470" t="s">
        <v>6408</v>
      </c>
      <c r="L479" s="3495">
        <v>65.13</v>
      </c>
      <c r="M479" s="3495">
        <v>6</v>
      </c>
      <c r="N479" s="3470" t="s">
        <v>7131</v>
      </c>
      <c r="O479" s="3495">
        <v>57.08</v>
      </c>
      <c r="P479" s="3470" t="s">
        <v>3452</v>
      </c>
      <c r="Q479" s="3457">
        <v>287809.46999999997</v>
      </c>
      <c r="R479" s="3470">
        <v>4419</v>
      </c>
      <c r="S479" s="3472">
        <v>28.46</v>
      </c>
      <c r="T479" s="3527">
        <v>284600</v>
      </c>
      <c r="U479" s="3495">
        <v>4370</v>
      </c>
      <c r="V479" s="3512">
        <v>0.1</v>
      </c>
      <c r="W479" s="3475">
        <v>25.61</v>
      </c>
      <c r="X479" s="3473">
        <v>256100</v>
      </c>
      <c r="Y479" s="3515">
        <v>2003</v>
      </c>
      <c r="Z479" s="3441">
        <v>7</v>
      </c>
      <c r="AA479" s="3470">
        <v>7</v>
      </c>
      <c r="AB479" s="3477">
        <v>1420</v>
      </c>
      <c r="AC479" s="3470" t="s">
        <v>4922</v>
      </c>
      <c r="AD479" s="3485"/>
      <c r="AE479" s="3469" t="s">
        <v>6906</v>
      </c>
      <c r="AF479" s="3453" t="s">
        <v>6410</v>
      </c>
      <c r="AG479" s="3522" t="s">
        <v>3454</v>
      </c>
      <c r="AH479" s="3485"/>
      <c r="AI479" s="3470" t="s">
        <v>6972</v>
      </c>
      <c r="AJ479" s="3523">
        <v>38077</v>
      </c>
      <c r="AK479" s="3500">
        <v>7</v>
      </c>
      <c r="AL479" s="3515">
        <v>67641700</v>
      </c>
      <c r="AN479" s="3441" t="s">
        <v>3695</v>
      </c>
      <c r="AO479" s="3453" t="s">
        <v>6879</v>
      </c>
      <c r="AP479" s="3441" t="s">
        <v>3475</v>
      </c>
      <c r="AQ479" s="3469" t="s">
        <v>3571</v>
      </c>
      <c r="AU479" s="3495"/>
      <c r="AV479" s="3535"/>
      <c r="AW479" s="3470" t="s">
        <v>3458</v>
      </c>
      <c r="AX479" s="3441" t="s">
        <v>2420</v>
      </c>
      <c r="AY479" s="3536" t="s">
        <v>7132</v>
      </c>
      <c r="AZ479" s="3470" t="s">
        <v>6412</v>
      </c>
      <c r="BA479" s="3463" t="s">
        <v>6413</v>
      </c>
      <c r="BB479" s="3466">
        <v>1102281149818</v>
      </c>
      <c r="BC479" s="3441" t="s">
        <v>7084</v>
      </c>
      <c r="BD479" s="3441">
        <v>100044</v>
      </c>
      <c r="BE479" s="3463">
        <v>88018575</v>
      </c>
      <c r="BF479" s="3538">
        <v>2.7</v>
      </c>
      <c r="BG479" s="3535">
        <v>37788</v>
      </c>
      <c r="BH479" s="3453"/>
      <c r="BI479" s="3470" t="s">
        <v>3476</v>
      </c>
      <c r="BJ479" s="3484">
        <v>37805</v>
      </c>
      <c r="BL479" s="3441" t="s">
        <v>3833</v>
      </c>
      <c r="BS479" s="3470"/>
      <c r="BT479" s="3470"/>
      <c r="BU479" s="3470"/>
      <c r="BV479" s="3472"/>
      <c r="BW479" s="3472"/>
      <c r="BX479" s="3472"/>
      <c r="BY479" s="3472"/>
      <c r="BZ479" s="3472"/>
      <c r="CA479" s="3472"/>
      <c r="CB479" s="3472"/>
      <c r="CC479" s="3472"/>
      <c r="CD479" s="3472"/>
      <c r="CE479" s="3472"/>
      <c r="CF479" s="3472"/>
      <c r="CG479" s="3472"/>
      <c r="CH479" s="3472"/>
      <c r="CI479" s="3472"/>
      <c r="CJ479" s="3472"/>
      <c r="CK479" s="3472"/>
      <c r="CL479" s="3472"/>
      <c r="CM479" s="3472"/>
      <c r="CN479" s="3472"/>
      <c r="CO479" s="3472"/>
      <c r="CP479" s="3472"/>
      <c r="CQ479" s="3472"/>
      <c r="CR479" s="3472"/>
      <c r="CS479" s="3472"/>
      <c r="CT479" s="3472"/>
      <c r="CU479" s="3472"/>
      <c r="CV479" s="3472"/>
      <c r="CW479" s="3472"/>
      <c r="CX479" s="3472"/>
      <c r="CY479" s="3472"/>
      <c r="CZ479" s="3472"/>
      <c r="DA479" s="3472"/>
      <c r="DB479" s="3472"/>
      <c r="DC479" s="3472"/>
      <c r="DD479" s="3472"/>
      <c r="DE479" s="3472"/>
      <c r="DF479" s="3472"/>
      <c r="DG479" s="3472"/>
      <c r="DH479" s="3472"/>
      <c r="DI479" s="3472"/>
      <c r="DJ479" s="3472"/>
      <c r="DK479" s="3472"/>
      <c r="DL479" s="3472"/>
      <c r="DM479" s="3472"/>
      <c r="DN479" s="3472"/>
      <c r="DO479" s="3472"/>
      <c r="DP479" s="3472"/>
      <c r="DQ479" s="3472"/>
      <c r="DR479" s="3472"/>
      <c r="DS479" s="3472"/>
      <c r="DT479" s="3472"/>
      <c r="DU479" s="3472"/>
      <c r="DV479" s="3472"/>
      <c r="DW479" s="3472"/>
      <c r="DX479" s="3472"/>
      <c r="DY479" s="3472"/>
      <c r="DZ479" s="3472"/>
      <c r="EA479" s="3472"/>
      <c r="EB479" s="3472"/>
      <c r="EC479" s="3472"/>
      <c r="ED479" s="3472"/>
      <c r="EE479" s="3472"/>
      <c r="EF479" s="3472"/>
      <c r="EG479" s="3472"/>
      <c r="EH479" s="3472"/>
      <c r="EI479" s="3472"/>
      <c r="EJ479" s="3472"/>
      <c r="EK479" s="3472"/>
      <c r="EL479" s="3472"/>
      <c r="EM479" s="3472"/>
      <c r="EN479" s="3472"/>
      <c r="EO479" s="3472"/>
      <c r="EP479" s="3472"/>
      <c r="EQ479" s="3472"/>
      <c r="ER479" s="3472"/>
      <c r="ES479" s="3472"/>
      <c r="ET479" s="3472"/>
      <c r="EU479" s="3472"/>
      <c r="EV479" s="3472"/>
      <c r="EW479" s="3472"/>
      <c r="EX479" s="3472"/>
      <c r="EY479" s="3472"/>
      <c r="EZ479" s="3472"/>
      <c r="FA479" s="3472"/>
      <c r="FB479" s="3472"/>
      <c r="FC479" s="3472"/>
      <c r="FD479" s="3472"/>
      <c r="FE479" s="3472"/>
      <c r="FF479" s="3472"/>
      <c r="FG479" s="3472"/>
      <c r="FH479" s="3472"/>
      <c r="FI479" s="3472"/>
      <c r="FJ479" s="3472"/>
      <c r="FK479" s="3472"/>
      <c r="FL479" s="3472"/>
      <c r="FM479" s="3472"/>
      <c r="FN479" s="3472"/>
      <c r="FO479" s="3472"/>
      <c r="FP479" s="3472"/>
      <c r="FQ479" s="3472"/>
      <c r="FR479" s="3472"/>
      <c r="FS479" s="3472"/>
      <c r="FT479" s="3472"/>
      <c r="FU479" s="3472"/>
      <c r="FV479" s="3472"/>
      <c r="FW479" s="3472"/>
      <c r="FX479" s="3472"/>
      <c r="FY479" s="3472"/>
      <c r="FZ479" s="3472"/>
      <c r="GA479" s="3472"/>
      <c r="GB479" s="3472"/>
      <c r="GC479" s="3472"/>
      <c r="GD479" s="3472"/>
      <c r="GE479" s="3472"/>
      <c r="GF479" s="3472"/>
      <c r="GG479" s="3472"/>
      <c r="GH479" s="3472"/>
      <c r="GI479" s="3472"/>
      <c r="GJ479" s="3472"/>
      <c r="GK479" s="3472"/>
      <c r="GL479" s="3472"/>
      <c r="GM479" s="3472"/>
      <c r="GN479" s="3472"/>
      <c r="GO479" s="3472"/>
      <c r="GP479" s="3472"/>
      <c r="GQ479" s="3472"/>
      <c r="GR479" s="3472"/>
      <c r="GS479" s="3472"/>
      <c r="GT479" s="3472"/>
      <c r="GU479" s="3472"/>
      <c r="GV479" s="3472"/>
      <c r="GW479" s="3472"/>
      <c r="GX479" s="3472"/>
      <c r="GY479" s="3472"/>
      <c r="GZ479" s="3472"/>
      <c r="HA479" s="3472"/>
      <c r="HB479" s="3472"/>
      <c r="HC479" s="3472"/>
      <c r="HD479" s="3472"/>
      <c r="HE479" s="3472"/>
      <c r="HF479" s="3472"/>
      <c r="HG479" s="3472"/>
      <c r="HH479" s="3472"/>
      <c r="HI479" s="3472"/>
      <c r="HJ479" s="3472"/>
      <c r="HK479" s="3472"/>
      <c r="HL479" s="3472"/>
      <c r="HM479" s="3472"/>
      <c r="HN479" s="3472"/>
      <c r="HO479" s="3472"/>
      <c r="HP479" s="3472"/>
      <c r="HQ479" s="3472"/>
      <c r="HR479" s="3472"/>
      <c r="HS479" s="3472"/>
      <c r="HT479" s="3472"/>
      <c r="HU479" s="3472"/>
      <c r="HV479" s="3472"/>
      <c r="HW479" s="3472"/>
      <c r="HX479" s="3472"/>
      <c r="HY479" s="3472"/>
      <c r="HZ479" s="3472"/>
      <c r="IA479" s="3472"/>
      <c r="IB479" s="3472"/>
      <c r="IC479" s="3472"/>
      <c r="ID479" s="3472"/>
      <c r="IE479" s="3472"/>
      <c r="IF479" s="3472"/>
      <c r="IG479" s="3472"/>
      <c r="IH479" s="3472"/>
      <c r="II479" s="3472"/>
      <c r="IJ479" s="3472"/>
      <c r="IK479" s="3472"/>
      <c r="IL479" s="3472"/>
      <c r="IM479" s="3472"/>
      <c r="IN479" s="3472"/>
      <c r="IO479" s="3472"/>
      <c r="IP479" s="3472"/>
      <c r="IQ479" s="3472"/>
      <c r="IR479" s="3472"/>
      <c r="IS479" s="3472"/>
    </row>
    <row r="480" spans="1:253" s="3441" customFormat="1" ht="12" hidden="1">
      <c r="A480" s="3470" t="s">
        <v>7133</v>
      </c>
      <c r="B480" s="3470" t="s">
        <v>7134</v>
      </c>
      <c r="C480" s="3481" t="s">
        <v>7135</v>
      </c>
      <c r="D480" s="3481" t="s">
        <v>7136</v>
      </c>
      <c r="E480" s="3470" t="s">
        <v>2736</v>
      </c>
      <c r="F480" s="3528" t="s">
        <v>6419</v>
      </c>
      <c r="G480" s="3470"/>
      <c r="H480" s="3453" t="s">
        <v>3614</v>
      </c>
      <c r="I480" s="3453" t="s">
        <v>3464</v>
      </c>
      <c r="J480" s="3454" t="s">
        <v>4325</v>
      </c>
      <c r="K480" s="3470" t="s">
        <v>6408</v>
      </c>
      <c r="L480" s="3495">
        <v>93.1</v>
      </c>
      <c r="M480" s="3495">
        <v>5</v>
      </c>
      <c r="N480" s="3470" t="s">
        <v>3709</v>
      </c>
      <c r="O480" s="3495">
        <v>81.23</v>
      </c>
      <c r="P480" s="3470" t="s">
        <v>3452</v>
      </c>
      <c r="Q480" s="3457">
        <v>392137.19999999995</v>
      </c>
      <c r="R480" s="3470">
        <v>4212</v>
      </c>
      <c r="S480" s="3472">
        <v>38.75</v>
      </c>
      <c r="T480" s="3527">
        <v>387500</v>
      </c>
      <c r="U480" s="3495">
        <v>4163</v>
      </c>
      <c r="V480" s="3512">
        <v>0.1</v>
      </c>
      <c r="W480" s="3475">
        <v>34.869999999999997</v>
      </c>
      <c r="X480" s="3473">
        <v>348700</v>
      </c>
      <c r="Y480" s="3515">
        <v>2003</v>
      </c>
      <c r="Z480" s="3441">
        <v>7</v>
      </c>
      <c r="AA480" s="3470">
        <v>7</v>
      </c>
      <c r="AB480" s="3477">
        <v>1935</v>
      </c>
      <c r="AC480" s="3470" t="s">
        <v>6891</v>
      </c>
      <c r="AD480" s="3485"/>
      <c r="AE480" s="3469" t="s">
        <v>2156</v>
      </c>
      <c r="AF480" s="3453" t="s">
        <v>7137</v>
      </c>
      <c r="AG480" s="3522" t="s">
        <v>3546</v>
      </c>
      <c r="AH480" s="3485"/>
      <c r="AI480" s="3470" t="s">
        <v>3664</v>
      </c>
      <c r="AJ480" s="3523">
        <v>38077</v>
      </c>
      <c r="AK480" s="3500">
        <v>7</v>
      </c>
      <c r="AL480" s="3515">
        <v>67641700</v>
      </c>
      <c r="AN480" s="3441" t="s">
        <v>3695</v>
      </c>
      <c r="AO480" s="3453" t="s">
        <v>2420</v>
      </c>
      <c r="AP480" s="3441" t="s">
        <v>3475</v>
      </c>
      <c r="AQ480" s="3469" t="s">
        <v>3571</v>
      </c>
      <c r="AU480" s="3495"/>
      <c r="AV480" s="3535"/>
      <c r="AW480" s="3470" t="s">
        <v>3458</v>
      </c>
      <c r="AX480" s="3441" t="s">
        <v>6879</v>
      </c>
      <c r="AY480" s="3536" t="s">
        <v>7138</v>
      </c>
      <c r="AZ480" s="3470" t="s">
        <v>6412</v>
      </c>
      <c r="BA480" s="3463" t="s">
        <v>6424</v>
      </c>
      <c r="BB480" s="3466">
        <v>1102281149818</v>
      </c>
      <c r="BC480" s="3441" t="s">
        <v>6414</v>
      </c>
      <c r="BD480" s="3441">
        <v>100044</v>
      </c>
      <c r="BE480" s="3463">
        <v>88018575</v>
      </c>
      <c r="BF480" s="3538">
        <v>2.7</v>
      </c>
      <c r="BG480" s="3535">
        <v>37787</v>
      </c>
      <c r="BH480" s="3453"/>
      <c r="BI480" s="3470" t="s">
        <v>3476</v>
      </c>
      <c r="BJ480" s="3484">
        <v>37805</v>
      </c>
      <c r="BL480" s="3441" t="s">
        <v>6897</v>
      </c>
      <c r="BS480" s="3470"/>
      <c r="BT480" s="3470"/>
      <c r="BU480" s="3470"/>
      <c r="BV480" s="3472"/>
      <c r="BW480" s="3472"/>
      <c r="BX480" s="3472"/>
      <c r="BY480" s="3472"/>
      <c r="BZ480" s="3472"/>
      <c r="CA480" s="3472"/>
      <c r="CB480" s="3472"/>
      <c r="CC480" s="3472"/>
      <c r="CD480" s="3472"/>
      <c r="CE480" s="3472"/>
      <c r="CF480" s="3472"/>
      <c r="CG480" s="3472"/>
      <c r="CH480" s="3472"/>
      <c r="CI480" s="3472"/>
      <c r="CJ480" s="3472"/>
      <c r="CK480" s="3472"/>
      <c r="CL480" s="3472"/>
      <c r="CM480" s="3472"/>
      <c r="CN480" s="3472"/>
      <c r="CO480" s="3472"/>
      <c r="CP480" s="3472"/>
      <c r="CQ480" s="3472"/>
      <c r="CR480" s="3472"/>
      <c r="CS480" s="3472"/>
      <c r="CT480" s="3472"/>
      <c r="CU480" s="3472"/>
      <c r="CV480" s="3472"/>
      <c r="CW480" s="3472"/>
      <c r="CX480" s="3472"/>
      <c r="CY480" s="3472"/>
      <c r="CZ480" s="3472"/>
      <c r="DA480" s="3472"/>
      <c r="DB480" s="3472"/>
      <c r="DC480" s="3472"/>
      <c r="DD480" s="3472"/>
      <c r="DE480" s="3472"/>
      <c r="DF480" s="3472"/>
      <c r="DG480" s="3472"/>
      <c r="DH480" s="3472"/>
      <c r="DI480" s="3472"/>
      <c r="DJ480" s="3472"/>
      <c r="DK480" s="3472"/>
      <c r="DL480" s="3472"/>
      <c r="DM480" s="3472"/>
      <c r="DN480" s="3472"/>
      <c r="DO480" s="3472"/>
      <c r="DP480" s="3472"/>
      <c r="DQ480" s="3472"/>
      <c r="DR480" s="3472"/>
      <c r="DS480" s="3472"/>
      <c r="DT480" s="3472"/>
      <c r="DU480" s="3472"/>
      <c r="DV480" s="3472"/>
      <c r="DW480" s="3472"/>
      <c r="DX480" s="3472"/>
      <c r="DY480" s="3472"/>
      <c r="DZ480" s="3472"/>
      <c r="EA480" s="3472"/>
      <c r="EB480" s="3472"/>
      <c r="EC480" s="3472"/>
      <c r="ED480" s="3472"/>
      <c r="EE480" s="3472"/>
      <c r="EF480" s="3472"/>
      <c r="EG480" s="3472"/>
      <c r="EH480" s="3472"/>
      <c r="EI480" s="3472"/>
      <c r="EJ480" s="3472"/>
      <c r="EK480" s="3472"/>
      <c r="EL480" s="3472"/>
      <c r="EM480" s="3472"/>
      <c r="EN480" s="3472"/>
      <c r="EO480" s="3472"/>
      <c r="EP480" s="3472"/>
      <c r="EQ480" s="3472"/>
      <c r="ER480" s="3472"/>
      <c r="ES480" s="3472"/>
      <c r="ET480" s="3472"/>
      <c r="EU480" s="3472"/>
      <c r="EV480" s="3472"/>
      <c r="EW480" s="3472"/>
      <c r="EX480" s="3472"/>
      <c r="EY480" s="3472"/>
      <c r="EZ480" s="3472"/>
      <c r="FA480" s="3472"/>
      <c r="FB480" s="3472"/>
      <c r="FC480" s="3472"/>
      <c r="FD480" s="3472"/>
      <c r="FE480" s="3472"/>
      <c r="FF480" s="3472"/>
      <c r="FG480" s="3472"/>
      <c r="FH480" s="3472"/>
      <c r="FI480" s="3472"/>
      <c r="FJ480" s="3472"/>
      <c r="FK480" s="3472"/>
      <c r="FL480" s="3472"/>
      <c r="FM480" s="3472"/>
      <c r="FN480" s="3472"/>
      <c r="FO480" s="3472"/>
      <c r="FP480" s="3472"/>
      <c r="FQ480" s="3472"/>
      <c r="FR480" s="3472"/>
      <c r="FS480" s="3472"/>
      <c r="FT480" s="3472"/>
      <c r="FU480" s="3472"/>
      <c r="FV480" s="3472"/>
      <c r="FW480" s="3472"/>
      <c r="FX480" s="3472"/>
      <c r="FY480" s="3472"/>
      <c r="FZ480" s="3472"/>
      <c r="GA480" s="3472"/>
      <c r="GB480" s="3472"/>
      <c r="GC480" s="3472"/>
      <c r="GD480" s="3472"/>
      <c r="GE480" s="3472"/>
      <c r="GF480" s="3472"/>
      <c r="GG480" s="3472"/>
      <c r="GH480" s="3472"/>
      <c r="GI480" s="3472"/>
      <c r="GJ480" s="3472"/>
      <c r="GK480" s="3472"/>
      <c r="GL480" s="3472"/>
      <c r="GM480" s="3472"/>
      <c r="GN480" s="3472"/>
      <c r="GO480" s="3472"/>
      <c r="GP480" s="3472"/>
      <c r="GQ480" s="3472"/>
      <c r="GR480" s="3472"/>
      <c r="GS480" s="3472"/>
      <c r="GT480" s="3472"/>
      <c r="GU480" s="3472"/>
      <c r="GV480" s="3472"/>
      <c r="GW480" s="3472"/>
      <c r="GX480" s="3472"/>
      <c r="GY480" s="3472"/>
      <c r="GZ480" s="3472"/>
      <c r="HA480" s="3472"/>
      <c r="HB480" s="3472"/>
      <c r="HC480" s="3472"/>
      <c r="HD480" s="3472"/>
      <c r="HE480" s="3472"/>
      <c r="HF480" s="3472"/>
      <c r="HG480" s="3472"/>
      <c r="HH480" s="3472"/>
      <c r="HI480" s="3472"/>
      <c r="HJ480" s="3472"/>
      <c r="HK480" s="3472"/>
      <c r="HL480" s="3472"/>
      <c r="HM480" s="3472"/>
      <c r="HN480" s="3472"/>
      <c r="HO480" s="3472"/>
      <c r="HP480" s="3472"/>
      <c r="HQ480" s="3472"/>
      <c r="HR480" s="3472"/>
      <c r="HS480" s="3472"/>
      <c r="HT480" s="3472"/>
      <c r="HU480" s="3472"/>
      <c r="HV480" s="3472"/>
      <c r="HW480" s="3472"/>
      <c r="HX480" s="3472"/>
      <c r="HY480" s="3472"/>
      <c r="HZ480" s="3472"/>
      <c r="IA480" s="3472"/>
      <c r="IB480" s="3472"/>
      <c r="IC480" s="3472"/>
      <c r="ID480" s="3472"/>
      <c r="IE480" s="3472"/>
      <c r="IF480" s="3472"/>
      <c r="IG480" s="3472"/>
      <c r="IH480" s="3472"/>
      <c r="II480" s="3472"/>
      <c r="IJ480" s="3472"/>
      <c r="IK480" s="3472"/>
      <c r="IL480" s="3472"/>
      <c r="IM480" s="3472"/>
      <c r="IN480" s="3472"/>
      <c r="IO480" s="3472"/>
      <c r="IP480" s="3472"/>
      <c r="IQ480" s="3472"/>
      <c r="IR480" s="3472"/>
      <c r="IS480" s="3472"/>
    </row>
    <row r="481" spans="1:253" s="3441" customFormat="1" ht="12" hidden="1">
      <c r="A481" s="3470" t="s">
        <v>7139</v>
      </c>
      <c r="B481" s="3470" t="s">
        <v>7140</v>
      </c>
      <c r="C481" s="3481" t="s">
        <v>7141</v>
      </c>
      <c r="D481" s="3481" t="s">
        <v>7142</v>
      </c>
      <c r="E481" s="3470" t="s">
        <v>2736</v>
      </c>
      <c r="F481" s="3528" t="s">
        <v>6419</v>
      </c>
      <c r="G481" s="3470"/>
      <c r="H481" s="3453" t="s">
        <v>4262</v>
      </c>
      <c r="I481" s="3453" t="s">
        <v>7143</v>
      </c>
      <c r="J481" s="3454" t="s">
        <v>4325</v>
      </c>
      <c r="K481" s="3470" t="s">
        <v>6412</v>
      </c>
      <c r="L481" s="3495">
        <v>83.86</v>
      </c>
      <c r="M481" s="3495">
        <v>5</v>
      </c>
      <c r="N481" s="3470" t="s">
        <v>7017</v>
      </c>
      <c r="O481" s="3495">
        <v>73.180000000000007</v>
      </c>
      <c r="P481" s="3470" t="s">
        <v>3452</v>
      </c>
      <c r="Q481" s="3457">
        <v>365629.6</v>
      </c>
      <c r="R481" s="3470">
        <v>4360</v>
      </c>
      <c r="S481" s="3472">
        <v>36.14</v>
      </c>
      <c r="T481" s="3527">
        <v>361400</v>
      </c>
      <c r="U481" s="3495">
        <v>4310</v>
      </c>
      <c r="V481" s="3512">
        <v>0.1</v>
      </c>
      <c r="W481" s="3475">
        <v>32.520000000000003</v>
      </c>
      <c r="X481" s="3473">
        <v>325200.00000000006</v>
      </c>
      <c r="Y481" s="3515">
        <v>2003</v>
      </c>
      <c r="Z481" s="3441">
        <v>7</v>
      </c>
      <c r="AA481" s="3470">
        <v>7</v>
      </c>
      <c r="AB481" s="3477">
        <v>1805</v>
      </c>
      <c r="AC481" s="3470" t="s">
        <v>3544</v>
      </c>
      <c r="AD481" s="3485"/>
      <c r="AE481" s="3469" t="s">
        <v>3547</v>
      </c>
      <c r="AF481" s="3453" t="s">
        <v>7137</v>
      </c>
      <c r="AG481" s="3522" t="s">
        <v>3454</v>
      </c>
      <c r="AH481" s="3485"/>
      <c r="AI481" s="3470" t="s">
        <v>6972</v>
      </c>
      <c r="AJ481" s="3523">
        <v>38077</v>
      </c>
      <c r="AK481" s="3500">
        <v>7</v>
      </c>
      <c r="AL481" s="3515">
        <v>67641700</v>
      </c>
      <c r="AN481" s="3441" t="s">
        <v>3695</v>
      </c>
      <c r="AO481" s="3453" t="s">
        <v>6879</v>
      </c>
      <c r="AP481" s="3441" t="s">
        <v>7144</v>
      </c>
      <c r="AQ481" s="3469" t="s">
        <v>3571</v>
      </c>
      <c r="AU481" s="3495"/>
      <c r="AV481" s="3535"/>
      <c r="AW481" s="3470" t="s">
        <v>6909</v>
      </c>
      <c r="AX481" s="3441" t="s">
        <v>6879</v>
      </c>
      <c r="AY481" s="3536" t="s">
        <v>7145</v>
      </c>
      <c r="AZ481" s="3470" t="s">
        <v>6408</v>
      </c>
      <c r="BA481" s="3463" t="s">
        <v>6424</v>
      </c>
      <c r="BB481" s="3466">
        <v>1102281149818</v>
      </c>
      <c r="BC481" s="3441" t="s">
        <v>7084</v>
      </c>
      <c r="BD481" s="3441">
        <v>100044</v>
      </c>
      <c r="BE481" s="3463">
        <v>88018575</v>
      </c>
      <c r="BF481" s="3538">
        <v>2.7</v>
      </c>
      <c r="BG481" s="3535">
        <v>37786</v>
      </c>
      <c r="BH481" s="3453"/>
      <c r="BI481" s="3470" t="s">
        <v>3476</v>
      </c>
      <c r="BJ481" s="3484">
        <v>37805</v>
      </c>
      <c r="BL481" s="3441" t="s">
        <v>3594</v>
      </c>
      <c r="BS481" s="3470"/>
      <c r="BT481" s="3470"/>
      <c r="BU481" s="3470"/>
      <c r="BV481" s="3472"/>
      <c r="BW481" s="3472"/>
      <c r="BX481" s="3472"/>
      <c r="BY481" s="3472"/>
      <c r="BZ481" s="3472"/>
      <c r="CA481" s="3472"/>
      <c r="CB481" s="3472"/>
      <c r="CC481" s="3472"/>
      <c r="CD481" s="3472"/>
      <c r="CE481" s="3472"/>
      <c r="CF481" s="3472"/>
      <c r="CG481" s="3472"/>
      <c r="CH481" s="3472"/>
      <c r="CI481" s="3472"/>
      <c r="CJ481" s="3472"/>
      <c r="CK481" s="3472"/>
      <c r="CL481" s="3472"/>
      <c r="CM481" s="3472"/>
      <c r="CN481" s="3472"/>
      <c r="CO481" s="3472"/>
      <c r="CP481" s="3472"/>
      <c r="CQ481" s="3472"/>
      <c r="CR481" s="3472"/>
      <c r="CS481" s="3472"/>
      <c r="CT481" s="3472"/>
      <c r="CU481" s="3472"/>
      <c r="CV481" s="3472"/>
      <c r="CW481" s="3472"/>
      <c r="CX481" s="3472"/>
      <c r="CY481" s="3472"/>
      <c r="CZ481" s="3472"/>
      <c r="DA481" s="3472"/>
      <c r="DB481" s="3472"/>
      <c r="DC481" s="3472"/>
      <c r="DD481" s="3472"/>
      <c r="DE481" s="3472"/>
      <c r="DF481" s="3472"/>
      <c r="DG481" s="3472"/>
      <c r="DH481" s="3472"/>
      <c r="DI481" s="3472"/>
      <c r="DJ481" s="3472"/>
      <c r="DK481" s="3472"/>
      <c r="DL481" s="3472"/>
      <c r="DM481" s="3472"/>
      <c r="DN481" s="3472"/>
      <c r="DO481" s="3472"/>
      <c r="DP481" s="3472"/>
      <c r="DQ481" s="3472"/>
      <c r="DR481" s="3472"/>
      <c r="DS481" s="3472"/>
      <c r="DT481" s="3472"/>
      <c r="DU481" s="3472"/>
      <c r="DV481" s="3472"/>
      <c r="DW481" s="3472"/>
      <c r="DX481" s="3472"/>
      <c r="DY481" s="3472"/>
      <c r="DZ481" s="3472"/>
      <c r="EA481" s="3472"/>
      <c r="EB481" s="3472"/>
      <c r="EC481" s="3472"/>
      <c r="ED481" s="3472"/>
      <c r="EE481" s="3472"/>
      <c r="EF481" s="3472"/>
      <c r="EG481" s="3472"/>
      <c r="EH481" s="3472"/>
      <c r="EI481" s="3472"/>
      <c r="EJ481" s="3472"/>
      <c r="EK481" s="3472"/>
      <c r="EL481" s="3472"/>
      <c r="EM481" s="3472"/>
      <c r="EN481" s="3472"/>
      <c r="EO481" s="3472"/>
      <c r="EP481" s="3472"/>
      <c r="EQ481" s="3472"/>
      <c r="ER481" s="3472"/>
      <c r="ES481" s="3472"/>
      <c r="ET481" s="3472"/>
      <c r="EU481" s="3472"/>
      <c r="EV481" s="3472"/>
      <c r="EW481" s="3472"/>
      <c r="EX481" s="3472"/>
      <c r="EY481" s="3472"/>
      <c r="EZ481" s="3472"/>
      <c r="FA481" s="3472"/>
      <c r="FB481" s="3472"/>
      <c r="FC481" s="3472"/>
      <c r="FD481" s="3472"/>
      <c r="FE481" s="3472"/>
      <c r="FF481" s="3472"/>
      <c r="FG481" s="3472"/>
      <c r="FH481" s="3472"/>
      <c r="FI481" s="3472"/>
      <c r="FJ481" s="3472"/>
      <c r="FK481" s="3472"/>
      <c r="FL481" s="3472"/>
      <c r="FM481" s="3472"/>
      <c r="FN481" s="3472"/>
      <c r="FO481" s="3472"/>
      <c r="FP481" s="3472"/>
      <c r="FQ481" s="3472"/>
      <c r="FR481" s="3472"/>
      <c r="FS481" s="3472"/>
      <c r="FT481" s="3472"/>
      <c r="FU481" s="3472"/>
      <c r="FV481" s="3472"/>
      <c r="FW481" s="3472"/>
      <c r="FX481" s="3472"/>
      <c r="FY481" s="3472"/>
      <c r="FZ481" s="3472"/>
      <c r="GA481" s="3472"/>
      <c r="GB481" s="3472"/>
      <c r="GC481" s="3472"/>
      <c r="GD481" s="3472"/>
      <c r="GE481" s="3472"/>
      <c r="GF481" s="3472"/>
      <c r="GG481" s="3472"/>
      <c r="GH481" s="3472"/>
      <c r="GI481" s="3472"/>
      <c r="GJ481" s="3472"/>
      <c r="GK481" s="3472"/>
      <c r="GL481" s="3472"/>
      <c r="GM481" s="3472"/>
      <c r="GN481" s="3472"/>
      <c r="GO481" s="3472"/>
      <c r="GP481" s="3472"/>
      <c r="GQ481" s="3472"/>
      <c r="GR481" s="3472"/>
      <c r="GS481" s="3472"/>
      <c r="GT481" s="3472"/>
      <c r="GU481" s="3472"/>
      <c r="GV481" s="3472"/>
      <c r="GW481" s="3472"/>
      <c r="GX481" s="3472"/>
      <c r="GY481" s="3472"/>
      <c r="GZ481" s="3472"/>
      <c r="HA481" s="3472"/>
      <c r="HB481" s="3472"/>
      <c r="HC481" s="3472"/>
      <c r="HD481" s="3472"/>
      <c r="HE481" s="3472"/>
      <c r="HF481" s="3472"/>
      <c r="HG481" s="3472"/>
      <c r="HH481" s="3472"/>
      <c r="HI481" s="3472"/>
      <c r="HJ481" s="3472"/>
      <c r="HK481" s="3472"/>
      <c r="HL481" s="3472"/>
      <c r="HM481" s="3472"/>
      <c r="HN481" s="3472"/>
      <c r="HO481" s="3472"/>
      <c r="HP481" s="3472"/>
      <c r="HQ481" s="3472"/>
      <c r="HR481" s="3472"/>
      <c r="HS481" s="3472"/>
      <c r="HT481" s="3472"/>
      <c r="HU481" s="3472"/>
      <c r="HV481" s="3472"/>
      <c r="HW481" s="3472"/>
      <c r="HX481" s="3472"/>
      <c r="HY481" s="3472"/>
      <c r="HZ481" s="3472"/>
      <c r="IA481" s="3472"/>
      <c r="IB481" s="3472"/>
      <c r="IC481" s="3472"/>
      <c r="ID481" s="3472"/>
      <c r="IE481" s="3472"/>
      <c r="IF481" s="3472"/>
      <c r="IG481" s="3472"/>
      <c r="IH481" s="3472"/>
      <c r="II481" s="3472"/>
      <c r="IJ481" s="3472"/>
      <c r="IK481" s="3472"/>
      <c r="IL481" s="3472"/>
      <c r="IM481" s="3472"/>
      <c r="IN481" s="3472"/>
      <c r="IO481" s="3472"/>
      <c r="IP481" s="3472"/>
      <c r="IQ481" s="3472"/>
      <c r="IR481" s="3472"/>
      <c r="IS481" s="3472"/>
    </row>
    <row r="482" spans="1:253" s="3470" customFormat="1" ht="12" hidden="1">
      <c r="A482" s="3485" t="s">
        <v>7146</v>
      </c>
      <c r="B482" s="3470" t="s">
        <v>7147</v>
      </c>
      <c r="C482" s="3454" t="s">
        <v>7148</v>
      </c>
      <c r="D482" s="3470">
        <v>13601372275</v>
      </c>
      <c r="E482" s="3470" t="s">
        <v>3763</v>
      </c>
      <c r="F482" s="3470" t="s">
        <v>5583</v>
      </c>
      <c r="G482" s="3470" t="s">
        <v>2420</v>
      </c>
      <c r="H482" s="3470" t="s">
        <v>6148</v>
      </c>
      <c r="I482" s="3453" t="s">
        <v>3464</v>
      </c>
      <c r="J482" s="3453" t="s">
        <v>3449</v>
      </c>
      <c r="K482" s="3470" t="s">
        <v>5586</v>
      </c>
      <c r="L482" s="3495">
        <v>122.2</v>
      </c>
      <c r="M482" s="3495">
        <v>4</v>
      </c>
      <c r="N482" s="3470" t="s">
        <v>3632</v>
      </c>
      <c r="O482" s="3495">
        <v>111.4</v>
      </c>
      <c r="P482" s="3470" t="s">
        <v>3452</v>
      </c>
      <c r="Q482" s="3457">
        <v>508107.60000000003</v>
      </c>
      <c r="R482" s="3470">
        <v>4158</v>
      </c>
      <c r="S482" s="3472">
        <v>50.19</v>
      </c>
      <c r="T482" s="3527">
        <v>501900</v>
      </c>
      <c r="U482" s="3470">
        <v>4108</v>
      </c>
      <c r="V482" s="3474">
        <v>0.1</v>
      </c>
      <c r="W482" s="3475">
        <v>45.17</v>
      </c>
      <c r="X482" s="3473">
        <v>451700</v>
      </c>
      <c r="Y482" s="3441">
        <v>2003</v>
      </c>
      <c r="Z482" s="3441">
        <v>7</v>
      </c>
      <c r="AA482" s="3441">
        <v>11</v>
      </c>
      <c r="AB482" s="3485">
        <v>2505</v>
      </c>
      <c r="AC482" s="3470" t="s">
        <v>4224</v>
      </c>
      <c r="AE482" s="3456" t="s">
        <v>3663</v>
      </c>
      <c r="AF482" s="3470" t="s">
        <v>6377</v>
      </c>
      <c r="AG482" s="3470" t="s">
        <v>3466</v>
      </c>
      <c r="AI482" s="3470" t="s">
        <v>6972</v>
      </c>
      <c r="AJ482" s="3478">
        <v>38108</v>
      </c>
      <c r="AK482" s="3500">
        <v>7</v>
      </c>
      <c r="AL482" s="3495">
        <v>67641700</v>
      </c>
      <c r="AN482" s="3469" t="s">
        <v>3695</v>
      </c>
      <c r="AO482" s="3470" t="s">
        <v>7149</v>
      </c>
      <c r="AP482" s="3456" t="s">
        <v>3476</v>
      </c>
      <c r="AQ482" s="3456" t="s">
        <v>3571</v>
      </c>
      <c r="AV482" s="3519"/>
      <c r="AW482" s="3470" t="s">
        <v>3572</v>
      </c>
      <c r="AX482" s="3470" t="s">
        <v>2420</v>
      </c>
      <c r="AY482" s="3495">
        <v>299281</v>
      </c>
      <c r="AZ482" s="3470" t="s">
        <v>5586</v>
      </c>
      <c r="BA482" s="3470" t="s">
        <v>5587</v>
      </c>
      <c r="BB482" s="3619">
        <v>1102281326100</v>
      </c>
      <c r="BC482" s="3470" t="s">
        <v>5588</v>
      </c>
      <c r="BD482" s="3470">
        <v>100055</v>
      </c>
      <c r="BE482" s="3470">
        <v>82951881</v>
      </c>
      <c r="BF482" s="3520">
        <v>2.8</v>
      </c>
      <c r="BG482" s="3478">
        <v>37804</v>
      </c>
      <c r="BI482" s="3470" t="s">
        <v>3476</v>
      </c>
      <c r="BJ482" s="3508">
        <v>37810</v>
      </c>
      <c r="BK482" s="3478"/>
      <c r="BL482" s="3441" t="s">
        <v>3670</v>
      </c>
      <c r="BM482" s="3441"/>
      <c r="BN482" s="3441"/>
      <c r="BO482" s="3441"/>
      <c r="BP482" s="3441"/>
      <c r="BQ482" s="3441"/>
      <c r="BR482" s="3441"/>
    </row>
    <row r="483" spans="1:253" s="3470" customFormat="1" ht="12" hidden="1">
      <c r="A483" s="3470" t="s">
        <v>7150</v>
      </c>
      <c r="B483" s="3470" t="s">
        <v>7151</v>
      </c>
      <c r="C483" s="3470" t="s">
        <v>7152</v>
      </c>
      <c r="D483" s="3470">
        <v>13910089621</v>
      </c>
      <c r="E483" s="3470" t="s">
        <v>3558</v>
      </c>
      <c r="F483" s="3470" t="s">
        <v>7153</v>
      </c>
      <c r="G483" s="3470" t="s">
        <v>3568</v>
      </c>
      <c r="H483" s="3470" t="s">
        <v>7154</v>
      </c>
      <c r="I483" s="3470" t="s">
        <v>3735</v>
      </c>
      <c r="J483" s="3470" t="s">
        <v>4002</v>
      </c>
      <c r="K483" s="3470" t="s">
        <v>6117</v>
      </c>
      <c r="L483" s="3470">
        <v>124.03</v>
      </c>
      <c r="M483" s="3470">
        <v>1</v>
      </c>
      <c r="N483" s="3470" t="s">
        <v>4003</v>
      </c>
      <c r="O483" s="3470">
        <v>112.19</v>
      </c>
      <c r="P483" s="3470" t="s">
        <v>3452</v>
      </c>
      <c r="Q483" s="3470">
        <v>496120</v>
      </c>
      <c r="R483" s="3470">
        <v>4000</v>
      </c>
      <c r="S483" s="3470">
        <v>49.09</v>
      </c>
      <c r="T483" s="3470">
        <v>490900</v>
      </c>
      <c r="U483" s="3470">
        <v>3958</v>
      </c>
      <c r="V483" s="3470">
        <v>0.1</v>
      </c>
      <c r="W483" s="3470">
        <v>44.18</v>
      </c>
      <c r="X483" s="3470">
        <v>441800</v>
      </c>
      <c r="Y483" s="3470">
        <v>2003</v>
      </c>
      <c r="Z483" s="3470">
        <v>8</v>
      </c>
      <c r="AA483" s="3470">
        <v>1</v>
      </c>
      <c r="AB483" s="3470">
        <v>2450</v>
      </c>
      <c r="AC483" s="3470" t="s">
        <v>4674</v>
      </c>
      <c r="AE483" s="3470" t="s">
        <v>3663</v>
      </c>
      <c r="AF483" s="3470" t="s">
        <v>7155</v>
      </c>
      <c r="AG483" s="3470" t="s">
        <v>3466</v>
      </c>
      <c r="AI483" s="3470" t="s">
        <v>5021</v>
      </c>
      <c r="AJ483" s="3470">
        <v>38108</v>
      </c>
      <c r="AK483" s="3470">
        <v>8</v>
      </c>
      <c r="AL483" s="3470">
        <v>67641700</v>
      </c>
      <c r="AN483" s="3470" t="s">
        <v>3570</v>
      </c>
      <c r="AO483" s="3470" t="s">
        <v>7156</v>
      </c>
      <c r="AP483" s="3470" t="s">
        <v>3476</v>
      </c>
      <c r="AQ483" s="3470" t="s">
        <v>3571</v>
      </c>
      <c r="AW483" s="3470" t="s">
        <v>3572</v>
      </c>
      <c r="AX483" s="3470" t="s">
        <v>3568</v>
      </c>
      <c r="AY483" s="3481">
        <v>299247</v>
      </c>
      <c r="AZ483" s="3470" t="s">
        <v>6117</v>
      </c>
      <c r="BA483" s="3470" t="s">
        <v>7157</v>
      </c>
      <c r="BB483" s="3481">
        <v>1102281326100</v>
      </c>
      <c r="BC483" s="3470" t="s">
        <v>7158</v>
      </c>
      <c r="BD483" s="3482">
        <v>100055</v>
      </c>
      <c r="BE483" s="3470">
        <v>82951881</v>
      </c>
      <c r="BF483" s="3483">
        <v>2.8</v>
      </c>
      <c r="BG483" s="3478">
        <v>37802</v>
      </c>
      <c r="BI483" s="3470" t="s">
        <v>3476</v>
      </c>
      <c r="BJ483" s="3508">
        <v>37832</v>
      </c>
      <c r="BK483" s="3508"/>
      <c r="BL483" s="3470" t="s">
        <v>3670</v>
      </c>
      <c r="BP483" s="3441"/>
      <c r="BQ483" s="3441"/>
      <c r="BR483" s="3441"/>
    </row>
    <row r="484" spans="1:253" s="3470" customFormat="1" ht="12" hidden="1">
      <c r="A484" s="3470" t="s">
        <v>7159</v>
      </c>
      <c r="B484" s="3470" t="s">
        <v>7160</v>
      </c>
      <c r="C484" s="3470" t="s">
        <v>7161</v>
      </c>
      <c r="D484" s="3470">
        <v>13911208203</v>
      </c>
      <c r="E484" s="3470" t="s">
        <v>3558</v>
      </c>
      <c r="F484" s="3470" t="s">
        <v>7153</v>
      </c>
      <c r="G484" s="3470" t="s">
        <v>3568</v>
      </c>
      <c r="H484" s="3470" t="s">
        <v>7162</v>
      </c>
      <c r="I484" s="3470" t="s">
        <v>3561</v>
      </c>
      <c r="J484" s="3470" t="s">
        <v>7163</v>
      </c>
      <c r="K484" s="3470" t="s">
        <v>6117</v>
      </c>
      <c r="L484" s="3470">
        <v>98.22</v>
      </c>
      <c r="M484" s="3470">
        <v>13</v>
      </c>
      <c r="N484" s="3470" t="s">
        <v>5032</v>
      </c>
      <c r="O484" s="3470">
        <v>83.29</v>
      </c>
      <c r="P484" s="3470" t="s">
        <v>3452</v>
      </c>
      <c r="Q484" s="3470">
        <v>402702</v>
      </c>
      <c r="R484" s="3470">
        <v>4100</v>
      </c>
      <c r="S484" s="3470">
        <v>39.82</v>
      </c>
      <c r="T484" s="3470">
        <v>398200</v>
      </c>
      <c r="U484" s="3470">
        <v>4055</v>
      </c>
      <c r="V484" s="3470">
        <v>0.1</v>
      </c>
      <c r="W484" s="3470">
        <v>35.83</v>
      </c>
      <c r="X484" s="3470">
        <v>358300</v>
      </c>
      <c r="Y484" s="3470">
        <v>2003</v>
      </c>
      <c r="Z484" s="3470">
        <v>8</v>
      </c>
      <c r="AA484" s="3470">
        <v>12</v>
      </c>
      <c r="AB484" s="3470">
        <v>1990</v>
      </c>
      <c r="AC484" s="3470" t="s">
        <v>3693</v>
      </c>
      <c r="AE484" s="3470" t="s">
        <v>3663</v>
      </c>
      <c r="AF484" s="3470" t="s">
        <v>3694</v>
      </c>
      <c r="AG484" s="3470" t="s">
        <v>3466</v>
      </c>
      <c r="AI484" s="3470" t="s">
        <v>5021</v>
      </c>
      <c r="AJ484" s="3470">
        <v>38108</v>
      </c>
      <c r="AK484" s="3470">
        <v>8</v>
      </c>
      <c r="AL484" s="3470">
        <v>67641700</v>
      </c>
      <c r="AN484" s="3470" t="s">
        <v>3739</v>
      </c>
      <c r="AO484" s="3470" t="s">
        <v>7164</v>
      </c>
      <c r="AP484" s="3470" t="s">
        <v>3476</v>
      </c>
      <c r="AQ484" s="3470" t="s">
        <v>3571</v>
      </c>
      <c r="AW484" s="3470" t="s">
        <v>3572</v>
      </c>
      <c r="AX484" s="3470" t="s">
        <v>3568</v>
      </c>
      <c r="AY484" s="3481">
        <v>299260</v>
      </c>
      <c r="AZ484" s="3470" t="s">
        <v>6117</v>
      </c>
      <c r="BA484" s="3470" t="s">
        <v>7157</v>
      </c>
      <c r="BB484" s="3481">
        <v>1102281326100</v>
      </c>
      <c r="BC484" s="3470" t="s">
        <v>7158</v>
      </c>
      <c r="BD484" s="3482">
        <v>100055</v>
      </c>
      <c r="BE484" s="3470">
        <v>82951881</v>
      </c>
      <c r="BF484" s="3483">
        <v>2.8</v>
      </c>
      <c r="BG484" s="3478">
        <v>37802</v>
      </c>
      <c r="BI484" s="3470" t="s">
        <v>3476</v>
      </c>
      <c r="BJ484" s="3508">
        <v>37840</v>
      </c>
      <c r="BK484" s="3508"/>
      <c r="BL484" s="3470" t="s">
        <v>3670</v>
      </c>
      <c r="BP484" s="3441"/>
      <c r="BQ484" s="3441"/>
      <c r="BR484" s="3441"/>
    </row>
    <row r="485" spans="1:253" s="3470" customFormat="1" ht="12" hidden="1">
      <c r="A485" s="3485" t="s">
        <v>7165</v>
      </c>
      <c r="B485" s="3470" t="s">
        <v>7166</v>
      </c>
      <c r="C485" s="3454" t="s">
        <v>7167</v>
      </c>
      <c r="D485" s="3470">
        <v>13910003054</v>
      </c>
      <c r="E485" s="3470" t="s">
        <v>2736</v>
      </c>
      <c r="F485" s="3470" t="s">
        <v>5592</v>
      </c>
      <c r="G485" s="3470" t="s">
        <v>6879</v>
      </c>
      <c r="H485" s="3470" t="s">
        <v>7168</v>
      </c>
      <c r="I485" s="3453" t="s">
        <v>4041</v>
      </c>
      <c r="J485" s="3453" t="s">
        <v>7169</v>
      </c>
      <c r="K485" s="3470" t="s">
        <v>5586</v>
      </c>
      <c r="L485" s="3495">
        <v>98.22</v>
      </c>
      <c r="M485" s="3495">
        <v>7</v>
      </c>
      <c r="N485" s="3470" t="s">
        <v>3486</v>
      </c>
      <c r="O485" s="3495">
        <v>83.29</v>
      </c>
      <c r="P485" s="3470" t="s">
        <v>3452</v>
      </c>
      <c r="Q485" s="3457">
        <v>394844.4</v>
      </c>
      <c r="R485" s="3470">
        <v>4020</v>
      </c>
      <c r="S485" s="3472">
        <v>38.99</v>
      </c>
      <c r="T485" s="3527">
        <v>389900</v>
      </c>
      <c r="U485" s="3470">
        <v>3970</v>
      </c>
      <c r="V485" s="3474">
        <v>0.1</v>
      </c>
      <c r="W485" s="3475">
        <v>35.090000000000003</v>
      </c>
      <c r="X485" s="3473">
        <v>350900.00000000006</v>
      </c>
      <c r="Y485" s="3441">
        <v>2003</v>
      </c>
      <c r="Z485" s="3441">
        <v>7</v>
      </c>
      <c r="AA485" s="3441">
        <v>11</v>
      </c>
      <c r="AB485" s="3485">
        <v>1945</v>
      </c>
      <c r="AC485" s="3470" t="s">
        <v>3585</v>
      </c>
      <c r="AE485" s="3456" t="s">
        <v>3663</v>
      </c>
      <c r="AF485" s="3470" t="s">
        <v>6104</v>
      </c>
      <c r="AG485" s="3470" t="s">
        <v>3466</v>
      </c>
      <c r="AI485" s="3470" t="s">
        <v>3664</v>
      </c>
      <c r="AJ485" s="3478">
        <v>38108</v>
      </c>
      <c r="AK485" s="3500">
        <v>7</v>
      </c>
      <c r="AL485" s="3495">
        <v>67641700</v>
      </c>
      <c r="AN485" s="3469" t="s">
        <v>3695</v>
      </c>
      <c r="AO485" s="3470" t="s">
        <v>7170</v>
      </c>
      <c r="AP485" s="3456" t="s">
        <v>3476</v>
      </c>
      <c r="AQ485" s="3456" t="s">
        <v>3571</v>
      </c>
      <c r="AV485" s="3519"/>
      <c r="AW485" s="3470" t="s">
        <v>3572</v>
      </c>
      <c r="AX485" s="3470" t="s">
        <v>6879</v>
      </c>
      <c r="AY485" s="3495">
        <v>299253</v>
      </c>
      <c r="AZ485" s="3470" t="s">
        <v>5586</v>
      </c>
      <c r="BA485" s="3470" t="s">
        <v>5595</v>
      </c>
      <c r="BB485" s="3619">
        <v>1102281326100</v>
      </c>
      <c r="BC485" s="3470" t="s">
        <v>7171</v>
      </c>
      <c r="BD485" s="3470">
        <v>100055</v>
      </c>
      <c r="BE485" s="3470">
        <v>82951881</v>
      </c>
      <c r="BF485" s="3520">
        <v>2.8</v>
      </c>
      <c r="BG485" s="3478">
        <v>37798</v>
      </c>
      <c r="BI485" s="3470" t="s">
        <v>3476</v>
      </c>
      <c r="BJ485" s="3508">
        <v>37809</v>
      </c>
      <c r="BK485" s="3478"/>
      <c r="BL485" s="3441" t="s">
        <v>3670</v>
      </c>
      <c r="BM485" s="3441"/>
      <c r="BN485" s="3441"/>
      <c r="BO485" s="3441"/>
      <c r="BP485" s="3441"/>
      <c r="BQ485" s="3441"/>
      <c r="BR485" s="3441"/>
    </row>
    <row r="486" spans="1:253" s="3470" customFormat="1" ht="12" hidden="1">
      <c r="A486" s="3485" t="s">
        <v>7172</v>
      </c>
      <c r="B486" s="3470" t="s">
        <v>7173</v>
      </c>
      <c r="C486" s="3454" t="s">
        <v>7174</v>
      </c>
      <c r="D486" s="3470">
        <v>13683395045</v>
      </c>
      <c r="E486" s="3470" t="s">
        <v>6987</v>
      </c>
      <c r="F486" s="3470" t="s">
        <v>6878</v>
      </c>
      <c r="G486" s="3470" t="s">
        <v>6879</v>
      </c>
      <c r="H486" s="3470" t="s">
        <v>6407</v>
      </c>
      <c r="I486" s="3453" t="s">
        <v>6989</v>
      </c>
      <c r="J486" s="3453" t="s">
        <v>3495</v>
      </c>
      <c r="K486" s="3470" t="s">
        <v>5601</v>
      </c>
      <c r="L486" s="3495">
        <v>117.1</v>
      </c>
      <c r="M486" s="3495">
        <v>2</v>
      </c>
      <c r="N486" s="3470" t="s">
        <v>3632</v>
      </c>
      <c r="O486" s="3495">
        <v>105.92</v>
      </c>
      <c r="P486" s="3470" t="s">
        <v>3452</v>
      </c>
      <c r="Q486" s="3457">
        <v>483623</v>
      </c>
      <c r="R486" s="3470">
        <v>4130</v>
      </c>
      <c r="S486" s="3472">
        <v>47.83</v>
      </c>
      <c r="T486" s="3527">
        <v>478300</v>
      </c>
      <c r="U486" s="3470">
        <v>4085</v>
      </c>
      <c r="V486" s="3474">
        <v>0.1</v>
      </c>
      <c r="W486" s="3475">
        <v>43.04</v>
      </c>
      <c r="X486" s="3473">
        <v>430400</v>
      </c>
      <c r="Y486" s="3441">
        <v>2003</v>
      </c>
      <c r="Z486" s="3441">
        <v>7</v>
      </c>
      <c r="AA486" s="3441">
        <v>11</v>
      </c>
      <c r="AB486" s="3485">
        <v>2390</v>
      </c>
      <c r="AC486" s="3470" t="s">
        <v>6971</v>
      </c>
      <c r="AE486" s="3456" t="s">
        <v>3663</v>
      </c>
      <c r="AF486" s="3470" t="s">
        <v>6625</v>
      </c>
      <c r="AG486" s="3470" t="s">
        <v>3466</v>
      </c>
      <c r="AI486" s="3470" t="s">
        <v>4849</v>
      </c>
      <c r="AJ486" s="3478">
        <v>38108</v>
      </c>
      <c r="AK486" s="3500">
        <v>7</v>
      </c>
      <c r="AL486" s="3495">
        <v>67641700</v>
      </c>
      <c r="AN486" s="3469" t="s">
        <v>3695</v>
      </c>
      <c r="AO486" s="3470" t="s">
        <v>7175</v>
      </c>
      <c r="AP486" s="3456" t="s">
        <v>3476</v>
      </c>
      <c r="AQ486" s="3456" t="s">
        <v>7176</v>
      </c>
      <c r="AV486" s="3519"/>
      <c r="AW486" s="3470" t="s">
        <v>3572</v>
      </c>
      <c r="AX486" s="3470" t="s">
        <v>2420</v>
      </c>
      <c r="AY486" s="3495">
        <v>299265</v>
      </c>
      <c r="AZ486" s="3470" t="s">
        <v>5586</v>
      </c>
      <c r="BA486" s="3470" t="s">
        <v>5587</v>
      </c>
      <c r="BB486" s="3619">
        <v>1102281326100</v>
      </c>
      <c r="BC486" s="3470" t="s">
        <v>5604</v>
      </c>
      <c r="BD486" s="3470">
        <v>100055</v>
      </c>
      <c r="BE486" s="3470">
        <v>82951881</v>
      </c>
      <c r="BF486" s="3520">
        <v>2.8</v>
      </c>
      <c r="BG486" s="3478">
        <v>37800</v>
      </c>
      <c r="BI486" s="3470" t="s">
        <v>3476</v>
      </c>
      <c r="BJ486" s="3508">
        <v>37809</v>
      </c>
      <c r="BK486" s="3478"/>
      <c r="BL486" s="3441" t="s">
        <v>3670</v>
      </c>
      <c r="BM486" s="3441"/>
      <c r="BN486" s="3441"/>
      <c r="BO486" s="3441"/>
      <c r="BP486" s="3441"/>
      <c r="BQ486" s="3441"/>
      <c r="BR486" s="3441"/>
    </row>
    <row r="487" spans="1:253" s="3470" customFormat="1" ht="12" hidden="1">
      <c r="A487" s="3485" t="s">
        <v>7177</v>
      </c>
      <c r="B487" s="3470" t="s">
        <v>7178</v>
      </c>
      <c r="C487" s="3454" t="s">
        <v>7179</v>
      </c>
      <c r="D487" s="3470">
        <v>13601395811</v>
      </c>
      <c r="E487" s="3470" t="s">
        <v>2736</v>
      </c>
      <c r="F487" s="3470" t="s">
        <v>6878</v>
      </c>
      <c r="G487" s="3470" t="s">
        <v>2420</v>
      </c>
      <c r="H487" s="3470" t="s">
        <v>6988</v>
      </c>
      <c r="I487" s="3453" t="s">
        <v>4019</v>
      </c>
      <c r="J487" s="3453" t="s">
        <v>4855</v>
      </c>
      <c r="K487" s="3470" t="s">
        <v>6880</v>
      </c>
      <c r="L487" s="3495">
        <v>117.1</v>
      </c>
      <c r="M487" s="3495">
        <v>2</v>
      </c>
      <c r="N487" s="3470" t="s">
        <v>3632</v>
      </c>
      <c r="O487" s="3495">
        <v>105.92</v>
      </c>
      <c r="P487" s="3470" t="s">
        <v>3452</v>
      </c>
      <c r="Q487" s="3457">
        <v>477768</v>
      </c>
      <c r="R487" s="3470">
        <v>4080</v>
      </c>
      <c r="S487" s="3472">
        <v>47.24</v>
      </c>
      <c r="T487" s="3527">
        <v>472400</v>
      </c>
      <c r="U487" s="3470">
        <v>4035</v>
      </c>
      <c r="V487" s="3474">
        <v>0.1</v>
      </c>
      <c r="W487" s="3475">
        <v>42.51</v>
      </c>
      <c r="X487" s="3473">
        <v>425100</v>
      </c>
      <c r="Y487" s="3441">
        <v>2003</v>
      </c>
      <c r="Z487" s="3441">
        <v>7</v>
      </c>
      <c r="AA487" s="3441">
        <v>11</v>
      </c>
      <c r="AB487" s="3485">
        <v>2360</v>
      </c>
      <c r="AC487" s="3470" t="s">
        <v>5110</v>
      </c>
      <c r="AE487" s="3456" t="s">
        <v>3663</v>
      </c>
      <c r="AF487" s="3470" t="s">
        <v>6982</v>
      </c>
      <c r="AG487" s="3470" t="s">
        <v>3466</v>
      </c>
      <c r="AI487" s="3470" t="s">
        <v>6972</v>
      </c>
      <c r="AJ487" s="3478">
        <v>38108</v>
      </c>
      <c r="AK487" s="3500">
        <v>7</v>
      </c>
      <c r="AL487" s="3495">
        <v>67641700</v>
      </c>
      <c r="AN487" s="3469" t="s">
        <v>3695</v>
      </c>
      <c r="AO487" s="3470" t="s">
        <v>7180</v>
      </c>
      <c r="AP487" s="3456" t="s">
        <v>3476</v>
      </c>
      <c r="AQ487" s="3456" t="s">
        <v>3571</v>
      </c>
      <c r="AV487" s="3519"/>
      <c r="AW487" s="3470" t="s">
        <v>3572</v>
      </c>
      <c r="AX487" s="3470" t="s">
        <v>2420</v>
      </c>
      <c r="AY487" s="3495">
        <v>299219</v>
      </c>
      <c r="AZ487" s="3470" t="s">
        <v>6880</v>
      </c>
      <c r="BA487" s="3470" t="s">
        <v>5595</v>
      </c>
      <c r="BB487" s="3619">
        <v>1102281326100</v>
      </c>
      <c r="BC487" s="3470" t="s">
        <v>5604</v>
      </c>
      <c r="BD487" s="3470">
        <v>100055</v>
      </c>
      <c r="BE487" s="3470">
        <v>82951881</v>
      </c>
      <c r="BF487" s="3520">
        <v>2.8</v>
      </c>
      <c r="BG487" s="3478">
        <v>37799</v>
      </c>
      <c r="BI487" s="3470" t="s">
        <v>3476</v>
      </c>
      <c r="BJ487" s="3508">
        <v>37809</v>
      </c>
      <c r="BK487" s="3478"/>
      <c r="BL487" s="3441" t="s">
        <v>3670</v>
      </c>
      <c r="BM487" s="3441"/>
      <c r="BN487" s="3441"/>
      <c r="BO487" s="3441"/>
      <c r="BP487" s="3441"/>
      <c r="BQ487" s="3441"/>
      <c r="BR487" s="3441"/>
    </row>
    <row r="488" spans="1:253" s="3605" customFormat="1" ht="12" hidden="1">
      <c r="A488" s="3485" t="s">
        <v>7181</v>
      </c>
      <c r="B488" s="3470" t="s">
        <v>7182</v>
      </c>
      <c r="C488" s="3454" t="s">
        <v>7183</v>
      </c>
      <c r="D488" s="3470">
        <v>13910970795</v>
      </c>
      <c r="E488" s="3470" t="s">
        <v>2736</v>
      </c>
      <c r="F488" s="3470" t="s">
        <v>5583</v>
      </c>
      <c r="G488" s="3470" t="s">
        <v>2420</v>
      </c>
      <c r="H488" s="3470" t="s">
        <v>5608</v>
      </c>
      <c r="I488" s="3453" t="s">
        <v>4019</v>
      </c>
      <c r="J488" s="3453" t="s">
        <v>7184</v>
      </c>
      <c r="K488" s="3470" t="s">
        <v>5586</v>
      </c>
      <c r="L488" s="3495">
        <v>98.22</v>
      </c>
      <c r="M488" s="3495">
        <v>5</v>
      </c>
      <c r="N488" s="3470" t="s">
        <v>3486</v>
      </c>
      <c r="O488" s="3495">
        <v>83.29</v>
      </c>
      <c r="P488" s="3470" t="s">
        <v>3452</v>
      </c>
      <c r="Q488" s="3457">
        <v>385022.4</v>
      </c>
      <c r="R488" s="3470">
        <v>3920</v>
      </c>
      <c r="S488" s="3472">
        <v>38.06</v>
      </c>
      <c r="T488" s="3527">
        <v>380600</v>
      </c>
      <c r="U488" s="3470">
        <v>3875</v>
      </c>
      <c r="V488" s="3474">
        <v>0.1</v>
      </c>
      <c r="W488" s="3475">
        <v>34.25</v>
      </c>
      <c r="X488" s="3473">
        <v>342500</v>
      </c>
      <c r="Y488" s="3441">
        <v>2003</v>
      </c>
      <c r="Z488" s="3441">
        <v>7</v>
      </c>
      <c r="AA488" s="3441">
        <v>11</v>
      </c>
      <c r="AB488" s="3485">
        <v>1900</v>
      </c>
      <c r="AC488" s="3470" t="s">
        <v>3585</v>
      </c>
      <c r="AD488" s="3470"/>
      <c r="AE488" s="3456" t="s">
        <v>3663</v>
      </c>
      <c r="AF488" s="3470" t="s">
        <v>6625</v>
      </c>
      <c r="AG488" s="3470" t="s">
        <v>3466</v>
      </c>
      <c r="AH488" s="3470"/>
      <c r="AI488" s="3470" t="s">
        <v>4849</v>
      </c>
      <c r="AJ488" s="3478">
        <v>38108</v>
      </c>
      <c r="AK488" s="3500">
        <v>7</v>
      </c>
      <c r="AL488" s="3495">
        <v>67641700</v>
      </c>
      <c r="AM488" s="3470"/>
      <c r="AN488" s="3469" t="s">
        <v>3695</v>
      </c>
      <c r="AO488" s="3470" t="s">
        <v>7185</v>
      </c>
      <c r="AP488" s="3456" t="s">
        <v>3476</v>
      </c>
      <c r="AQ488" s="3456" t="s">
        <v>3571</v>
      </c>
      <c r="AR488" s="3470"/>
      <c r="AS488" s="3470"/>
      <c r="AT488" s="3470"/>
      <c r="AU488" s="3470"/>
      <c r="AV488" s="3519"/>
      <c r="AW488" s="3470" t="s">
        <v>3572</v>
      </c>
      <c r="AX488" s="3470" t="s">
        <v>2420</v>
      </c>
      <c r="AY488" s="3495">
        <v>299238</v>
      </c>
      <c r="AZ488" s="3470" t="s">
        <v>5586</v>
      </c>
      <c r="BA488" s="3470" t="s">
        <v>5595</v>
      </c>
      <c r="BB488" s="3619">
        <v>1102281326100</v>
      </c>
      <c r="BC488" s="3470" t="s">
        <v>7171</v>
      </c>
      <c r="BD488" s="3470">
        <v>100055</v>
      </c>
      <c r="BE488" s="3470">
        <v>82951881</v>
      </c>
      <c r="BF488" s="3520">
        <v>2.8</v>
      </c>
      <c r="BG488" s="3478">
        <v>37787</v>
      </c>
      <c r="BH488" s="3470"/>
      <c r="BI488" s="3470" t="s">
        <v>3476</v>
      </c>
      <c r="BJ488" s="3508">
        <v>37809</v>
      </c>
      <c r="BK488" s="3478"/>
      <c r="BL488" s="3441" t="s">
        <v>3670</v>
      </c>
      <c r="BM488" s="3441"/>
      <c r="BN488" s="3441"/>
      <c r="BO488" s="3441"/>
      <c r="BP488" s="3441"/>
      <c r="BQ488" s="3441"/>
      <c r="BR488" s="3441"/>
      <c r="BS488" s="3470"/>
      <c r="BT488" s="3470"/>
      <c r="BU488" s="3470"/>
    </row>
    <row r="489" spans="1:253" s="3470" customFormat="1" ht="12" hidden="1">
      <c r="A489" s="3470" t="s">
        <v>7186</v>
      </c>
      <c r="B489" s="3470" t="s">
        <v>7187</v>
      </c>
      <c r="C489" s="3470" t="s">
        <v>7188</v>
      </c>
      <c r="D489" s="3470">
        <v>62014113</v>
      </c>
      <c r="E489" s="3470" t="s">
        <v>3558</v>
      </c>
      <c r="F489" s="3470" t="s">
        <v>7153</v>
      </c>
      <c r="G489" s="3470" t="s">
        <v>3568</v>
      </c>
      <c r="H489" s="3470" t="s">
        <v>7189</v>
      </c>
      <c r="I489" s="3470" t="s">
        <v>3561</v>
      </c>
      <c r="J489" s="3470" t="s">
        <v>5122</v>
      </c>
      <c r="K489" s="3470" t="s">
        <v>6117</v>
      </c>
      <c r="L489" s="3470">
        <v>125.32</v>
      </c>
      <c r="M489" s="3470">
        <v>3</v>
      </c>
      <c r="N489" s="3470" t="s">
        <v>4003</v>
      </c>
      <c r="O489" s="3470">
        <v>114.24</v>
      </c>
      <c r="P489" s="3470" t="s">
        <v>3452</v>
      </c>
      <c r="Q489" s="3470">
        <v>526344</v>
      </c>
      <c r="R489" s="3470">
        <v>4200</v>
      </c>
      <c r="S489" s="3470">
        <v>52.07</v>
      </c>
      <c r="T489" s="3470">
        <v>520700</v>
      </c>
      <c r="U489" s="3470">
        <v>4155</v>
      </c>
      <c r="V489" s="3470">
        <v>0.1</v>
      </c>
      <c r="W489" s="3470">
        <v>46.86</v>
      </c>
      <c r="X489" s="3470">
        <v>468600</v>
      </c>
      <c r="Y489" s="3470">
        <v>2003</v>
      </c>
      <c r="Z489" s="3470">
        <v>8</v>
      </c>
      <c r="AA489" s="3470">
        <v>1</v>
      </c>
      <c r="AB489" s="3470">
        <v>2600</v>
      </c>
      <c r="AC489" s="3470" t="s">
        <v>3693</v>
      </c>
      <c r="AE489" s="3470" t="s">
        <v>3663</v>
      </c>
      <c r="AF489" s="3470" t="s">
        <v>7190</v>
      </c>
      <c r="AG489" s="3470" t="s">
        <v>3466</v>
      </c>
      <c r="AI489" s="3470" t="s">
        <v>5021</v>
      </c>
      <c r="AJ489" s="3470">
        <v>38108</v>
      </c>
      <c r="AK489" s="3470">
        <v>8</v>
      </c>
      <c r="AL489" s="3470">
        <v>67641700</v>
      </c>
      <c r="AN489" s="3470" t="s">
        <v>3570</v>
      </c>
      <c r="AO489" s="3470" t="s">
        <v>7191</v>
      </c>
      <c r="AP489" s="3470" t="s">
        <v>3476</v>
      </c>
      <c r="AQ489" s="3470" t="s">
        <v>3571</v>
      </c>
      <c r="AW489" s="3470" t="s">
        <v>3572</v>
      </c>
      <c r="AX489" s="3470" t="s">
        <v>3568</v>
      </c>
      <c r="AY489" s="3481">
        <v>299293</v>
      </c>
      <c r="AZ489" s="3470" t="s">
        <v>6117</v>
      </c>
      <c r="BA489" s="3470" t="s">
        <v>7157</v>
      </c>
      <c r="BB489" s="3481">
        <v>1102281326100</v>
      </c>
      <c r="BC489" s="3470" t="s">
        <v>7158</v>
      </c>
      <c r="BD489" s="3482">
        <v>100055</v>
      </c>
      <c r="BE489" s="3470">
        <v>82951881</v>
      </c>
      <c r="BF489" s="3483">
        <v>2.8</v>
      </c>
      <c r="BG489" s="3478">
        <v>37808</v>
      </c>
      <c r="BI489" s="3470" t="s">
        <v>3476</v>
      </c>
      <c r="BJ489" s="3508">
        <v>37833</v>
      </c>
      <c r="BK489" s="3508"/>
      <c r="BL489" s="3470" t="s">
        <v>3670</v>
      </c>
      <c r="BP489" s="3441"/>
      <c r="BQ489" s="3441"/>
      <c r="BR489" s="3441"/>
    </row>
    <row r="490" spans="1:253" s="3470" customFormat="1" ht="12" hidden="1">
      <c r="A490" s="3485" t="s">
        <v>7192</v>
      </c>
      <c r="B490" s="3470" t="s">
        <v>7193</v>
      </c>
      <c r="C490" s="3530" t="s">
        <v>7194</v>
      </c>
      <c r="D490" s="3453">
        <v>13621106530</v>
      </c>
      <c r="E490" s="3470" t="s">
        <v>6987</v>
      </c>
      <c r="F490" s="3470" t="s">
        <v>5592</v>
      </c>
      <c r="G490" s="3470" t="s">
        <v>2420</v>
      </c>
      <c r="H490" s="3470" t="s">
        <v>5608</v>
      </c>
      <c r="I490" s="3453" t="s">
        <v>3676</v>
      </c>
      <c r="J490" s="3453" t="s">
        <v>5472</v>
      </c>
      <c r="K490" s="3470" t="s">
        <v>5586</v>
      </c>
      <c r="L490" s="3495">
        <v>98.22</v>
      </c>
      <c r="M490" s="3495">
        <v>6</v>
      </c>
      <c r="N490" s="3470" t="s">
        <v>3451</v>
      </c>
      <c r="O490" s="3495">
        <v>83.29</v>
      </c>
      <c r="P490" s="3470" t="s">
        <v>3452</v>
      </c>
      <c r="Q490" s="3457">
        <v>386986.8</v>
      </c>
      <c r="R490" s="3470">
        <v>3940</v>
      </c>
      <c r="S490" s="3472">
        <v>38.25</v>
      </c>
      <c r="T490" s="3527">
        <v>382500</v>
      </c>
      <c r="U490" s="3470">
        <v>3895</v>
      </c>
      <c r="V490" s="3474">
        <v>0.1</v>
      </c>
      <c r="W490" s="3475">
        <v>34.42</v>
      </c>
      <c r="X490" s="3473">
        <v>344200</v>
      </c>
      <c r="Y490" s="3441">
        <v>2003</v>
      </c>
      <c r="Z490" s="3441">
        <v>7</v>
      </c>
      <c r="AA490" s="3441">
        <v>8</v>
      </c>
      <c r="AB490" s="3485">
        <v>1910</v>
      </c>
      <c r="AC490" s="3470" t="s">
        <v>5110</v>
      </c>
      <c r="AE490" s="3456" t="s">
        <v>3663</v>
      </c>
      <c r="AF490" s="3470" t="s">
        <v>6290</v>
      </c>
      <c r="AG490" s="3470" t="s">
        <v>3466</v>
      </c>
      <c r="AI490" s="3470" t="s">
        <v>4849</v>
      </c>
      <c r="AJ490" s="3478">
        <v>38108</v>
      </c>
      <c r="AK490" s="3500">
        <v>7</v>
      </c>
      <c r="AL490" s="3495">
        <v>67641700</v>
      </c>
      <c r="AN490" s="3456" t="s">
        <v>3695</v>
      </c>
      <c r="AO490" s="3453"/>
      <c r="AP490" s="3456" t="s">
        <v>7041</v>
      </c>
      <c r="AQ490" s="3456" t="s">
        <v>3571</v>
      </c>
      <c r="AV490" s="3519"/>
      <c r="AW490" s="3470" t="s">
        <v>3572</v>
      </c>
      <c r="AX490" s="3470" t="s">
        <v>3715</v>
      </c>
      <c r="AY490" s="3495">
        <v>299273</v>
      </c>
      <c r="AZ490" s="3470" t="s">
        <v>6880</v>
      </c>
      <c r="BA490" s="3470" t="s">
        <v>5595</v>
      </c>
      <c r="BB490" s="3619">
        <v>1102281326100</v>
      </c>
      <c r="BC490" s="3470" t="s">
        <v>7171</v>
      </c>
      <c r="BD490" s="3470">
        <v>100055</v>
      </c>
      <c r="BE490" s="3470">
        <v>82951881</v>
      </c>
      <c r="BF490" s="3520">
        <v>2.8</v>
      </c>
      <c r="BG490" s="3478">
        <v>37798</v>
      </c>
      <c r="BH490" s="3469" t="s">
        <v>3437</v>
      </c>
      <c r="BI490" s="3441" t="s">
        <v>6257</v>
      </c>
      <c r="BJ490" s="3484">
        <v>37809</v>
      </c>
      <c r="BK490" s="3478"/>
      <c r="BL490" s="3441" t="s">
        <v>3670</v>
      </c>
      <c r="BM490" s="3441"/>
      <c r="BN490" s="3441"/>
      <c r="BO490" s="3441"/>
      <c r="BP490" s="3441"/>
      <c r="BQ490" s="3441"/>
      <c r="BR490" s="3441"/>
    </row>
    <row r="491" spans="1:253" s="3441" customFormat="1" ht="12" hidden="1">
      <c r="A491" s="3485" t="s">
        <v>7195</v>
      </c>
      <c r="B491" s="3470" t="s">
        <v>7196</v>
      </c>
      <c r="C491" s="3481" t="s">
        <v>7197</v>
      </c>
      <c r="D491" s="3453">
        <v>13501394201</v>
      </c>
      <c r="E491" s="3470" t="s">
        <v>2736</v>
      </c>
      <c r="F491" s="3528" t="s">
        <v>3628</v>
      </c>
      <c r="G491" s="3470"/>
      <c r="H491" s="3470" t="s">
        <v>4334</v>
      </c>
      <c r="I491" s="3470" t="s">
        <v>3676</v>
      </c>
      <c r="J491" s="3481" t="s">
        <v>3449</v>
      </c>
      <c r="K491" s="3470" t="s">
        <v>3647</v>
      </c>
      <c r="L491" s="3470">
        <v>156.02000000000001</v>
      </c>
      <c r="M491" s="3470">
        <v>4</v>
      </c>
      <c r="N491" s="3470" t="s">
        <v>3632</v>
      </c>
      <c r="O491" s="3470">
        <v>126.37</v>
      </c>
      <c r="P491" s="3470" t="s">
        <v>3452</v>
      </c>
      <c r="Q491" s="3457">
        <v>900235.4</v>
      </c>
      <c r="R491" s="3470">
        <v>5770</v>
      </c>
      <c r="S491" s="3472">
        <v>89.18</v>
      </c>
      <c r="T491" s="3527">
        <v>891800.00000000012</v>
      </c>
      <c r="U491" s="3470">
        <v>5716</v>
      </c>
      <c r="V491" s="3474">
        <v>0.1</v>
      </c>
      <c r="W491" s="3475">
        <v>80.260000000000005</v>
      </c>
      <c r="X491" s="3473">
        <v>802600</v>
      </c>
      <c r="Y491" s="3441">
        <v>2003</v>
      </c>
      <c r="Z491" s="3515">
        <v>7</v>
      </c>
      <c r="AA491" s="3515">
        <v>21</v>
      </c>
      <c r="AB491" s="3485">
        <v>4455</v>
      </c>
      <c r="AC491" s="3470" t="s">
        <v>3544</v>
      </c>
      <c r="AD491" s="3485"/>
      <c r="AE491" s="3441" t="s">
        <v>2156</v>
      </c>
      <c r="AF491" s="3470" t="s">
        <v>7198</v>
      </c>
      <c r="AG491" s="3522" t="s">
        <v>3454</v>
      </c>
      <c r="AH491" s="3485"/>
      <c r="AI491" s="3470" t="s">
        <v>3664</v>
      </c>
      <c r="AJ491" s="3523">
        <v>37992</v>
      </c>
      <c r="AK491" s="3500">
        <v>7</v>
      </c>
      <c r="AL491" s="3515">
        <v>67641700</v>
      </c>
      <c r="AN491" s="3469" t="s">
        <v>3484</v>
      </c>
      <c r="AO491" s="3470" t="s">
        <v>7199</v>
      </c>
      <c r="AP491" s="3456" t="s">
        <v>3476</v>
      </c>
      <c r="AQ491" s="3469" t="s">
        <v>3571</v>
      </c>
      <c r="AW491" s="3441" t="s">
        <v>6909</v>
      </c>
      <c r="AX491" s="3484"/>
      <c r="AY491" s="3524" t="s">
        <v>7200</v>
      </c>
      <c r="AZ491" s="3470" t="s">
        <v>3631</v>
      </c>
      <c r="BA491" s="3441" t="s">
        <v>4048</v>
      </c>
      <c r="BB491" s="3524" t="s">
        <v>3640</v>
      </c>
      <c r="BC491" s="3441" t="s">
        <v>4339</v>
      </c>
      <c r="BD491" s="3525">
        <v>100088</v>
      </c>
      <c r="BE491" s="3441">
        <v>82058259</v>
      </c>
      <c r="BF491" s="3526" t="s">
        <v>7201</v>
      </c>
      <c r="BG491" s="3518">
        <v>37782</v>
      </c>
      <c r="BH491" s="3470" t="s">
        <v>6099</v>
      </c>
      <c r="BI491" s="3463" t="s">
        <v>3475</v>
      </c>
      <c r="BJ491" s="3518">
        <v>37811</v>
      </c>
      <c r="BK491" s="3518">
        <v>37820</v>
      </c>
      <c r="BL491" s="3470" t="s">
        <v>3670</v>
      </c>
      <c r="BS491" s="3470"/>
      <c r="BT491" s="3470"/>
      <c r="BU491" s="3470"/>
    </row>
    <row r="492" spans="1:253" s="3469" customFormat="1" ht="13.2" hidden="1">
      <c r="A492" s="3485" t="s">
        <v>7202</v>
      </c>
      <c r="B492" s="3542" t="s">
        <v>5381</v>
      </c>
      <c r="C492" s="3530" t="s">
        <v>7203</v>
      </c>
      <c r="D492" s="3453">
        <v>13910845491</v>
      </c>
      <c r="E492" s="3530" t="s">
        <v>2736</v>
      </c>
      <c r="F492" s="3598" t="s">
        <v>4623</v>
      </c>
      <c r="G492" s="3522"/>
      <c r="H492" s="3530" t="s">
        <v>6916</v>
      </c>
      <c r="I492" s="3530" t="s">
        <v>7204</v>
      </c>
      <c r="J492" s="3530" t="s">
        <v>5145</v>
      </c>
      <c r="K492" s="3542" t="s">
        <v>7055</v>
      </c>
      <c r="L492" s="3477">
        <v>92.49</v>
      </c>
      <c r="M492" s="3477">
        <v>9</v>
      </c>
      <c r="N492" s="3441" t="s">
        <v>7017</v>
      </c>
      <c r="O492" s="3477">
        <v>72.91</v>
      </c>
      <c r="P492" s="3485" t="s">
        <v>3452</v>
      </c>
      <c r="Q492" s="3457">
        <v>690160.38</v>
      </c>
      <c r="R492" s="3477">
        <v>7462</v>
      </c>
      <c r="S492" s="3472">
        <v>68.48</v>
      </c>
      <c r="T492" s="3550">
        <v>684800</v>
      </c>
      <c r="U492" s="3477">
        <v>7405</v>
      </c>
      <c r="V492" s="3512">
        <v>0.1</v>
      </c>
      <c r="W492" s="3475">
        <v>61.63</v>
      </c>
      <c r="X492" s="3459">
        <v>616300</v>
      </c>
      <c r="Y492" s="3495">
        <v>2003</v>
      </c>
      <c r="Z492" s="3441">
        <v>7</v>
      </c>
      <c r="AA492" s="3470">
        <v>8</v>
      </c>
      <c r="AB492" s="3477">
        <v>3420</v>
      </c>
      <c r="AC492" s="3470" t="s">
        <v>3544</v>
      </c>
      <c r="AD492" s="3522"/>
      <c r="AE492" s="3470" t="s">
        <v>3663</v>
      </c>
      <c r="AF492" s="3542" t="s">
        <v>7205</v>
      </c>
      <c r="AG492" s="3542" t="s">
        <v>3454</v>
      </c>
      <c r="AH492" s="3542"/>
      <c r="AI492" s="3470" t="s">
        <v>6972</v>
      </c>
      <c r="AJ492" s="3513">
        <v>38199</v>
      </c>
      <c r="AK492" s="3500">
        <v>7</v>
      </c>
      <c r="AL492" s="3470">
        <v>67641700</v>
      </c>
      <c r="AM492" s="3441"/>
      <c r="AN492" s="3441" t="s">
        <v>3468</v>
      </c>
      <c r="AP492" s="3456" t="s">
        <v>7041</v>
      </c>
      <c r="AQ492" s="3456" t="s">
        <v>3714</v>
      </c>
      <c r="AV492" s="3599"/>
      <c r="AW492" s="3470" t="s">
        <v>4064</v>
      </c>
      <c r="AX492" s="3441"/>
      <c r="AY492" s="3536" t="s">
        <v>7206</v>
      </c>
      <c r="AZ492" s="3542" t="s">
        <v>4619</v>
      </c>
      <c r="BA492" s="3463" t="s">
        <v>6920</v>
      </c>
      <c r="BB492" s="3466">
        <v>1101081437256</v>
      </c>
      <c r="BC492" s="3463" t="s">
        <v>4587</v>
      </c>
      <c r="BD492" s="3537">
        <v>100037</v>
      </c>
      <c r="BE492" s="3515">
        <v>68348381</v>
      </c>
      <c r="BF492" s="3538">
        <v>2.8</v>
      </c>
      <c r="BG492" s="3535">
        <v>37796</v>
      </c>
      <c r="BH492" s="3469" t="s">
        <v>3437</v>
      </c>
      <c r="BI492" s="3441" t="s">
        <v>2153</v>
      </c>
      <c r="BJ492" s="3566">
        <v>37809</v>
      </c>
      <c r="BK492" s="3441"/>
      <c r="BL492" s="3470" t="s">
        <v>3594</v>
      </c>
      <c r="BM492" s="3441"/>
      <c r="BN492" s="3441"/>
      <c r="BO492" s="3441"/>
      <c r="BP492" s="3441"/>
      <c r="BQ492" s="3441"/>
      <c r="BR492" s="3441"/>
      <c r="BS492" s="3470"/>
      <c r="BT492" s="3470"/>
      <c r="BU492" s="3470"/>
    </row>
    <row r="493" spans="1:253" s="3470" customFormat="1" ht="12" hidden="1">
      <c r="A493" s="3470" t="s">
        <v>7207</v>
      </c>
      <c r="B493" s="3470" t="s">
        <v>7208</v>
      </c>
      <c r="C493" s="3470" t="s">
        <v>7209</v>
      </c>
      <c r="D493" s="3470">
        <v>13910319935</v>
      </c>
      <c r="E493" s="3470" t="s">
        <v>3558</v>
      </c>
      <c r="F493" s="3470" t="s">
        <v>7153</v>
      </c>
      <c r="G493" s="3470" t="s">
        <v>3568</v>
      </c>
      <c r="H493" s="3470" t="s">
        <v>7162</v>
      </c>
      <c r="I493" s="3470" t="s">
        <v>4001</v>
      </c>
      <c r="J493" s="3470" t="s">
        <v>5067</v>
      </c>
      <c r="K493" s="3470" t="s">
        <v>6117</v>
      </c>
      <c r="L493" s="3470">
        <v>98.22</v>
      </c>
      <c r="M493" s="3470">
        <v>8</v>
      </c>
      <c r="N493" s="3470" t="s">
        <v>5032</v>
      </c>
      <c r="O493" s="3470">
        <v>83.29</v>
      </c>
      <c r="P493" s="3470" t="s">
        <v>3452</v>
      </c>
      <c r="Q493" s="3470">
        <v>393862.2</v>
      </c>
      <c r="R493" s="3470">
        <v>4010</v>
      </c>
      <c r="S493" s="3470">
        <v>38.950000000000003</v>
      </c>
      <c r="T493" s="3470">
        <v>389500</v>
      </c>
      <c r="U493" s="3470">
        <v>3966</v>
      </c>
      <c r="V493" s="3470">
        <v>0.1</v>
      </c>
      <c r="W493" s="3470">
        <v>35.049999999999997</v>
      </c>
      <c r="X493" s="3470">
        <v>350500</v>
      </c>
      <c r="Y493" s="3470">
        <v>2003</v>
      </c>
      <c r="Z493" s="3470">
        <v>8</v>
      </c>
      <c r="AA493" s="3470">
        <v>1</v>
      </c>
      <c r="AB493" s="3470">
        <v>1945</v>
      </c>
      <c r="AC493" s="3470" t="s">
        <v>3693</v>
      </c>
      <c r="AE493" s="3470" t="s">
        <v>3663</v>
      </c>
      <c r="AF493" s="3470" t="s">
        <v>7190</v>
      </c>
      <c r="AG493" s="3470" t="s">
        <v>3466</v>
      </c>
      <c r="AI493" s="3470" t="s">
        <v>5021</v>
      </c>
      <c r="AJ493" s="3470">
        <v>38108</v>
      </c>
      <c r="AK493" s="3470">
        <v>8</v>
      </c>
      <c r="AL493" s="3470">
        <v>67641700</v>
      </c>
      <c r="AN493" s="3470" t="s">
        <v>3570</v>
      </c>
      <c r="AO493" s="3470" t="s">
        <v>7210</v>
      </c>
      <c r="AP493" s="3470" t="s">
        <v>3476</v>
      </c>
      <c r="AQ493" s="3470" t="s">
        <v>3571</v>
      </c>
      <c r="AW493" s="3470" t="s">
        <v>3572</v>
      </c>
      <c r="AX493" s="3470" t="s">
        <v>3568</v>
      </c>
      <c r="AY493" s="3481">
        <v>299218</v>
      </c>
      <c r="AZ493" s="3470" t="s">
        <v>6117</v>
      </c>
      <c r="BA493" s="3470" t="s">
        <v>7157</v>
      </c>
      <c r="BB493" s="3481">
        <v>1102281326100</v>
      </c>
      <c r="BC493" s="3470" t="s">
        <v>7158</v>
      </c>
      <c r="BD493" s="3482">
        <v>100055</v>
      </c>
      <c r="BE493" s="3470">
        <v>82951881</v>
      </c>
      <c r="BF493" s="3483">
        <v>2.8</v>
      </c>
      <c r="BG493" s="3478">
        <v>37802</v>
      </c>
      <c r="BI493" s="3470" t="s">
        <v>3476</v>
      </c>
      <c r="BJ493" s="3508">
        <v>37832</v>
      </c>
      <c r="BK493" s="3508"/>
      <c r="BL493" s="3470" t="s">
        <v>3670</v>
      </c>
      <c r="BP493" s="3441"/>
      <c r="BQ493" s="3441"/>
      <c r="BR493" s="3441"/>
    </row>
    <row r="494" spans="1:253" s="3441" customFormat="1" ht="12" hidden="1">
      <c r="A494" s="3485" t="s">
        <v>7211</v>
      </c>
      <c r="B494" s="3470" t="s">
        <v>7212</v>
      </c>
      <c r="C494" s="3481" t="s">
        <v>7213</v>
      </c>
      <c r="D494" s="3453">
        <v>13693022470</v>
      </c>
      <c r="E494" s="3470" t="s">
        <v>2736</v>
      </c>
      <c r="F494" s="3528" t="s">
        <v>6366</v>
      </c>
      <c r="G494" s="3470"/>
      <c r="H494" s="3470" t="s">
        <v>4262</v>
      </c>
      <c r="I494" s="3453" t="s">
        <v>3464</v>
      </c>
      <c r="J494" s="3481" t="s">
        <v>3449</v>
      </c>
      <c r="K494" s="3441" t="s">
        <v>7016</v>
      </c>
      <c r="L494" s="3470">
        <v>79.239999999999995</v>
      </c>
      <c r="M494" s="3470">
        <v>4</v>
      </c>
      <c r="N494" s="3470" t="s">
        <v>3486</v>
      </c>
      <c r="O494" s="3470">
        <v>70.75</v>
      </c>
      <c r="P494" s="3470" t="s">
        <v>3452</v>
      </c>
      <c r="Q494" s="3457">
        <v>425122.6</v>
      </c>
      <c r="R494" s="3470">
        <v>5365</v>
      </c>
      <c r="S494" s="3472">
        <v>42.11</v>
      </c>
      <c r="T494" s="3527">
        <v>421100</v>
      </c>
      <c r="U494" s="3495">
        <v>5315</v>
      </c>
      <c r="V494" s="3512">
        <v>0.1</v>
      </c>
      <c r="W494" s="3475">
        <v>37.89</v>
      </c>
      <c r="X494" s="3473">
        <v>378900</v>
      </c>
      <c r="Y494" s="3515">
        <v>2003</v>
      </c>
      <c r="Z494" s="3441">
        <v>7</v>
      </c>
      <c r="AA494" s="3441">
        <v>9</v>
      </c>
      <c r="AB494" s="3477">
        <v>2105</v>
      </c>
      <c r="AC494" s="3470" t="s">
        <v>3970</v>
      </c>
      <c r="AD494" s="3485"/>
      <c r="AE494" s="3441" t="s">
        <v>3663</v>
      </c>
      <c r="AF494" s="3453" t="s">
        <v>3728</v>
      </c>
      <c r="AG494" s="3522" t="s">
        <v>3466</v>
      </c>
      <c r="AH494" s="3485" t="s">
        <v>3568</v>
      </c>
      <c r="AI494" s="3470" t="s">
        <v>4849</v>
      </c>
      <c r="AJ494" s="3523">
        <v>37986</v>
      </c>
      <c r="AK494" s="3500">
        <v>7</v>
      </c>
      <c r="AL494" s="3441">
        <v>67641700</v>
      </c>
      <c r="AN494" s="3469" t="s">
        <v>3695</v>
      </c>
      <c r="AP494" s="3441" t="s">
        <v>3476</v>
      </c>
      <c r="AQ494" s="3441" t="s">
        <v>3571</v>
      </c>
      <c r="AV494" s="3441" t="s">
        <v>3568</v>
      </c>
      <c r="AW494" s="3441" t="s">
        <v>3572</v>
      </c>
      <c r="AY494" s="3524" t="s">
        <v>7214</v>
      </c>
      <c r="AZ494" s="3441" t="s">
        <v>6369</v>
      </c>
      <c r="BA494" s="3441" t="s">
        <v>6391</v>
      </c>
      <c r="BB494" s="3524" t="s">
        <v>7215</v>
      </c>
      <c r="BC494" s="3441" t="s">
        <v>7216</v>
      </c>
      <c r="BD494" s="3525">
        <v>100025</v>
      </c>
      <c r="BE494" s="3441">
        <v>62908858</v>
      </c>
      <c r="BF494" s="3526">
        <v>2.7</v>
      </c>
      <c r="BG494" s="3518">
        <v>37775</v>
      </c>
      <c r="BH494" s="3441" t="s">
        <v>3437</v>
      </c>
      <c r="BI494" s="3441" t="s">
        <v>3476</v>
      </c>
      <c r="BJ494" s="3478">
        <v>37806</v>
      </c>
      <c r="BK494" s="3484"/>
      <c r="BL494" s="3470" t="s">
        <v>3670</v>
      </c>
      <c r="BS494" s="3470"/>
      <c r="BT494" s="3470"/>
      <c r="BU494" s="3470"/>
      <c r="BV494" s="3472"/>
      <c r="BW494" s="3472"/>
      <c r="BX494" s="3472"/>
      <c r="BY494" s="3472"/>
      <c r="BZ494" s="3472"/>
      <c r="CA494" s="3472"/>
      <c r="CB494" s="3472"/>
      <c r="CC494" s="3472"/>
      <c r="CD494" s="3472"/>
      <c r="CE494" s="3472"/>
      <c r="CF494" s="3472"/>
      <c r="CG494" s="3472"/>
      <c r="CH494" s="3472"/>
      <c r="CI494" s="3472"/>
      <c r="CJ494" s="3472"/>
      <c r="CK494" s="3472"/>
      <c r="CL494" s="3472"/>
      <c r="CM494" s="3472"/>
      <c r="CN494" s="3472"/>
      <c r="CO494" s="3472"/>
      <c r="CP494" s="3472"/>
      <c r="CQ494" s="3472"/>
      <c r="CR494" s="3472"/>
      <c r="CS494" s="3472"/>
      <c r="CT494" s="3472"/>
      <c r="CU494" s="3472"/>
      <c r="CV494" s="3472"/>
      <c r="CW494" s="3472"/>
      <c r="CX494" s="3472"/>
      <c r="CY494" s="3472"/>
      <c r="CZ494" s="3472"/>
      <c r="DA494" s="3472"/>
      <c r="DB494" s="3472"/>
      <c r="DC494" s="3472"/>
      <c r="DD494" s="3472"/>
      <c r="DE494" s="3472"/>
      <c r="DF494" s="3472"/>
      <c r="DG494" s="3472"/>
      <c r="DH494" s="3472"/>
      <c r="DI494" s="3472"/>
      <c r="DJ494" s="3472"/>
      <c r="DK494" s="3472"/>
      <c r="DL494" s="3472"/>
      <c r="DM494" s="3472"/>
      <c r="DN494" s="3472"/>
      <c r="DO494" s="3472"/>
      <c r="DP494" s="3472"/>
      <c r="DQ494" s="3472"/>
      <c r="DR494" s="3472"/>
      <c r="DS494" s="3472"/>
      <c r="DT494" s="3472"/>
      <c r="DU494" s="3472"/>
      <c r="DV494" s="3472"/>
      <c r="DW494" s="3472"/>
      <c r="DX494" s="3472"/>
      <c r="DY494" s="3472"/>
      <c r="DZ494" s="3472"/>
      <c r="EA494" s="3472"/>
      <c r="EB494" s="3472"/>
      <c r="EC494" s="3472"/>
      <c r="ED494" s="3472"/>
      <c r="EE494" s="3472"/>
      <c r="EF494" s="3472"/>
      <c r="EG494" s="3472"/>
      <c r="EH494" s="3472"/>
      <c r="EI494" s="3472"/>
      <c r="EJ494" s="3472"/>
      <c r="EK494" s="3472"/>
      <c r="EL494" s="3472"/>
      <c r="EM494" s="3472"/>
      <c r="EN494" s="3472"/>
      <c r="EO494" s="3472"/>
      <c r="EP494" s="3472"/>
      <c r="EQ494" s="3472"/>
      <c r="ER494" s="3472"/>
      <c r="ES494" s="3472"/>
      <c r="ET494" s="3472"/>
      <c r="EU494" s="3472"/>
      <c r="EV494" s="3472"/>
      <c r="EW494" s="3472"/>
      <c r="EX494" s="3472"/>
      <c r="EY494" s="3472"/>
      <c r="EZ494" s="3472"/>
      <c r="FA494" s="3472"/>
      <c r="FB494" s="3472"/>
      <c r="FC494" s="3472"/>
      <c r="FD494" s="3472"/>
      <c r="FE494" s="3472"/>
      <c r="FF494" s="3472"/>
      <c r="FG494" s="3472"/>
      <c r="FH494" s="3472"/>
      <c r="FI494" s="3472"/>
      <c r="FJ494" s="3472"/>
      <c r="FK494" s="3472"/>
      <c r="FL494" s="3472"/>
      <c r="FM494" s="3472"/>
      <c r="FN494" s="3472"/>
      <c r="FO494" s="3472"/>
      <c r="FP494" s="3472"/>
      <c r="FQ494" s="3472"/>
      <c r="FR494" s="3472"/>
      <c r="FS494" s="3472"/>
      <c r="FT494" s="3472"/>
      <c r="FU494" s="3472"/>
      <c r="FV494" s="3472"/>
      <c r="FW494" s="3472"/>
      <c r="FX494" s="3472"/>
      <c r="FY494" s="3472"/>
      <c r="FZ494" s="3472"/>
      <c r="GA494" s="3472"/>
      <c r="GB494" s="3472"/>
      <c r="GC494" s="3472"/>
      <c r="GD494" s="3472"/>
      <c r="GE494" s="3472"/>
      <c r="GF494" s="3472"/>
      <c r="GG494" s="3472"/>
      <c r="GH494" s="3472"/>
      <c r="GI494" s="3472"/>
      <c r="GJ494" s="3472"/>
      <c r="GK494" s="3472"/>
      <c r="GL494" s="3472"/>
      <c r="GM494" s="3472"/>
      <c r="GN494" s="3472"/>
      <c r="GO494" s="3472"/>
      <c r="GP494" s="3472"/>
      <c r="GQ494" s="3472"/>
      <c r="GR494" s="3472"/>
      <c r="GS494" s="3472"/>
      <c r="GT494" s="3472"/>
      <c r="GU494" s="3472"/>
      <c r="GV494" s="3472"/>
      <c r="GW494" s="3472"/>
      <c r="GX494" s="3472"/>
      <c r="GY494" s="3472"/>
      <c r="GZ494" s="3472"/>
      <c r="HA494" s="3472"/>
      <c r="HB494" s="3472"/>
      <c r="HC494" s="3472"/>
      <c r="HD494" s="3472"/>
      <c r="HE494" s="3472"/>
      <c r="HF494" s="3472"/>
      <c r="HG494" s="3472"/>
      <c r="HH494" s="3472"/>
      <c r="HI494" s="3472"/>
      <c r="HJ494" s="3472"/>
      <c r="HK494" s="3472"/>
      <c r="HL494" s="3472"/>
      <c r="HM494" s="3472"/>
      <c r="HN494" s="3472"/>
      <c r="HO494" s="3472"/>
      <c r="HP494" s="3472"/>
      <c r="HQ494" s="3472"/>
      <c r="HR494" s="3472"/>
      <c r="HS494" s="3472"/>
      <c r="HT494" s="3472"/>
      <c r="HU494" s="3472"/>
      <c r="HV494" s="3472"/>
      <c r="HW494" s="3472"/>
      <c r="HX494" s="3472"/>
      <c r="HY494" s="3472"/>
      <c r="HZ494" s="3472"/>
      <c r="IA494" s="3472"/>
      <c r="IB494" s="3472"/>
      <c r="IC494" s="3472"/>
      <c r="ID494" s="3472"/>
      <c r="IE494" s="3472"/>
      <c r="IF494" s="3472"/>
      <c r="IG494" s="3472"/>
      <c r="IH494" s="3472"/>
      <c r="II494" s="3472"/>
      <c r="IJ494" s="3472"/>
      <c r="IK494" s="3472"/>
      <c r="IL494" s="3472"/>
      <c r="IM494" s="3472"/>
      <c r="IN494" s="3472"/>
      <c r="IO494" s="3472"/>
      <c r="IP494" s="3472"/>
      <c r="IQ494" s="3472"/>
      <c r="IR494" s="3472"/>
      <c r="IS494" s="3472"/>
    </row>
    <row r="495" spans="1:253" s="3469" customFormat="1" ht="13.2" hidden="1">
      <c r="A495" s="3485" t="s">
        <v>7217</v>
      </c>
      <c r="B495" s="3542" t="s">
        <v>7218</v>
      </c>
      <c r="C495" s="3530" t="s">
        <v>7219</v>
      </c>
      <c r="D495" s="3453">
        <v>13901300001</v>
      </c>
      <c r="E495" s="3530" t="s">
        <v>6987</v>
      </c>
      <c r="F495" s="3598" t="s">
        <v>4613</v>
      </c>
      <c r="G495" s="3522"/>
      <c r="H495" s="3530" t="s">
        <v>6935</v>
      </c>
      <c r="I495" s="3530" t="s">
        <v>4454</v>
      </c>
      <c r="J495" s="3530" t="s">
        <v>7220</v>
      </c>
      <c r="K495" s="3542" t="s">
        <v>4565</v>
      </c>
      <c r="L495" s="3477">
        <v>76.47</v>
      </c>
      <c r="M495" s="3477">
        <v>19</v>
      </c>
      <c r="N495" s="3441" t="s">
        <v>3584</v>
      </c>
      <c r="O495" s="3477">
        <v>60.28</v>
      </c>
      <c r="P495" s="3485" t="s">
        <v>3452</v>
      </c>
      <c r="Q495" s="3457">
        <v>547601.67000000004</v>
      </c>
      <c r="R495" s="3477">
        <v>7161</v>
      </c>
      <c r="S495" s="3472">
        <v>54.28</v>
      </c>
      <c r="T495" s="3550">
        <v>542800</v>
      </c>
      <c r="U495" s="3477">
        <v>7099</v>
      </c>
      <c r="V495" s="3512">
        <v>0.1</v>
      </c>
      <c r="W495" s="3475">
        <v>48.85</v>
      </c>
      <c r="X495" s="3459">
        <v>488500</v>
      </c>
      <c r="Y495" s="3495">
        <v>2003</v>
      </c>
      <c r="Z495" s="3441">
        <v>7</v>
      </c>
      <c r="AA495" s="3441">
        <v>9</v>
      </c>
      <c r="AB495" s="3477">
        <v>2710</v>
      </c>
      <c r="AC495" s="3470" t="s">
        <v>3544</v>
      </c>
      <c r="AD495" s="3522"/>
      <c r="AE495" s="3470" t="s">
        <v>3663</v>
      </c>
      <c r="AF495" s="3542" t="s">
        <v>7205</v>
      </c>
      <c r="AG495" s="3542" t="s">
        <v>3454</v>
      </c>
      <c r="AH495" s="3542"/>
      <c r="AI495" s="3470" t="s">
        <v>3664</v>
      </c>
      <c r="AJ495" s="3513">
        <v>38199</v>
      </c>
      <c r="AK495" s="3500">
        <v>7</v>
      </c>
      <c r="AL495" s="3470">
        <v>67641700</v>
      </c>
      <c r="AM495" s="3441"/>
      <c r="AN495" s="3469" t="s">
        <v>3695</v>
      </c>
      <c r="AP495" s="3456" t="s">
        <v>3476</v>
      </c>
      <c r="AQ495" s="3456" t="s">
        <v>3457</v>
      </c>
      <c r="AV495" s="3599"/>
      <c r="AW495" s="3470" t="s">
        <v>3458</v>
      </c>
      <c r="AX495" s="3441" t="s">
        <v>3606</v>
      </c>
      <c r="AY495" s="3536" t="s">
        <v>7221</v>
      </c>
      <c r="AZ495" s="3542" t="s">
        <v>7066</v>
      </c>
      <c r="BA495" s="3463" t="s">
        <v>6920</v>
      </c>
      <c r="BB495" s="3466">
        <v>1101081437256</v>
      </c>
      <c r="BC495" s="3463" t="s">
        <v>4570</v>
      </c>
      <c r="BD495" s="3537">
        <v>100037</v>
      </c>
      <c r="BE495" s="3515">
        <v>68348381</v>
      </c>
      <c r="BF495" s="3538">
        <v>2.8</v>
      </c>
      <c r="BG495" s="3535">
        <v>37798</v>
      </c>
      <c r="BI495" s="3441" t="s">
        <v>5844</v>
      </c>
      <c r="BJ495" s="3484">
        <v>37810</v>
      </c>
      <c r="BK495" s="3441"/>
      <c r="BL495" s="3470" t="s">
        <v>3594</v>
      </c>
      <c r="BM495" s="3441"/>
      <c r="BN495" s="3441"/>
      <c r="BO495" s="3441"/>
      <c r="BP495" s="3441"/>
      <c r="BQ495" s="3441"/>
      <c r="BR495" s="3441"/>
      <c r="BS495" s="3470"/>
      <c r="BT495" s="3470"/>
      <c r="BU495" s="3470"/>
    </row>
    <row r="496" spans="1:253" s="3441" customFormat="1" ht="12" hidden="1">
      <c r="A496" s="3470" t="s">
        <v>7222</v>
      </c>
      <c r="B496" s="3470" t="s">
        <v>7223</v>
      </c>
      <c r="C496" s="3481" t="s">
        <v>7224</v>
      </c>
      <c r="D496" s="3481" t="s">
        <v>7225</v>
      </c>
      <c r="E496" s="3470" t="s">
        <v>3763</v>
      </c>
      <c r="F496" s="3470" t="s">
        <v>7026</v>
      </c>
      <c r="G496" s="3470"/>
      <c r="H496" s="3470" t="s">
        <v>7226</v>
      </c>
      <c r="I496" s="3470" t="s">
        <v>7227</v>
      </c>
      <c r="J496" s="3470" t="s">
        <v>7228</v>
      </c>
      <c r="K496" s="3470" t="s">
        <v>6453</v>
      </c>
      <c r="L496" s="3470">
        <v>150.63999999999999</v>
      </c>
      <c r="M496" s="3470">
        <v>2</v>
      </c>
      <c r="N496" s="3470" t="s">
        <v>7229</v>
      </c>
      <c r="O496" s="3470">
        <v>133.49</v>
      </c>
      <c r="P496" s="3470" t="s">
        <v>3452</v>
      </c>
      <c r="Q496" s="3457">
        <v>1012617.144</v>
      </c>
      <c r="R496" s="3495">
        <v>6722.1</v>
      </c>
      <c r="S496" s="3472">
        <v>100.43</v>
      </c>
      <c r="T496" s="3527">
        <v>1004300.0000000001</v>
      </c>
      <c r="U496" s="3495">
        <v>6667</v>
      </c>
      <c r="V496" s="3474">
        <v>0.05</v>
      </c>
      <c r="W496" s="3475">
        <v>95.4</v>
      </c>
      <c r="X496" s="3476">
        <v>954000</v>
      </c>
      <c r="Y496" s="3470">
        <v>2003</v>
      </c>
      <c r="Z496" s="3441">
        <v>7</v>
      </c>
      <c r="AA496" s="3441">
        <v>9</v>
      </c>
      <c r="AB496" s="3477">
        <v>5010</v>
      </c>
      <c r="AC496" s="3470" t="s">
        <v>3544</v>
      </c>
      <c r="AD496" s="3470"/>
      <c r="AE496" s="3470" t="s">
        <v>3547</v>
      </c>
      <c r="AF496" s="3453" t="s">
        <v>3493</v>
      </c>
      <c r="AG496" s="3470" t="s">
        <v>3454</v>
      </c>
      <c r="AH496" s="3470"/>
      <c r="AI496" s="3470" t="s">
        <v>7028</v>
      </c>
      <c r="AJ496" s="3478">
        <v>37836</v>
      </c>
      <c r="AK496" s="3500">
        <v>7</v>
      </c>
      <c r="AL496" s="3470">
        <v>67641700</v>
      </c>
      <c r="AM496" s="3470"/>
      <c r="AN496" s="3469" t="s">
        <v>3695</v>
      </c>
      <c r="AO496" s="3470"/>
      <c r="AP496" s="3470" t="s">
        <v>7144</v>
      </c>
      <c r="AQ496" s="3470" t="s">
        <v>3457</v>
      </c>
      <c r="AR496" s="3470"/>
      <c r="AS496" s="3470"/>
      <c r="AT496" s="3470"/>
      <c r="AU496" s="3470"/>
      <c r="AV496" s="3470"/>
      <c r="AW496" s="3470" t="s">
        <v>4064</v>
      </c>
      <c r="AX496" s="3508" t="s">
        <v>6451</v>
      </c>
      <c r="AY496" s="3481" t="s">
        <v>7230</v>
      </c>
      <c r="AZ496" s="3470" t="s">
        <v>6453</v>
      </c>
      <c r="BA496" s="3470" t="s">
        <v>6648</v>
      </c>
      <c r="BB496" s="3481" t="s">
        <v>6478</v>
      </c>
      <c r="BC496" s="3470" t="s">
        <v>6479</v>
      </c>
      <c r="BD496" s="3470">
        <v>100091</v>
      </c>
      <c r="BE496" s="3470">
        <v>62898116</v>
      </c>
      <c r="BF496" s="3470">
        <v>2.9</v>
      </c>
      <c r="BG496" s="3478">
        <v>37790</v>
      </c>
      <c r="BH496" s="3470" t="s">
        <v>6879</v>
      </c>
      <c r="BI496" s="3470" t="s">
        <v>3476</v>
      </c>
      <c r="BJ496" s="3484">
        <v>37810</v>
      </c>
      <c r="BK496" s="3508"/>
      <c r="BL496" s="3470" t="s">
        <v>3670</v>
      </c>
      <c r="BM496" s="3470"/>
      <c r="BN496" s="3470"/>
      <c r="BO496" s="3470"/>
      <c r="BS496" s="3470"/>
      <c r="BT496" s="3470"/>
      <c r="BU496" s="3470"/>
      <c r="BV496" s="3472"/>
      <c r="BW496" s="3472"/>
      <c r="BX496" s="3472"/>
      <c r="BY496" s="3472"/>
      <c r="BZ496" s="3472"/>
      <c r="CA496" s="3472"/>
      <c r="CB496" s="3472"/>
      <c r="CC496" s="3472"/>
      <c r="CD496" s="3472"/>
      <c r="CE496" s="3472"/>
      <c r="CF496" s="3472"/>
      <c r="CG496" s="3472"/>
      <c r="CH496" s="3472"/>
      <c r="CI496" s="3472"/>
      <c r="CJ496" s="3472"/>
      <c r="CK496" s="3472"/>
      <c r="CL496" s="3472"/>
      <c r="CM496" s="3472"/>
      <c r="CN496" s="3472"/>
      <c r="CO496" s="3472"/>
      <c r="CP496" s="3472"/>
      <c r="CQ496" s="3472"/>
      <c r="CR496" s="3472"/>
      <c r="CS496" s="3472"/>
      <c r="CT496" s="3472"/>
      <c r="CU496" s="3472"/>
      <c r="CV496" s="3472"/>
      <c r="CW496" s="3472"/>
      <c r="CX496" s="3472"/>
      <c r="CY496" s="3472"/>
      <c r="CZ496" s="3472"/>
      <c r="DA496" s="3472"/>
      <c r="DB496" s="3472"/>
      <c r="DC496" s="3472"/>
      <c r="DD496" s="3472"/>
      <c r="DE496" s="3472"/>
      <c r="DF496" s="3472"/>
      <c r="DG496" s="3472"/>
      <c r="DH496" s="3472"/>
      <c r="DI496" s="3472"/>
      <c r="DJ496" s="3472"/>
      <c r="DK496" s="3472"/>
      <c r="DL496" s="3472"/>
      <c r="DM496" s="3472"/>
      <c r="DN496" s="3472"/>
      <c r="DO496" s="3472"/>
      <c r="DP496" s="3472"/>
      <c r="DQ496" s="3472"/>
      <c r="DR496" s="3472"/>
      <c r="DS496" s="3472"/>
      <c r="DT496" s="3472"/>
      <c r="DU496" s="3472"/>
      <c r="DV496" s="3472"/>
      <c r="DW496" s="3472"/>
      <c r="DX496" s="3472"/>
      <c r="DY496" s="3472"/>
      <c r="DZ496" s="3472"/>
      <c r="EA496" s="3472"/>
      <c r="EB496" s="3472"/>
      <c r="EC496" s="3472"/>
      <c r="ED496" s="3472"/>
      <c r="EE496" s="3472"/>
      <c r="EF496" s="3472"/>
      <c r="EG496" s="3472"/>
      <c r="EH496" s="3472"/>
      <c r="EI496" s="3472"/>
      <c r="EJ496" s="3472"/>
      <c r="EK496" s="3472"/>
      <c r="EL496" s="3472"/>
      <c r="EM496" s="3472"/>
      <c r="EN496" s="3472"/>
      <c r="EO496" s="3472"/>
      <c r="EP496" s="3472"/>
      <c r="EQ496" s="3472"/>
      <c r="ER496" s="3472"/>
      <c r="ES496" s="3472"/>
      <c r="ET496" s="3472"/>
      <c r="EU496" s="3472"/>
      <c r="EV496" s="3472"/>
      <c r="EW496" s="3472"/>
      <c r="EX496" s="3472"/>
      <c r="EY496" s="3472"/>
      <c r="EZ496" s="3472"/>
      <c r="FA496" s="3472"/>
      <c r="FB496" s="3472"/>
      <c r="FC496" s="3472"/>
      <c r="FD496" s="3472"/>
      <c r="FE496" s="3472"/>
      <c r="FF496" s="3472"/>
      <c r="FG496" s="3472"/>
      <c r="FH496" s="3472"/>
      <c r="FI496" s="3472"/>
      <c r="FJ496" s="3472"/>
      <c r="FK496" s="3472"/>
      <c r="FL496" s="3472"/>
      <c r="FM496" s="3472"/>
      <c r="FN496" s="3472"/>
      <c r="FO496" s="3472"/>
      <c r="FP496" s="3472"/>
      <c r="FQ496" s="3472"/>
      <c r="FR496" s="3472"/>
      <c r="FS496" s="3472"/>
      <c r="FT496" s="3472"/>
      <c r="FU496" s="3472"/>
      <c r="FV496" s="3472"/>
      <c r="FW496" s="3472"/>
      <c r="FX496" s="3472"/>
      <c r="FY496" s="3472"/>
      <c r="FZ496" s="3472"/>
      <c r="GA496" s="3472"/>
      <c r="GB496" s="3472"/>
      <c r="GC496" s="3472"/>
      <c r="GD496" s="3472"/>
      <c r="GE496" s="3472"/>
      <c r="GF496" s="3472"/>
      <c r="GG496" s="3472"/>
      <c r="GH496" s="3472"/>
      <c r="GI496" s="3472"/>
      <c r="GJ496" s="3472"/>
      <c r="GK496" s="3472"/>
      <c r="GL496" s="3472"/>
      <c r="GM496" s="3472"/>
      <c r="GN496" s="3472"/>
      <c r="GO496" s="3472"/>
      <c r="GP496" s="3472"/>
      <c r="GQ496" s="3472"/>
      <c r="GR496" s="3472"/>
      <c r="GS496" s="3472"/>
      <c r="GT496" s="3472"/>
      <c r="GU496" s="3472"/>
      <c r="GV496" s="3472"/>
      <c r="GW496" s="3472"/>
      <c r="GX496" s="3472"/>
      <c r="GY496" s="3472"/>
      <c r="GZ496" s="3472"/>
      <c r="HA496" s="3472"/>
      <c r="HB496" s="3472"/>
      <c r="HC496" s="3472"/>
      <c r="HD496" s="3472"/>
      <c r="HE496" s="3472"/>
      <c r="HF496" s="3472"/>
      <c r="HG496" s="3472"/>
      <c r="HH496" s="3472"/>
      <c r="HI496" s="3472"/>
      <c r="HJ496" s="3472"/>
      <c r="HK496" s="3472"/>
      <c r="HL496" s="3472"/>
      <c r="HM496" s="3472"/>
      <c r="HN496" s="3472"/>
      <c r="HO496" s="3472"/>
      <c r="HP496" s="3472"/>
      <c r="HQ496" s="3472"/>
      <c r="HR496" s="3472"/>
      <c r="HS496" s="3472"/>
      <c r="HT496" s="3472"/>
      <c r="HU496" s="3472"/>
      <c r="HV496" s="3472"/>
      <c r="HW496" s="3472"/>
      <c r="HX496" s="3472"/>
      <c r="HY496" s="3472"/>
      <c r="HZ496" s="3472"/>
      <c r="IA496" s="3472"/>
      <c r="IB496" s="3472"/>
      <c r="IC496" s="3472"/>
      <c r="ID496" s="3472"/>
      <c r="IE496" s="3472"/>
      <c r="IF496" s="3472"/>
      <c r="IG496" s="3472"/>
      <c r="IH496" s="3472"/>
      <c r="II496" s="3472"/>
      <c r="IJ496" s="3472"/>
      <c r="IK496" s="3472"/>
      <c r="IL496" s="3472"/>
      <c r="IM496" s="3472"/>
      <c r="IN496" s="3472"/>
      <c r="IO496" s="3472"/>
      <c r="IP496" s="3472"/>
      <c r="IQ496" s="3472"/>
      <c r="IR496" s="3472"/>
      <c r="IS496" s="3472"/>
    </row>
    <row r="497" spans="1:253" s="3441" customFormat="1" ht="13.2" hidden="1">
      <c r="A497" s="3485" t="s">
        <v>7231</v>
      </c>
      <c r="B497" s="3470" t="s">
        <v>7232</v>
      </c>
      <c r="C497" s="3481" t="s">
        <v>7233</v>
      </c>
      <c r="D497" s="3481" t="s">
        <v>7234</v>
      </c>
      <c r="E497" s="3470" t="s">
        <v>2736</v>
      </c>
      <c r="F497" s="3521" t="s">
        <v>7113</v>
      </c>
      <c r="G497" s="3470"/>
      <c r="H497" s="3470" t="s">
        <v>7123</v>
      </c>
      <c r="I497" s="3470" t="s">
        <v>3464</v>
      </c>
      <c r="J497" s="3481" t="s">
        <v>4325</v>
      </c>
      <c r="K497" s="3470" t="s">
        <v>4507</v>
      </c>
      <c r="L497" s="3470">
        <v>64.459999999999994</v>
      </c>
      <c r="M497" s="3470">
        <v>5</v>
      </c>
      <c r="N497" s="3470" t="s">
        <v>3584</v>
      </c>
      <c r="O497" s="3470">
        <v>54.08</v>
      </c>
      <c r="P497" s="3470" t="s">
        <v>3452</v>
      </c>
      <c r="Q497" s="3457">
        <v>248815.59999999998</v>
      </c>
      <c r="R497" s="3470">
        <v>3860</v>
      </c>
      <c r="S497" s="3472">
        <v>24.61</v>
      </c>
      <c r="T497" s="3527">
        <v>246100</v>
      </c>
      <c r="U497" s="3495">
        <v>3818</v>
      </c>
      <c r="V497" s="3474">
        <v>0.1</v>
      </c>
      <c r="W497" s="3475">
        <v>22.14</v>
      </c>
      <c r="X497" s="3476">
        <v>221400</v>
      </c>
      <c r="Y497" s="3441">
        <v>2003</v>
      </c>
      <c r="Z497" s="3441">
        <v>7</v>
      </c>
      <c r="AA497" s="3441">
        <v>9</v>
      </c>
      <c r="AB497" s="3477">
        <v>1230</v>
      </c>
      <c r="AC497" s="3470" t="s">
        <v>5110</v>
      </c>
      <c r="AD497" s="3485"/>
      <c r="AE497" s="3441" t="s">
        <v>3663</v>
      </c>
      <c r="AF497" s="3470" t="s">
        <v>7027</v>
      </c>
      <c r="AG497" s="3522" t="s">
        <v>3466</v>
      </c>
      <c r="AH497" s="3485"/>
      <c r="AI497" s="3470" t="s">
        <v>6531</v>
      </c>
      <c r="AJ497" s="3523">
        <v>37856</v>
      </c>
      <c r="AK497" s="3479">
        <v>7</v>
      </c>
      <c r="AL497" s="3441">
        <v>67641700</v>
      </c>
      <c r="AN497" s="3441" t="s">
        <v>3695</v>
      </c>
      <c r="AP497" s="3456" t="s">
        <v>6257</v>
      </c>
      <c r="AQ497" s="3441" t="s">
        <v>3571</v>
      </c>
      <c r="AW497" s="3441" t="s">
        <v>3572</v>
      </c>
      <c r="AY497" s="3524" t="s">
        <v>7235</v>
      </c>
      <c r="AZ497" s="3441" t="s">
        <v>7036</v>
      </c>
      <c r="BA497" s="3441" t="s">
        <v>7108</v>
      </c>
      <c r="BB497" s="3524" t="s">
        <v>7039</v>
      </c>
      <c r="BC497" s="3441" t="s">
        <v>7118</v>
      </c>
      <c r="BD497" s="3525">
        <v>100083</v>
      </c>
      <c r="BE497" s="3441">
        <v>82355171</v>
      </c>
      <c r="BF497" s="3526">
        <v>2.7</v>
      </c>
      <c r="BG497" s="3518">
        <v>37795</v>
      </c>
      <c r="BH497" s="3441" t="s">
        <v>4681</v>
      </c>
      <c r="BI497" s="3441" t="s">
        <v>2153</v>
      </c>
      <c r="BJ497" s="3484">
        <v>37805</v>
      </c>
      <c r="BK497" s="3484"/>
      <c r="BL497" s="3441" t="s">
        <v>3833</v>
      </c>
      <c r="BS497" s="3470"/>
      <c r="BT497" s="3470"/>
      <c r="BU497" s="3470"/>
    </row>
    <row r="498" spans="1:253" s="3441" customFormat="1" ht="12" hidden="1">
      <c r="A498" s="3485" t="s">
        <v>7236</v>
      </c>
      <c r="B498" s="3470" t="s">
        <v>7237</v>
      </c>
      <c r="C498" s="3481" t="s">
        <v>7238</v>
      </c>
      <c r="D498" s="3453">
        <v>13683104606</v>
      </c>
      <c r="E498" s="3470" t="s">
        <v>3558</v>
      </c>
      <c r="F498" s="3470" t="s">
        <v>4403</v>
      </c>
      <c r="G498" s="3470" t="s">
        <v>3568</v>
      </c>
      <c r="H498" s="3470" t="s">
        <v>4901</v>
      </c>
      <c r="I498" s="3470" t="s">
        <v>4100</v>
      </c>
      <c r="J498" s="3481" t="s">
        <v>4855</v>
      </c>
      <c r="K498" s="3470" t="s">
        <v>4406</v>
      </c>
      <c r="L498" s="3470">
        <v>129.66999999999999</v>
      </c>
      <c r="M498" s="3470">
        <v>2</v>
      </c>
      <c r="N498" s="3470" t="s">
        <v>3632</v>
      </c>
      <c r="O498" s="3470">
        <v>116.27</v>
      </c>
      <c r="P498" s="3470" t="s">
        <v>3452</v>
      </c>
      <c r="Q498" s="3457">
        <v>650684.05999999994</v>
      </c>
      <c r="R498" s="3470">
        <v>5018</v>
      </c>
      <c r="S498" s="3472">
        <v>64.42</v>
      </c>
      <c r="T498" s="3527">
        <v>644200</v>
      </c>
      <c r="U498" s="3470">
        <v>4968</v>
      </c>
      <c r="V498" s="3474">
        <v>0.1</v>
      </c>
      <c r="W498" s="3475">
        <v>57.97</v>
      </c>
      <c r="X498" s="3473">
        <v>579700</v>
      </c>
      <c r="Y498" s="3441">
        <v>2003</v>
      </c>
      <c r="Z498" s="3441">
        <v>7</v>
      </c>
      <c r="AA498" s="3470">
        <v>10</v>
      </c>
      <c r="AB498" s="3477">
        <v>3220</v>
      </c>
      <c r="AC498" s="3470" t="s">
        <v>4224</v>
      </c>
      <c r="AD498" s="3485"/>
      <c r="AE498" s="3441" t="s">
        <v>3663</v>
      </c>
      <c r="AF498" s="3453" t="s">
        <v>4126</v>
      </c>
      <c r="AG498" s="3522" t="s">
        <v>3466</v>
      </c>
      <c r="AH498" s="3485"/>
      <c r="AI498" s="3470" t="s">
        <v>3664</v>
      </c>
      <c r="AJ498" s="3523">
        <v>37833</v>
      </c>
      <c r="AK498" s="3500">
        <v>7</v>
      </c>
      <c r="AL498" s="3441">
        <v>67641700</v>
      </c>
      <c r="AN498" s="3441" t="s">
        <v>3468</v>
      </c>
      <c r="AO498" s="3470" t="s">
        <v>2420</v>
      </c>
      <c r="AP498" s="3456" t="s">
        <v>3476</v>
      </c>
      <c r="AQ498" s="3470" t="s">
        <v>3571</v>
      </c>
      <c r="AR498" s="3441" t="s">
        <v>2420</v>
      </c>
      <c r="AS498" s="3441" t="s">
        <v>2420</v>
      </c>
      <c r="AT498" s="3441" t="s">
        <v>2420</v>
      </c>
      <c r="AW498" s="3441" t="s">
        <v>3572</v>
      </c>
      <c r="AX498" s="3441" t="s">
        <v>3568</v>
      </c>
      <c r="AY498" s="3524" t="s">
        <v>7239</v>
      </c>
      <c r="AZ498" s="3441" t="s">
        <v>4076</v>
      </c>
      <c r="BA498" s="3441" t="s">
        <v>4409</v>
      </c>
      <c r="BB498" s="3524" t="s">
        <v>4410</v>
      </c>
      <c r="BC498" s="3441" t="s">
        <v>4411</v>
      </c>
      <c r="BD498" s="3525" t="s">
        <v>3568</v>
      </c>
      <c r="BE498" s="3441">
        <v>68152860</v>
      </c>
      <c r="BF498" s="3526">
        <v>2.8</v>
      </c>
      <c r="BG498" s="3518">
        <v>37789</v>
      </c>
      <c r="BH498" s="3441" t="s">
        <v>4412</v>
      </c>
      <c r="BI498" s="3470" t="s">
        <v>3476</v>
      </c>
      <c r="BJ498" s="3484">
        <v>37809</v>
      </c>
      <c r="BK498" s="3484"/>
      <c r="BL498" s="3470" t="s">
        <v>3670</v>
      </c>
      <c r="BS498" s="3470"/>
      <c r="BT498" s="3470"/>
      <c r="BU498" s="3470"/>
    </row>
    <row r="499" spans="1:253" s="3441" customFormat="1" ht="12" hidden="1">
      <c r="A499" s="3470" t="s">
        <v>7240</v>
      </c>
      <c r="B499" s="3470" t="s">
        <v>7241</v>
      </c>
      <c r="C499" s="3481" t="s">
        <v>7242</v>
      </c>
      <c r="D499" s="3481" t="s">
        <v>7243</v>
      </c>
      <c r="E499" s="3470" t="s">
        <v>3558</v>
      </c>
      <c r="F499" s="3528" t="s">
        <v>3951</v>
      </c>
      <c r="G499" s="3470"/>
      <c r="H499" s="3470" t="s">
        <v>4262</v>
      </c>
      <c r="I499" s="3470" t="s">
        <v>7244</v>
      </c>
      <c r="J499" s="3481" t="s">
        <v>7245</v>
      </c>
      <c r="K499" s="3470" t="s">
        <v>3955</v>
      </c>
      <c r="L499" s="3470">
        <v>109.15</v>
      </c>
      <c r="M499" s="3470">
        <v>3</v>
      </c>
      <c r="N499" s="3470" t="s">
        <v>7246</v>
      </c>
      <c r="O499" s="3470">
        <v>98.04</v>
      </c>
      <c r="P499" s="3470" t="s">
        <v>3452</v>
      </c>
      <c r="Q499" s="3457">
        <v>478186.15</v>
      </c>
      <c r="R499" s="3470">
        <v>4381</v>
      </c>
      <c r="S499" s="3547">
        <v>47.48</v>
      </c>
      <c r="T499" s="3527">
        <v>474799.99999999994</v>
      </c>
      <c r="U499" s="3470">
        <v>4350</v>
      </c>
      <c r="V499" s="3474">
        <v>0.1</v>
      </c>
      <c r="W499" s="3475">
        <v>42.73</v>
      </c>
      <c r="X499" s="3473">
        <v>427299.99999999994</v>
      </c>
      <c r="Y499" s="3441">
        <v>2003</v>
      </c>
      <c r="Z499" s="3441">
        <v>7</v>
      </c>
      <c r="AA499" s="3441">
        <v>10</v>
      </c>
      <c r="AB499" s="3485">
        <v>2370</v>
      </c>
      <c r="AC499" s="3470" t="s">
        <v>3634</v>
      </c>
      <c r="AD499" s="3485"/>
      <c r="AE499" s="3441" t="s">
        <v>3663</v>
      </c>
      <c r="AF499" s="3453" t="s">
        <v>4126</v>
      </c>
      <c r="AG499" s="3522" t="s">
        <v>3466</v>
      </c>
      <c r="AH499" s="3485"/>
      <c r="AI499" s="3470" t="s">
        <v>3664</v>
      </c>
      <c r="AJ499" s="3523">
        <v>37863</v>
      </c>
      <c r="AK499" s="3500">
        <v>7</v>
      </c>
      <c r="AL499" s="3441" t="s">
        <v>3957</v>
      </c>
      <c r="AN499" s="3469" t="s">
        <v>3695</v>
      </c>
      <c r="AP499" s="3456" t="s">
        <v>3476</v>
      </c>
      <c r="AQ499" s="3441" t="s">
        <v>3571</v>
      </c>
      <c r="AV499" s="3441" t="s">
        <v>3568</v>
      </c>
      <c r="AW499" s="3441" t="s">
        <v>3572</v>
      </c>
      <c r="AX499" s="3441" t="s">
        <v>2511</v>
      </c>
      <c r="AY499" s="3524" t="s">
        <v>7247</v>
      </c>
      <c r="AZ499" s="3441" t="s">
        <v>3955</v>
      </c>
      <c r="BA499" s="3441" t="s">
        <v>3959</v>
      </c>
      <c r="BB499" s="3524" t="s">
        <v>3960</v>
      </c>
      <c r="BC499" s="3441" t="s">
        <v>3961</v>
      </c>
      <c r="BD499" s="3525">
        <v>102100</v>
      </c>
      <c r="BE499" s="3441">
        <v>62998398</v>
      </c>
      <c r="BF499" s="3526">
        <v>2.8</v>
      </c>
      <c r="BG499" s="3518">
        <v>37792</v>
      </c>
      <c r="BI499" s="3441" t="s">
        <v>3475</v>
      </c>
      <c r="BJ499" s="3478">
        <v>37809</v>
      </c>
      <c r="BK499" s="3484"/>
      <c r="BL499" s="3470" t="s">
        <v>3670</v>
      </c>
      <c r="BS499" s="3470"/>
      <c r="BT499" s="3470"/>
      <c r="BU499" s="3470"/>
    </row>
    <row r="500" spans="1:253" s="3453" customFormat="1" ht="12" hidden="1">
      <c r="A500" s="3470" t="s">
        <v>7248</v>
      </c>
      <c r="B500" s="3453" t="s">
        <v>7249</v>
      </c>
      <c r="C500" s="3454" t="s">
        <v>7250</v>
      </c>
      <c r="D500" s="3453">
        <v>13911406788</v>
      </c>
      <c r="E500" s="3453" t="s">
        <v>3763</v>
      </c>
      <c r="F500" s="3453" t="s">
        <v>3597</v>
      </c>
      <c r="H500" s="3453" t="s">
        <v>7251</v>
      </c>
      <c r="I500" s="3453" t="s">
        <v>7252</v>
      </c>
      <c r="J500" s="3453" t="s">
        <v>7253</v>
      </c>
      <c r="K500" s="3453" t="s">
        <v>7254</v>
      </c>
      <c r="L500" s="3495">
        <v>98.48</v>
      </c>
      <c r="M500" s="3495">
        <v>21</v>
      </c>
      <c r="N500" s="3453" t="s">
        <v>7255</v>
      </c>
      <c r="O500" s="3495">
        <v>75.91</v>
      </c>
      <c r="P500" s="3453" t="s">
        <v>3452</v>
      </c>
      <c r="Q500" s="3457">
        <v>669664</v>
      </c>
      <c r="R500" s="3470">
        <v>6800</v>
      </c>
      <c r="S500" s="3472">
        <v>66.37</v>
      </c>
      <c r="T500" s="3527">
        <v>663700</v>
      </c>
      <c r="U500" s="3470">
        <v>6740</v>
      </c>
      <c r="V500" s="3474">
        <v>0.05</v>
      </c>
      <c r="W500" s="3475">
        <v>63.05</v>
      </c>
      <c r="X500" s="3473">
        <v>630500</v>
      </c>
      <c r="Y500" s="3441">
        <v>2003</v>
      </c>
      <c r="Z500" s="3441">
        <v>7</v>
      </c>
      <c r="AA500" s="3470">
        <v>10</v>
      </c>
      <c r="AB500" s="3485">
        <v>3315</v>
      </c>
      <c r="AC500" s="3453" t="s">
        <v>3544</v>
      </c>
      <c r="AE500" s="3456" t="s">
        <v>3547</v>
      </c>
      <c r="AF500" s="3453" t="s">
        <v>7256</v>
      </c>
      <c r="AG500" s="3453" t="s">
        <v>3454</v>
      </c>
      <c r="AI500" s="3470" t="s">
        <v>3664</v>
      </c>
      <c r="AJ500" s="3478">
        <v>37839</v>
      </c>
      <c r="AK500" s="3500">
        <v>7</v>
      </c>
      <c r="AL500" s="3495">
        <v>67641700</v>
      </c>
      <c r="AM500" s="3495"/>
      <c r="AN500" s="3469" t="s">
        <v>3695</v>
      </c>
      <c r="AP500" s="3456" t="s">
        <v>3476</v>
      </c>
      <c r="AQ500" s="3456" t="s">
        <v>3457</v>
      </c>
      <c r="AV500" s="3601"/>
      <c r="AW500" s="3470" t="s">
        <v>6909</v>
      </c>
      <c r="AX500" s="3441" t="s">
        <v>3606</v>
      </c>
      <c r="AY500" s="3536" t="s">
        <v>7257</v>
      </c>
      <c r="AZ500" s="3463" t="s">
        <v>3601</v>
      </c>
      <c r="BA500" s="3463" t="s">
        <v>7258</v>
      </c>
      <c r="BB500" s="3466">
        <v>1100001504174</v>
      </c>
      <c r="BC500" s="3463" t="s">
        <v>7259</v>
      </c>
      <c r="BD500" s="3537">
        <v>100088</v>
      </c>
      <c r="BE500" s="3515">
        <v>62238844</v>
      </c>
      <c r="BF500" s="3544">
        <v>2.7</v>
      </c>
      <c r="BG500" s="3478">
        <v>37790</v>
      </c>
      <c r="BI500" s="3470" t="s">
        <v>3476</v>
      </c>
      <c r="BJ500" s="3508">
        <v>37811</v>
      </c>
      <c r="BK500" s="3441"/>
      <c r="BL500" s="3441" t="s">
        <v>3670</v>
      </c>
      <c r="BM500" s="3441"/>
      <c r="BN500" s="3441"/>
      <c r="BO500" s="3441"/>
      <c r="BP500" s="3441"/>
      <c r="BQ500" s="3441"/>
      <c r="BR500" s="3441"/>
      <c r="BS500" s="3470"/>
      <c r="BT500" s="3470"/>
      <c r="BU500" s="3470"/>
    </row>
    <row r="501" spans="1:253" s="3469" customFormat="1" ht="12" hidden="1">
      <c r="A501" s="3485" t="s">
        <v>7260</v>
      </c>
      <c r="B501" s="3453" t="s">
        <v>7261</v>
      </c>
      <c r="C501" s="3454" t="s">
        <v>7262</v>
      </c>
      <c r="D501" s="3453">
        <v>13521563232</v>
      </c>
      <c r="E501" s="3530" t="s">
        <v>2736</v>
      </c>
      <c r="F501" s="3598" t="s">
        <v>4483</v>
      </c>
      <c r="G501" s="3522"/>
      <c r="H501" s="3530" t="s">
        <v>7263</v>
      </c>
      <c r="I501" s="3530" t="s">
        <v>3464</v>
      </c>
      <c r="J501" s="3530" t="s">
        <v>7015</v>
      </c>
      <c r="K501" s="3542" t="s">
        <v>7264</v>
      </c>
      <c r="L501" s="3477">
        <v>91.56</v>
      </c>
      <c r="M501" s="3477">
        <v>6</v>
      </c>
      <c r="N501" s="3485" t="s">
        <v>7017</v>
      </c>
      <c r="O501" s="3477">
        <v>75.89</v>
      </c>
      <c r="P501" s="3485" t="s">
        <v>3452</v>
      </c>
      <c r="Q501" s="3510">
        <v>352506</v>
      </c>
      <c r="R501" s="3477">
        <v>3850</v>
      </c>
      <c r="S501" s="3472">
        <v>34.82</v>
      </c>
      <c r="T501" s="3527">
        <v>348200</v>
      </c>
      <c r="U501" s="3470">
        <v>3803</v>
      </c>
      <c r="V501" s="3474">
        <v>0.1</v>
      </c>
      <c r="W501" s="3475">
        <v>31.33</v>
      </c>
      <c r="X501" s="3572">
        <v>313300</v>
      </c>
      <c r="Y501" s="3495">
        <v>2003</v>
      </c>
      <c r="Z501" s="3495">
        <v>7</v>
      </c>
      <c r="AA501" s="3515">
        <v>10</v>
      </c>
      <c r="AB501" s="3477">
        <v>1740</v>
      </c>
      <c r="AC501" s="3470" t="s">
        <v>3585</v>
      </c>
      <c r="AD501" s="3522"/>
      <c r="AE501" s="3469" t="s">
        <v>6906</v>
      </c>
      <c r="AF501" s="3542" t="s">
        <v>3956</v>
      </c>
      <c r="AG501" s="3542" t="s">
        <v>3454</v>
      </c>
      <c r="AH501" s="3542"/>
      <c r="AI501" s="3470" t="s">
        <v>3664</v>
      </c>
      <c r="AJ501" s="3513">
        <v>37864</v>
      </c>
      <c r="AK501" s="3500">
        <v>7</v>
      </c>
      <c r="AL501" s="3515">
        <v>67641700</v>
      </c>
      <c r="AM501" s="3441"/>
      <c r="AN501" s="3470" t="s">
        <v>3468</v>
      </c>
      <c r="AO501" s="3470"/>
      <c r="AP501" s="3441" t="s">
        <v>3721</v>
      </c>
      <c r="AQ501" s="3456" t="s">
        <v>7265</v>
      </c>
      <c r="AV501" s="3599"/>
      <c r="AW501" s="3470" t="s">
        <v>3458</v>
      </c>
      <c r="AX501" s="3441" t="s">
        <v>3606</v>
      </c>
      <c r="AY501" s="3536" t="s">
        <v>7266</v>
      </c>
      <c r="AZ501" s="3542" t="s">
        <v>5148</v>
      </c>
      <c r="BA501" s="3463" t="s">
        <v>7267</v>
      </c>
      <c r="BB501" s="3466">
        <v>1102211135488</v>
      </c>
      <c r="BC501" s="3463" t="s">
        <v>7268</v>
      </c>
      <c r="BD501" s="3537">
        <v>102202</v>
      </c>
      <c r="BE501" s="3515">
        <v>69711228</v>
      </c>
      <c r="BF501" s="3538">
        <v>2.7</v>
      </c>
      <c r="BG501" s="3535">
        <v>37807</v>
      </c>
      <c r="BI501" s="3441" t="s">
        <v>3700</v>
      </c>
      <c r="BJ501" s="3478">
        <v>37810</v>
      </c>
      <c r="BK501" s="3441" t="s">
        <v>3715</v>
      </c>
      <c r="BL501" s="3470" t="s">
        <v>3670</v>
      </c>
      <c r="BM501" s="3441"/>
      <c r="BN501" s="3441"/>
      <c r="BO501" s="3441"/>
      <c r="BP501" s="3441"/>
      <c r="BQ501" s="3441"/>
      <c r="BR501" s="3441"/>
      <c r="BS501" s="3470"/>
      <c r="BT501" s="3470"/>
      <c r="BU501" s="3470"/>
    </row>
    <row r="502" spans="1:253" s="3470" customFormat="1" ht="12" hidden="1">
      <c r="A502" s="3481" t="s">
        <v>7269</v>
      </c>
      <c r="B502" s="3470" t="s">
        <v>7270</v>
      </c>
      <c r="C502" s="3481" t="s">
        <v>7271</v>
      </c>
      <c r="D502" s="3481" t="s">
        <v>7272</v>
      </c>
      <c r="E502" s="3481" t="s">
        <v>2736</v>
      </c>
      <c r="F502" s="3481" t="s">
        <v>4534</v>
      </c>
      <c r="H502" s="3470" t="s">
        <v>7273</v>
      </c>
      <c r="I502" s="3470" t="s">
        <v>4124</v>
      </c>
      <c r="J502" s="3470" t="s">
        <v>7274</v>
      </c>
      <c r="K502" s="3481" t="s">
        <v>6852</v>
      </c>
      <c r="L502" s="3470">
        <v>71.42</v>
      </c>
      <c r="M502" s="3470">
        <v>8</v>
      </c>
      <c r="N502" s="3470" t="s">
        <v>3489</v>
      </c>
      <c r="O502" s="3470">
        <v>55.55</v>
      </c>
      <c r="P502" s="3481" t="s">
        <v>3452</v>
      </c>
      <c r="Q502" s="3457">
        <v>492083.8</v>
      </c>
      <c r="R502" s="3470">
        <v>6890</v>
      </c>
      <c r="S502" s="3472">
        <v>48.77</v>
      </c>
      <c r="T502" s="3527">
        <v>487700.00000000006</v>
      </c>
      <c r="U502" s="3470">
        <v>6830</v>
      </c>
      <c r="V502" s="3493">
        <v>0.1</v>
      </c>
      <c r="W502" s="3475">
        <v>43.89</v>
      </c>
      <c r="X502" s="3476">
        <v>438900</v>
      </c>
      <c r="Y502" s="3470">
        <v>2003</v>
      </c>
      <c r="Z502" s="3441">
        <v>7</v>
      </c>
      <c r="AA502" s="3470">
        <v>10</v>
      </c>
      <c r="AB502" s="3477">
        <v>2435</v>
      </c>
      <c r="AC502" s="3481" t="s">
        <v>3585</v>
      </c>
      <c r="AE502" s="3455" t="s">
        <v>3663</v>
      </c>
      <c r="AF502" s="3454" t="s">
        <v>3799</v>
      </c>
      <c r="AG502" s="3481" t="s">
        <v>3466</v>
      </c>
      <c r="AI502" s="3470" t="s">
        <v>4849</v>
      </c>
      <c r="AJ502" s="3478">
        <v>38347</v>
      </c>
      <c r="AK502" s="3500">
        <v>7</v>
      </c>
      <c r="AL502" s="3524">
        <v>67641700</v>
      </c>
      <c r="AN502" s="3441" t="s">
        <v>3695</v>
      </c>
      <c r="AP502" s="3441" t="s">
        <v>3475</v>
      </c>
      <c r="AQ502" s="3470" t="s">
        <v>3571</v>
      </c>
      <c r="AR502" s="3441"/>
      <c r="AS502" s="3441"/>
      <c r="AT502" s="3441"/>
      <c r="AW502" s="3441" t="s">
        <v>3458</v>
      </c>
      <c r="AX502" s="3508"/>
      <c r="AY502" s="3481" t="s">
        <v>7275</v>
      </c>
      <c r="AZ502" s="3481" t="s">
        <v>7276</v>
      </c>
      <c r="BA502" s="3481" t="s">
        <v>4540</v>
      </c>
      <c r="BB502" s="3524" t="s">
        <v>7277</v>
      </c>
      <c r="BC502" s="3481" t="s">
        <v>4542</v>
      </c>
      <c r="BD502" s="3481">
        <v>100089</v>
      </c>
      <c r="BE502" s="3481">
        <v>68719656</v>
      </c>
      <c r="BF502" s="3526">
        <v>2.8</v>
      </c>
      <c r="BG502" s="3478">
        <v>37807</v>
      </c>
      <c r="BH502" s="3481" t="s">
        <v>7021</v>
      </c>
      <c r="BI502" s="3441" t="s">
        <v>3476</v>
      </c>
      <c r="BJ502" s="3508">
        <v>37811</v>
      </c>
      <c r="BK502" s="3601"/>
      <c r="BL502" s="3470" t="s">
        <v>3670</v>
      </c>
      <c r="BP502" s="3441"/>
      <c r="BQ502" s="3441"/>
      <c r="BR502" s="3441"/>
    </row>
    <row r="503" spans="1:253" s="3470" customFormat="1" ht="12" hidden="1">
      <c r="A503" s="3481" t="s">
        <v>7278</v>
      </c>
      <c r="B503" s="3470" t="s">
        <v>7279</v>
      </c>
      <c r="C503" s="3481" t="s">
        <v>7280</v>
      </c>
      <c r="D503" s="3481" t="s">
        <v>7281</v>
      </c>
      <c r="E503" s="3481" t="s">
        <v>2736</v>
      </c>
      <c r="F503" s="3481" t="s">
        <v>4534</v>
      </c>
      <c r="H503" s="3470" t="s">
        <v>4397</v>
      </c>
      <c r="I503" s="3470" t="s">
        <v>4707</v>
      </c>
      <c r="J503" s="3470" t="s">
        <v>7282</v>
      </c>
      <c r="K503" s="3481" t="s">
        <v>4537</v>
      </c>
      <c r="L503" s="3470">
        <v>53.71</v>
      </c>
      <c r="M503" s="3470">
        <v>14</v>
      </c>
      <c r="N503" s="3470" t="s">
        <v>3489</v>
      </c>
      <c r="O503" s="3470">
        <v>41.78</v>
      </c>
      <c r="P503" s="3481" t="s">
        <v>3452</v>
      </c>
      <c r="Q503" s="3457">
        <v>344818.2</v>
      </c>
      <c r="R503" s="3470">
        <v>6420</v>
      </c>
      <c r="S503" s="3472">
        <v>34.15</v>
      </c>
      <c r="T503" s="3527">
        <v>341500</v>
      </c>
      <c r="U503" s="3470">
        <v>6360</v>
      </c>
      <c r="V503" s="3474">
        <v>0.1</v>
      </c>
      <c r="W503" s="3475">
        <v>30.73</v>
      </c>
      <c r="X503" s="3473">
        <v>307300</v>
      </c>
      <c r="Y503" s="3441">
        <v>2003</v>
      </c>
      <c r="Z503" s="3441">
        <v>7</v>
      </c>
      <c r="AA503" s="3470">
        <v>14</v>
      </c>
      <c r="AB503" s="3485">
        <v>1705</v>
      </c>
      <c r="AC503" s="3481" t="s">
        <v>3544</v>
      </c>
      <c r="AE503" s="3455" t="s">
        <v>3663</v>
      </c>
      <c r="AF503" s="3454" t="s">
        <v>7283</v>
      </c>
      <c r="AG503" s="3481" t="s">
        <v>3466</v>
      </c>
      <c r="AI503" s="3470" t="s">
        <v>3664</v>
      </c>
      <c r="AJ503" s="3478">
        <v>38347</v>
      </c>
      <c r="AK503" s="3500">
        <v>7</v>
      </c>
      <c r="AL503" s="3524">
        <v>67641700</v>
      </c>
      <c r="AN503" s="3441" t="s">
        <v>7284</v>
      </c>
      <c r="AP503" s="3441" t="s">
        <v>3475</v>
      </c>
      <c r="AQ503" s="3441" t="s">
        <v>3571</v>
      </c>
      <c r="AR503" s="3441"/>
      <c r="AS503" s="3441"/>
      <c r="AT503" s="3441"/>
      <c r="AW503" s="3441" t="s">
        <v>6909</v>
      </c>
      <c r="AX503" s="3508"/>
      <c r="AY503" s="3481" t="s">
        <v>7285</v>
      </c>
      <c r="AZ503" s="3481" t="s">
        <v>7276</v>
      </c>
      <c r="BA503" s="3481" t="s">
        <v>7286</v>
      </c>
      <c r="BB503" s="3524" t="s">
        <v>4641</v>
      </c>
      <c r="BC503" s="3481" t="s">
        <v>4542</v>
      </c>
      <c r="BD503" s="3481">
        <v>100089</v>
      </c>
      <c r="BE503" s="3481">
        <v>68719656</v>
      </c>
      <c r="BF503" s="3526">
        <v>2.8</v>
      </c>
      <c r="BG503" s="3478">
        <v>37795</v>
      </c>
      <c r="BH503" s="3481" t="s">
        <v>3437</v>
      </c>
      <c r="BI503" s="3441" t="s">
        <v>3476</v>
      </c>
      <c r="BJ503" s="3508">
        <v>37811</v>
      </c>
      <c r="BK503" s="3601"/>
      <c r="BL503" s="3470" t="s">
        <v>3670</v>
      </c>
      <c r="BP503" s="3441"/>
      <c r="BQ503" s="3441"/>
      <c r="BR503" s="3441"/>
    </row>
    <row r="504" spans="1:253" s="3441" customFormat="1" ht="13.2" hidden="1">
      <c r="A504" s="3485" t="s">
        <v>7287</v>
      </c>
      <c r="B504" s="3470" t="s">
        <v>7288</v>
      </c>
      <c r="C504" s="3481" t="s">
        <v>7289</v>
      </c>
      <c r="D504" s="3481" t="s">
        <v>7290</v>
      </c>
      <c r="E504" s="3470" t="s">
        <v>3763</v>
      </c>
      <c r="F504" s="3521" t="s">
        <v>7113</v>
      </c>
      <c r="G504" s="3470"/>
      <c r="H504" s="3470" t="s">
        <v>7291</v>
      </c>
      <c r="I504" s="3470" t="s">
        <v>3992</v>
      </c>
      <c r="J504" s="3481" t="s">
        <v>3474</v>
      </c>
      <c r="K504" s="3470" t="s">
        <v>4507</v>
      </c>
      <c r="L504" s="3470">
        <v>91.13</v>
      </c>
      <c r="M504" s="3470">
        <v>5</v>
      </c>
      <c r="N504" s="3470" t="s">
        <v>3486</v>
      </c>
      <c r="O504" s="3470">
        <v>76.45</v>
      </c>
      <c r="P504" s="3470" t="s">
        <v>3452</v>
      </c>
      <c r="Q504" s="3457">
        <v>351761.8</v>
      </c>
      <c r="R504" s="3470">
        <v>3860</v>
      </c>
      <c r="S504" s="3472">
        <v>34.74</v>
      </c>
      <c r="T504" s="3527">
        <v>347400</v>
      </c>
      <c r="U504" s="3495">
        <v>3813</v>
      </c>
      <c r="V504" s="3474">
        <v>0.1</v>
      </c>
      <c r="W504" s="3475">
        <v>31.26</v>
      </c>
      <c r="X504" s="3476">
        <v>312600</v>
      </c>
      <c r="Y504" s="3441">
        <v>2003</v>
      </c>
      <c r="Z504" s="3441">
        <v>7</v>
      </c>
      <c r="AA504" s="3441">
        <v>10</v>
      </c>
      <c r="AB504" s="3477">
        <v>1735</v>
      </c>
      <c r="AC504" s="3470" t="s">
        <v>4209</v>
      </c>
      <c r="AD504" s="3485"/>
      <c r="AE504" s="3441" t="s">
        <v>3663</v>
      </c>
      <c r="AF504" s="3470" t="s">
        <v>6065</v>
      </c>
      <c r="AG504" s="3522" t="s">
        <v>3466</v>
      </c>
      <c r="AH504" s="3485"/>
      <c r="AI504" s="3470" t="s">
        <v>6439</v>
      </c>
      <c r="AJ504" s="3523">
        <v>37866</v>
      </c>
      <c r="AK504" s="3479">
        <v>7</v>
      </c>
      <c r="AL504" s="3441">
        <v>67641700</v>
      </c>
      <c r="AN504" s="3441" t="s">
        <v>3695</v>
      </c>
      <c r="AP504" s="3456" t="s">
        <v>2153</v>
      </c>
      <c r="AQ504" s="3441" t="s">
        <v>3571</v>
      </c>
      <c r="AW504" s="3441" t="s">
        <v>3572</v>
      </c>
      <c r="AY504" s="3524" t="s">
        <v>7292</v>
      </c>
      <c r="AZ504" s="3441" t="s">
        <v>4507</v>
      </c>
      <c r="BA504" s="3441" t="s">
        <v>7108</v>
      </c>
      <c r="BB504" s="3524" t="s">
        <v>7293</v>
      </c>
      <c r="BC504" s="3441" t="s">
        <v>4509</v>
      </c>
      <c r="BD504" s="3525">
        <v>100083</v>
      </c>
      <c r="BE504" s="3441">
        <v>82355171</v>
      </c>
      <c r="BF504" s="3526">
        <v>2.7</v>
      </c>
      <c r="BG504" s="3518">
        <v>37804</v>
      </c>
      <c r="BH504" s="3441" t="s">
        <v>4681</v>
      </c>
      <c r="BI504" s="3441" t="s">
        <v>2153</v>
      </c>
      <c r="BJ504" s="3484">
        <v>37805</v>
      </c>
      <c r="BK504" s="3484"/>
      <c r="BL504" s="3441" t="s">
        <v>3594</v>
      </c>
      <c r="BS504" s="3470"/>
      <c r="BT504" s="3470"/>
      <c r="BU504" s="3470"/>
    </row>
    <row r="505" spans="1:253" s="3470" customFormat="1" ht="12" hidden="1">
      <c r="A505" s="3470" t="s">
        <v>7294</v>
      </c>
      <c r="B505" s="3470" t="s">
        <v>7295</v>
      </c>
      <c r="C505" s="3470" t="s">
        <v>7296</v>
      </c>
      <c r="D505" s="3470" t="s">
        <v>7297</v>
      </c>
      <c r="E505" s="3470" t="s">
        <v>3558</v>
      </c>
      <c r="F505" s="3470" t="s">
        <v>4758</v>
      </c>
      <c r="H505" s="3470" t="s">
        <v>3979</v>
      </c>
      <c r="I505" s="3470" t="s">
        <v>4309</v>
      </c>
      <c r="J505" s="3470" t="s">
        <v>5003</v>
      </c>
      <c r="K505" s="3470" t="s">
        <v>4760</v>
      </c>
      <c r="L505" s="3470">
        <v>81.239999999999995</v>
      </c>
      <c r="M505" s="3470">
        <v>6</v>
      </c>
      <c r="N505" s="3470" t="s">
        <v>3564</v>
      </c>
      <c r="O505" s="3470">
        <v>70.61</v>
      </c>
      <c r="P505" s="3470" t="s">
        <v>3452</v>
      </c>
      <c r="Q505" s="3470">
        <v>392470.44</v>
      </c>
      <c r="R505" s="3470">
        <v>4831</v>
      </c>
      <c r="S505" s="3470">
        <v>38.840000000000003</v>
      </c>
      <c r="T505" s="3470">
        <v>388400</v>
      </c>
      <c r="U505" s="3470">
        <v>4782</v>
      </c>
      <c r="V505" s="3470">
        <v>0.1</v>
      </c>
      <c r="W505" s="3470">
        <v>34.950000000000003</v>
      </c>
      <c r="X505" s="3470">
        <v>349500</v>
      </c>
      <c r="Y505" s="3470">
        <v>2003</v>
      </c>
      <c r="Z505" s="3470">
        <v>8</v>
      </c>
      <c r="AA505" s="3470">
        <v>1</v>
      </c>
      <c r="AB505" s="3470">
        <v>1940</v>
      </c>
      <c r="AC505" s="3470" t="s">
        <v>4004</v>
      </c>
      <c r="AE505" s="3470" t="s">
        <v>3663</v>
      </c>
      <c r="AF505" s="3470" t="s">
        <v>3728</v>
      </c>
      <c r="AG505" s="3470" t="s">
        <v>3466</v>
      </c>
      <c r="AH505" s="3470" t="s">
        <v>3568</v>
      </c>
      <c r="AI505" s="3470" t="s">
        <v>5021</v>
      </c>
      <c r="AJ505" s="3470">
        <v>38107</v>
      </c>
      <c r="AK505" s="3470">
        <v>8</v>
      </c>
      <c r="AL505" s="3470">
        <v>67641700</v>
      </c>
      <c r="AN505" s="3470" t="s">
        <v>3570</v>
      </c>
      <c r="AO505" s="3470" t="s">
        <v>7298</v>
      </c>
      <c r="AP505" s="3470" t="s">
        <v>3476</v>
      </c>
      <c r="AQ505" s="3470" t="s">
        <v>3571</v>
      </c>
      <c r="AV505" s="3470" t="s">
        <v>3568</v>
      </c>
      <c r="AW505" s="3470" t="s">
        <v>3572</v>
      </c>
      <c r="AX505" s="3470" t="s">
        <v>2511</v>
      </c>
      <c r="AY505" s="3481" t="s">
        <v>7299</v>
      </c>
      <c r="AZ505" s="3470" t="s">
        <v>4760</v>
      </c>
      <c r="BA505" s="3470" t="s">
        <v>4763</v>
      </c>
      <c r="BB505" s="3481" t="s">
        <v>4764</v>
      </c>
      <c r="BC505" s="3470" t="s">
        <v>4765</v>
      </c>
      <c r="BD505" s="3482">
        <v>102607</v>
      </c>
      <c r="BE505" s="3470">
        <v>68156287</v>
      </c>
      <c r="BF505" s="3483">
        <v>2.8</v>
      </c>
      <c r="BG505" s="3478">
        <v>37808</v>
      </c>
      <c r="BI505" s="3470" t="s">
        <v>3476</v>
      </c>
      <c r="BJ505" s="3508">
        <v>37826</v>
      </c>
      <c r="BK505" s="3508"/>
      <c r="BL505" s="3470" t="s">
        <v>3670</v>
      </c>
      <c r="BP505" s="3441"/>
      <c r="BQ505" s="3441"/>
      <c r="BR505" s="3441"/>
    </row>
    <row r="506" spans="1:253" s="3441" customFormat="1" ht="12" hidden="1">
      <c r="A506" s="3485" t="s">
        <v>7300</v>
      </c>
      <c r="B506" s="3470" t="s">
        <v>7301</v>
      </c>
      <c r="C506" s="3481" t="s">
        <v>7302</v>
      </c>
      <c r="D506" s="3453">
        <v>13021041236</v>
      </c>
      <c r="E506" s="3470" t="s">
        <v>6987</v>
      </c>
      <c r="F506" s="3528" t="s">
        <v>3628</v>
      </c>
      <c r="G506" s="3470"/>
      <c r="H506" s="3470" t="s">
        <v>6047</v>
      </c>
      <c r="I506" s="3470" t="s">
        <v>3615</v>
      </c>
      <c r="J506" s="3481" t="s">
        <v>3479</v>
      </c>
      <c r="K506" s="3470" t="s">
        <v>3647</v>
      </c>
      <c r="L506" s="3470">
        <v>168.41</v>
      </c>
      <c r="M506" s="3470">
        <v>1</v>
      </c>
      <c r="N506" s="3470" t="s">
        <v>7229</v>
      </c>
      <c r="O506" s="3470">
        <v>133.54</v>
      </c>
      <c r="P506" s="3470" t="s">
        <v>3452</v>
      </c>
      <c r="Q506" s="3457">
        <v>1072771.7</v>
      </c>
      <c r="R506" s="3470">
        <v>6370</v>
      </c>
      <c r="S506" s="3472">
        <v>106.26</v>
      </c>
      <c r="T506" s="3527">
        <v>1062600</v>
      </c>
      <c r="U506" s="3470">
        <v>6310</v>
      </c>
      <c r="V506" s="3474">
        <v>0.1</v>
      </c>
      <c r="W506" s="3475">
        <v>95.63</v>
      </c>
      <c r="X506" s="3473">
        <v>956300</v>
      </c>
      <c r="Y506" s="3441">
        <v>2003</v>
      </c>
      <c r="Z506" s="3515">
        <v>7</v>
      </c>
      <c r="AA506" s="3515">
        <v>21</v>
      </c>
      <c r="AB506" s="3485">
        <v>5155</v>
      </c>
      <c r="AC506" s="3470" t="s">
        <v>3634</v>
      </c>
      <c r="AD506" s="3485"/>
      <c r="AE506" s="3441" t="s">
        <v>2156</v>
      </c>
      <c r="AF506" s="3470" t="s">
        <v>3587</v>
      </c>
      <c r="AG506" s="3522" t="s">
        <v>6908</v>
      </c>
      <c r="AH506" s="3485"/>
      <c r="AI506" s="3470" t="s">
        <v>4849</v>
      </c>
      <c r="AJ506" s="3523">
        <v>38027</v>
      </c>
      <c r="AK506" s="3500">
        <v>7</v>
      </c>
      <c r="AL506" s="3515">
        <v>67641700</v>
      </c>
      <c r="AN506" s="3469" t="s">
        <v>6892</v>
      </c>
      <c r="AO506" s="3470"/>
      <c r="AP506" s="3456" t="s">
        <v>3476</v>
      </c>
      <c r="AQ506" s="3469" t="s">
        <v>3571</v>
      </c>
      <c r="AW506" s="3441" t="s">
        <v>3458</v>
      </c>
      <c r="AX506" s="3484"/>
      <c r="AY506" s="3524" t="s">
        <v>7303</v>
      </c>
      <c r="AZ506" s="3470" t="s">
        <v>3647</v>
      </c>
      <c r="BA506" s="3441" t="s">
        <v>4048</v>
      </c>
      <c r="BB506" s="3524" t="s">
        <v>7304</v>
      </c>
      <c r="BC506" s="3441" t="s">
        <v>4049</v>
      </c>
      <c r="BD506" s="3525">
        <v>100088</v>
      </c>
      <c r="BE506" s="3441">
        <v>82058259</v>
      </c>
      <c r="BF506" s="3526">
        <v>3.1</v>
      </c>
      <c r="BG506" s="3518">
        <v>37673</v>
      </c>
      <c r="BH506" s="3470" t="s">
        <v>7305</v>
      </c>
      <c r="BI506" s="3463" t="s">
        <v>3475</v>
      </c>
      <c r="BJ506" s="3518">
        <v>37812</v>
      </c>
      <c r="BK506" s="3518">
        <v>37678</v>
      </c>
      <c r="BL506" s="3470" t="s">
        <v>3670</v>
      </c>
      <c r="BS506" s="3470"/>
      <c r="BT506" s="3470"/>
      <c r="BU506" s="3470"/>
    </row>
    <row r="507" spans="1:253" s="3441" customFormat="1" ht="12" hidden="1">
      <c r="A507" s="3481" t="s">
        <v>7306</v>
      </c>
      <c r="B507" s="3470" t="s">
        <v>7307</v>
      </c>
      <c r="C507" s="3481" t="s">
        <v>7308</v>
      </c>
      <c r="D507" s="3481" t="s">
        <v>7309</v>
      </c>
      <c r="E507" s="3470" t="s">
        <v>2736</v>
      </c>
      <c r="F507" s="3528" t="s">
        <v>6419</v>
      </c>
      <c r="G507" s="3470"/>
      <c r="H507" s="3453" t="s">
        <v>7089</v>
      </c>
      <c r="I507" s="3453" t="s">
        <v>3726</v>
      </c>
      <c r="J507" s="3454" t="s">
        <v>7015</v>
      </c>
      <c r="K507" s="3470" t="s">
        <v>6412</v>
      </c>
      <c r="L507" s="3495">
        <v>93.12</v>
      </c>
      <c r="M507" s="3495">
        <v>6</v>
      </c>
      <c r="N507" s="3470" t="s">
        <v>3486</v>
      </c>
      <c r="O507" s="3495">
        <v>81.25</v>
      </c>
      <c r="P507" s="3470" t="s">
        <v>3452</v>
      </c>
      <c r="Q507" s="3457">
        <v>376297.92000000004</v>
      </c>
      <c r="R507" s="3470">
        <v>4041</v>
      </c>
      <c r="S507" s="3472">
        <v>37.17</v>
      </c>
      <c r="T507" s="3527">
        <v>371700</v>
      </c>
      <c r="U507" s="3495">
        <v>3992</v>
      </c>
      <c r="V507" s="3512">
        <v>0.1</v>
      </c>
      <c r="W507" s="3475">
        <v>33.450000000000003</v>
      </c>
      <c r="X507" s="3473">
        <v>334500</v>
      </c>
      <c r="Y507" s="3515">
        <v>2003</v>
      </c>
      <c r="Z507" s="3515">
        <v>7</v>
      </c>
      <c r="AA507" s="3470">
        <v>11</v>
      </c>
      <c r="AB507" s="3477">
        <v>1855</v>
      </c>
      <c r="AC507" s="3470" t="s">
        <v>4922</v>
      </c>
      <c r="AD507" s="3485"/>
      <c r="AE507" s="3469" t="s">
        <v>3547</v>
      </c>
      <c r="AF507" s="3453" t="s">
        <v>7137</v>
      </c>
      <c r="AG507" s="3522" t="s">
        <v>6908</v>
      </c>
      <c r="AH507" s="3485"/>
      <c r="AI507" s="3470" t="s">
        <v>6972</v>
      </c>
      <c r="AJ507" s="3523">
        <v>38077</v>
      </c>
      <c r="AK507" s="3500">
        <v>7</v>
      </c>
      <c r="AL507" s="3515">
        <v>67641700</v>
      </c>
      <c r="AN507" s="3441" t="s">
        <v>7056</v>
      </c>
      <c r="AO507" s="3453" t="s">
        <v>6879</v>
      </c>
      <c r="AP507" s="3441" t="s">
        <v>7310</v>
      </c>
      <c r="AQ507" s="3469" t="s">
        <v>3571</v>
      </c>
      <c r="AU507" s="3495"/>
      <c r="AV507" s="3535"/>
      <c r="AW507" s="3470" t="s">
        <v>4064</v>
      </c>
      <c r="AX507" s="3441" t="s">
        <v>2420</v>
      </c>
      <c r="AY507" s="3536" t="s">
        <v>7311</v>
      </c>
      <c r="AZ507" s="3470" t="s">
        <v>6408</v>
      </c>
      <c r="BA507" s="3463" t="s">
        <v>6413</v>
      </c>
      <c r="BB507" s="3466">
        <v>1102281149818</v>
      </c>
      <c r="BC507" s="3441" t="s">
        <v>7084</v>
      </c>
      <c r="BD507" s="3441">
        <v>100044</v>
      </c>
      <c r="BE507" s="3463">
        <v>88018575</v>
      </c>
      <c r="BF507" s="3538">
        <v>2.7</v>
      </c>
      <c r="BG507" s="3535">
        <v>37796</v>
      </c>
      <c r="BH507" s="3453"/>
      <c r="BI507" s="3470" t="s">
        <v>3721</v>
      </c>
      <c r="BJ507" s="3508">
        <v>37811</v>
      </c>
      <c r="BL507" s="3441" t="s">
        <v>6897</v>
      </c>
      <c r="BS507" s="3470"/>
      <c r="BT507" s="3470"/>
      <c r="BU507" s="3470"/>
      <c r="BV507" s="3472"/>
      <c r="BW507" s="3472"/>
      <c r="BX507" s="3472"/>
      <c r="BY507" s="3472"/>
      <c r="BZ507" s="3472"/>
      <c r="CA507" s="3472"/>
      <c r="CB507" s="3472"/>
      <c r="CC507" s="3472"/>
      <c r="CD507" s="3472"/>
      <c r="CE507" s="3472"/>
      <c r="CF507" s="3472"/>
      <c r="CG507" s="3472"/>
      <c r="CH507" s="3472"/>
      <c r="CI507" s="3472"/>
      <c r="CJ507" s="3472"/>
      <c r="CK507" s="3472"/>
      <c r="CL507" s="3472"/>
      <c r="CM507" s="3472"/>
      <c r="CN507" s="3472"/>
      <c r="CO507" s="3472"/>
      <c r="CP507" s="3472"/>
      <c r="CQ507" s="3472"/>
      <c r="CR507" s="3472"/>
      <c r="CS507" s="3472"/>
      <c r="CT507" s="3472"/>
      <c r="CU507" s="3472"/>
      <c r="CV507" s="3472"/>
      <c r="CW507" s="3472"/>
      <c r="CX507" s="3472"/>
      <c r="CY507" s="3472"/>
      <c r="CZ507" s="3472"/>
      <c r="DA507" s="3472"/>
      <c r="DB507" s="3472"/>
      <c r="DC507" s="3472"/>
      <c r="DD507" s="3472"/>
      <c r="DE507" s="3472"/>
      <c r="DF507" s="3472"/>
      <c r="DG507" s="3472"/>
      <c r="DH507" s="3472"/>
      <c r="DI507" s="3472"/>
      <c r="DJ507" s="3472"/>
      <c r="DK507" s="3472"/>
      <c r="DL507" s="3472"/>
      <c r="DM507" s="3472"/>
      <c r="DN507" s="3472"/>
      <c r="DO507" s="3472"/>
      <c r="DP507" s="3472"/>
      <c r="DQ507" s="3472"/>
      <c r="DR507" s="3472"/>
      <c r="DS507" s="3472"/>
      <c r="DT507" s="3472"/>
      <c r="DU507" s="3472"/>
      <c r="DV507" s="3472"/>
      <c r="DW507" s="3472"/>
      <c r="DX507" s="3472"/>
      <c r="DY507" s="3472"/>
      <c r="DZ507" s="3472"/>
      <c r="EA507" s="3472"/>
      <c r="EB507" s="3472"/>
      <c r="EC507" s="3472"/>
      <c r="ED507" s="3472"/>
      <c r="EE507" s="3472"/>
      <c r="EF507" s="3472"/>
      <c r="EG507" s="3472"/>
      <c r="EH507" s="3472"/>
      <c r="EI507" s="3472"/>
      <c r="EJ507" s="3472"/>
      <c r="EK507" s="3472"/>
      <c r="EL507" s="3472"/>
      <c r="EM507" s="3472"/>
      <c r="EN507" s="3472"/>
      <c r="EO507" s="3472"/>
      <c r="EP507" s="3472"/>
      <c r="EQ507" s="3472"/>
      <c r="ER507" s="3472"/>
      <c r="ES507" s="3472"/>
      <c r="ET507" s="3472"/>
      <c r="EU507" s="3472"/>
      <c r="EV507" s="3472"/>
      <c r="EW507" s="3472"/>
      <c r="EX507" s="3472"/>
      <c r="EY507" s="3472"/>
      <c r="EZ507" s="3472"/>
      <c r="FA507" s="3472"/>
      <c r="FB507" s="3472"/>
      <c r="FC507" s="3472"/>
      <c r="FD507" s="3472"/>
      <c r="FE507" s="3472"/>
      <c r="FF507" s="3472"/>
      <c r="FG507" s="3472"/>
      <c r="FH507" s="3472"/>
      <c r="FI507" s="3472"/>
      <c r="FJ507" s="3472"/>
      <c r="FK507" s="3472"/>
      <c r="FL507" s="3472"/>
      <c r="FM507" s="3472"/>
      <c r="FN507" s="3472"/>
      <c r="FO507" s="3472"/>
      <c r="FP507" s="3472"/>
      <c r="FQ507" s="3472"/>
      <c r="FR507" s="3472"/>
      <c r="FS507" s="3472"/>
      <c r="FT507" s="3472"/>
      <c r="FU507" s="3472"/>
      <c r="FV507" s="3472"/>
      <c r="FW507" s="3472"/>
      <c r="FX507" s="3472"/>
      <c r="FY507" s="3472"/>
      <c r="FZ507" s="3472"/>
      <c r="GA507" s="3472"/>
      <c r="GB507" s="3472"/>
      <c r="GC507" s="3472"/>
      <c r="GD507" s="3472"/>
      <c r="GE507" s="3472"/>
      <c r="GF507" s="3472"/>
      <c r="GG507" s="3472"/>
      <c r="GH507" s="3472"/>
      <c r="GI507" s="3472"/>
      <c r="GJ507" s="3472"/>
      <c r="GK507" s="3472"/>
      <c r="GL507" s="3472"/>
      <c r="GM507" s="3472"/>
      <c r="GN507" s="3472"/>
      <c r="GO507" s="3472"/>
      <c r="GP507" s="3472"/>
      <c r="GQ507" s="3472"/>
      <c r="GR507" s="3472"/>
      <c r="GS507" s="3472"/>
      <c r="GT507" s="3472"/>
      <c r="GU507" s="3472"/>
      <c r="GV507" s="3472"/>
      <c r="GW507" s="3472"/>
      <c r="GX507" s="3472"/>
      <c r="GY507" s="3472"/>
      <c r="GZ507" s="3472"/>
      <c r="HA507" s="3472"/>
      <c r="HB507" s="3472"/>
      <c r="HC507" s="3472"/>
      <c r="HD507" s="3472"/>
      <c r="HE507" s="3472"/>
      <c r="HF507" s="3472"/>
      <c r="HG507" s="3472"/>
      <c r="HH507" s="3472"/>
      <c r="HI507" s="3472"/>
      <c r="HJ507" s="3472"/>
      <c r="HK507" s="3472"/>
      <c r="HL507" s="3472"/>
      <c r="HM507" s="3472"/>
      <c r="HN507" s="3472"/>
      <c r="HO507" s="3472"/>
      <c r="HP507" s="3472"/>
      <c r="HQ507" s="3472"/>
      <c r="HR507" s="3472"/>
      <c r="HS507" s="3472"/>
      <c r="HT507" s="3472"/>
      <c r="HU507" s="3472"/>
      <c r="HV507" s="3472"/>
      <c r="HW507" s="3472"/>
      <c r="HX507" s="3472"/>
      <c r="HY507" s="3472"/>
      <c r="HZ507" s="3472"/>
      <c r="IA507" s="3472"/>
      <c r="IB507" s="3472"/>
      <c r="IC507" s="3472"/>
      <c r="ID507" s="3472"/>
      <c r="IE507" s="3472"/>
      <c r="IF507" s="3472"/>
      <c r="IG507" s="3472"/>
      <c r="IH507" s="3472"/>
      <c r="II507" s="3472"/>
      <c r="IJ507" s="3472"/>
      <c r="IK507" s="3472"/>
      <c r="IL507" s="3472"/>
      <c r="IM507" s="3472"/>
      <c r="IN507" s="3472"/>
      <c r="IO507" s="3472"/>
      <c r="IP507" s="3472"/>
      <c r="IQ507" s="3472"/>
      <c r="IR507" s="3472"/>
      <c r="IS507" s="3472"/>
    </row>
    <row r="508" spans="1:253" s="3456" customFormat="1" ht="12" hidden="1">
      <c r="A508" s="3485" t="s">
        <v>7312</v>
      </c>
      <c r="B508" s="3453" t="s">
        <v>7313</v>
      </c>
      <c r="C508" s="3454" t="s">
        <v>7314</v>
      </c>
      <c r="D508" s="3481" t="s">
        <v>7315</v>
      </c>
      <c r="E508" s="3453" t="s">
        <v>2736</v>
      </c>
      <c r="F508" s="3453" t="s">
        <v>7316</v>
      </c>
      <c r="G508" s="3470"/>
      <c r="H508" s="3453" t="s">
        <v>7035</v>
      </c>
      <c r="I508" s="3453" t="s">
        <v>3676</v>
      </c>
      <c r="J508" s="3454" t="s">
        <v>4218</v>
      </c>
      <c r="K508" s="3453" t="s">
        <v>7036</v>
      </c>
      <c r="L508" s="3495">
        <v>90.73</v>
      </c>
      <c r="M508" s="3547" t="s">
        <v>7317</v>
      </c>
      <c r="N508" s="3543" t="s">
        <v>3709</v>
      </c>
      <c r="O508" s="3495">
        <v>73.81</v>
      </c>
      <c r="P508" s="3453" t="s">
        <v>3452</v>
      </c>
      <c r="Q508" s="3510">
        <v>357476.2</v>
      </c>
      <c r="R508" s="3510">
        <v>3940</v>
      </c>
      <c r="S508" s="3472">
        <v>35.31</v>
      </c>
      <c r="T508" s="3550">
        <v>353100</v>
      </c>
      <c r="U508" s="3495">
        <v>3892</v>
      </c>
      <c r="V508" s="3512">
        <v>0.1</v>
      </c>
      <c r="W508" s="3475">
        <v>31.77</v>
      </c>
      <c r="X508" s="3473">
        <v>317700</v>
      </c>
      <c r="Y508" s="3515">
        <v>2003</v>
      </c>
      <c r="Z508" s="3515">
        <v>7</v>
      </c>
      <c r="AA508" s="3515">
        <v>11</v>
      </c>
      <c r="AB508" s="3477">
        <v>1765</v>
      </c>
      <c r="AC508" s="3470" t="s">
        <v>4044</v>
      </c>
      <c r="AD508" s="3453"/>
      <c r="AE508" s="3456" t="s">
        <v>3663</v>
      </c>
      <c r="AF508" s="3453" t="s">
        <v>4390</v>
      </c>
      <c r="AG508" s="3470" t="s">
        <v>3454</v>
      </c>
      <c r="AH508" s="3453"/>
      <c r="AI508" s="3470" t="s">
        <v>3664</v>
      </c>
      <c r="AJ508" s="3478">
        <v>37863</v>
      </c>
      <c r="AK508" s="3500" t="s">
        <v>7318</v>
      </c>
      <c r="AL508" s="3495">
        <v>67641700</v>
      </c>
      <c r="AM508" s="3441"/>
      <c r="AN508" s="3456" t="s">
        <v>3468</v>
      </c>
      <c r="AO508" s="3453"/>
      <c r="AP508" s="3441" t="s">
        <v>3721</v>
      </c>
      <c r="AQ508" s="3456" t="s">
        <v>3714</v>
      </c>
      <c r="AV508" s="3519"/>
      <c r="AW508" s="3470" t="s">
        <v>3572</v>
      </c>
      <c r="AX508" s="3441"/>
      <c r="AY508" s="3515">
        <v>527686</v>
      </c>
      <c r="AZ508" s="3441" t="s">
        <v>7036</v>
      </c>
      <c r="BA508" s="3456" t="s">
        <v>7108</v>
      </c>
      <c r="BB508" s="3456">
        <v>110001505756</v>
      </c>
      <c r="BC508" s="3456" t="s">
        <v>7118</v>
      </c>
      <c r="BD508" s="3456">
        <v>100083</v>
      </c>
      <c r="BE508" s="3456">
        <v>82355171</v>
      </c>
      <c r="BF508" s="3576">
        <v>2.7</v>
      </c>
      <c r="BG508" s="3461">
        <v>37802</v>
      </c>
      <c r="BI508" s="3470" t="s">
        <v>3721</v>
      </c>
      <c r="BJ508" s="3508">
        <v>37812</v>
      </c>
      <c r="BK508" s="3441"/>
      <c r="BL508" s="3441" t="s">
        <v>3670</v>
      </c>
      <c r="BM508" s="3441"/>
      <c r="BN508" s="3441"/>
      <c r="BO508" s="3441"/>
      <c r="BP508" s="3441"/>
      <c r="BQ508" s="3441"/>
      <c r="BR508" s="3441"/>
      <c r="BS508" s="3470"/>
      <c r="BT508" s="3470"/>
      <c r="BU508" s="3470"/>
    </row>
    <row r="509" spans="1:253" s="3441" customFormat="1" ht="12" hidden="1">
      <c r="A509" s="3485" t="s">
        <v>7319</v>
      </c>
      <c r="B509" s="3470" t="s">
        <v>7320</v>
      </c>
      <c r="C509" s="3481" t="s">
        <v>7321</v>
      </c>
      <c r="D509" s="3453">
        <v>13366076235</v>
      </c>
      <c r="E509" s="3470" t="s">
        <v>2736</v>
      </c>
      <c r="F509" s="3528" t="s">
        <v>4333</v>
      </c>
      <c r="G509" s="3470"/>
      <c r="H509" s="3470" t="s">
        <v>4334</v>
      </c>
      <c r="I509" s="3470" t="s">
        <v>7322</v>
      </c>
      <c r="J509" s="3481" t="s">
        <v>6970</v>
      </c>
      <c r="K509" s="3470" t="s">
        <v>3631</v>
      </c>
      <c r="L509" s="3470">
        <v>133.41</v>
      </c>
      <c r="M509" s="3470">
        <v>7</v>
      </c>
      <c r="N509" s="3470" t="s">
        <v>3632</v>
      </c>
      <c r="O509" s="3470">
        <v>108.06</v>
      </c>
      <c r="P509" s="3470" t="s">
        <v>3452</v>
      </c>
      <c r="Q509" s="3457">
        <v>789787.2</v>
      </c>
      <c r="R509" s="3470">
        <v>5920</v>
      </c>
      <c r="S509" s="3472">
        <v>78.37</v>
      </c>
      <c r="T509" s="3527">
        <v>783700</v>
      </c>
      <c r="U509" s="3470">
        <v>5875</v>
      </c>
      <c r="V509" s="3474">
        <v>0.1</v>
      </c>
      <c r="W509" s="3475">
        <v>70.53</v>
      </c>
      <c r="X509" s="3473">
        <v>705300</v>
      </c>
      <c r="Y509" s="3441">
        <v>2003</v>
      </c>
      <c r="Z509" s="3515">
        <v>7</v>
      </c>
      <c r="AA509" s="3515">
        <v>21</v>
      </c>
      <c r="AB509" s="3485">
        <v>3915</v>
      </c>
      <c r="AC509" s="3470" t="s">
        <v>3544</v>
      </c>
      <c r="AD509" s="3485"/>
      <c r="AE509" s="3441" t="s">
        <v>2156</v>
      </c>
      <c r="AF509" s="3470" t="s">
        <v>3587</v>
      </c>
      <c r="AG509" s="3522" t="s">
        <v>3454</v>
      </c>
      <c r="AH509" s="3485"/>
      <c r="AI509" s="3470" t="s">
        <v>3664</v>
      </c>
      <c r="AJ509" s="3523">
        <v>37992</v>
      </c>
      <c r="AK509" s="3500">
        <v>7</v>
      </c>
      <c r="AL509" s="3515">
        <v>67641700</v>
      </c>
      <c r="AN509" s="3469" t="s">
        <v>3484</v>
      </c>
      <c r="AO509" s="3470"/>
      <c r="AP509" s="3456" t="s">
        <v>3476</v>
      </c>
      <c r="AQ509" s="3469" t="s">
        <v>3571</v>
      </c>
      <c r="AW509" s="3441" t="s">
        <v>3458</v>
      </c>
      <c r="AX509" s="3484"/>
      <c r="AY509" s="3524" t="s">
        <v>7323</v>
      </c>
      <c r="AZ509" s="3470" t="s">
        <v>3631</v>
      </c>
      <c r="BA509" s="3441" t="s">
        <v>4048</v>
      </c>
      <c r="BB509" s="3524" t="s">
        <v>7304</v>
      </c>
      <c r="BC509" s="3441" t="s">
        <v>4049</v>
      </c>
      <c r="BD509" s="3525">
        <v>100088</v>
      </c>
      <c r="BE509" s="3441">
        <v>82058259</v>
      </c>
      <c r="BF509" s="3526" t="s">
        <v>7324</v>
      </c>
      <c r="BG509" s="3518">
        <v>37726</v>
      </c>
      <c r="BH509" s="3470" t="s">
        <v>7305</v>
      </c>
      <c r="BI509" s="3463" t="s">
        <v>3475</v>
      </c>
      <c r="BJ509" s="3518">
        <v>37812</v>
      </c>
      <c r="BK509" s="3518">
        <v>37820</v>
      </c>
      <c r="BL509" s="3470" t="s">
        <v>3670</v>
      </c>
      <c r="BS509" s="3470"/>
      <c r="BT509" s="3470"/>
      <c r="BU509" s="3470"/>
    </row>
    <row r="510" spans="1:253" s="3441" customFormat="1" ht="13.2" hidden="1">
      <c r="A510" s="3485" t="s">
        <v>7325</v>
      </c>
      <c r="B510" s="3470" t="s">
        <v>7326</v>
      </c>
      <c r="C510" s="3481" t="s">
        <v>7327</v>
      </c>
      <c r="D510" s="3481" t="s">
        <v>7328</v>
      </c>
      <c r="E510" s="3470" t="s">
        <v>2736</v>
      </c>
      <c r="F510" s="3470" t="s">
        <v>7113</v>
      </c>
      <c r="G510" s="3470"/>
      <c r="H510" s="3470" t="s">
        <v>7106</v>
      </c>
      <c r="I510" s="3470" t="s">
        <v>3726</v>
      </c>
      <c r="J510" s="3481" t="s">
        <v>7329</v>
      </c>
      <c r="K510" s="3470" t="s">
        <v>4507</v>
      </c>
      <c r="L510" s="3470">
        <v>66.930000000000007</v>
      </c>
      <c r="M510" s="3470">
        <v>5</v>
      </c>
      <c r="N510" s="3470" t="s">
        <v>6871</v>
      </c>
      <c r="O510" s="3470">
        <v>54.45</v>
      </c>
      <c r="P510" s="3470" t="s">
        <v>3452</v>
      </c>
      <c r="Q510" s="3457">
        <v>251656.80000000002</v>
      </c>
      <c r="R510" s="3470">
        <v>3760</v>
      </c>
      <c r="S510" s="3642">
        <v>24.85</v>
      </c>
      <c r="T510" s="3527">
        <v>248500</v>
      </c>
      <c r="U510" s="3495">
        <v>3713</v>
      </c>
      <c r="V510" s="3474">
        <v>0.1</v>
      </c>
      <c r="W510" s="3475">
        <v>22.36</v>
      </c>
      <c r="X510" s="3459">
        <v>223600</v>
      </c>
      <c r="Y510" s="3441">
        <v>2003</v>
      </c>
      <c r="Z510" s="3441">
        <v>7</v>
      </c>
      <c r="AA510" s="3470">
        <v>23</v>
      </c>
      <c r="AB510" s="3477">
        <v>1240</v>
      </c>
      <c r="AC510" s="3470" t="s">
        <v>4922</v>
      </c>
      <c r="AD510" s="3485"/>
      <c r="AE510" s="3441" t="s">
        <v>3663</v>
      </c>
      <c r="AF510" s="3470" t="s">
        <v>7027</v>
      </c>
      <c r="AG510" s="3522" t="s">
        <v>3466</v>
      </c>
      <c r="AH510" s="3485"/>
      <c r="AI510" s="3470" t="s">
        <v>6439</v>
      </c>
      <c r="AJ510" s="3523">
        <v>37859</v>
      </c>
      <c r="AK510" s="3500">
        <v>7</v>
      </c>
      <c r="AL510" s="3441">
        <v>67641700</v>
      </c>
      <c r="AN510" s="3469" t="s">
        <v>3680</v>
      </c>
      <c r="AO510" s="3470"/>
      <c r="AP510" s="3441" t="s">
        <v>3476</v>
      </c>
      <c r="AQ510" s="3441" t="s">
        <v>3571</v>
      </c>
      <c r="AW510" s="3441" t="s">
        <v>3572</v>
      </c>
      <c r="AY510" s="3524" t="s">
        <v>7330</v>
      </c>
      <c r="AZ510" s="3441" t="s">
        <v>4507</v>
      </c>
      <c r="BA510" s="3441" t="s">
        <v>4508</v>
      </c>
      <c r="BB510" s="3524" t="s">
        <v>7293</v>
      </c>
      <c r="BC510" s="3441" t="s">
        <v>4509</v>
      </c>
      <c r="BD510" s="3525">
        <v>100083</v>
      </c>
      <c r="BE510" s="3441">
        <v>82355171</v>
      </c>
      <c r="BF510" s="3526">
        <v>2.7</v>
      </c>
      <c r="BG510" s="3518">
        <v>37798</v>
      </c>
      <c r="BH510" s="3441" t="s">
        <v>4681</v>
      </c>
      <c r="BI510" s="3470" t="s">
        <v>3476</v>
      </c>
      <c r="BJ510" s="3484">
        <v>37813</v>
      </c>
      <c r="BK510" s="3484"/>
      <c r="BL510" s="3441" t="s">
        <v>6897</v>
      </c>
      <c r="BS510" s="3470"/>
      <c r="BT510" s="3470"/>
      <c r="BU510" s="3470"/>
    </row>
    <row r="511" spans="1:253" s="3441" customFormat="1" ht="13.2" hidden="1">
      <c r="A511" s="3485" t="s">
        <v>7331</v>
      </c>
      <c r="B511" s="3470" t="s">
        <v>7332</v>
      </c>
      <c r="C511" s="3481" t="s">
        <v>7333</v>
      </c>
      <c r="D511" s="3481" t="s">
        <v>7334</v>
      </c>
      <c r="E511" s="3470" t="s">
        <v>2736</v>
      </c>
      <c r="F511" s="3528" t="s">
        <v>7034</v>
      </c>
      <c r="G511" s="3470"/>
      <c r="H511" s="3470" t="s">
        <v>7035</v>
      </c>
      <c r="I511" s="3470" t="s">
        <v>3464</v>
      </c>
      <c r="J511" s="3481" t="s">
        <v>3871</v>
      </c>
      <c r="K511" s="3470" t="s">
        <v>4507</v>
      </c>
      <c r="L511" s="3470">
        <v>66.930000000000007</v>
      </c>
      <c r="M511" s="3470">
        <v>4</v>
      </c>
      <c r="N511" s="3470" t="s">
        <v>3489</v>
      </c>
      <c r="O511" s="3470">
        <v>54.45</v>
      </c>
      <c r="P511" s="3470" t="s">
        <v>3452</v>
      </c>
      <c r="Q511" s="3457">
        <v>238270.80000000002</v>
      </c>
      <c r="R511" s="3470">
        <v>3560</v>
      </c>
      <c r="S511" s="3472">
        <v>23.52</v>
      </c>
      <c r="T511" s="3527">
        <v>235200</v>
      </c>
      <c r="U511" s="3495">
        <v>3515</v>
      </c>
      <c r="V511" s="3474">
        <v>0.1</v>
      </c>
      <c r="W511" s="3475">
        <v>21.16</v>
      </c>
      <c r="X511" s="3476">
        <v>211600</v>
      </c>
      <c r="Y511" s="3441">
        <v>2003</v>
      </c>
      <c r="Z511" s="3441">
        <v>7</v>
      </c>
      <c r="AA511" s="3470">
        <v>14</v>
      </c>
      <c r="AB511" s="3477">
        <v>1175</v>
      </c>
      <c r="AC511" s="3470" t="s">
        <v>3544</v>
      </c>
      <c r="AD511" s="3485"/>
      <c r="AE511" s="3441" t="s">
        <v>3663</v>
      </c>
      <c r="AF511" s="3470" t="s">
        <v>6065</v>
      </c>
      <c r="AG511" s="3522" t="s">
        <v>3466</v>
      </c>
      <c r="AH511" s="3485"/>
      <c r="AI511" s="3470" t="s">
        <v>6439</v>
      </c>
      <c r="AJ511" s="3523">
        <v>37856</v>
      </c>
      <c r="AK511" s="3479">
        <v>7</v>
      </c>
      <c r="AL511" s="3441">
        <v>67641700</v>
      </c>
      <c r="AN511" s="3456" t="s">
        <v>3739</v>
      </c>
      <c r="AP511" s="3441" t="s">
        <v>3476</v>
      </c>
      <c r="AQ511" s="3441" t="s">
        <v>3571</v>
      </c>
      <c r="AW511" s="3441" t="s">
        <v>3572</v>
      </c>
      <c r="AY511" s="3524" t="s">
        <v>7335</v>
      </c>
      <c r="AZ511" s="3441" t="s">
        <v>4507</v>
      </c>
      <c r="BA511" s="3441" t="s">
        <v>4508</v>
      </c>
      <c r="BB511" s="3524" t="s">
        <v>7117</v>
      </c>
      <c r="BC511" s="3441" t="s">
        <v>4509</v>
      </c>
      <c r="BD511" s="3525">
        <v>100083</v>
      </c>
      <c r="BE511" s="3441">
        <v>82355171</v>
      </c>
      <c r="BF511" s="3526">
        <v>2.7</v>
      </c>
      <c r="BG511" s="3518">
        <v>37795</v>
      </c>
      <c r="BH511" s="3441" t="s">
        <v>4681</v>
      </c>
      <c r="BI511" s="3463" t="s">
        <v>3475</v>
      </c>
      <c r="BJ511" s="3514">
        <v>37813</v>
      </c>
      <c r="BK511" s="3484"/>
      <c r="BL511" s="3441" t="s">
        <v>3594</v>
      </c>
      <c r="BS511" s="3470"/>
      <c r="BT511" s="3470"/>
      <c r="BU511" s="3470"/>
    </row>
    <row r="512" spans="1:253" s="3469" customFormat="1" ht="13.2" hidden="1">
      <c r="A512" s="3485" t="s">
        <v>7336</v>
      </c>
      <c r="B512" s="3542" t="s">
        <v>7337</v>
      </c>
      <c r="C512" s="3530" t="s">
        <v>7338</v>
      </c>
      <c r="D512" s="3453">
        <v>13011010063</v>
      </c>
      <c r="E512" s="3530" t="s">
        <v>3763</v>
      </c>
      <c r="F512" s="3598" t="s">
        <v>4623</v>
      </c>
      <c r="G512" s="3522"/>
      <c r="H512" s="3530" t="s">
        <v>6935</v>
      </c>
      <c r="I512" s="3530" t="s">
        <v>7339</v>
      </c>
      <c r="J512" s="3530" t="s">
        <v>7340</v>
      </c>
      <c r="K512" s="3542" t="s">
        <v>7055</v>
      </c>
      <c r="L512" s="3477">
        <v>41.74</v>
      </c>
      <c r="M512" s="3477">
        <v>21</v>
      </c>
      <c r="N512" s="3453" t="s">
        <v>3489</v>
      </c>
      <c r="O512" s="3477">
        <v>32.9</v>
      </c>
      <c r="P512" s="3485" t="s">
        <v>3452</v>
      </c>
      <c r="Q512" s="3457">
        <v>304827.22000000003</v>
      </c>
      <c r="R512" s="3477">
        <v>7303</v>
      </c>
      <c r="S512" s="3472">
        <v>30.22</v>
      </c>
      <c r="T512" s="3550">
        <v>302200</v>
      </c>
      <c r="U512" s="3477">
        <v>7241</v>
      </c>
      <c r="V512" s="3512">
        <v>0.1</v>
      </c>
      <c r="W512" s="3475">
        <v>27.19</v>
      </c>
      <c r="X512" s="3459">
        <v>271900</v>
      </c>
      <c r="Y512" s="3495">
        <v>2003</v>
      </c>
      <c r="Z512" s="3441">
        <v>7</v>
      </c>
      <c r="AA512" s="3470">
        <v>15</v>
      </c>
      <c r="AB512" s="3477">
        <v>1510</v>
      </c>
      <c r="AC512" s="3470" t="s">
        <v>5110</v>
      </c>
      <c r="AD512" s="3522"/>
      <c r="AE512" s="3470" t="s">
        <v>3663</v>
      </c>
      <c r="AF512" s="3542" t="s">
        <v>7341</v>
      </c>
      <c r="AG512" s="3542" t="s">
        <v>3454</v>
      </c>
      <c r="AH512" s="3542"/>
      <c r="AI512" s="3470" t="s">
        <v>6972</v>
      </c>
      <c r="AJ512" s="3513">
        <v>38199</v>
      </c>
      <c r="AK512" s="3500">
        <v>7</v>
      </c>
      <c r="AL512" s="3470">
        <v>67641700</v>
      </c>
      <c r="AM512" s="3441"/>
      <c r="AN512" s="3456" t="s">
        <v>3739</v>
      </c>
      <c r="AP512" s="3456" t="s">
        <v>3476</v>
      </c>
      <c r="AQ512" s="3456" t="s">
        <v>7265</v>
      </c>
      <c r="AV512" s="3599"/>
      <c r="AW512" s="3470" t="s">
        <v>4064</v>
      </c>
      <c r="AX512" s="3441" t="s">
        <v>4046</v>
      </c>
      <c r="AY512" s="3536" t="s">
        <v>7342</v>
      </c>
      <c r="AZ512" s="3542" t="s">
        <v>7066</v>
      </c>
      <c r="BA512" s="3463" t="s">
        <v>4569</v>
      </c>
      <c r="BB512" s="3466">
        <v>1101081437256</v>
      </c>
      <c r="BC512" s="3463" t="s">
        <v>6921</v>
      </c>
      <c r="BD512" s="3537">
        <v>100037</v>
      </c>
      <c r="BE512" s="3515">
        <v>68348381</v>
      </c>
      <c r="BF512" s="3538">
        <v>2.8</v>
      </c>
      <c r="BG512" s="3535">
        <v>37768</v>
      </c>
      <c r="BI512" s="3441" t="s">
        <v>3475</v>
      </c>
      <c r="BJ512" s="3484">
        <v>37816</v>
      </c>
      <c r="BK512" s="3441"/>
      <c r="BL512" s="3470" t="s">
        <v>3833</v>
      </c>
      <c r="BM512" s="3441"/>
      <c r="BN512" s="3441"/>
      <c r="BO512" s="3441"/>
      <c r="BP512" s="3441"/>
      <c r="BQ512" s="3441"/>
      <c r="BR512" s="3441"/>
      <c r="BS512" s="3470"/>
      <c r="BT512" s="3470"/>
      <c r="BU512" s="3470"/>
    </row>
    <row r="513" spans="1:253" s="3441" customFormat="1" ht="13.2" hidden="1">
      <c r="A513" s="3485" t="s">
        <v>7343</v>
      </c>
      <c r="B513" s="3470" t="s">
        <v>7344</v>
      </c>
      <c r="C513" s="3481" t="s">
        <v>7345</v>
      </c>
      <c r="D513" s="3481" t="s">
        <v>7346</v>
      </c>
      <c r="E513" s="3470" t="s">
        <v>2736</v>
      </c>
      <c r="F513" s="3528" t="s">
        <v>7347</v>
      </c>
      <c r="G513" s="3470"/>
      <c r="H513" s="3470" t="s">
        <v>7348</v>
      </c>
      <c r="I513" s="3470" t="s">
        <v>6989</v>
      </c>
      <c r="J513" s="3481" t="s">
        <v>7349</v>
      </c>
      <c r="K513" s="3470" t="s">
        <v>7036</v>
      </c>
      <c r="L513" s="3470">
        <v>111.87</v>
      </c>
      <c r="M513" s="3470">
        <v>1</v>
      </c>
      <c r="N513" s="3470" t="s">
        <v>5890</v>
      </c>
      <c r="O513" s="3470">
        <v>91.01</v>
      </c>
      <c r="P513" s="3470" t="s">
        <v>3452</v>
      </c>
      <c r="Q513" s="3457">
        <v>449717.4</v>
      </c>
      <c r="R513" s="3470">
        <v>4020</v>
      </c>
      <c r="S513" s="3472">
        <v>44.41</v>
      </c>
      <c r="T513" s="3527">
        <v>444099.99999999994</v>
      </c>
      <c r="U513" s="3495">
        <v>3970</v>
      </c>
      <c r="V513" s="3474">
        <v>0.1</v>
      </c>
      <c r="W513" s="3475">
        <v>39.96</v>
      </c>
      <c r="X513" s="3476">
        <v>399600</v>
      </c>
      <c r="Y513" s="3441">
        <v>2003</v>
      </c>
      <c r="Z513" s="3441">
        <v>7</v>
      </c>
      <c r="AA513" s="3470">
        <v>15</v>
      </c>
      <c r="AB513" s="3477">
        <v>2220</v>
      </c>
      <c r="AC513" s="3470" t="s">
        <v>7350</v>
      </c>
      <c r="AD513" s="3485"/>
      <c r="AE513" s="3441" t="s">
        <v>3663</v>
      </c>
      <c r="AF513" s="3470" t="s">
        <v>6065</v>
      </c>
      <c r="AG513" s="3522" t="s">
        <v>3466</v>
      </c>
      <c r="AH513" s="3485"/>
      <c r="AI513" s="3470" t="s">
        <v>6531</v>
      </c>
      <c r="AJ513" s="3523">
        <v>37868</v>
      </c>
      <c r="AK513" s="3479">
        <v>7</v>
      </c>
      <c r="AL513" s="3441">
        <v>67641700</v>
      </c>
      <c r="AN513" s="3456" t="s">
        <v>3739</v>
      </c>
      <c r="AP513" s="3441" t="s">
        <v>3476</v>
      </c>
      <c r="AQ513" s="3441" t="s">
        <v>3571</v>
      </c>
      <c r="AW513" s="3441" t="s">
        <v>3572</v>
      </c>
      <c r="AY513" s="3524" t="s">
        <v>7351</v>
      </c>
      <c r="AZ513" s="3441" t="s">
        <v>4507</v>
      </c>
      <c r="BA513" s="3441" t="s">
        <v>7038</v>
      </c>
      <c r="BB513" s="3524" t="s">
        <v>7117</v>
      </c>
      <c r="BC513" s="3441" t="s">
        <v>4509</v>
      </c>
      <c r="BD513" s="3525">
        <v>100083</v>
      </c>
      <c r="BE513" s="3441">
        <v>82355171</v>
      </c>
      <c r="BF513" s="3526">
        <v>2.7</v>
      </c>
      <c r="BG513" s="3518">
        <v>37802</v>
      </c>
      <c r="BH513" s="3441" t="s">
        <v>4681</v>
      </c>
      <c r="BI513" s="3463" t="s">
        <v>7144</v>
      </c>
      <c r="BJ513" s="3514">
        <v>37813</v>
      </c>
      <c r="BK513" s="3484"/>
      <c r="BL513" s="3441" t="s">
        <v>3833</v>
      </c>
      <c r="BS513" s="3470"/>
      <c r="BT513" s="3470"/>
      <c r="BU513" s="3470"/>
    </row>
    <row r="514" spans="1:253" s="3441" customFormat="1" ht="12" hidden="1">
      <c r="A514" s="3470" t="s">
        <v>7352</v>
      </c>
      <c r="B514" s="3470" t="s">
        <v>7353</v>
      </c>
      <c r="C514" s="3481" t="s">
        <v>7354</v>
      </c>
      <c r="D514" s="3481" t="s">
        <v>7355</v>
      </c>
      <c r="E514" s="3470" t="s">
        <v>2736</v>
      </c>
      <c r="F514" s="3470" t="s">
        <v>7356</v>
      </c>
      <c r="G514" s="3470"/>
      <c r="H514" s="3470" t="s">
        <v>4484</v>
      </c>
      <c r="I514" s="3470"/>
      <c r="J514" s="3481" t="s">
        <v>7357</v>
      </c>
      <c r="K514" s="3470" t="s">
        <v>7358</v>
      </c>
      <c r="L514" s="3470">
        <v>84.4</v>
      </c>
      <c r="M514" s="3470">
        <v>11</v>
      </c>
      <c r="N514" s="3470" t="s">
        <v>3491</v>
      </c>
      <c r="O514" s="3470"/>
      <c r="P514" s="3470" t="s">
        <v>3452</v>
      </c>
      <c r="Q514" s="3457">
        <v>439999.98800000007</v>
      </c>
      <c r="R514" s="3470">
        <v>5213.2700000000004</v>
      </c>
      <c r="S514" s="3472">
        <v>41.86</v>
      </c>
      <c r="T514" s="3527">
        <v>418600</v>
      </c>
      <c r="U514" s="3470">
        <v>4960</v>
      </c>
      <c r="V514" s="3474">
        <v>0.1</v>
      </c>
      <c r="W514" s="3475">
        <v>37.67</v>
      </c>
      <c r="X514" s="3473">
        <v>376700</v>
      </c>
      <c r="Y514" s="3441">
        <v>2003</v>
      </c>
      <c r="Z514" s="3441">
        <v>7</v>
      </c>
      <c r="AA514" s="3441">
        <v>18</v>
      </c>
      <c r="AB514" s="3485">
        <v>2090</v>
      </c>
      <c r="AC514" s="3470" t="s">
        <v>6971</v>
      </c>
      <c r="AD514" s="3485"/>
      <c r="AE514" s="3456" t="s">
        <v>3663</v>
      </c>
      <c r="AF514" s="3470" t="s">
        <v>7256</v>
      </c>
      <c r="AG514" s="3470" t="s">
        <v>3466</v>
      </c>
      <c r="AH514" s="3485"/>
      <c r="AI514" s="3470" t="s">
        <v>3664</v>
      </c>
      <c r="AJ514" s="3523"/>
      <c r="AK514" s="3500">
        <v>7</v>
      </c>
      <c r="AL514" s="3495">
        <v>67641700</v>
      </c>
      <c r="AN514" s="3456" t="s">
        <v>3739</v>
      </c>
      <c r="AP514" s="3456" t="s">
        <v>3476</v>
      </c>
      <c r="AQ514" s="3456" t="s">
        <v>3571</v>
      </c>
      <c r="AY514" s="3524"/>
      <c r="AZ514" s="3441" t="s">
        <v>7358</v>
      </c>
      <c r="BB514" s="3524"/>
      <c r="BD514" s="3525"/>
      <c r="BF514" s="3526"/>
      <c r="BG514" s="3518">
        <v>37795</v>
      </c>
      <c r="BH514" s="3441" t="s">
        <v>5816</v>
      </c>
      <c r="BI514" s="3470" t="s">
        <v>3476</v>
      </c>
      <c r="BJ514" s="3484">
        <v>37813</v>
      </c>
      <c r="BK514" s="3478"/>
      <c r="BL514" s="3441" t="s">
        <v>3470</v>
      </c>
      <c r="BS514" s="3470"/>
      <c r="BT514" s="3470"/>
      <c r="BU514" s="3470"/>
    </row>
    <row r="515" spans="1:253" s="3441" customFormat="1" ht="13.2" hidden="1">
      <c r="A515" s="3485" t="s">
        <v>7359</v>
      </c>
      <c r="B515" s="3470" t="s">
        <v>7360</v>
      </c>
      <c r="C515" s="3481" t="s">
        <v>7361</v>
      </c>
      <c r="D515" s="3481" t="s">
        <v>7362</v>
      </c>
      <c r="E515" s="3470" t="s">
        <v>2736</v>
      </c>
      <c r="F515" s="3528" t="s">
        <v>7034</v>
      </c>
      <c r="G515" s="3470"/>
      <c r="H515" s="3470" t="s">
        <v>7363</v>
      </c>
      <c r="I515" s="3470" t="s">
        <v>4433</v>
      </c>
      <c r="J515" s="3481" t="s">
        <v>3449</v>
      </c>
      <c r="K515" s="3470" t="s">
        <v>7115</v>
      </c>
      <c r="L515" s="3470">
        <v>112.11</v>
      </c>
      <c r="M515" s="3470">
        <v>4</v>
      </c>
      <c r="N515" s="3470" t="s">
        <v>5890</v>
      </c>
      <c r="O515" s="3470">
        <v>94.05</v>
      </c>
      <c r="P515" s="3470" t="s">
        <v>3452</v>
      </c>
      <c r="Q515" s="3457">
        <v>488799.6</v>
      </c>
      <c r="R515" s="3470">
        <v>4360</v>
      </c>
      <c r="S515" s="3472">
        <v>48.31</v>
      </c>
      <c r="T515" s="3527">
        <v>483100</v>
      </c>
      <c r="U515" s="3495">
        <v>4310</v>
      </c>
      <c r="V515" s="3474">
        <v>0.1</v>
      </c>
      <c r="W515" s="3475">
        <v>43.47</v>
      </c>
      <c r="X515" s="3476">
        <v>434700</v>
      </c>
      <c r="Y515" s="3441">
        <v>2003</v>
      </c>
      <c r="Z515" s="3441">
        <v>7</v>
      </c>
      <c r="AA515" s="3470">
        <v>15</v>
      </c>
      <c r="AB515" s="3477">
        <v>2415</v>
      </c>
      <c r="AC515" s="3470" t="s">
        <v>3585</v>
      </c>
      <c r="AD515" s="3485"/>
      <c r="AE515" s="3441" t="s">
        <v>3663</v>
      </c>
      <c r="AF515" s="3470" t="s">
        <v>6065</v>
      </c>
      <c r="AG515" s="3522" t="s">
        <v>3466</v>
      </c>
      <c r="AH515" s="3485"/>
      <c r="AI515" s="3470" t="s">
        <v>6439</v>
      </c>
      <c r="AJ515" s="3523">
        <v>37866</v>
      </c>
      <c r="AK515" s="3479">
        <v>7</v>
      </c>
      <c r="AL515" s="3441">
        <v>67641700</v>
      </c>
      <c r="AN515" s="3456" t="s">
        <v>3739</v>
      </c>
      <c r="AP515" s="3441" t="s">
        <v>3476</v>
      </c>
      <c r="AQ515" s="3441" t="s">
        <v>3571</v>
      </c>
      <c r="AW515" s="3441" t="s">
        <v>3572</v>
      </c>
      <c r="AY515" s="3524" t="s">
        <v>7364</v>
      </c>
      <c r="AZ515" s="3441" t="s">
        <v>7115</v>
      </c>
      <c r="BA515" s="3441" t="s">
        <v>4508</v>
      </c>
      <c r="BB515" s="3524" t="s">
        <v>7117</v>
      </c>
      <c r="BC515" s="3441" t="s">
        <v>4509</v>
      </c>
      <c r="BD515" s="3525">
        <v>100083</v>
      </c>
      <c r="BE515" s="3441">
        <v>82355171</v>
      </c>
      <c r="BF515" s="3526">
        <v>2.7</v>
      </c>
      <c r="BG515" s="3518">
        <v>37804</v>
      </c>
      <c r="BH515" s="3441" t="s">
        <v>4681</v>
      </c>
      <c r="BI515" s="3463" t="s">
        <v>3475</v>
      </c>
      <c r="BJ515" s="3514">
        <v>37813</v>
      </c>
      <c r="BK515" s="3484"/>
      <c r="BL515" s="3441" t="s">
        <v>3594</v>
      </c>
      <c r="BS515" s="3470"/>
      <c r="BT515" s="3470"/>
      <c r="BU515" s="3470"/>
    </row>
    <row r="516" spans="1:253" s="3441" customFormat="1" ht="12" hidden="1">
      <c r="A516" s="3470" t="s">
        <v>7365</v>
      </c>
      <c r="B516" s="3470" t="s">
        <v>7366</v>
      </c>
      <c r="C516" s="3481" t="s">
        <v>7367</v>
      </c>
      <c r="D516" s="3481" t="s">
        <v>7368</v>
      </c>
      <c r="E516" s="3470" t="s">
        <v>3558</v>
      </c>
      <c r="F516" s="3528" t="s">
        <v>3951</v>
      </c>
      <c r="G516" s="3470"/>
      <c r="H516" s="3470" t="s">
        <v>7369</v>
      </c>
      <c r="I516" s="3470" t="s">
        <v>3582</v>
      </c>
      <c r="J516" s="3481" t="s">
        <v>7370</v>
      </c>
      <c r="K516" s="3470" t="s">
        <v>3955</v>
      </c>
      <c r="L516" s="3470">
        <v>109.21</v>
      </c>
      <c r="M516" s="3470">
        <v>1</v>
      </c>
      <c r="N516" s="3470" t="s">
        <v>3491</v>
      </c>
      <c r="O516" s="3470">
        <v>98.1</v>
      </c>
      <c r="P516" s="3470" t="s">
        <v>3452</v>
      </c>
      <c r="Q516" s="3457">
        <v>460210.94</v>
      </c>
      <c r="R516" s="3470">
        <v>4214</v>
      </c>
      <c r="S516" s="3547">
        <v>45.48</v>
      </c>
      <c r="T516" s="3527">
        <v>454799.99999999994</v>
      </c>
      <c r="U516" s="3470">
        <v>4165</v>
      </c>
      <c r="V516" s="3474">
        <v>0.1</v>
      </c>
      <c r="W516" s="3475">
        <v>40.93</v>
      </c>
      <c r="X516" s="3473">
        <v>409300</v>
      </c>
      <c r="Y516" s="3441">
        <v>2003</v>
      </c>
      <c r="Z516" s="3441">
        <v>7</v>
      </c>
      <c r="AA516" s="3470">
        <v>15</v>
      </c>
      <c r="AB516" s="3485">
        <v>2270</v>
      </c>
      <c r="AC516" s="3470" t="s">
        <v>7371</v>
      </c>
      <c r="AD516" s="3485"/>
      <c r="AE516" s="3441" t="s">
        <v>3663</v>
      </c>
      <c r="AF516" s="3453" t="s">
        <v>4126</v>
      </c>
      <c r="AG516" s="3522" t="s">
        <v>3466</v>
      </c>
      <c r="AH516" s="3485"/>
      <c r="AI516" s="3470" t="s">
        <v>3664</v>
      </c>
      <c r="AJ516" s="3523">
        <v>37864</v>
      </c>
      <c r="AK516" s="3500">
        <v>7</v>
      </c>
      <c r="AL516" s="3441" t="s">
        <v>3957</v>
      </c>
      <c r="AN516" s="3456" t="s">
        <v>3739</v>
      </c>
      <c r="AP516" s="3456" t="s">
        <v>3476</v>
      </c>
      <c r="AQ516" s="3441" t="s">
        <v>3571</v>
      </c>
      <c r="AV516" s="3441" t="s">
        <v>3568</v>
      </c>
      <c r="AW516" s="3441" t="s">
        <v>3572</v>
      </c>
      <c r="AX516" s="3441" t="s">
        <v>2511</v>
      </c>
      <c r="AY516" s="3524" t="s">
        <v>7372</v>
      </c>
      <c r="AZ516" s="3441" t="s">
        <v>3955</v>
      </c>
      <c r="BA516" s="3441" t="s">
        <v>3959</v>
      </c>
      <c r="BB516" s="3524" t="s">
        <v>3960</v>
      </c>
      <c r="BC516" s="3441" t="s">
        <v>3961</v>
      </c>
      <c r="BD516" s="3525">
        <v>102100</v>
      </c>
      <c r="BE516" s="3441">
        <v>62998398</v>
      </c>
      <c r="BF516" s="3526">
        <v>2.8</v>
      </c>
      <c r="BG516" s="3518">
        <v>37800</v>
      </c>
      <c r="BI516" s="3441" t="s">
        <v>3475</v>
      </c>
      <c r="BJ516" s="3514">
        <v>37813</v>
      </c>
      <c r="BK516" s="3484"/>
      <c r="BL516" s="3470" t="s">
        <v>3670</v>
      </c>
      <c r="BS516" s="3470"/>
      <c r="BT516" s="3470"/>
      <c r="BU516" s="3470"/>
    </row>
    <row r="517" spans="1:253" s="3470" customFormat="1" ht="12" hidden="1">
      <c r="A517" s="3470" t="s">
        <v>7373</v>
      </c>
      <c r="B517" s="3470" t="s">
        <v>7374</v>
      </c>
      <c r="C517" s="3470" t="s">
        <v>7375</v>
      </c>
      <c r="D517" s="3470">
        <v>13910080982</v>
      </c>
      <c r="E517" s="3470" t="s">
        <v>3558</v>
      </c>
      <c r="F517" s="3470" t="s">
        <v>7153</v>
      </c>
      <c r="G517" s="3470" t="s">
        <v>3568</v>
      </c>
      <c r="H517" s="3470" t="s">
        <v>7376</v>
      </c>
      <c r="I517" s="3470" t="s">
        <v>3735</v>
      </c>
      <c r="J517" s="3470" t="s">
        <v>5089</v>
      </c>
      <c r="K517" s="3470" t="s">
        <v>6117</v>
      </c>
      <c r="L517" s="3470">
        <v>117.1</v>
      </c>
      <c r="M517" s="3470">
        <v>5</v>
      </c>
      <c r="N517" s="3470" t="s">
        <v>4003</v>
      </c>
      <c r="O517" s="3470">
        <v>105.92</v>
      </c>
      <c r="P517" s="3470" t="s">
        <v>3452</v>
      </c>
      <c r="Q517" s="3470">
        <v>469512.45</v>
      </c>
      <c r="R517" s="3470">
        <v>4009.5</v>
      </c>
      <c r="S517" s="3470">
        <v>46.43</v>
      </c>
      <c r="T517" s="3470">
        <v>464300</v>
      </c>
      <c r="U517" s="3470">
        <v>3965</v>
      </c>
      <c r="V517" s="3470">
        <v>0.1</v>
      </c>
      <c r="W517" s="3470">
        <v>41.78</v>
      </c>
      <c r="X517" s="3470">
        <v>417800</v>
      </c>
      <c r="Y517" s="3470">
        <v>2003</v>
      </c>
      <c r="Z517" s="3470">
        <v>8</v>
      </c>
      <c r="AA517" s="3470">
        <v>6</v>
      </c>
      <c r="AB517" s="3470">
        <v>2320</v>
      </c>
      <c r="AC517" s="3470" t="s">
        <v>3603</v>
      </c>
      <c r="AE517" s="3470" t="s">
        <v>3663</v>
      </c>
      <c r="AF517" s="3470" t="s">
        <v>7377</v>
      </c>
      <c r="AG517" s="3470" t="s">
        <v>3466</v>
      </c>
      <c r="AI517" s="3470" t="s">
        <v>5021</v>
      </c>
      <c r="AJ517" s="3470">
        <v>38108</v>
      </c>
      <c r="AK517" s="3470">
        <v>8</v>
      </c>
      <c r="AL517" s="3470">
        <v>67641700</v>
      </c>
      <c r="AN517" s="3470" t="s">
        <v>3695</v>
      </c>
      <c r="AO517" s="3470" t="s">
        <v>7378</v>
      </c>
      <c r="AP517" s="3470" t="s">
        <v>3476</v>
      </c>
      <c r="AQ517" s="3470" t="s">
        <v>3571</v>
      </c>
      <c r="AW517" s="3470" t="s">
        <v>3572</v>
      </c>
      <c r="AX517" s="3470" t="s">
        <v>3568</v>
      </c>
      <c r="AY517" s="3481">
        <v>299220</v>
      </c>
      <c r="AZ517" s="3470" t="s">
        <v>6117</v>
      </c>
      <c r="BA517" s="3470" t="s">
        <v>7157</v>
      </c>
      <c r="BB517" s="3481">
        <v>1102281326100</v>
      </c>
      <c r="BC517" s="3470" t="s">
        <v>7158</v>
      </c>
      <c r="BD517" s="3482">
        <v>100055</v>
      </c>
      <c r="BE517" s="3470">
        <v>82951881</v>
      </c>
      <c r="BF517" s="3483">
        <v>2.8</v>
      </c>
      <c r="BG517" s="3478">
        <v>37808</v>
      </c>
      <c r="BI517" s="3470" t="s">
        <v>3476</v>
      </c>
      <c r="BJ517" s="3508">
        <v>37831</v>
      </c>
      <c r="BK517" s="3508"/>
      <c r="BL517" s="3470" t="s">
        <v>3670</v>
      </c>
      <c r="BP517" s="3441"/>
      <c r="BQ517" s="3441"/>
      <c r="BR517" s="3441"/>
    </row>
    <row r="518" spans="1:253" s="3470" customFormat="1" ht="12" hidden="1">
      <c r="A518" s="3470" t="s">
        <v>7379</v>
      </c>
      <c r="B518" s="3470" t="s">
        <v>7380</v>
      </c>
      <c r="C518" s="3470" t="s">
        <v>7381</v>
      </c>
      <c r="D518" s="3470">
        <v>13901002822</v>
      </c>
      <c r="E518" s="3470" t="s">
        <v>3558</v>
      </c>
      <c r="F518" s="3470" t="s">
        <v>7153</v>
      </c>
      <c r="G518" s="3470" t="s">
        <v>3568</v>
      </c>
      <c r="H518" s="3470" t="s">
        <v>7162</v>
      </c>
      <c r="I518" s="3470" t="s">
        <v>4309</v>
      </c>
      <c r="J518" s="3470" t="s">
        <v>7382</v>
      </c>
      <c r="K518" s="3470" t="s">
        <v>6117</v>
      </c>
      <c r="L518" s="3470">
        <v>98.22</v>
      </c>
      <c r="M518" s="3470">
        <v>10</v>
      </c>
      <c r="N518" s="3470" t="s">
        <v>5032</v>
      </c>
      <c r="O518" s="3470">
        <v>83.29</v>
      </c>
      <c r="P518" s="3470" t="s">
        <v>3452</v>
      </c>
      <c r="Q518" s="3470">
        <v>399755.4</v>
      </c>
      <c r="R518" s="3470">
        <v>4070</v>
      </c>
      <c r="S518" s="3470">
        <v>39.5</v>
      </c>
      <c r="T518" s="3470">
        <v>395000</v>
      </c>
      <c r="U518" s="3470">
        <v>4022</v>
      </c>
      <c r="V518" s="3470">
        <v>0.1</v>
      </c>
      <c r="W518" s="3470">
        <v>35.549999999999997</v>
      </c>
      <c r="X518" s="3470">
        <v>355500</v>
      </c>
      <c r="Y518" s="3470">
        <v>2003</v>
      </c>
      <c r="Z518" s="3470">
        <v>8</v>
      </c>
      <c r="AA518" s="3470">
        <v>1</v>
      </c>
      <c r="AB518" s="3470">
        <v>1975</v>
      </c>
      <c r="AC518" s="3470" t="s">
        <v>3565</v>
      </c>
      <c r="AE518" s="3470" t="s">
        <v>3663</v>
      </c>
      <c r="AF518" s="3470" t="s">
        <v>7190</v>
      </c>
      <c r="AG518" s="3470" t="s">
        <v>3466</v>
      </c>
      <c r="AI518" s="3470" t="s">
        <v>5021</v>
      </c>
      <c r="AJ518" s="3470">
        <v>38108</v>
      </c>
      <c r="AK518" s="3470">
        <v>8</v>
      </c>
      <c r="AL518" s="3470">
        <v>67641700</v>
      </c>
      <c r="AN518" s="3470" t="s">
        <v>3570</v>
      </c>
      <c r="AO518" s="3470" t="s">
        <v>7383</v>
      </c>
      <c r="AP518" s="3470" t="s">
        <v>3476</v>
      </c>
      <c r="AQ518" s="3470" t="s">
        <v>3571</v>
      </c>
      <c r="AW518" s="3470" t="s">
        <v>3572</v>
      </c>
      <c r="AX518" s="3470" t="s">
        <v>3568</v>
      </c>
      <c r="AY518" s="3481">
        <v>299276</v>
      </c>
      <c r="AZ518" s="3470" t="s">
        <v>6117</v>
      </c>
      <c r="BA518" s="3470" t="s">
        <v>7157</v>
      </c>
      <c r="BB518" s="3481">
        <v>1102281326100</v>
      </c>
      <c r="BC518" s="3470" t="s">
        <v>7158</v>
      </c>
      <c r="BD518" s="3482">
        <v>100055</v>
      </c>
      <c r="BE518" s="3470">
        <v>82951881</v>
      </c>
      <c r="BF518" s="3483">
        <v>2.8</v>
      </c>
      <c r="BG518" s="3478">
        <v>37808</v>
      </c>
      <c r="BI518" s="3470" t="s">
        <v>3476</v>
      </c>
      <c r="BJ518" s="3508">
        <v>37832</v>
      </c>
      <c r="BK518" s="3508"/>
      <c r="BL518" s="3470" t="s">
        <v>3670</v>
      </c>
      <c r="BP518" s="3441"/>
      <c r="BQ518" s="3441"/>
      <c r="BR518" s="3441"/>
    </row>
    <row r="519" spans="1:253" s="3470" customFormat="1" ht="12" hidden="1">
      <c r="A519" s="3470" t="s">
        <v>7384</v>
      </c>
      <c r="B519" s="3470" t="s">
        <v>7385</v>
      </c>
      <c r="C519" s="3470" t="s">
        <v>7386</v>
      </c>
      <c r="D519" s="3470">
        <v>13681424290</v>
      </c>
      <c r="E519" s="3470" t="s">
        <v>3558</v>
      </c>
      <c r="F519" s="3470" t="s">
        <v>7153</v>
      </c>
      <c r="G519" s="3470" t="s">
        <v>3568</v>
      </c>
      <c r="H519" s="3470" t="s">
        <v>7162</v>
      </c>
      <c r="I519" s="3470" t="s">
        <v>4001</v>
      </c>
      <c r="J519" s="3470" t="s">
        <v>7382</v>
      </c>
      <c r="K519" s="3470" t="s">
        <v>6117</v>
      </c>
      <c r="L519" s="3470">
        <v>98.22</v>
      </c>
      <c r="M519" s="3470">
        <v>10</v>
      </c>
      <c r="N519" s="3470" t="s">
        <v>5032</v>
      </c>
      <c r="O519" s="3470">
        <v>83.29</v>
      </c>
      <c r="P519" s="3470" t="s">
        <v>3452</v>
      </c>
      <c r="Q519" s="3470">
        <v>397791</v>
      </c>
      <c r="R519" s="3470">
        <v>4050</v>
      </c>
      <c r="S519" s="3470">
        <v>39.28</v>
      </c>
      <c r="T519" s="3470">
        <v>392800</v>
      </c>
      <c r="U519" s="3470">
        <v>4000</v>
      </c>
      <c r="V519" s="3470">
        <v>0.1</v>
      </c>
      <c r="W519" s="3470">
        <v>35.35</v>
      </c>
      <c r="X519" s="3470">
        <v>353500</v>
      </c>
      <c r="Y519" s="3470">
        <v>2003</v>
      </c>
      <c r="Z519" s="3470">
        <v>8</v>
      </c>
      <c r="AA519" s="3470">
        <v>14</v>
      </c>
      <c r="AB519" s="3470">
        <v>1960</v>
      </c>
      <c r="AC519" s="3470" t="s">
        <v>3603</v>
      </c>
      <c r="AE519" s="3470" t="s">
        <v>3663</v>
      </c>
      <c r="AF519" s="3470" t="s">
        <v>3694</v>
      </c>
      <c r="AG519" s="3470" t="s">
        <v>3466</v>
      </c>
      <c r="AI519" s="3470" t="s">
        <v>5021</v>
      </c>
      <c r="AJ519" s="3470">
        <v>38108</v>
      </c>
      <c r="AK519" s="3470">
        <v>8</v>
      </c>
      <c r="AL519" s="3470">
        <v>67641700</v>
      </c>
      <c r="AN519" s="3470" t="s">
        <v>3739</v>
      </c>
      <c r="AO519" s="3470" t="s">
        <v>7387</v>
      </c>
      <c r="AP519" s="3470" t="s">
        <v>3476</v>
      </c>
      <c r="AQ519" s="3470" t="s">
        <v>3571</v>
      </c>
      <c r="AW519" s="3470" t="s">
        <v>3572</v>
      </c>
      <c r="AX519" s="3470" t="s">
        <v>3568</v>
      </c>
      <c r="AY519" s="3481">
        <v>299301</v>
      </c>
      <c r="AZ519" s="3470" t="s">
        <v>6117</v>
      </c>
      <c r="BA519" s="3470" t="s">
        <v>7157</v>
      </c>
      <c r="BB519" s="3481">
        <v>1102281326100</v>
      </c>
      <c r="BC519" s="3470" t="s">
        <v>7158</v>
      </c>
      <c r="BD519" s="3482">
        <v>100055</v>
      </c>
      <c r="BE519" s="3470">
        <v>82951881</v>
      </c>
      <c r="BF519" s="3483">
        <v>2.8</v>
      </c>
      <c r="BG519" s="3478">
        <v>37806</v>
      </c>
      <c r="BI519" s="3470" t="s">
        <v>3476</v>
      </c>
      <c r="BJ519" s="3508">
        <v>37831</v>
      </c>
      <c r="BK519" s="3508"/>
      <c r="BL519" s="3470" t="s">
        <v>3670</v>
      </c>
      <c r="BP519" s="3441"/>
      <c r="BQ519" s="3441"/>
      <c r="BR519" s="3441"/>
    </row>
    <row r="520" spans="1:253" s="3470" customFormat="1" ht="12" hidden="1">
      <c r="A520" s="3470" t="s">
        <v>7388</v>
      </c>
      <c r="B520" s="3470" t="s">
        <v>7389</v>
      </c>
      <c r="C520" s="3470" t="s">
        <v>7390</v>
      </c>
      <c r="D520" s="3470">
        <v>13601241418</v>
      </c>
      <c r="E520" s="3470" t="s">
        <v>3558</v>
      </c>
      <c r="F520" s="3470" t="s">
        <v>7153</v>
      </c>
      <c r="G520" s="3470" t="s">
        <v>3568</v>
      </c>
      <c r="H520" s="3470" t="s">
        <v>7162</v>
      </c>
      <c r="I520" s="3470" t="s">
        <v>4019</v>
      </c>
      <c r="J520" s="3470" t="s">
        <v>7391</v>
      </c>
      <c r="K520" s="3470" t="s">
        <v>6117</v>
      </c>
      <c r="L520" s="3470">
        <v>98.22</v>
      </c>
      <c r="M520" s="3470">
        <v>3</v>
      </c>
      <c r="N520" s="3470" t="s">
        <v>5032</v>
      </c>
      <c r="O520" s="3470">
        <v>83.29</v>
      </c>
      <c r="P520" s="3470" t="s">
        <v>3452</v>
      </c>
      <c r="Q520" s="3470">
        <v>380111.4</v>
      </c>
      <c r="R520" s="3470">
        <v>3870</v>
      </c>
      <c r="S520" s="3470">
        <v>37.81</v>
      </c>
      <c r="T520" s="3470">
        <v>378100</v>
      </c>
      <c r="U520" s="3470">
        <v>3850</v>
      </c>
      <c r="V520" s="3470">
        <v>0.1</v>
      </c>
      <c r="W520" s="3470">
        <v>34.020000000000003</v>
      </c>
      <c r="X520" s="3470">
        <v>340200</v>
      </c>
      <c r="Y520" s="3470">
        <v>2003</v>
      </c>
      <c r="Z520" s="3470">
        <v>8</v>
      </c>
      <c r="AA520" s="3470">
        <v>4</v>
      </c>
      <c r="AB520" s="3470">
        <v>1890</v>
      </c>
      <c r="AC520" s="3470" t="s">
        <v>7392</v>
      </c>
      <c r="AE520" s="3470" t="s">
        <v>3663</v>
      </c>
      <c r="AF520" s="3470" t="s">
        <v>7190</v>
      </c>
      <c r="AG520" s="3470" t="s">
        <v>3466</v>
      </c>
      <c r="AI520" s="3470" t="s">
        <v>5021</v>
      </c>
      <c r="AJ520" s="3470">
        <v>38108</v>
      </c>
      <c r="AK520" s="3470">
        <v>8</v>
      </c>
      <c r="AL520" s="3470">
        <v>67641700</v>
      </c>
      <c r="AN520" s="3470" t="s">
        <v>3695</v>
      </c>
      <c r="AO520" s="3470" t="s">
        <v>7393</v>
      </c>
      <c r="AP520" s="3470" t="s">
        <v>3476</v>
      </c>
      <c r="AQ520" s="3470" t="s">
        <v>3571</v>
      </c>
      <c r="AW520" s="3470" t="s">
        <v>3572</v>
      </c>
      <c r="AX520" s="3470" t="s">
        <v>3568</v>
      </c>
      <c r="AY520" s="3481">
        <v>299313</v>
      </c>
      <c r="AZ520" s="3470" t="s">
        <v>6117</v>
      </c>
      <c r="BA520" s="3470" t="s">
        <v>7157</v>
      </c>
      <c r="BB520" s="3481">
        <v>1102281326100</v>
      </c>
      <c r="BC520" s="3470" t="s">
        <v>7158</v>
      </c>
      <c r="BD520" s="3482">
        <v>100055</v>
      </c>
      <c r="BE520" s="3470">
        <v>82951881</v>
      </c>
      <c r="BF520" s="3483">
        <v>2.8</v>
      </c>
      <c r="BG520" s="3478">
        <v>37814</v>
      </c>
      <c r="BI520" s="3470" t="s">
        <v>3476</v>
      </c>
      <c r="BJ520" s="3508">
        <v>37833</v>
      </c>
      <c r="BK520" s="3508"/>
      <c r="BL520" s="3470" t="s">
        <v>3670</v>
      </c>
      <c r="BP520" s="3441"/>
      <c r="BQ520" s="3441"/>
      <c r="BR520" s="3441"/>
    </row>
    <row r="521" spans="1:253" s="3470" customFormat="1" ht="12" hidden="1">
      <c r="A521" s="3470" t="s">
        <v>7394</v>
      </c>
      <c r="B521" s="3470" t="s">
        <v>7395</v>
      </c>
      <c r="C521" s="3470" t="s">
        <v>7396</v>
      </c>
      <c r="D521" s="3470">
        <v>13671031174</v>
      </c>
      <c r="E521" s="3470" t="s">
        <v>3558</v>
      </c>
      <c r="F521" s="3470" t="s">
        <v>7153</v>
      </c>
      <c r="G521" s="3470" t="s">
        <v>3568</v>
      </c>
      <c r="H521" s="3470" t="s">
        <v>7162</v>
      </c>
      <c r="I521" s="3470" t="s">
        <v>4001</v>
      </c>
      <c r="J521" s="3470" t="s">
        <v>7397</v>
      </c>
      <c r="K521" s="3470" t="s">
        <v>6117</v>
      </c>
      <c r="L521" s="3470">
        <v>98.22</v>
      </c>
      <c r="M521" s="3470">
        <v>9</v>
      </c>
      <c r="N521" s="3470" t="s">
        <v>5032</v>
      </c>
      <c r="O521" s="3470">
        <v>83.29</v>
      </c>
      <c r="P521" s="3470" t="s">
        <v>3452</v>
      </c>
      <c r="Q521" s="3470">
        <v>395826.6</v>
      </c>
      <c r="R521" s="3470">
        <v>4030</v>
      </c>
      <c r="S521" s="3470">
        <v>39.090000000000003</v>
      </c>
      <c r="T521" s="3470">
        <v>390900</v>
      </c>
      <c r="U521" s="3470">
        <v>3980</v>
      </c>
      <c r="V521" s="3470">
        <v>0.1</v>
      </c>
      <c r="W521" s="3470">
        <v>35.18</v>
      </c>
      <c r="X521" s="3470">
        <v>351800</v>
      </c>
      <c r="Y521" s="3470">
        <v>2003</v>
      </c>
      <c r="Z521" s="3470">
        <v>8</v>
      </c>
      <c r="AA521" s="3470">
        <v>14</v>
      </c>
      <c r="AB521" s="3470">
        <v>1950</v>
      </c>
      <c r="AC521" s="3470" t="s">
        <v>5548</v>
      </c>
      <c r="AE521" s="3470" t="s">
        <v>3663</v>
      </c>
      <c r="AF521" s="3470" t="s">
        <v>3694</v>
      </c>
      <c r="AG521" s="3470" t="s">
        <v>3466</v>
      </c>
      <c r="AI521" s="3470" t="s">
        <v>5021</v>
      </c>
      <c r="AJ521" s="3470">
        <v>38108</v>
      </c>
      <c r="AK521" s="3470">
        <v>8</v>
      </c>
      <c r="AL521" s="3470">
        <v>67641700</v>
      </c>
      <c r="AN521" s="3470" t="s">
        <v>3739</v>
      </c>
      <c r="AO521" s="3470" t="s">
        <v>7398</v>
      </c>
      <c r="AP521" s="3470" t="s">
        <v>3476</v>
      </c>
      <c r="AQ521" s="3470" t="s">
        <v>3571</v>
      </c>
      <c r="AW521" s="3470" t="s">
        <v>3572</v>
      </c>
      <c r="AX521" s="3470" t="s">
        <v>3568</v>
      </c>
      <c r="AY521" s="3481">
        <v>299216</v>
      </c>
      <c r="AZ521" s="3470" t="s">
        <v>6117</v>
      </c>
      <c r="BA521" s="3470" t="s">
        <v>7157</v>
      </c>
      <c r="BB521" s="3481">
        <v>1102281326100</v>
      </c>
      <c r="BC521" s="3470" t="s">
        <v>7158</v>
      </c>
      <c r="BD521" s="3482">
        <v>100055</v>
      </c>
      <c r="BE521" s="3470">
        <v>82951881</v>
      </c>
      <c r="BF521" s="3483">
        <v>2.8</v>
      </c>
      <c r="BG521" s="3478">
        <v>37802</v>
      </c>
      <c r="BI521" s="3470" t="s">
        <v>3476</v>
      </c>
      <c r="BJ521" s="3508">
        <v>37846</v>
      </c>
      <c r="BK521" s="3508"/>
      <c r="BL521" s="3470" t="s">
        <v>3670</v>
      </c>
      <c r="BP521" s="3441"/>
      <c r="BQ521" s="3441"/>
      <c r="BR521" s="3441"/>
    </row>
    <row r="522" spans="1:253" s="3441" customFormat="1" ht="12" hidden="1">
      <c r="A522" s="3470" t="s">
        <v>7399</v>
      </c>
      <c r="B522" s="3470" t="s">
        <v>7400</v>
      </c>
      <c r="C522" s="3481" t="s">
        <v>7401</v>
      </c>
      <c r="D522" s="3481" t="s">
        <v>7402</v>
      </c>
      <c r="E522" s="3470" t="s">
        <v>3558</v>
      </c>
      <c r="F522" s="3528" t="s">
        <v>3951</v>
      </c>
      <c r="G522" s="3470"/>
      <c r="H522" s="3470" t="s">
        <v>7369</v>
      </c>
      <c r="I522" s="3470" t="s">
        <v>6989</v>
      </c>
      <c r="J522" s="3481" t="s">
        <v>7403</v>
      </c>
      <c r="K522" s="3470" t="s">
        <v>3955</v>
      </c>
      <c r="L522" s="3470">
        <v>105.38</v>
      </c>
      <c r="M522" s="3470">
        <v>4</v>
      </c>
      <c r="N522" s="3470" t="s">
        <v>3491</v>
      </c>
      <c r="O522" s="3470">
        <v>94.66</v>
      </c>
      <c r="P522" s="3470" t="s">
        <v>3452</v>
      </c>
      <c r="Q522" s="3600">
        <v>446136.76800000004</v>
      </c>
      <c r="R522" s="3470">
        <v>4233.6000000000004</v>
      </c>
      <c r="S522" s="3472">
        <v>44.1</v>
      </c>
      <c r="T522" s="3527">
        <v>441000</v>
      </c>
      <c r="U522" s="3470">
        <v>4185</v>
      </c>
      <c r="V522" s="3474">
        <v>0.1</v>
      </c>
      <c r="W522" s="3475">
        <v>39.69</v>
      </c>
      <c r="X522" s="3494">
        <v>396900</v>
      </c>
      <c r="Y522" s="3441">
        <v>2003</v>
      </c>
      <c r="Z522" s="3441">
        <v>7</v>
      </c>
      <c r="AA522" s="3515">
        <v>21</v>
      </c>
      <c r="AB522" s="3477">
        <v>2205</v>
      </c>
      <c r="AC522" s="3470" t="s">
        <v>7404</v>
      </c>
      <c r="AD522" s="3485"/>
      <c r="AE522" s="3441" t="s">
        <v>3663</v>
      </c>
      <c r="AF522" s="3453" t="s">
        <v>6957</v>
      </c>
      <c r="AG522" s="3522" t="s">
        <v>3466</v>
      </c>
      <c r="AH522" s="3485"/>
      <c r="AI522" s="3470" t="s">
        <v>3664</v>
      </c>
      <c r="AJ522" s="3523">
        <v>37865</v>
      </c>
      <c r="AK522" s="3500">
        <v>7</v>
      </c>
      <c r="AL522" s="3441" t="s">
        <v>3957</v>
      </c>
      <c r="AN522" s="3469" t="s">
        <v>3680</v>
      </c>
      <c r="AP522" s="3456" t="s">
        <v>3476</v>
      </c>
      <c r="AQ522" s="3470" t="s">
        <v>3571</v>
      </c>
      <c r="AV522" s="3441" t="s">
        <v>3568</v>
      </c>
      <c r="AW522" s="3441" t="s">
        <v>3572</v>
      </c>
      <c r="AX522" s="3441" t="s">
        <v>2511</v>
      </c>
      <c r="AY522" s="3524" t="s">
        <v>7405</v>
      </c>
      <c r="AZ522" s="3441" t="s">
        <v>3955</v>
      </c>
      <c r="BA522" s="3441" t="s">
        <v>3959</v>
      </c>
      <c r="BB522" s="3524" t="s">
        <v>3960</v>
      </c>
      <c r="BC522" s="3441" t="s">
        <v>3961</v>
      </c>
      <c r="BD522" s="3525">
        <v>102100</v>
      </c>
      <c r="BE522" s="3441">
        <v>62998398</v>
      </c>
      <c r="BF522" s="3526">
        <v>2.8</v>
      </c>
      <c r="BG522" s="3518">
        <v>37790</v>
      </c>
      <c r="BI522" s="3441" t="s">
        <v>5844</v>
      </c>
      <c r="BJ522" s="3514">
        <v>37809</v>
      </c>
      <c r="BK522" s="3484"/>
      <c r="BL522" s="3470" t="s">
        <v>3670</v>
      </c>
      <c r="BS522" s="3470"/>
      <c r="BT522" s="3470"/>
      <c r="BU522" s="3470"/>
    </row>
    <row r="523" spans="1:253" s="3470" customFormat="1" ht="12" hidden="1">
      <c r="A523" s="3485" t="s">
        <v>7406</v>
      </c>
      <c r="B523" s="3470" t="s">
        <v>7407</v>
      </c>
      <c r="C523" s="3481" t="s">
        <v>7408</v>
      </c>
      <c r="D523" s="3470">
        <v>13621093443</v>
      </c>
      <c r="E523" s="3470" t="s">
        <v>3558</v>
      </c>
      <c r="F523" s="3470" t="s">
        <v>7409</v>
      </c>
      <c r="H523" s="3453" t="s">
        <v>5194</v>
      </c>
      <c r="I523" s="3470" t="s">
        <v>3676</v>
      </c>
      <c r="J523" s="3453" t="s">
        <v>7410</v>
      </c>
      <c r="K523" s="3470" t="s">
        <v>7411</v>
      </c>
      <c r="L523" s="3495">
        <v>112.83</v>
      </c>
      <c r="M523" s="3495">
        <v>12</v>
      </c>
      <c r="N523" s="3470" t="s">
        <v>5289</v>
      </c>
      <c r="O523" s="3495">
        <v>94.78</v>
      </c>
      <c r="P523" s="3470" t="s">
        <v>3452</v>
      </c>
      <c r="Q523" s="3457">
        <v>716160.21750000003</v>
      </c>
      <c r="R523" s="3470">
        <v>6347.25</v>
      </c>
      <c r="S523" s="3472">
        <v>71.260000000000005</v>
      </c>
      <c r="T523" s="3527">
        <v>712600</v>
      </c>
      <c r="U523" s="3470">
        <v>6316</v>
      </c>
      <c r="V523" s="3474">
        <v>0.1</v>
      </c>
      <c r="W523" s="3475">
        <v>64.13</v>
      </c>
      <c r="X523" s="3473">
        <v>641300</v>
      </c>
      <c r="Y523" s="3441">
        <v>2003</v>
      </c>
      <c r="Z523" s="3441">
        <v>7</v>
      </c>
      <c r="AA523" s="3470">
        <v>18</v>
      </c>
      <c r="AB523" s="3485">
        <v>3560</v>
      </c>
      <c r="AC523" s="3470" t="s">
        <v>3544</v>
      </c>
      <c r="AE523" s="3456" t="s">
        <v>3663</v>
      </c>
      <c r="AF523" s="3453" t="s">
        <v>6377</v>
      </c>
      <c r="AG523" s="3470" t="s">
        <v>3466</v>
      </c>
      <c r="AI523" s="3470" t="s">
        <v>3664</v>
      </c>
      <c r="AJ523" s="3478">
        <v>38077</v>
      </c>
      <c r="AK523" s="3500">
        <v>7</v>
      </c>
      <c r="AL523" s="3495">
        <v>67641700</v>
      </c>
      <c r="AN523" s="3469" t="s">
        <v>3482</v>
      </c>
      <c r="AO523" s="3470" t="s">
        <v>7412</v>
      </c>
      <c r="AP523" s="3456" t="s">
        <v>3721</v>
      </c>
      <c r="AQ523" s="3456" t="s">
        <v>3571</v>
      </c>
      <c r="AV523" s="3519"/>
      <c r="AW523" s="3470" t="s">
        <v>3572</v>
      </c>
      <c r="AX523" s="3470" t="s">
        <v>3568</v>
      </c>
      <c r="AY523" s="3495">
        <v>516800</v>
      </c>
      <c r="AZ523" s="3470" t="s">
        <v>5500</v>
      </c>
      <c r="BA523" s="3470" t="s">
        <v>7008</v>
      </c>
      <c r="BB523" s="3470" t="s">
        <v>7413</v>
      </c>
      <c r="BC523" s="3470" t="s">
        <v>7414</v>
      </c>
      <c r="BD523" s="3470">
        <v>100080</v>
      </c>
      <c r="BE523" s="3470">
        <v>88442745</v>
      </c>
      <c r="BF523" s="3520">
        <v>2.8</v>
      </c>
      <c r="BG523" s="3478">
        <v>37803</v>
      </c>
      <c r="BH523" s="3470" t="s">
        <v>7415</v>
      </c>
      <c r="BI523" s="3470" t="s">
        <v>3721</v>
      </c>
      <c r="BJ523" s="3478">
        <v>37818</v>
      </c>
      <c r="BK523" s="3478"/>
      <c r="BL523" s="3441" t="s">
        <v>3670</v>
      </c>
      <c r="BM523" s="3441"/>
      <c r="BN523" s="3441"/>
      <c r="BO523" s="3441"/>
      <c r="BP523" s="3441"/>
      <c r="BQ523" s="3441"/>
      <c r="BR523" s="3441"/>
    </row>
    <row r="524" spans="1:253" s="3470" customFormat="1" ht="12" hidden="1">
      <c r="A524" s="3470" t="s">
        <v>7416</v>
      </c>
      <c r="B524" s="3470" t="s">
        <v>7417</v>
      </c>
      <c r="C524" s="3470" t="s">
        <v>7418</v>
      </c>
      <c r="D524" s="3470" t="s">
        <v>7419</v>
      </c>
      <c r="E524" s="3470" t="s">
        <v>3558</v>
      </c>
      <c r="F524" s="3470" t="s">
        <v>4758</v>
      </c>
      <c r="H524" s="3470" t="s">
        <v>3979</v>
      </c>
      <c r="I524" s="3470" t="s">
        <v>4309</v>
      </c>
      <c r="J524" s="3470" t="s">
        <v>7420</v>
      </c>
      <c r="K524" s="3470" t="s">
        <v>4760</v>
      </c>
      <c r="L524" s="3470">
        <v>81.239999999999995</v>
      </c>
      <c r="M524" s="3470">
        <v>8</v>
      </c>
      <c r="N524" s="3470" t="s">
        <v>7421</v>
      </c>
      <c r="O524" s="3470">
        <v>70.61</v>
      </c>
      <c r="P524" s="3470" t="s">
        <v>3452</v>
      </c>
      <c r="Q524" s="3470">
        <v>400529.44799999997</v>
      </c>
      <c r="R524" s="3470">
        <v>4930.2</v>
      </c>
      <c r="S524" s="3470">
        <v>39.659999999999997</v>
      </c>
      <c r="T524" s="3470">
        <v>396600</v>
      </c>
      <c r="U524" s="3470">
        <v>4882</v>
      </c>
      <c r="V524" s="3470">
        <v>0.1</v>
      </c>
      <c r="W524" s="3470">
        <v>35.69</v>
      </c>
      <c r="X524" s="3470">
        <v>356900</v>
      </c>
      <c r="Y524" s="3470">
        <v>2003</v>
      </c>
      <c r="Z524" s="3470">
        <v>8</v>
      </c>
      <c r="AA524" s="3470">
        <v>6</v>
      </c>
      <c r="AB524" s="3470">
        <v>1980</v>
      </c>
      <c r="AC524" s="3470" t="s">
        <v>4004</v>
      </c>
      <c r="AE524" s="3470" t="s">
        <v>3663</v>
      </c>
      <c r="AF524" s="3470" t="s">
        <v>4032</v>
      </c>
      <c r="AG524" s="3470" t="s">
        <v>3466</v>
      </c>
      <c r="AH524" s="3470" t="s">
        <v>3568</v>
      </c>
      <c r="AI524" s="3470" t="s">
        <v>5021</v>
      </c>
      <c r="AJ524" s="3470">
        <v>38107</v>
      </c>
      <c r="AK524" s="3470">
        <v>8</v>
      </c>
      <c r="AL524" s="3470">
        <v>67641700</v>
      </c>
      <c r="AN524" s="3470" t="s">
        <v>3695</v>
      </c>
      <c r="AO524" s="3470" t="s">
        <v>7422</v>
      </c>
      <c r="AP524" s="3470" t="s">
        <v>3476</v>
      </c>
      <c r="AQ524" s="3470" t="s">
        <v>3571</v>
      </c>
      <c r="AV524" s="3470" t="s">
        <v>3568</v>
      </c>
      <c r="AW524" s="3470" t="s">
        <v>3572</v>
      </c>
      <c r="AX524" s="3470" t="s">
        <v>2511</v>
      </c>
      <c r="AY524" s="3481" t="s">
        <v>7423</v>
      </c>
      <c r="AZ524" s="3470" t="s">
        <v>4760</v>
      </c>
      <c r="BA524" s="3470" t="s">
        <v>4763</v>
      </c>
      <c r="BB524" s="3481" t="s">
        <v>4764</v>
      </c>
      <c r="BC524" s="3470" t="s">
        <v>4765</v>
      </c>
      <c r="BD524" s="3482">
        <v>102607</v>
      </c>
      <c r="BE524" s="3470">
        <v>68156287</v>
      </c>
      <c r="BF524" s="3483">
        <v>2.8</v>
      </c>
      <c r="BG524" s="3478">
        <v>37810</v>
      </c>
      <c r="BI524" s="3470" t="s">
        <v>3476</v>
      </c>
      <c r="BJ524" s="3508">
        <v>37832</v>
      </c>
      <c r="BK524" s="3508"/>
      <c r="BL524" s="3470" t="s">
        <v>3670</v>
      </c>
      <c r="BP524" s="3441"/>
      <c r="BQ524" s="3441"/>
      <c r="BR524" s="3441"/>
    </row>
    <row r="525" spans="1:253" s="3441" customFormat="1" ht="12" hidden="1">
      <c r="A525" s="3470" t="s">
        <v>7424</v>
      </c>
      <c r="B525" s="3470" t="s">
        <v>7425</v>
      </c>
      <c r="C525" s="3481" t="s">
        <v>7426</v>
      </c>
      <c r="D525" s="3481" t="s">
        <v>7427</v>
      </c>
      <c r="E525" s="3470" t="s">
        <v>2736</v>
      </c>
      <c r="F525" s="3528" t="s">
        <v>6419</v>
      </c>
      <c r="G525" s="3470"/>
      <c r="H525" s="3453" t="s">
        <v>7428</v>
      </c>
      <c r="I525" s="3453" t="s">
        <v>7143</v>
      </c>
      <c r="J525" s="3454" t="s">
        <v>3920</v>
      </c>
      <c r="K525" s="3470" t="s">
        <v>6911</v>
      </c>
      <c r="L525" s="3495">
        <v>83.86</v>
      </c>
      <c r="M525" s="3495">
        <v>6</v>
      </c>
      <c r="N525" s="3485" t="s">
        <v>3709</v>
      </c>
      <c r="O525" s="3495">
        <v>73.180000000000007</v>
      </c>
      <c r="P525" s="3470" t="s">
        <v>3452</v>
      </c>
      <c r="Q525" s="3457">
        <v>358501.5</v>
      </c>
      <c r="R525" s="3470">
        <v>4275</v>
      </c>
      <c r="S525" s="3472">
        <v>35.43</v>
      </c>
      <c r="T525" s="3527">
        <v>354300</v>
      </c>
      <c r="U525" s="3495">
        <v>4226</v>
      </c>
      <c r="V525" s="3512">
        <v>0.1</v>
      </c>
      <c r="W525" s="3475">
        <v>31.88</v>
      </c>
      <c r="X525" s="3473">
        <v>318800</v>
      </c>
      <c r="Y525" s="3515">
        <v>2003</v>
      </c>
      <c r="Z525" s="3441">
        <v>7</v>
      </c>
      <c r="AA525" s="3441">
        <v>18</v>
      </c>
      <c r="AB525" s="3477">
        <v>1770</v>
      </c>
      <c r="AC525" s="3470" t="s">
        <v>6891</v>
      </c>
      <c r="AD525" s="3485"/>
      <c r="AE525" s="3469" t="s">
        <v>2156</v>
      </c>
      <c r="AF525" s="3453" t="s">
        <v>7429</v>
      </c>
      <c r="AG525" s="3522" t="s">
        <v>3454</v>
      </c>
      <c r="AH525" s="3485"/>
      <c r="AI525" s="3470" t="s">
        <v>6972</v>
      </c>
      <c r="AJ525" s="3523">
        <v>38077</v>
      </c>
      <c r="AK525" s="3500">
        <v>7</v>
      </c>
      <c r="AL525" s="3515">
        <v>67641700</v>
      </c>
      <c r="AN525" s="3456" t="s">
        <v>3739</v>
      </c>
      <c r="AO525" s="3453" t="s">
        <v>2420</v>
      </c>
      <c r="AP525" s="3441" t="s">
        <v>5844</v>
      </c>
      <c r="AQ525" s="3469" t="s">
        <v>3571</v>
      </c>
      <c r="AU525" s="3495"/>
      <c r="AV525" s="3535"/>
      <c r="AW525" s="3470" t="s">
        <v>3458</v>
      </c>
      <c r="AX525" s="3441" t="s">
        <v>2420</v>
      </c>
      <c r="AY525" s="3536" t="s">
        <v>7430</v>
      </c>
      <c r="AZ525" s="3470" t="s">
        <v>6408</v>
      </c>
      <c r="BA525" s="3463" t="s">
        <v>6424</v>
      </c>
      <c r="BB525" s="3466">
        <v>1102281149818</v>
      </c>
      <c r="BC525" s="3441" t="s">
        <v>6414</v>
      </c>
      <c r="BD525" s="3441">
        <v>100044</v>
      </c>
      <c r="BE525" s="3463">
        <v>88018575</v>
      </c>
      <c r="BF525" s="3538">
        <v>2.7</v>
      </c>
      <c r="BG525" s="3535">
        <v>37800</v>
      </c>
      <c r="BH525" s="3453"/>
      <c r="BI525" s="3470" t="s">
        <v>3476</v>
      </c>
      <c r="BJ525" s="3484">
        <v>37818</v>
      </c>
      <c r="BL525" s="3441" t="s">
        <v>3594</v>
      </c>
      <c r="BS525" s="3470"/>
      <c r="BT525" s="3470"/>
      <c r="BU525" s="3470"/>
      <c r="BV525" s="3472"/>
      <c r="BW525" s="3472"/>
      <c r="BX525" s="3472"/>
      <c r="BY525" s="3472"/>
      <c r="BZ525" s="3472"/>
      <c r="CA525" s="3472"/>
      <c r="CB525" s="3472"/>
      <c r="CC525" s="3472"/>
      <c r="CD525" s="3472"/>
      <c r="CE525" s="3472"/>
      <c r="CF525" s="3472"/>
      <c r="CG525" s="3472"/>
      <c r="CH525" s="3472"/>
      <c r="CI525" s="3472"/>
      <c r="CJ525" s="3472"/>
      <c r="CK525" s="3472"/>
      <c r="CL525" s="3472"/>
      <c r="CM525" s="3472"/>
      <c r="CN525" s="3472"/>
      <c r="CO525" s="3472"/>
      <c r="CP525" s="3472"/>
      <c r="CQ525" s="3472"/>
      <c r="CR525" s="3472"/>
      <c r="CS525" s="3472"/>
      <c r="CT525" s="3472"/>
      <c r="CU525" s="3472"/>
      <c r="CV525" s="3472"/>
      <c r="CW525" s="3472"/>
      <c r="CX525" s="3472"/>
      <c r="CY525" s="3472"/>
      <c r="CZ525" s="3472"/>
      <c r="DA525" s="3472"/>
      <c r="DB525" s="3472"/>
      <c r="DC525" s="3472"/>
      <c r="DD525" s="3472"/>
      <c r="DE525" s="3472"/>
      <c r="DF525" s="3472"/>
      <c r="DG525" s="3472"/>
      <c r="DH525" s="3472"/>
      <c r="DI525" s="3472"/>
      <c r="DJ525" s="3472"/>
      <c r="DK525" s="3472"/>
      <c r="DL525" s="3472"/>
      <c r="DM525" s="3472"/>
      <c r="DN525" s="3472"/>
      <c r="DO525" s="3472"/>
      <c r="DP525" s="3472"/>
      <c r="DQ525" s="3472"/>
      <c r="DR525" s="3472"/>
      <c r="DS525" s="3472"/>
      <c r="DT525" s="3472"/>
      <c r="DU525" s="3472"/>
      <c r="DV525" s="3472"/>
      <c r="DW525" s="3472"/>
      <c r="DX525" s="3472"/>
      <c r="DY525" s="3472"/>
      <c r="DZ525" s="3472"/>
      <c r="EA525" s="3472"/>
      <c r="EB525" s="3472"/>
      <c r="EC525" s="3472"/>
      <c r="ED525" s="3472"/>
      <c r="EE525" s="3472"/>
      <c r="EF525" s="3472"/>
      <c r="EG525" s="3472"/>
      <c r="EH525" s="3472"/>
      <c r="EI525" s="3472"/>
      <c r="EJ525" s="3472"/>
      <c r="EK525" s="3472"/>
      <c r="EL525" s="3472"/>
      <c r="EM525" s="3472"/>
      <c r="EN525" s="3472"/>
      <c r="EO525" s="3472"/>
      <c r="EP525" s="3472"/>
      <c r="EQ525" s="3472"/>
      <c r="ER525" s="3472"/>
      <c r="ES525" s="3472"/>
      <c r="ET525" s="3472"/>
      <c r="EU525" s="3472"/>
      <c r="EV525" s="3472"/>
      <c r="EW525" s="3472"/>
      <c r="EX525" s="3472"/>
      <c r="EY525" s="3472"/>
      <c r="EZ525" s="3472"/>
      <c r="FA525" s="3472"/>
      <c r="FB525" s="3472"/>
      <c r="FC525" s="3472"/>
      <c r="FD525" s="3472"/>
      <c r="FE525" s="3472"/>
      <c r="FF525" s="3472"/>
      <c r="FG525" s="3472"/>
      <c r="FH525" s="3472"/>
      <c r="FI525" s="3472"/>
      <c r="FJ525" s="3472"/>
      <c r="FK525" s="3472"/>
      <c r="FL525" s="3472"/>
      <c r="FM525" s="3472"/>
      <c r="FN525" s="3472"/>
      <c r="FO525" s="3472"/>
      <c r="FP525" s="3472"/>
      <c r="FQ525" s="3472"/>
      <c r="FR525" s="3472"/>
      <c r="FS525" s="3472"/>
      <c r="FT525" s="3472"/>
      <c r="FU525" s="3472"/>
      <c r="FV525" s="3472"/>
      <c r="FW525" s="3472"/>
      <c r="FX525" s="3472"/>
      <c r="FY525" s="3472"/>
      <c r="FZ525" s="3472"/>
      <c r="GA525" s="3472"/>
      <c r="GB525" s="3472"/>
      <c r="GC525" s="3472"/>
      <c r="GD525" s="3472"/>
      <c r="GE525" s="3472"/>
      <c r="GF525" s="3472"/>
      <c r="GG525" s="3472"/>
      <c r="GH525" s="3472"/>
      <c r="GI525" s="3472"/>
      <c r="GJ525" s="3472"/>
      <c r="GK525" s="3472"/>
      <c r="GL525" s="3472"/>
      <c r="GM525" s="3472"/>
      <c r="GN525" s="3472"/>
      <c r="GO525" s="3472"/>
      <c r="GP525" s="3472"/>
      <c r="GQ525" s="3472"/>
      <c r="GR525" s="3472"/>
      <c r="GS525" s="3472"/>
      <c r="GT525" s="3472"/>
      <c r="GU525" s="3472"/>
      <c r="GV525" s="3472"/>
      <c r="GW525" s="3472"/>
      <c r="GX525" s="3472"/>
      <c r="GY525" s="3472"/>
      <c r="GZ525" s="3472"/>
      <c r="HA525" s="3472"/>
      <c r="HB525" s="3472"/>
      <c r="HC525" s="3472"/>
      <c r="HD525" s="3472"/>
      <c r="HE525" s="3472"/>
      <c r="HF525" s="3472"/>
      <c r="HG525" s="3472"/>
      <c r="HH525" s="3472"/>
      <c r="HI525" s="3472"/>
      <c r="HJ525" s="3472"/>
      <c r="HK525" s="3472"/>
      <c r="HL525" s="3472"/>
      <c r="HM525" s="3472"/>
      <c r="HN525" s="3472"/>
      <c r="HO525" s="3472"/>
      <c r="HP525" s="3472"/>
      <c r="HQ525" s="3472"/>
      <c r="HR525" s="3472"/>
      <c r="HS525" s="3472"/>
      <c r="HT525" s="3472"/>
      <c r="HU525" s="3472"/>
      <c r="HV525" s="3472"/>
      <c r="HW525" s="3472"/>
      <c r="HX525" s="3472"/>
      <c r="HY525" s="3472"/>
      <c r="HZ525" s="3472"/>
      <c r="IA525" s="3472"/>
      <c r="IB525" s="3472"/>
      <c r="IC525" s="3472"/>
      <c r="ID525" s="3472"/>
      <c r="IE525" s="3472"/>
      <c r="IF525" s="3472"/>
      <c r="IG525" s="3472"/>
      <c r="IH525" s="3472"/>
      <c r="II525" s="3472"/>
      <c r="IJ525" s="3472"/>
      <c r="IK525" s="3472"/>
      <c r="IL525" s="3472"/>
      <c r="IM525" s="3472"/>
      <c r="IN525" s="3472"/>
      <c r="IO525" s="3472"/>
      <c r="IP525" s="3472"/>
      <c r="IQ525" s="3472"/>
      <c r="IR525" s="3472"/>
      <c r="IS525" s="3472"/>
    </row>
    <row r="526" spans="1:253" s="3657" customFormat="1" ht="12" hidden="1">
      <c r="A526" s="3643" t="s">
        <v>7431</v>
      </c>
      <c r="B526" s="3643" t="s">
        <v>7432</v>
      </c>
      <c r="C526" s="3644" t="s">
        <v>7433</v>
      </c>
      <c r="D526" s="3644" t="s">
        <v>7434</v>
      </c>
      <c r="E526" s="3643" t="s">
        <v>3763</v>
      </c>
      <c r="F526" s="3645" t="s">
        <v>6673</v>
      </c>
      <c r="G526" s="3643"/>
      <c r="H526" s="3646" t="s">
        <v>4148</v>
      </c>
      <c r="I526" s="3646" t="s">
        <v>3992</v>
      </c>
      <c r="J526" s="3647" t="s">
        <v>7435</v>
      </c>
      <c r="K526" s="3643" t="s">
        <v>6911</v>
      </c>
      <c r="L526" s="3648">
        <v>93.12</v>
      </c>
      <c r="M526" s="3648">
        <v>5</v>
      </c>
      <c r="N526" s="3649" t="s">
        <v>3486</v>
      </c>
      <c r="O526" s="3648">
        <v>81.25</v>
      </c>
      <c r="P526" s="3643" t="s">
        <v>3452</v>
      </c>
      <c r="Q526" s="3650">
        <v>388496.64000000001</v>
      </c>
      <c r="R526" s="3643">
        <v>4172</v>
      </c>
      <c r="S526" s="3651">
        <v>38.39</v>
      </c>
      <c r="T526" s="3652">
        <v>383900</v>
      </c>
      <c r="U526" s="3648">
        <v>4123</v>
      </c>
      <c r="V526" s="3653">
        <v>0.1</v>
      </c>
      <c r="W526" s="3654">
        <v>34.549999999999997</v>
      </c>
      <c r="X526" s="3655">
        <v>345500</v>
      </c>
      <c r="Y526" s="3656">
        <v>2003</v>
      </c>
      <c r="Z526" s="3657">
        <v>7</v>
      </c>
      <c r="AA526" s="3657">
        <v>18</v>
      </c>
      <c r="AB526" s="3658">
        <v>1915</v>
      </c>
      <c r="AC526" s="3643" t="s">
        <v>6891</v>
      </c>
      <c r="AD526" s="3649"/>
      <c r="AE526" s="3659" t="s">
        <v>2156</v>
      </c>
      <c r="AF526" s="3646" t="s">
        <v>7429</v>
      </c>
      <c r="AG526" s="3660" t="s">
        <v>3454</v>
      </c>
      <c r="AH526" s="3649"/>
      <c r="AI526" s="3643" t="s">
        <v>6972</v>
      </c>
      <c r="AJ526" s="3661">
        <v>38077</v>
      </c>
      <c r="AK526" s="3662">
        <v>7</v>
      </c>
      <c r="AL526" s="3656">
        <v>67641700</v>
      </c>
      <c r="AN526" s="3663" t="s">
        <v>3739</v>
      </c>
      <c r="AO526" s="3646" t="s">
        <v>2420</v>
      </c>
      <c r="AP526" s="3657" t="s">
        <v>3475</v>
      </c>
      <c r="AQ526" s="3659" t="s">
        <v>3571</v>
      </c>
      <c r="AU526" s="3648"/>
      <c r="AV526" s="3664"/>
      <c r="AW526" s="3643" t="s">
        <v>3458</v>
      </c>
      <c r="AX526" s="3657" t="s">
        <v>2420</v>
      </c>
      <c r="AY526" s="3665" t="s">
        <v>7436</v>
      </c>
      <c r="AZ526" s="3643" t="s">
        <v>6408</v>
      </c>
      <c r="BA526" s="3666" t="s">
        <v>7092</v>
      </c>
      <c r="BB526" s="3667">
        <v>1102281149818</v>
      </c>
      <c r="BC526" s="3657" t="s">
        <v>6414</v>
      </c>
      <c r="BD526" s="3657">
        <v>100044</v>
      </c>
      <c r="BE526" s="3666">
        <v>88018575</v>
      </c>
      <c r="BF526" s="3668">
        <v>2.7</v>
      </c>
      <c r="BG526" s="3664">
        <v>37786</v>
      </c>
      <c r="BH526" s="3646"/>
      <c r="BI526" s="3643" t="s">
        <v>3476</v>
      </c>
      <c r="BJ526" s="3669">
        <v>37818</v>
      </c>
      <c r="BL526" s="3657" t="s">
        <v>6897</v>
      </c>
      <c r="BP526" s="3441"/>
      <c r="BQ526" s="3441"/>
      <c r="BR526" s="3441"/>
      <c r="BS526" s="3470"/>
      <c r="BT526" s="3470"/>
      <c r="BU526" s="3470"/>
      <c r="BV526" s="3651"/>
      <c r="BW526" s="3651"/>
      <c r="BX526" s="3651"/>
      <c r="BY526" s="3651"/>
      <c r="BZ526" s="3651"/>
      <c r="CA526" s="3651"/>
      <c r="CB526" s="3651"/>
      <c r="CC526" s="3651"/>
      <c r="CD526" s="3651"/>
      <c r="CE526" s="3651"/>
      <c r="CF526" s="3651"/>
      <c r="CG526" s="3651"/>
      <c r="CH526" s="3651"/>
      <c r="CI526" s="3651"/>
      <c r="CJ526" s="3651"/>
      <c r="CK526" s="3651"/>
      <c r="CL526" s="3651"/>
      <c r="CM526" s="3651"/>
      <c r="CN526" s="3651"/>
      <c r="CO526" s="3651"/>
      <c r="CP526" s="3651"/>
      <c r="CQ526" s="3651"/>
      <c r="CR526" s="3651"/>
      <c r="CS526" s="3651"/>
      <c r="CT526" s="3651"/>
      <c r="CU526" s="3651"/>
      <c r="CV526" s="3651"/>
      <c r="CW526" s="3651"/>
      <c r="CX526" s="3651"/>
      <c r="CY526" s="3651"/>
      <c r="CZ526" s="3651"/>
      <c r="DA526" s="3651"/>
      <c r="DB526" s="3651"/>
      <c r="DC526" s="3651"/>
      <c r="DD526" s="3651"/>
      <c r="DE526" s="3651"/>
      <c r="DF526" s="3651"/>
      <c r="DG526" s="3651"/>
      <c r="DH526" s="3651"/>
      <c r="DI526" s="3651"/>
      <c r="DJ526" s="3651"/>
      <c r="DK526" s="3651"/>
      <c r="DL526" s="3651"/>
      <c r="DM526" s="3651"/>
      <c r="DN526" s="3651"/>
      <c r="DO526" s="3651"/>
      <c r="DP526" s="3651"/>
      <c r="DQ526" s="3651"/>
      <c r="DR526" s="3651"/>
      <c r="DS526" s="3651"/>
      <c r="DT526" s="3651"/>
      <c r="DU526" s="3651"/>
      <c r="DV526" s="3651"/>
      <c r="DW526" s="3651"/>
      <c r="DX526" s="3651"/>
      <c r="DY526" s="3651"/>
      <c r="DZ526" s="3651"/>
      <c r="EA526" s="3651"/>
      <c r="EB526" s="3651"/>
      <c r="EC526" s="3651"/>
      <c r="ED526" s="3651"/>
      <c r="EE526" s="3651"/>
      <c r="EF526" s="3651"/>
      <c r="EG526" s="3651"/>
      <c r="EH526" s="3651"/>
      <c r="EI526" s="3651"/>
      <c r="EJ526" s="3651"/>
      <c r="EK526" s="3651"/>
      <c r="EL526" s="3651"/>
      <c r="EM526" s="3651"/>
      <c r="EN526" s="3651"/>
      <c r="EO526" s="3651"/>
      <c r="EP526" s="3651"/>
      <c r="EQ526" s="3651"/>
      <c r="ER526" s="3651"/>
      <c r="ES526" s="3651"/>
      <c r="ET526" s="3651"/>
      <c r="EU526" s="3651"/>
      <c r="EV526" s="3651"/>
      <c r="EW526" s="3651"/>
      <c r="EX526" s="3651"/>
      <c r="EY526" s="3651"/>
      <c r="EZ526" s="3651"/>
      <c r="FA526" s="3651"/>
      <c r="FB526" s="3651"/>
      <c r="FC526" s="3651"/>
      <c r="FD526" s="3651"/>
      <c r="FE526" s="3651"/>
      <c r="FF526" s="3651"/>
      <c r="FG526" s="3651"/>
      <c r="FH526" s="3651"/>
      <c r="FI526" s="3651"/>
      <c r="FJ526" s="3651"/>
      <c r="FK526" s="3651"/>
      <c r="FL526" s="3651"/>
      <c r="FM526" s="3651"/>
      <c r="FN526" s="3651"/>
      <c r="FO526" s="3651"/>
      <c r="FP526" s="3651"/>
      <c r="FQ526" s="3651"/>
      <c r="FR526" s="3651"/>
      <c r="FS526" s="3651"/>
      <c r="FT526" s="3651"/>
      <c r="FU526" s="3651"/>
      <c r="FV526" s="3651"/>
      <c r="FW526" s="3651"/>
      <c r="FX526" s="3651"/>
      <c r="FY526" s="3651"/>
      <c r="FZ526" s="3651"/>
      <c r="GA526" s="3651"/>
      <c r="GB526" s="3651"/>
      <c r="GC526" s="3651"/>
      <c r="GD526" s="3651"/>
      <c r="GE526" s="3651"/>
      <c r="GF526" s="3651"/>
      <c r="GG526" s="3651"/>
      <c r="GH526" s="3651"/>
      <c r="GI526" s="3651"/>
      <c r="GJ526" s="3651"/>
      <c r="GK526" s="3651"/>
      <c r="GL526" s="3651"/>
      <c r="GM526" s="3651"/>
      <c r="GN526" s="3651"/>
      <c r="GO526" s="3651"/>
      <c r="GP526" s="3651"/>
      <c r="GQ526" s="3651"/>
      <c r="GR526" s="3651"/>
      <c r="GS526" s="3651"/>
      <c r="GT526" s="3651"/>
      <c r="GU526" s="3651"/>
      <c r="GV526" s="3651"/>
      <c r="GW526" s="3651"/>
      <c r="GX526" s="3651"/>
      <c r="GY526" s="3651"/>
      <c r="GZ526" s="3651"/>
      <c r="HA526" s="3651"/>
      <c r="HB526" s="3651"/>
      <c r="HC526" s="3651"/>
      <c r="HD526" s="3651"/>
      <c r="HE526" s="3651"/>
      <c r="HF526" s="3651"/>
      <c r="HG526" s="3651"/>
      <c r="HH526" s="3651"/>
      <c r="HI526" s="3651"/>
      <c r="HJ526" s="3651"/>
      <c r="HK526" s="3651"/>
      <c r="HL526" s="3651"/>
      <c r="HM526" s="3651"/>
      <c r="HN526" s="3651"/>
      <c r="HO526" s="3651"/>
      <c r="HP526" s="3651"/>
      <c r="HQ526" s="3651"/>
      <c r="HR526" s="3651"/>
      <c r="HS526" s="3651"/>
      <c r="HT526" s="3651"/>
      <c r="HU526" s="3651"/>
      <c r="HV526" s="3651"/>
      <c r="HW526" s="3651"/>
      <c r="HX526" s="3651"/>
      <c r="HY526" s="3651"/>
      <c r="HZ526" s="3651"/>
      <c r="IA526" s="3651"/>
      <c r="IB526" s="3651"/>
      <c r="IC526" s="3651"/>
      <c r="ID526" s="3651"/>
      <c r="IE526" s="3651"/>
      <c r="IF526" s="3651"/>
      <c r="IG526" s="3651"/>
      <c r="IH526" s="3651"/>
      <c r="II526" s="3651"/>
      <c r="IJ526" s="3651"/>
      <c r="IK526" s="3651"/>
      <c r="IL526" s="3651"/>
      <c r="IM526" s="3651"/>
      <c r="IN526" s="3651"/>
      <c r="IO526" s="3651"/>
      <c r="IP526" s="3651"/>
      <c r="IQ526" s="3651"/>
      <c r="IR526" s="3651"/>
      <c r="IS526" s="3651"/>
    </row>
    <row r="527" spans="1:253" s="3441" customFormat="1" ht="12" hidden="1">
      <c r="A527" s="3453" t="s">
        <v>7437</v>
      </c>
      <c r="B527" s="3470" t="s">
        <v>7438</v>
      </c>
      <c r="C527" s="3481" t="s">
        <v>7439</v>
      </c>
      <c r="D527" s="3456">
        <v>13651256815</v>
      </c>
      <c r="E527" s="3470" t="s">
        <v>3558</v>
      </c>
      <c r="F527" s="3470" t="s">
        <v>6574</v>
      </c>
      <c r="G527" s="3470"/>
      <c r="H527" s="3470" t="s">
        <v>7440</v>
      </c>
      <c r="I527" s="3470"/>
      <c r="J527" s="3470" t="s">
        <v>7441</v>
      </c>
      <c r="K527" s="3470" t="s">
        <v>5876</v>
      </c>
      <c r="L527" s="3470">
        <v>75.209999999999994</v>
      </c>
      <c r="M527" s="3470">
        <v>6</v>
      </c>
      <c r="N527" s="3470" t="s">
        <v>3489</v>
      </c>
      <c r="O527" s="3453">
        <v>60.75</v>
      </c>
      <c r="P527" s="3453" t="s">
        <v>3452</v>
      </c>
      <c r="Q527" s="3457">
        <v>564075</v>
      </c>
      <c r="R527" s="3470">
        <v>7500</v>
      </c>
      <c r="S527" s="3472">
        <v>55.89</v>
      </c>
      <c r="T527" s="3527">
        <v>558900</v>
      </c>
      <c r="U527" s="3495">
        <v>7432</v>
      </c>
      <c r="V527" s="3512">
        <v>0.1</v>
      </c>
      <c r="W527" s="3475">
        <v>50.3</v>
      </c>
      <c r="X527" s="3473">
        <v>503000</v>
      </c>
      <c r="Y527" s="3515">
        <v>2003</v>
      </c>
      <c r="Z527" s="3515">
        <v>7</v>
      </c>
      <c r="AA527" s="3470">
        <v>18</v>
      </c>
      <c r="AB527" s="3477">
        <v>2790</v>
      </c>
      <c r="AC527" s="3470" t="s">
        <v>7442</v>
      </c>
      <c r="AD527" s="3470"/>
      <c r="AE527" s="3453" t="s">
        <v>6906</v>
      </c>
      <c r="AF527" s="3453" t="s">
        <v>6957</v>
      </c>
      <c r="AG527" s="3470" t="s">
        <v>3466</v>
      </c>
      <c r="AH527" s="3470"/>
      <c r="AI527" s="3470" t="s">
        <v>4849</v>
      </c>
      <c r="AJ527" s="3478">
        <v>37924</v>
      </c>
      <c r="AK527" s="3500">
        <v>7</v>
      </c>
      <c r="AL527" s="3470">
        <v>67641700</v>
      </c>
      <c r="AM527" s="3470"/>
      <c r="AN527" s="3456" t="s">
        <v>7284</v>
      </c>
      <c r="AO527" s="3470"/>
      <c r="AP527" s="3456" t="s">
        <v>3721</v>
      </c>
      <c r="AQ527" s="3470" t="s">
        <v>3571</v>
      </c>
      <c r="AR527" s="3470"/>
      <c r="AS527" s="3470"/>
      <c r="AT527" s="3470"/>
      <c r="AU527" s="3470"/>
      <c r="AV527" s="3470" t="s">
        <v>3568</v>
      </c>
      <c r="AW527" s="3470" t="s">
        <v>3572</v>
      </c>
      <c r="AX527" s="3470" t="s">
        <v>2511</v>
      </c>
      <c r="AY527" s="3470">
        <v>285866</v>
      </c>
      <c r="AZ527" s="3470" t="s">
        <v>5876</v>
      </c>
      <c r="BA527" s="3470" t="s">
        <v>5877</v>
      </c>
      <c r="BB527" s="3470" t="s">
        <v>5878</v>
      </c>
      <c r="BC527" s="3470" t="s">
        <v>5879</v>
      </c>
      <c r="BD527" s="3470">
        <v>100036</v>
      </c>
      <c r="BE527" s="3470">
        <v>68213297</v>
      </c>
      <c r="BF527" s="3520">
        <v>2.7</v>
      </c>
      <c r="BG527" s="3478">
        <v>37804</v>
      </c>
      <c r="BH527" s="3470"/>
      <c r="BI527" s="3470" t="s">
        <v>3713</v>
      </c>
      <c r="BJ527" s="3478">
        <v>37818</v>
      </c>
      <c r="BK527" s="3470"/>
      <c r="BL527" s="3441" t="s">
        <v>3670</v>
      </c>
      <c r="BS527" s="3470"/>
      <c r="BT527" s="3470"/>
      <c r="BU527" s="3470"/>
      <c r="BV527" s="3470"/>
      <c r="BW527" s="3470"/>
      <c r="BX527" s="3470"/>
      <c r="BY527" s="3470"/>
      <c r="BZ527" s="3470"/>
      <c r="CA527" s="3470"/>
      <c r="CB527" s="3470"/>
      <c r="CC527" s="3470"/>
      <c r="CD527" s="3470"/>
      <c r="CE527" s="3470"/>
      <c r="CF527" s="3470"/>
      <c r="CG527" s="3470"/>
      <c r="CH527" s="3470"/>
      <c r="CI527" s="3470"/>
      <c r="CJ527" s="3470"/>
      <c r="CK527" s="3470"/>
      <c r="CL527" s="3470"/>
      <c r="CM527" s="3470"/>
      <c r="CN527" s="3470"/>
      <c r="CO527" s="3470"/>
      <c r="CP527" s="3470"/>
      <c r="CQ527" s="3470"/>
      <c r="CR527" s="3470"/>
      <c r="CS527" s="3470"/>
      <c r="CT527" s="3470"/>
      <c r="CU527" s="3470"/>
      <c r="CV527" s="3470"/>
      <c r="CW527" s="3470"/>
      <c r="CX527" s="3470"/>
      <c r="CY527" s="3470"/>
      <c r="CZ527" s="3470"/>
      <c r="DA527" s="3470"/>
      <c r="DB527" s="3470"/>
      <c r="DC527" s="3470"/>
      <c r="DD527" s="3470"/>
      <c r="DE527" s="3470"/>
      <c r="DF527" s="3470"/>
      <c r="DG527" s="3470"/>
      <c r="DH527" s="3470"/>
      <c r="DI527" s="3470"/>
      <c r="DJ527" s="3470"/>
      <c r="DK527" s="3470"/>
      <c r="DL527" s="3470"/>
      <c r="DM527" s="3470"/>
      <c r="DN527" s="3470"/>
      <c r="DO527" s="3470"/>
      <c r="DP527" s="3470"/>
      <c r="DQ527" s="3470"/>
      <c r="DR527" s="3470"/>
      <c r="DS527" s="3470"/>
      <c r="DT527" s="3470"/>
      <c r="DU527" s="3470"/>
      <c r="DV527" s="3470"/>
      <c r="DW527" s="3470"/>
      <c r="DX527" s="3470"/>
      <c r="DY527" s="3470"/>
      <c r="DZ527" s="3470"/>
      <c r="EA527" s="3470"/>
      <c r="EB527" s="3470"/>
      <c r="EC527" s="3470"/>
      <c r="ED527" s="3470"/>
      <c r="EE527" s="3470"/>
      <c r="EF527" s="3470"/>
      <c r="EG527" s="3470"/>
      <c r="EH527" s="3470"/>
      <c r="EI527" s="3470"/>
      <c r="EJ527" s="3470"/>
      <c r="EK527" s="3470"/>
      <c r="EL527" s="3470"/>
      <c r="EM527" s="3470"/>
      <c r="EN527" s="3470"/>
      <c r="EO527" s="3470"/>
      <c r="EP527" s="3470"/>
      <c r="EQ527" s="3470"/>
      <c r="ER527" s="3470"/>
      <c r="ES527" s="3470"/>
      <c r="ET527" s="3470"/>
      <c r="EU527" s="3470"/>
      <c r="EV527" s="3470"/>
      <c r="EW527" s="3470"/>
      <c r="EX527" s="3470"/>
      <c r="EY527" s="3470"/>
      <c r="EZ527" s="3470"/>
      <c r="FA527" s="3470"/>
      <c r="FB527" s="3470"/>
      <c r="FC527" s="3470"/>
      <c r="FD527" s="3470"/>
      <c r="FE527" s="3470"/>
      <c r="FF527" s="3470"/>
      <c r="FG527" s="3470"/>
      <c r="FH527" s="3470"/>
      <c r="FI527" s="3470"/>
      <c r="FJ527" s="3470"/>
      <c r="FK527" s="3470"/>
      <c r="FL527" s="3470"/>
      <c r="FM527" s="3470"/>
      <c r="FN527" s="3470"/>
      <c r="FO527" s="3470"/>
      <c r="FP527" s="3470"/>
      <c r="FQ527" s="3470"/>
      <c r="FR527" s="3470"/>
      <c r="FS527" s="3470"/>
      <c r="FT527" s="3470"/>
      <c r="FU527" s="3470"/>
      <c r="FV527" s="3470"/>
      <c r="FW527" s="3470"/>
      <c r="FX527" s="3470"/>
      <c r="FY527" s="3470"/>
      <c r="FZ527" s="3470"/>
      <c r="GA527" s="3470"/>
      <c r="GB527" s="3470"/>
      <c r="GC527" s="3470"/>
      <c r="GD527" s="3470"/>
      <c r="GE527" s="3470"/>
      <c r="GF527" s="3470"/>
      <c r="GG527" s="3470"/>
      <c r="GH527" s="3470"/>
      <c r="GI527" s="3470"/>
      <c r="GJ527" s="3470"/>
      <c r="GK527" s="3470"/>
      <c r="GL527" s="3470"/>
      <c r="GM527" s="3470"/>
      <c r="GN527" s="3470"/>
      <c r="GO527" s="3470"/>
      <c r="GP527" s="3470"/>
      <c r="GQ527" s="3470"/>
      <c r="GR527" s="3470"/>
      <c r="GS527" s="3470"/>
      <c r="GT527" s="3470"/>
      <c r="GU527" s="3470"/>
      <c r="GV527" s="3470"/>
      <c r="GW527" s="3470"/>
      <c r="GX527" s="3470"/>
      <c r="GY527" s="3470"/>
      <c r="GZ527" s="3470"/>
      <c r="HA527" s="3470"/>
      <c r="HB527" s="3470"/>
      <c r="HC527" s="3470"/>
      <c r="HD527" s="3470"/>
      <c r="HE527" s="3470"/>
      <c r="HF527" s="3470"/>
      <c r="HG527" s="3470"/>
      <c r="HH527" s="3470"/>
      <c r="HI527" s="3470"/>
      <c r="HJ527" s="3470"/>
      <c r="HK527" s="3470"/>
      <c r="HL527" s="3470"/>
      <c r="HM527" s="3470"/>
      <c r="HN527" s="3470"/>
      <c r="HO527" s="3470"/>
      <c r="HP527" s="3470"/>
      <c r="HQ527" s="3470"/>
      <c r="HR527" s="3470"/>
      <c r="HS527" s="3470"/>
      <c r="HT527" s="3470"/>
      <c r="HU527" s="3470"/>
      <c r="HV527" s="3470"/>
      <c r="HW527" s="3470"/>
      <c r="HX527" s="3470"/>
      <c r="HY527" s="3470"/>
      <c r="HZ527" s="3470"/>
      <c r="IA527" s="3470"/>
      <c r="IB527" s="3470"/>
      <c r="IC527" s="3470"/>
      <c r="ID527" s="3470"/>
      <c r="IE527" s="3470"/>
      <c r="IF527" s="3470"/>
      <c r="IG527" s="3470"/>
      <c r="IH527" s="3470"/>
      <c r="II527" s="3470"/>
      <c r="IJ527" s="3470"/>
      <c r="IK527" s="3470"/>
      <c r="IL527" s="3470"/>
      <c r="IM527" s="3470"/>
      <c r="IN527" s="3470"/>
      <c r="IO527" s="3470"/>
      <c r="IP527" s="3470"/>
      <c r="IQ527" s="3470"/>
      <c r="IR527" s="3470"/>
      <c r="IS527" s="3470"/>
    </row>
    <row r="528" spans="1:253" s="3441" customFormat="1" ht="13.2" hidden="1">
      <c r="A528" s="3485" t="s">
        <v>7443</v>
      </c>
      <c r="B528" s="3470" t="s">
        <v>7444</v>
      </c>
      <c r="C528" s="3481" t="s">
        <v>7445</v>
      </c>
      <c r="D528" s="3481" t="s">
        <v>7446</v>
      </c>
      <c r="E528" s="3470" t="s">
        <v>2736</v>
      </c>
      <c r="F528" s="3528" t="s">
        <v>7113</v>
      </c>
      <c r="G528" s="3470"/>
      <c r="H528" s="3470" t="s">
        <v>7123</v>
      </c>
      <c r="I528" s="3470" t="s">
        <v>7322</v>
      </c>
      <c r="J528" s="3481" t="s">
        <v>3474</v>
      </c>
      <c r="K528" s="3470" t="s">
        <v>4507</v>
      </c>
      <c r="L528" s="3470">
        <v>64.459999999999994</v>
      </c>
      <c r="M528" s="3470">
        <v>5</v>
      </c>
      <c r="N528" s="3470" t="s">
        <v>6871</v>
      </c>
      <c r="O528" s="3470">
        <v>54.08</v>
      </c>
      <c r="P528" s="3470" t="s">
        <v>3452</v>
      </c>
      <c r="Q528" s="3457">
        <v>248815.59999999998</v>
      </c>
      <c r="R528" s="3470">
        <v>3860</v>
      </c>
      <c r="S528" s="3472">
        <v>24.57</v>
      </c>
      <c r="T528" s="3527">
        <v>245700</v>
      </c>
      <c r="U528" s="3495">
        <v>3813</v>
      </c>
      <c r="V528" s="3474">
        <v>0.1</v>
      </c>
      <c r="W528" s="3475">
        <v>22.11</v>
      </c>
      <c r="X528" s="3476">
        <v>221100</v>
      </c>
      <c r="Y528" s="3441">
        <v>2003</v>
      </c>
      <c r="Z528" s="3441">
        <v>7</v>
      </c>
      <c r="AA528" s="3441">
        <v>18</v>
      </c>
      <c r="AB528" s="3477">
        <v>1225</v>
      </c>
      <c r="AC528" s="3470" t="s">
        <v>5463</v>
      </c>
      <c r="AD528" s="3485"/>
      <c r="AE528" s="3441" t="s">
        <v>3663</v>
      </c>
      <c r="AF528" s="3470" t="s">
        <v>7125</v>
      </c>
      <c r="AG528" s="3522" t="s">
        <v>3466</v>
      </c>
      <c r="AH528" s="3485"/>
      <c r="AI528" s="3470" t="s">
        <v>6439</v>
      </c>
      <c r="AJ528" s="3523">
        <v>37865</v>
      </c>
      <c r="AK528" s="3479">
        <v>7</v>
      </c>
      <c r="AL528" s="3441">
        <v>67641700</v>
      </c>
      <c r="AN528" s="3456" t="s">
        <v>3739</v>
      </c>
      <c r="AP528" s="3441" t="s">
        <v>3476</v>
      </c>
      <c r="AQ528" s="3441" t="s">
        <v>3571</v>
      </c>
      <c r="AW528" s="3441" t="s">
        <v>3572</v>
      </c>
      <c r="AY528" s="3524" t="s">
        <v>7447</v>
      </c>
      <c r="AZ528" s="3441" t="s">
        <v>7036</v>
      </c>
      <c r="BA528" s="3441" t="s">
        <v>4508</v>
      </c>
      <c r="BB528" s="3524" t="s">
        <v>7117</v>
      </c>
      <c r="BC528" s="3441" t="s">
        <v>4509</v>
      </c>
      <c r="BD528" s="3525">
        <v>100083</v>
      </c>
      <c r="BE528" s="3441">
        <v>82355171</v>
      </c>
      <c r="BF528" s="3526">
        <v>2.7</v>
      </c>
      <c r="BG528" s="3518">
        <v>37803</v>
      </c>
      <c r="BH528" s="3441" t="s">
        <v>4681</v>
      </c>
      <c r="BI528" s="3463" t="s">
        <v>7144</v>
      </c>
      <c r="BJ528" s="3514">
        <v>37813</v>
      </c>
      <c r="BK528" s="3484"/>
      <c r="BL528" s="3441" t="s">
        <v>3594</v>
      </c>
      <c r="BS528" s="3470"/>
      <c r="BT528" s="3470"/>
      <c r="BU528" s="3470"/>
    </row>
    <row r="529" spans="1:253" s="3470" customFormat="1" ht="12" hidden="1">
      <c r="A529" s="3470" t="s">
        <v>7448</v>
      </c>
      <c r="B529" s="3470" t="s">
        <v>7449</v>
      </c>
      <c r="C529" s="3470" t="s">
        <v>7450</v>
      </c>
      <c r="D529" s="3470" t="s">
        <v>7451</v>
      </c>
      <c r="E529" s="3470" t="s">
        <v>3558</v>
      </c>
      <c r="F529" s="3470" t="s">
        <v>4758</v>
      </c>
      <c r="H529" s="3470" t="s">
        <v>3979</v>
      </c>
      <c r="I529" s="3470" t="s">
        <v>4001</v>
      </c>
      <c r="J529" s="3470" t="s">
        <v>5122</v>
      </c>
      <c r="K529" s="3470" t="s">
        <v>4760</v>
      </c>
      <c r="L529" s="3470">
        <v>125.07</v>
      </c>
      <c r="M529" s="3470">
        <v>3</v>
      </c>
      <c r="N529" s="3470" t="s">
        <v>3738</v>
      </c>
      <c r="O529" s="3470">
        <v>108.7</v>
      </c>
      <c r="P529" s="3470" t="s">
        <v>3452</v>
      </c>
      <c r="Q529" s="3470">
        <v>585665.28899999999</v>
      </c>
      <c r="R529" s="3470">
        <v>4682.7</v>
      </c>
      <c r="S529" s="3470">
        <v>57.95</v>
      </c>
      <c r="T529" s="3470">
        <v>579500</v>
      </c>
      <c r="U529" s="3470">
        <v>4634</v>
      </c>
      <c r="V529" s="3470">
        <v>0.1</v>
      </c>
      <c r="W529" s="3470">
        <v>52.15</v>
      </c>
      <c r="X529" s="3470">
        <v>521500</v>
      </c>
      <c r="Y529" s="3470">
        <v>2003</v>
      </c>
      <c r="Z529" s="3470">
        <v>8</v>
      </c>
      <c r="AA529" s="3470">
        <v>4</v>
      </c>
      <c r="AB529" s="3470">
        <v>2895</v>
      </c>
      <c r="AC529" s="3470" t="s">
        <v>3693</v>
      </c>
      <c r="AE529" s="3470" t="s">
        <v>3663</v>
      </c>
      <c r="AF529" s="3470" t="s">
        <v>3728</v>
      </c>
      <c r="AG529" s="3470" t="s">
        <v>3466</v>
      </c>
      <c r="AH529" s="3470" t="s">
        <v>3568</v>
      </c>
      <c r="AI529" s="3470" t="s">
        <v>5021</v>
      </c>
      <c r="AJ529" s="3470">
        <v>38107</v>
      </c>
      <c r="AK529" s="3470">
        <v>8</v>
      </c>
      <c r="AL529" s="3470">
        <v>67641700</v>
      </c>
      <c r="AN529" s="3470" t="s">
        <v>3695</v>
      </c>
      <c r="AO529" s="3470" t="s">
        <v>7452</v>
      </c>
      <c r="AP529" s="3470" t="s">
        <v>3476</v>
      </c>
      <c r="AQ529" s="3470" t="s">
        <v>3571</v>
      </c>
      <c r="AV529" s="3470" t="s">
        <v>3568</v>
      </c>
      <c r="AW529" s="3470" t="s">
        <v>3572</v>
      </c>
      <c r="AX529" s="3470" t="s">
        <v>2511</v>
      </c>
      <c r="AY529" s="3481" t="s">
        <v>7453</v>
      </c>
      <c r="AZ529" s="3470" t="s">
        <v>4760</v>
      </c>
      <c r="BA529" s="3470" t="s">
        <v>4763</v>
      </c>
      <c r="BB529" s="3481" t="s">
        <v>4764</v>
      </c>
      <c r="BC529" s="3470" t="s">
        <v>4765</v>
      </c>
      <c r="BD529" s="3482">
        <v>102607</v>
      </c>
      <c r="BE529" s="3470">
        <v>68156287</v>
      </c>
      <c r="BF529" s="3483">
        <v>2.8</v>
      </c>
      <c r="BG529" s="3478">
        <v>37808</v>
      </c>
      <c r="BI529" s="3470" t="s">
        <v>3476</v>
      </c>
      <c r="BJ529" s="3508">
        <v>37833</v>
      </c>
      <c r="BK529" s="3508"/>
      <c r="BL529" s="3470" t="s">
        <v>3670</v>
      </c>
      <c r="BP529" s="3441"/>
      <c r="BQ529" s="3441"/>
      <c r="BR529" s="3441"/>
    </row>
    <row r="530" spans="1:253" s="3441" customFormat="1" ht="13.2" hidden="1">
      <c r="A530" s="3485" t="s">
        <v>7454</v>
      </c>
      <c r="B530" s="3470" t="s">
        <v>7455</v>
      </c>
      <c r="C530" s="3481" t="s">
        <v>7456</v>
      </c>
      <c r="D530" s="3481" t="s">
        <v>7457</v>
      </c>
      <c r="E530" s="3470" t="s">
        <v>2736</v>
      </c>
      <c r="F530" s="3528" t="s">
        <v>7113</v>
      </c>
      <c r="G530" s="3470"/>
      <c r="H530" s="3470" t="s">
        <v>7458</v>
      </c>
      <c r="I530" s="3470" t="s">
        <v>3992</v>
      </c>
      <c r="J530" s="3481" t="s">
        <v>6489</v>
      </c>
      <c r="K530" s="3470" t="s">
        <v>4507</v>
      </c>
      <c r="L530" s="3470">
        <v>66.930000000000007</v>
      </c>
      <c r="M530" s="3470">
        <v>9</v>
      </c>
      <c r="N530" s="3470" t="s">
        <v>3489</v>
      </c>
      <c r="O530" s="3470">
        <v>54.45</v>
      </c>
      <c r="P530" s="3470" t="s">
        <v>3452</v>
      </c>
      <c r="Q530" s="3457">
        <v>251656.80000000002</v>
      </c>
      <c r="R530" s="3470">
        <v>3760</v>
      </c>
      <c r="S530" s="3472">
        <v>24.85</v>
      </c>
      <c r="T530" s="3527">
        <v>248500</v>
      </c>
      <c r="U530" s="3495">
        <v>3713</v>
      </c>
      <c r="V530" s="3474">
        <v>0.1</v>
      </c>
      <c r="W530" s="3475">
        <v>22.36</v>
      </c>
      <c r="X530" s="3476">
        <v>223600</v>
      </c>
      <c r="Y530" s="3441">
        <v>2003</v>
      </c>
      <c r="Z530" s="3441">
        <v>7</v>
      </c>
      <c r="AA530" s="3441">
        <v>18</v>
      </c>
      <c r="AB530" s="3477">
        <v>1240</v>
      </c>
      <c r="AC530" s="3470" t="s">
        <v>7459</v>
      </c>
      <c r="AD530" s="3485"/>
      <c r="AE530" s="3441" t="s">
        <v>3663</v>
      </c>
      <c r="AF530" s="3470" t="s">
        <v>6065</v>
      </c>
      <c r="AG530" s="3522" t="s">
        <v>3466</v>
      </c>
      <c r="AH530" s="3485"/>
      <c r="AI530" s="3470" t="s">
        <v>6439</v>
      </c>
      <c r="AJ530" s="3523">
        <v>37858</v>
      </c>
      <c r="AK530" s="3479">
        <v>7</v>
      </c>
      <c r="AL530" s="3441">
        <v>67641700</v>
      </c>
      <c r="AN530" s="3456" t="s">
        <v>3739</v>
      </c>
      <c r="AP530" s="3441" t="s">
        <v>3476</v>
      </c>
      <c r="AQ530" s="3441" t="s">
        <v>3571</v>
      </c>
      <c r="AW530" s="3441" t="s">
        <v>3572</v>
      </c>
      <c r="AY530" s="3524" t="s">
        <v>7460</v>
      </c>
      <c r="AZ530" s="3441" t="s">
        <v>7115</v>
      </c>
      <c r="BA530" s="3441" t="s">
        <v>7108</v>
      </c>
      <c r="BB530" s="3524" t="s">
        <v>7117</v>
      </c>
      <c r="BC530" s="3441" t="s">
        <v>4509</v>
      </c>
      <c r="BD530" s="3525">
        <v>100083</v>
      </c>
      <c r="BE530" s="3441">
        <v>82355171</v>
      </c>
      <c r="BF530" s="3526">
        <v>2.7</v>
      </c>
      <c r="BG530" s="3518">
        <v>37797</v>
      </c>
      <c r="BH530" s="3441" t="s">
        <v>4681</v>
      </c>
      <c r="BI530" s="3463" t="s">
        <v>7144</v>
      </c>
      <c r="BJ530" s="3484">
        <v>37818</v>
      </c>
      <c r="BK530" s="3484"/>
      <c r="BL530" s="3441" t="s">
        <v>3594</v>
      </c>
      <c r="BS530" s="3470"/>
      <c r="BT530" s="3470"/>
      <c r="BU530" s="3470"/>
    </row>
    <row r="531" spans="1:253" s="3441" customFormat="1" ht="12" hidden="1">
      <c r="A531" s="3530" t="s">
        <v>7461</v>
      </c>
      <c r="B531" s="3470" t="s">
        <v>7462</v>
      </c>
      <c r="C531" s="3481" t="s">
        <v>7463</v>
      </c>
      <c r="D531" s="3453">
        <v>62278560</v>
      </c>
      <c r="E531" s="3470" t="s">
        <v>3763</v>
      </c>
      <c r="F531" s="3528" t="s">
        <v>6366</v>
      </c>
      <c r="G531" s="3470"/>
      <c r="H531" s="3470" t="s">
        <v>4262</v>
      </c>
      <c r="I531" s="3453" t="s">
        <v>3582</v>
      </c>
      <c r="J531" s="3481" t="s">
        <v>4325</v>
      </c>
      <c r="K531" s="3441" t="s">
        <v>6369</v>
      </c>
      <c r="L531" s="3470">
        <v>104.38</v>
      </c>
      <c r="M531" s="3470">
        <v>5</v>
      </c>
      <c r="N531" s="3470" t="s">
        <v>7464</v>
      </c>
      <c r="O531" s="3470">
        <v>92.85</v>
      </c>
      <c r="P531" s="3470" t="s">
        <v>3452</v>
      </c>
      <c r="Q531" s="3457">
        <v>534947.5</v>
      </c>
      <c r="R531" s="3470">
        <v>5125</v>
      </c>
      <c r="S531" s="3472">
        <v>52.97</v>
      </c>
      <c r="T531" s="3527">
        <v>529700</v>
      </c>
      <c r="U531" s="3495">
        <v>5075</v>
      </c>
      <c r="V531" s="3512">
        <v>0.1</v>
      </c>
      <c r="W531" s="3475">
        <v>47.67</v>
      </c>
      <c r="X531" s="3473">
        <v>476700</v>
      </c>
      <c r="Y531" s="3515">
        <v>2003</v>
      </c>
      <c r="Z531" s="3441">
        <v>7</v>
      </c>
      <c r="AA531" s="3515">
        <v>21</v>
      </c>
      <c r="AB531" s="3477">
        <v>2645</v>
      </c>
      <c r="AC531" s="3470" t="s">
        <v>6891</v>
      </c>
      <c r="AD531" s="3485"/>
      <c r="AE531" s="3441" t="s">
        <v>3663</v>
      </c>
      <c r="AF531" s="3453" t="s">
        <v>4126</v>
      </c>
      <c r="AG531" s="3522" t="s">
        <v>3466</v>
      </c>
      <c r="AH531" s="3485" t="s">
        <v>3568</v>
      </c>
      <c r="AI531" s="3470" t="s">
        <v>3664</v>
      </c>
      <c r="AJ531" s="3523">
        <v>37986</v>
      </c>
      <c r="AK531" s="3500">
        <v>7</v>
      </c>
      <c r="AL531" s="3441">
        <v>67641700</v>
      </c>
      <c r="AN531" s="3469" t="s">
        <v>3680</v>
      </c>
      <c r="AP531" s="3441" t="s">
        <v>3476</v>
      </c>
      <c r="AQ531" s="3441" t="s">
        <v>3571</v>
      </c>
      <c r="AV531" s="3441" t="s">
        <v>3568</v>
      </c>
      <c r="AW531" s="3441" t="s">
        <v>3572</v>
      </c>
      <c r="AY531" s="3524" t="s">
        <v>7465</v>
      </c>
      <c r="AZ531" s="3441" t="s">
        <v>6367</v>
      </c>
      <c r="BA531" s="3441" t="s">
        <v>6391</v>
      </c>
      <c r="BB531" s="3524" t="s">
        <v>6371</v>
      </c>
      <c r="BC531" s="3441" t="s">
        <v>7020</v>
      </c>
      <c r="BD531" s="3525">
        <v>100025</v>
      </c>
      <c r="BE531" s="3441">
        <v>62908858</v>
      </c>
      <c r="BF531" s="3526">
        <v>2.7</v>
      </c>
      <c r="BG531" s="3518">
        <v>37734</v>
      </c>
      <c r="BH531" s="3441" t="s">
        <v>3758</v>
      </c>
      <c r="BI531" s="3441" t="s">
        <v>3476</v>
      </c>
      <c r="BJ531" s="3508">
        <v>37820</v>
      </c>
      <c r="BK531" s="3484"/>
      <c r="BL531" s="3470" t="s">
        <v>3670</v>
      </c>
      <c r="BS531" s="3470"/>
      <c r="BT531" s="3470"/>
      <c r="BU531" s="3470"/>
      <c r="BV531" s="3472"/>
      <c r="BW531" s="3472"/>
      <c r="BX531" s="3472"/>
      <c r="BY531" s="3472"/>
      <c r="BZ531" s="3472"/>
      <c r="CA531" s="3472"/>
      <c r="CB531" s="3472"/>
      <c r="CC531" s="3472"/>
      <c r="CD531" s="3472"/>
      <c r="CE531" s="3472"/>
      <c r="CF531" s="3472"/>
      <c r="CG531" s="3472"/>
      <c r="CH531" s="3472"/>
      <c r="CI531" s="3472"/>
      <c r="CJ531" s="3472"/>
      <c r="CK531" s="3472"/>
      <c r="CL531" s="3472"/>
      <c r="CM531" s="3472"/>
      <c r="CN531" s="3472"/>
      <c r="CO531" s="3472"/>
      <c r="CP531" s="3472"/>
      <c r="CQ531" s="3472"/>
      <c r="CR531" s="3472"/>
      <c r="CS531" s="3472"/>
      <c r="CT531" s="3472"/>
      <c r="CU531" s="3472"/>
      <c r="CV531" s="3472"/>
      <c r="CW531" s="3472"/>
      <c r="CX531" s="3472"/>
      <c r="CY531" s="3472"/>
      <c r="CZ531" s="3472"/>
      <c r="DA531" s="3472"/>
      <c r="DB531" s="3472"/>
      <c r="DC531" s="3472"/>
      <c r="DD531" s="3472"/>
      <c r="DE531" s="3472"/>
      <c r="DF531" s="3472"/>
      <c r="DG531" s="3472"/>
      <c r="DH531" s="3472"/>
      <c r="DI531" s="3472"/>
      <c r="DJ531" s="3472"/>
      <c r="DK531" s="3472"/>
      <c r="DL531" s="3472"/>
      <c r="DM531" s="3472"/>
      <c r="DN531" s="3472"/>
      <c r="DO531" s="3472"/>
      <c r="DP531" s="3472"/>
      <c r="DQ531" s="3472"/>
      <c r="DR531" s="3472"/>
      <c r="DS531" s="3472"/>
      <c r="DT531" s="3472"/>
      <c r="DU531" s="3472"/>
      <c r="DV531" s="3472"/>
      <c r="DW531" s="3472"/>
      <c r="DX531" s="3472"/>
      <c r="DY531" s="3472"/>
      <c r="DZ531" s="3472"/>
      <c r="EA531" s="3472"/>
      <c r="EB531" s="3472"/>
      <c r="EC531" s="3472"/>
      <c r="ED531" s="3472"/>
      <c r="EE531" s="3472"/>
      <c r="EF531" s="3472"/>
      <c r="EG531" s="3472"/>
      <c r="EH531" s="3472"/>
      <c r="EI531" s="3472"/>
      <c r="EJ531" s="3472"/>
      <c r="EK531" s="3472"/>
      <c r="EL531" s="3472"/>
      <c r="EM531" s="3472"/>
      <c r="EN531" s="3472"/>
      <c r="EO531" s="3472"/>
      <c r="EP531" s="3472"/>
      <c r="EQ531" s="3472"/>
      <c r="ER531" s="3472"/>
      <c r="ES531" s="3472"/>
      <c r="ET531" s="3472"/>
      <c r="EU531" s="3472"/>
      <c r="EV531" s="3472"/>
      <c r="EW531" s="3472"/>
      <c r="EX531" s="3472"/>
      <c r="EY531" s="3472"/>
      <c r="EZ531" s="3472"/>
      <c r="FA531" s="3472"/>
      <c r="FB531" s="3472"/>
      <c r="FC531" s="3472"/>
      <c r="FD531" s="3472"/>
      <c r="FE531" s="3472"/>
      <c r="FF531" s="3472"/>
      <c r="FG531" s="3472"/>
      <c r="FH531" s="3472"/>
      <c r="FI531" s="3472"/>
      <c r="FJ531" s="3472"/>
      <c r="FK531" s="3472"/>
      <c r="FL531" s="3472"/>
      <c r="FM531" s="3472"/>
      <c r="FN531" s="3472"/>
      <c r="FO531" s="3472"/>
      <c r="FP531" s="3472"/>
      <c r="FQ531" s="3472"/>
      <c r="FR531" s="3472"/>
      <c r="FS531" s="3472"/>
      <c r="FT531" s="3472"/>
      <c r="FU531" s="3472"/>
      <c r="FV531" s="3472"/>
      <c r="FW531" s="3472"/>
      <c r="FX531" s="3472"/>
      <c r="FY531" s="3472"/>
      <c r="FZ531" s="3472"/>
      <c r="GA531" s="3472"/>
      <c r="GB531" s="3472"/>
      <c r="GC531" s="3472"/>
      <c r="GD531" s="3472"/>
      <c r="GE531" s="3472"/>
      <c r="GF531" s="3472"/>
      <c r="GG531" s="3472"/>
      <c r="GH531" s="3472"/>
      <c r="GI531" s="3472"/>
      <c r="GJ531" s="3472"/>
      <c r="GK531" s="3472"/>
      <c r="GL531" s="3472"/>
      <c r="GM531" s="3472"/>
      <c r="GN531" s="3472"/>
      <c r="GO531" s="3472"/>
      <c r="GP531" s="3472"/>
      <c r="GQ531" s="3472"/>
      <c r="GR531" s="3472"/>
      <c r="GS531" s="3472"/>
      <c r="GT531" s="3472"/>
      <c r="GU531" s="3472"/>
      <c r="GV531" s="3472"/>
      <c r="GW531" s="3472"/>
      <c r="GX531" s="3472"/>
      <c r="GY531" s="3472"/>
      <c r="GZ531" s="3472"/>
      <c r="HA531" s="3472"/>
      <c r="HB531" s="3472"/>
      <c r="HC531" s="3472"/>
      <c r="HD531" s="3472"/>
      <c r="HE531" s="3472"/>
      <c r="HF531" s="3472"/>
      <c r="HG531" s="3472"/>
      <c r="HH531" s="3472"/>
      <c r="HI531" s="3472"/>
      <c r="HJ531" s="3472"/>
      <c r="HK531" s="3472"/>
      <c r="HL531" s="3472"/>
      <c r="HM531" s="3472"/>
      <c r="HN531" s="3472"/>
      <c r="HO531" s="3472"/>
      <c r="HP531" s="3472"/>
      <c r="HQ531" s="3472"/>
      <c r="HR531" s="3472"/>
      <c r="HS531" s="3472"/>
      <c r="HT531" s="3472"/>
      <c r="HU531" s="3472"/>
      <c r="HV531" s="3472"/>
      <c r="HW531" s="3472"/>
      <c r="HX531" s="3472"/>
      <c r="HY531" s="3472"/>
      <c r="HZ531" s="3472"/>
      <c r="IA531" s="3472"/>
      <c r="IB531" s="3472"/>
      <c r="IC531" s="3472"/>
      <c r="ID531" s="3472"/>
      <c r="IE531" s="3472"/>
      <c r="IF531" s="3472"/>
      <c r="IG531" s="3472"/>
      <c r="IH531" s="3472"/>
      <c r="II531" s="3472"/>
      <c r="IJ531" s="3472"/>
      <c r="IK531" s="3472"/>
      <c r="IL531" s="3472"/>
      <c r="IM531" s="3472"/>
      <c r="IN531" s="3472"/>
      <c r="IO531" s="3472"/>
      <c r="IP531" s="3472"/>
      <c r="IQ531" s="3472"/>
      <c r="IR531" s="3472"/>
      <c r="IS531" s="3472"/>
    </row>
    <row r="532" spans="1:253" s="3441" customFormat="1" ht="12" hidden="1">
      <c r="A532" s="3485" t="s">
        <v>7466</v>
      </c>
      <c r="B532" s="3470" t="s">
        <v>7467</v>
      </c>
      <c r="C532" s="3481" t="s">
        <v>7468</v>
      </c>
      <c r="D532" s="3481" t="s">
        <v>7469</v>
      </c>
      <c r="E532" s="3470" t="s">
        <v>2736</v>
      </c>
      <c r="F532" s="3521" t="s">
        <v>7470</v>
      </c>
      <c r="G532" s="3470"/>
      <c r="H532" s="3470">
        <v>23</v>
      </c>
      <c r="I532" s="3470"/>
      <c r="J532" s="3481" t="s">
        <v>7471</v>
      </c>
      <c r="K532" s="3470" t="s">
        <v>7472</v>
      </c>
      <c r="L532" s="3470">
        <v>76.819999999999993</v>
      </c>
      <c r="M532" s="3470">
        <v>8</v>
      </c>
      <c r="N532" s="3470" t="s">
        <v>3709</v>
      </c>
      <c r="O532" s="3470"/>
      <c r="P532" s="3470" t="s">
        <v>3452</v>
      </c>
      <c r="Q532" s="3457">
        <v>393779.31999999995</v>
      </c>
      <c r="R532" s="3470">
        <v>5126</v>
      </c>
      <c r="S532" s="3472">
        <v>38.21</v>
      </c>
      <c r="T532" s="3527">
        <v>382100</v>
      </c>
      <c r="U532" s="3470">
        <v>4975</v>
      </c>
      <c r="V532" s="3474">
        <v>0.05</v>
      </c>
      <c r="W532" s="3475">
        <v>36.29</v>
      </c>
      <c r="X532" s="3473">
        <v>362900</v>
      </c>
      <c r="Y532" s="3470">
        <v>2003</v>
      </c>
      <c r="Z532" s="3515">
        <v>7</v>
      </c>
      <c r="AA532" s="3515">
        <v>22</v>
      </c>
      <c r="AB532" s="3485">
        <v>1910</v>
      </c>
      <c r="AC532" s="3470" t="s">
        <v>4044</v>
      </c>
      <c r="AD532" s="3485"/>
      <c r="AE532" s="3456" t="s">
        <v>6906</v>
      </c>
      <c r="AF532" s="3470" t="s">
        <v>4063</v>
      </c>
      <c r="AG532" s="3522" t="s">
        <v>3466</v>
      </c>
      <c r="AH532" s="3485"/>
      <c r="AI532" s="3470" t="s">
        <v>7473</v>
      </c>
      <c r="AJ532" s="3523"/>
      <c r="AK532" s="3500">
        <v>7</v>
      </c>
      <c r="AL532" s="3441">
        <v>67641700</v>
      </c>
      <c r="AN532" s="3456" t="s">
        <v>3484</v>
      </c>
      <c r="AP532" s="3441" t="s">
        <v>3553</v>
      </c>
      <c r="AQ532" s="3441" t="s">
        <v>3571</v>
      </c>
      <c r="AW532" s="3470" t="s">
        <v>3572</v>
      </c>
      <c r="AX532" s="3484"/>
      <c r="AY532" s="3441" t="s">
        <v>3715</v>
      </c>
      <c r="AZ532" s="3441" t="s">
        <v>7474</v>
      </c>
      <c r="BB532" s="3524"/>
      <c r="BD532" s="3525"/>
      <c r="BF532" s="3526"/>
      <c r="BG532" s="3518">
        <v>37766</v>
      </c>
      <c r="BI532" s="3441" t="s">
        <v>4834</v>
      </c>
      <c r="BJ532" s="3484">
        <v>37767</v>
      </c>
      <c r="BK532" s="3484"/>
      <c r="BL532" s="3470"/>
      <c r="BS532" s="3470"/>
      <c r="BT532" s="3470"/>
      <c r="BU532" s="3470"/>
    </row>
    <row r="533" spans="1:253" s="3470" customFormat="1" ht="12" hidden="1">
      <c r="A533" s="3470" t="s">
        <v>7475</v>
      </c>
      <c r="B533" s="3470" t="s">
        <v>7476</v>
      </c>
      <c r="C533" s="3470" t="s">
        <v>7477</v>
      </c>
      <c r="D533" s="3470">
        <v>13701251780</v>
      </c>
      <c r="E533" s="3470" t="s">
        <v>3558</v>
      </c>
      <c r="F533" s="3470" t="s">
        <v>7153</v>
      </c>
      <c r="G533" s="3470" t="s">
        <v>3568</v>
      </c>
      <c r="H533" s="3470" t="s">
        <v>7162</v>
      </c>
      <c r="I533" s="3470" t="s">
        <v>4309</v>
      </c>
      <c r="J533" s="3470" t="s">
        <v>7478</v>
      </c>
      <c r="K533" s="3470" t="s">
        <v>6117</v>
      </c>
      <c r="L533" s="3470">
        <v>114.33</v>
      </c>
      <c r="M533" s="3470">
        <v>10</v>
      </c>
      <c r="N533" s="3470" t="s">
        <v>4003</v>
      </c>
      <c r="O533" s="3470">
        <v>96.96</v>
      </c>
      <c r="P533" s="3470" t="s">
        <v>3452</v>
      </c>
      <c r="Q533" s="3470">
        <v>464179.8</v>
      </c>
      <c r="R533" s="3470">
        <v>4060</v>
      </c>
      <c r="S533" s="3470">
        <v>45.93</v>
      </c>
      <c r="T533" s="3470">
        <v>459300</v>
      </c>
      <c r="U533" s="3470">
        <v>4018</v>
      </c>
      <c r="V533" s="3470">
        <v>0.1</v>
      </c>
      <c r="W533" s="3470">
        <v>41.33</v>
      </c>
      <c r="X533" s="3470">
        <v>413300</v>
      </c>
      <c r="Y533" s="3470">
        <v>2003</v>
      </c>
      <c r="Z533" s="3470">
        <v>8</v>
      </c>
      <c r="AA533" s="3470">
        <v>1</v>
      </c>
      <c r="AB533" s="3470">
        <v>2295</v>
      </c>
      <c r="AC533" s="3470" t="s">
        <v>3565</v>
      </c>
      <c r="AE533" s="3470" t="s">
        <v>3663</v>
      </c>
      <c r="AF533" s="3470" t="s">
        <v>7190</v>
      </c>
      <c r="AG533" s="3470" t="s">
        <v>3466</v>
      </c>
      <c r="AI533" s="3470" t="s">
        <v>5021</v>
      </c>
      <c r="AJ533" s="3470">
        <v>38108</v>
      </c>
      <c r="AK533" s="3470">
        <v>8</v>
      </c>
      <c r="AL533" s="3470">
        <v>67641700</v>
      </c>
      <c r="AN533" s="3470" t="s">
        <v>3570</v>
      </c>
      <c r="AO533" s="3470" t="s">
        <v>7479</v>
      </c>
      <c r="AP533" s="3470" t="s">
        <v>3476</v>
      </c>
      <c r="AQ533" s="3470" t="s">
        <v>3571</v>
      </c>
      <c r="AW533" s="3470" t="s">
        <v>3572</v>
      </c>
      <c r="AX533" s="3470" t="s">
        <v>3568</v>
      </c>
      <c r="AY533" s="3481">
        <v>299259</v>
      </c>
      <c r="AZ533" s="3470" t="s">
        <v>6117</v>
      </c>
      <c r="BA533" s="3470" t="s">
        <v>7157</v>
      </c>
      <c r="BB533" s="3481">
        <v>1102281326100</v>
      </c>
      <c r="BC533" s="3470" t="s">
        <v>7158</v>
      </c>
      <c r="BD533" s="3482">
        <v>100055</v>
      </c>
      <c r="BE533" s="3470">
        <v>82951881</v>
      </c>
      <c r="BF533" s="3483">
        <v>2.8</v>
      </c>
      <c r="BG533" s="3478">
        <v>37818</v>
      </c>
      <c r="BI533" s="3470" t="s">
        <v>3476</v>
      </c>
      <c r="BJ533" s="3508">
        <v>37832</v>
      </c>
      <c r="BK533" s="3508"/>
      <c r="BL533" s="3470" t="s">
        <v>3670</v>
      </c>
      <c r="BP533" s="3441"/>
      <c r="BQ533" s="3441"/>
      <c r="BR533" s="3441"/>
    </row>
    <row r="534" spans="1:253" s="3470" customFormat="1" ht="12" hidden="1">
      <c r="A534" s="3470" t="s">
        <v>7480</v>
      </c>
      <c r="B534" s="3470" t="s">
        <v>7481</v>
      </c>
      <c r="C534" s="3470" t="s">
        <v>7482</v>
      </c>
      <c r="D534" s="3470">
        <v>13911013678</v>
      </c>
      <c r="E534" s="3470" t="s">
        <v>3558</v>
      </c>
      <c r="F534" s="3470" t="s">
        <v>7153</v>
      </c>
      <c r="G534" s="3470" t="s">
        <v>3568</v>
      </c>
      <c r="H534" s="3470" t="s">
        <v>7162</v>
      </c>
      <c r="I534" s="3470" t="s">
        <v>4019</v>
      </c>
      <c r="J534" s="3470" t="s">
        <v>7483</v>
      </c>
      <c r="K534" s="3470" t="s">
        <v>6117</v>
      </c>
      <c r="L534" s="3470">
        <v>114.33</v>
      </c>
      <c r="M534" s="3470">
        <v>12</v>
      </c>
      <c r="N534" s="3470" t="s">
        <v>4003</v>
      </c>
      <c r="O534" s="3470">
        <v>96.96</v>
      </c>
      <c r="P534" s="3470" t="s">
        <v>3452</v>
      </c>
      <c r="Q534" s="3470">
        <v>458463.3</v>
      </c>
      <c r="R534" s="3470">
        <v>4010</v>
      </c>
      <c r="S534" s="3470">
        <v>45.35</v>
      </c>
      <c r="T534" s="3470">
        <v>453500</v>
      </c>
      <c r="U534" s="3470">
        <v>3967</v>
      </c>
      <c r="V534" s="3470">
        <v>0.1</v>
      </c>
      <c r="W534" s="3470">
        <v>40.81</v>
      </c>
      <c r="X534" s="3470">
        <v>408100</v>
      </c>
      <c r="Y534" s="3470">
        <v>2003</v>
      </c>
      <c r="Z534" s="3470">
        <v>8</v>
      </c>
      <c r="AA534" s="3470">
        <v>1</v>
      </c>
      <c r="AB534" s="3470">
        <v>2265</v>
      </c>
      <c r="AC534" s="3470" t="s">
        <v>3693</v>
      </c>
      <c r="AE534" s="3470" t="s">
        <v>3663</v>
      </c>
      <c r="AF534" s="3470" t="s">
        <v>7190</v>
      </c>
      <c r="AG534" s="3470" t="s">
        <v>3466</v>
      </c>
      <c r="AI534" s="3470" t="s">
        <v>5021</v>
      </c>
      <c r="AJ534" s="3470">
        <v>38108</v>
      </c>
      <c r="AK534" s="3470">
        <v>8</v>
      </c>
      <c r="AL534" s="3470">
        <v>67641700</v>
      </c>
      <c r="AN534" s="3470" t="s">
        <v>3570</v>
      </c>
      <c r="AO534" s="3470" t="s">
        <v>7484</v>
      </c>
      <c r="AP534" s="3470" t="s">
        <v>3476</v>
      </c>
      <c r="AQ534" s="3470" t="s">
        <v>3571</v>
      </c>
      <c r="AW534" s="3470" t="s">
        <v>3572</v>
      </c>
      <c r="AX534" s="3470" t="s">
        <v>3568</v>
      </c>
      <c r="AY534" s="3481">
        <v>299311</v>
      </c>
      <c r="AZ534" s="3470" t="s">
        <v>6117</v>
      </c>
      <c r="BA534" s="3470" t="s">
        <v>7157</v>
      </c>
      <c r="BB534" s="3481">
        <v>1102281326100</v>
      </c>
      <c r="BC534" s="3470" t="s">
        <v>7158</v>
      </c>
      <c r="BD534" s="3482">
        <v>100055</v>
      </c>
      <c r="BE534" s="3470">
        <v>82951881</v>
      </c>
      <c r="BF534" s="3483">
        <v>2.8</v>
      </c>
      <c r="BG534" s="3478">
        <v>37819</v>
      </c>
      <c r="BI534" s="3470" t="s">
        <v>3476</v>
      </c>
      <c r="BJ534" s="3508">
        <v>37832</v>
      </c>
      <c r="BK534" s="3508"/>
      <c r="BL534" s="3470" t="s">
        <v>3670</v>
      </c>
      <c r="BP534" s="3441"/>
      <c r="BQ534" s="3441"/>
      <c r="BR534" s="3441"/>
    </row>
    <row r="535" spans="1:253" s="3470" customFormat="1" ht="12" hidden="1">
      <c r="A535" s="3470" t="s">
        <v>7485</v>
      </c>
      <c r="B535" s="3470" t="s">
        <v>7486</v>
      </c>
      <c r="C535" s="3470" t="s">
        <v>7487</v>
      </c>
      <c r="D535" s="3470">
        <v>82890339</v>
      </c>
      <c r="E535" s="3470" t="s">
        <v>3558</v>
      </c>
      <c r="F535" s="3470" t="s">
        <v>7153</v>
      </c>
      <c r="G535" s="3470" t="s">
        <v>3568</v>
      </c>
      <c r="H535" s="3470" t="s">
        <v>4112</v>
      </c>
      <c r="I535" s="3470" t="s">
        <v>3561</v>
      </c>
      <c r="J535" s="3470" t="s">
        <v>5629</v>
      </c>
      <c r="K535" s="3470" t="s">
        <v>6117</v>
      </c>
      <c r="L535" s="3470">
        <v>122.2</v>
      </c>
      <c r="M535" s="3470">
        <v>2</v>
      </c>
      <c r="N535" s="3470" t="s">
        <v>4003</v>
      </c>
      <c r="O535" s="3470">
        <v>111.4</v>
      </c>
      <c r="P535" s="3470" t="s">
        <v>3452</v>
      </c>
      <c r="Q535" s="3470">
        <v>504686</v>
      </c>
      <c r="R535" s="3470">
        <v>4130</v>
      </c>
      <c r="S535" s="3470">
        <v>49.93</v>
      </c>
      <c r="T535" s="3470">
        <v>499300</v>
      </c>
      <c r="U535" s="3470">
        <v>4086</v>
      </c>
      <c r="V535" s="3470">
        <v>0.1</v>
      </c>
      <c r="W535" s="3470">
        <v>44.93</v>
      </c>
      <c r="X535" s="3470">
        <v>449300</v>
      </c>
      <c r="Y535" s="3470">
        <v>2003</v>
      </c>
      <c r="Z535" s="3470">
        <v>8</v>
      </c>
      <c r="AA535" s="3470">
        <v>1</v>
      </c>
      <c r="AB535" s="3470">
        <v>2495</v>
      </c>
      <c r="AC535" s="3470" t="s">
        <v>3565</v>
      </c>
      <c r="AE535" s="3470" t="s">
        <v>3663</v>
      </c>
      <c r="AF535" s="3470" t="s">
        <v>7190</v>
      </c>
      <c r="AG535" s="3470" t="s">
        <v>3466</v>
      </c>
      <c r="AI535" s="3470" t="s">
        <v>5021</v>
      </c>
      <c r="AJ535" s="3470">
        <v>38108</v>
      </c>
      <c r="AK535" s="3470">
        <v>8</v>
      </c>
      <c r="AL535" s="3470">
        <v>67641700</v>
      </c>
      <c r="AN535" s="3470" t="s">
        <v>3570</v>
      </c>
      <c r="AO535" s="3470" t="s">
        <v>7488</v>
      </c>
      <c r="AP535" s="3470" t="s">
        <v>3476</v>
      </c>
      <c r="AQ535" s="3470" t="s">
        <v>3571</v>
      </c>
      <c r="AW535" s="3470" t="s">
        <v>3572</v>
      </c>
      <c r="AX535" s="3470" t="s">
        <v>3568</v>
      </c>
      <c r="AY535" s="3481">
        <v>299316</v>
      </c>
      <c r="AZ535" s="3470" t="s">
        <v>6117</v>
      </c>
      <c r="BA535" s="3470" t="s">
        <v>7157</v>
      </c>
      <c r="BB535" s="3481">
        <v>1102281326100</v>
      </c>
      <c r="BC535" s="3470" t="s">
        <v>7158</v>
      </c>
      <c r="BD535" s="3482">
        <v>100055</v>
      </c>
      <c r="BE535" s="3470">
        <v>82951881</v>
      </c>
      <c r="BF535" s="3483">
        <v>2.8</v>
      </c>
      <c r="BG535" s="3478">
        <v>37820</v>
      </c>
      <c r="BI535" s="3470" t="s">
        <v>3476</v>
      </c>
      <c r="BJ535" s="3508">
        <v>37832</v>
      </c>
      <c r="BK535" s="3508"/>
      <c r="BL535" s="3470" t="s">
        <v>3670</v>
      </c>
      <c r="BP535" s="3441"/>
      <c r="BQ535" s="3441"/>
      <c r="BR535" s="3441"/>
    </row>
    <row r="536" spans="1:253" s="3441" customFormat="1" ht="12" hidden="1">
      <c r="A536" s="3485" t="s">
        <v>7489</v>
      </c>
      <c r="B536" s="3470" t="s">
        <v>7490</v>
      </c>
      <c r="C536" s="3481" t="s">
        <v>7491</v>
      </c>
      <c r="D536" s="3481" t="s">
        <v>7492</v>
      </c>
      <c r="E536" s="3470" t="s">
        <v>3558</v>
      </c>
      <c r="F536" s="3470" t="s">
        <v>7153</v>
      </c>
      <c r="G536" s="3470" t="s">
        <v>3568</v>
      </c>
      <c r="H536" s="3470" t="s">
        <v>7162</v>
      </c>
      <c r="I536" s="3470" t="s">
        <v>4433</v>
      </c>
      <c r="J536" s="3481" t="s">
        <v>7493</v>
      </c>
      <c r="K536" s="3470" t="s">
        <v>6117</v>
      </c>
      <c r="L536" s="3470">
        <v>98.22</v>
      </c>
      <c r="M536" s="3470">
        <v>3</v>
      </c>
      <c r="N536" s="3470" t="s">
        <v>4030</v>
      </c>
      <c r="O536" s="3470">
        <v>83.29</v>
      </c>
      <c r="P536" s="3470" t="s">
        <v>3452</v>
      </c>
      <c r="Q536" s="3457">
        <v>379227.42</v>
      </c>
      <c r="R536" s="3470">
        <v>3861</v>
      </c>
      <c r="S536" s="3472">
        <v>37.450000000000003</v>
      </c>
      <c r="T536" s="3527">
        <v>374500</v>
      </c>
      <c r="U536" s="3470">
        <v>3813</v>
      </c>
      <c r="V536" s="3474">
        <v>0.1</v>
      </c>
      <c r="W536" s="3475">
        <v>33.700000000000003</v>
      </c>
      <c r="X536" s="3476">
        <v>337000</v>
      </c>
      <c r="Y536" s="3441">
        <v>2003</v>
      </c>
      <c r="Z536" s="3441">
        <v>9</v>
      </c>
      <c r="AA536" s="3470">
        <v>9</v>
      </c>
      <c r="AB536" s="3477">
        <v>1870</v>
      </c>
      <c r="AC536" s="3453" t="s">
        <v>7494</v>
      </c>
      <c r="AD536" s="3485"/>
      <c r="AE536" s="3441" t="s">
        <v>3663</v>
      </c>
      <c r="AF536" s="3470" t="s">
        <v>4721</v>
      </c>
      <c r="AG536" s="3522" t="s">
        <v>3466</v>
      </c>
      <c r="AH536" s="3485"/>
      <c r="AI536" s="3470" t="s">
        <v>5021</v>
      </c>
      <c r="AJ536" s="3523">
        <v>38108</v>
      </c>
      <c r="AK536" s="3500">
        <v>9</v>
      </c>
      <c r="AL536" s="3441">
        <v>67641700</v>
      </c>
      <c r="AN536" s="3441" t="s">
        <v>3695</v>
      </c>
      <c r="AO536" s="3441" t="s">
        <v>7495</v>
      </c>
      <c r="AP536" s="3441" t="s">
        <v>3476</v>
      </c>
      <c r="AQ536" s="3441" t="s">
        <v>3571</v>
      </c>
      <c r="AW536" s="3441" t="s">
        <v>3572</v>
      </c>
      <c r="AX536" s="3441" t="s">
        <v>3568</v>
      </c>
      <c r="AY536" s="3524" t="s">
        <v>7496</v>
      </c>
      <c r="AZ536" s="3441" t="s">
        <v>6117</v>
      </c>
      <c r="BA536" s="3441" t="s">
        <v>7157</v>
      </c>
      <c r="BB536" s="3524">
        <v>1102281326100</v>
      </c>
      <c r="BC536" s="3441" t="s">
        <v>7158</v>
      </c>
      <c r="BD536" s="3525">
        <v>100055</v>
      </c>
      <c r="BE536" s="3441">
        <v>82951881</v>
      </c>
      <c r="BF536" s="3526">
        <v>2.8</v>
      </c>
      <c r="BG536" s="3518">
        <v>37819</v>
      </c>
      <c r="BH536" s="3441" t="s">
        <v>4753</v>
      </c>
      <c r="BI536" s="3441" t="s">
        <v>3476</v>
      </c>
      <c r="BJ536" s="3484">
        <v>37869</v>
      </c>
      <c r="BK536" s="3518"/>
      <c r="BL536" s="3470" t="s">
        <v>3670</v>
      </c>
      <c r="BS536" s="3470"/>
      <c r="BT536" s="3470"/>
      <c r="BU536" s="3470"/>
    </row>
    <row r="537" spans="1:253" s="3469" customFormat="1" ht="13.2" hidden="1">
      <c r="A537" s="3485" t="s">
        <v>7497</v>
      </c>
      <c r="B537" s="3542" t="s">
        <v>7498</v>
      </c>
      <c r="C537" s="3530" t="s">
        <v>7499</v>
      </c>
      <c r="D537" s="3453">
        <v>13651211080</v>
      </c>
      <c r="E537" s="3530" t="s">
        <v>2736</v>
      </c>
      <c r="F537" s="3598" t="s">
        <v>4613</v>
      </c>
      <c r="G537" s="3522"/>
      <c r="H537" s="3530" t="s">
        <v>3477</v>
      </c>
      <c r="I537" s="3530" t="s">
        <v>7500</v>
      </c>
      <c r="J537" s="3530" t="s">
        <v>7501</v>
      </c>
      <c r="K537" s="3542" t="s">
        <v>6938</v>
      </c>
      <c r="L537" s="3477">
        <v>51.45</v>
      </c>
      <c r="M537" s="3477">
        <v>12</v>
      </c>
      <c r="N537" s="3453" t="s">
        <v>6871</v>
      </c>
      <c r="O537" s="3477">
        <v>40.56</v>
      </c>
      <c r="P537" s="3485" t="s">
        <v>3452</v>
      </c>
      <c r="Q537" s="3457">
        <v>396730.95</v>
      </c>
      <c r="R537" s="3477">
        <v>7711</v>
      </c>
      <c r="S537" s="3472">
        <v>39.33</v>
      </c>
      <c r="T537" s="3550">
        <v>393300</v>
      </c>
      <c r="U537" s="3477">
        <v>7646</v>
      </c>
      <c r="V537" s="3512">
        <v>0.1</v>
      </c>
      <c r="W537" s="3475">
        <v>35.39</v>
      </c>
      <c r="X537" s="3459">
        <v>353900</v>
      </c>
      <c r="Y537" s="3495">
        <v>2003</v>
      </c>
      <c r="Z537" s="3441">
        <v>7</v>
      </c>
      <c r="AA537" s="3470">
        <v>22</v>
      </c>
      <c r="AB537" s="3477">
        <v>1965</v>
      </c>
      <c r="AC537" s="3470" t="s">
        <v>7502</v>
      </c>
      <c r="AD537" s="3522"/>
      <c r="AE537" s="3470" t="s">
        <v>3663</v>
      </c>
      <c r="AF537" s="3542" t="s">
        <v>7503</v>
      </c>
      <c r="AG537" s="3542" t="s">
        <v>3546</v>
      </c>
      <c r="AH537" s="3542"/>
      <c r="AI537" s="3470" t="s">
        <v>6972</v>
      </c>
      <c r="AJ537" s="3513">
        <v>38199</v>
      </c>
      <c r="AK537" s="3500">
        <v>7</v>
      </c>
      <c r="AL537" s="3470">
        <v>67641700</v>
      </c>
      <c r="AM537" s="3441"/>
      <c r="AN537" s="3469" t="s">
        <v>3680</v>
      </c>
      <c r="AP537" s="3441" t="s">
        <v>3476</v>
      </c>
      <c r="AQ537" s="3456" t="s">
        <v>3457</v>
      </c>
      <c r="AV537" s="3599"/>
      <c r="AW537" s="3470" t="s">
        <v>4064</v>
      </c>
      <c r="AX537" s="3441" t="s">
        <v>7504</v>
      </c>
      <c r="AY537" s="3536" t="s">
        <v>7505</v>
      </c>
      <c r="AZ537" s="3542" t="s">
        <v>7066</v>
      </c>
      <c r="BA537" s="3463" t="s">
        <v>6920</v>
      </c>
      <c r="BB537" s="3466">
        <v>1101081437256</v>
      </c>
      <c r="BC537" s="3463" t="s">
        <v>6921</v>
      </c>
      <c r="BD537" s="3537">
        <v>100037</v>
      </c>
      <c r="BE537" s="3515">
        <v>68348381</v>
      </c>
      <c r="BF537" s="3538">
        <v>2.8</v>
      </c>
      <c r="BG537" s="3535">
        <v>37806</v>
      </c>
      <c r="BI537" s="3441" t="s">
        <v>7144</v>
      </c>
      <c r="BJ537" s="3508">
        <v>37823</v>
      </c>
      <c r="BK537" s="3441"/>
      <c r="BL537" s="3470" t="s">
        <v>6897</v>
      </c>
      <c r="BM537" s="3441"/>
      <c r="BN537" s="3441"/>
      <c r="BO537" s="3441"/>
      <c r="BP537" s="3441"/>
      <c r="BQ537" s="3441"/>
      <c r="BR537" s="3441"/>
      <c r="BS537" s="3470"/>
      <c r="BT537" s="3470"/>
      <c r="BU537" s="3470"/>
    </row>
    <row r="538" spans="1:253" s="3470" customFormat="1" ht="12" hidden="1">
      <c r="A538" s="3470" t="s">
        <v>7506</v>
      </c>
      <c r="B538" s="3470" t="s">
        <v>7507</v>
      </c>
      <c r="C538" s="3470" t="s">
        <v>7508</v>
      </c>
      <c r="D538" s="3470">
        <v>13601028334</v>
      </c>
      <c r="E538" s="3470" t="s">
        <v>3558</v>
      </c>
      <c r="F538" s="3470" t="s">
        <v>3733</v>
      </c>
      <c r="H538" s="3470" t="s">
        <v>4661</v>
      </c>
      <c r="I538" s="3470" t="s">
        <v>3561</v>
      </c>
      <c r="J538" s="3470" t="s">
        <v>7420</v>
      </c>
      <c r="K538" s="3470" t="s">
        <v>3737</v>
      </c>
      <c r="L538" s="3470">
        <v>113.29</v>
      </c>
      <c r="M538" s="3470">
        <v>8</v>
      </c>
      <c r="N538" s="3470" t="s">
        <v>3738</v>
      </c>
      <c r="O538" s="3470">
        <v>91.76</v>
      </c>
      <c r="P538" s="3470" t="s">
        <v>3452</v>
      </c>
      <c r="Q538" s="3470">
        <v>640088.5</v>
      </c>
      <c r="R538" s="3470">
        <v>5650</v>
      </c>
      <c r="S538" s="3470">
        <v>63.39</v>
      </c>
      <c r="T538" s="3470">
        <v>633900</v>
      </c>
      <c r="U538" s="3470">
        <v>5596</v>
      </c>
      <c r="V538" s="3470">
        <v>0.1</v>
      </c>
      <c r="W538" s="3470">
        <v>57.05</v>
      </c>
      <c r="X538" s="3470">
        <v>570500</v>
      </c>
      <c r="Y538" s="3470">
        <v>2003</v>
      </c>
      <c r="Z538" s="3470">
        <v>8</v>
      </c>
      <c r="AA538" s="3470">
        <v>5</v>
      </c>
      <c r="AB538" s="3470">
        <v>3165</v>
      </c>
      <c r="AC538" s="3470" t="s">
        <v>3693</v>
      </c>
      <c r="AE538" s="3470" t="s">
        <v>3663</v>
      </c>
      <c r="AF538" s="3470" t="s">
        <v>3728</v>
      </c>
      <c r="AG538" s="3470" t="s">
        <v>3466</v>
      </c>
      <c r="AI538" s="3470" t="s">
        <v>5021</v>
      </c>
      <c r="AJ538" s="3470">
        <v>37992</v>
      </c>
      <c r="AK538" s="3470">
        <v>8</v>
      </c>
      <c r="AL538" s="3470">
        <v>67641700</v>
      </c>
      <c r="AN538" s="3470" t="s">
        <v>3695</v>
      </c>
      <c r="AO538" s="3470" t="s">
        <v>3568</v>
      </c>
      <c r="AP538" s="3470" t="s">
        <v>3476</v>
      </c>
      <c r="AQ538" s="3470" t="s">
        <v>3571</v>
      </c>
      <c r="AW538" s="3470" t="s">
        <v>3572</v>
      </c>
      <c r="AY538" s="3481" t="s">
        <v>7509</v>
      </c>
      <c r="AZ538" s="3470" t="s">
        <v>3737</v>
      </c>
      <c r="BA538" s="3470" t="s">
        <v>3742</v>
      </c>
      <c r="BB538" s="3481" t="s">
        <v>3743</v>
      </c>
      <c r="BC538" s="3470" t="s">
        <v>3744</v>
      </c>
      <c r="BD538" s="3482">
        <v>100088</v>
      </c>
      <c r="BE538" s="3470">
        <v>82058259</v>
      </c>
      <c r="BF538" s="3483" t="s">
        <v>6864</v>
      </c>
      <c r="BG538" s="3478">
        <v>37785</v>
      </c>
      <c r="BH538" s="3470" t="s">
        <v>4753</v>
      </c>
      <c r="BI538" s="3470" t="s">
        <v>3476</v>
      </c>
      <c r="BJ538" s="3508">
        <v>37823</v>
      </c>
      <c r="BK538" s="3508">
        <v>37824</v>
      </c>
      <c r="BL538" s="3470" t="s">
        <v>3670</v>
      </c>
      <c r="BP538" s="3441"/>
      <c r="BQ538" s="3441"/>
      <c r="BR538" s="3441"/>
    </row>
    <row r="539" spans="1:253" s="3470" customFormat="1" ht="12" hidden="1">
      <c r="A539" s="3470" t="s">
        <v>7510</v>
      </c>
      <c r="B539" s="3470" t="s">
        <v>7511</v>
      </c>
      <c r="C539" s="3470" t="s">
        <v>7512</v>
      </c>
      <c r="D539" s="3470" t="s">
        <v>7513</v>
      </c>
      <c r="E539" s="3470" t="s">
        <v>3558</v>
      </c>
      <c r="F539" s="3470" t="s">
        <v>7514</v>
      </c>
      <c r="G539" s="3470" t="s">
        <v>7515</v>
      </c>
      <c r="H539" s="3470" t="s">
        <v>7516</v>
      </c>
      <c r="I539" s="3470" t="s">
        <v>4019</v>
      </c>
      <c r="J539" s="3470" t="s">
        <v>7517</v>
      </c>
      <c r="K539" s="3470" t="s">
        <v>5500</v>
      </c>
      <c r="L539" s="3470">
        <v>136.57</v>
      </c>
      <c r="M539" s="3470">
        <v>6</v>
      </c>
      <c r="N539" s="3470" t="s">
        <v>3738</v>
      </c>
      <c r="O539" s="3470">
        <v>114.72</v>
      </c>
      <c r="P539" s="3470" t="s">
        <v>3452</v>
      </c>
      <c r="Q539" s="3470">
        <v>832223.4375</v>
      </c>
      <c r="R539" s="3470">
        <v>6093.75</v>
      </c>
      <c r="S539" s="3470">
        <v>82.41</v>
      </c>
      <c r="T539" s="3470">
        <v>824100</v>
      </c>
      <c r="U539" s="3470">
        <v>6035</v>
      </c>
      <c r="V539" s="3470">
        <v>0.1</v>
      </c>
      <c r="W539" s="3470">
        <v>74.16</v>
      </c>
      <c r="X539" s="3470">
        <v>741600</v>
      </c>
      <c r="Y539" s="3470">
        <v>2003</v>
      </c>
      <c r="Z539" s="3470">
        <v>7</v>
      </c>
      <c r="AA539" s="3470">
        <v>25</v>
      </c>
      <c r="AB539" s="3470">
        <v>4120</v>
      </c>
      <c r="AC539" s="3470" t="s">
        <v>3603</v>
      </c>
      <c r="AE539" s="3470" t="s">
        <v>3663</v>
      </c>
      <c r="AF539" s="3470" t="s">
        <v>3728</v>
      </c>
      <c r="AG539" s="3470" t="s">
        <v>3466</v>
      </c>
      <c r="AI539" s="3470" t="s">
        <v>5021</v>
      </c>
      <c r="AJ539" s="3470">
        <v>38077</v>
      </c>
      <c r="AK539" s="3470">
        <v>7</v>
      </c>
      <c r="AL539" s="3470">
        <v>67641700</v>
      </c>
      <c r="AN539" s="3470" t="s">
        <v>3680</v>
      </c>
      <c r="AO539" s="3470" t="s">
        <v>3568</v>
      </c>
      <c r="AP539" s="3470" t="s">
        <v>3476</v>
      </c>
      <c r="AQ539" s="3470" t="s">
        <v>3571</v>
      </c>
      <c r="AW539" s="3470" t="s">
        <v>3572</v>
      </c>
      <c r="AX539" s="3470" t="s">
        <v>3568</v>
      </c>
      <c r="AY539" s="3481" t="s">
        <v>7518</v>
      </c>
      <c r="AZ539" s="3470" t="s">
        <v>5500</v>
      </c>
      <c r="BA539" s="3470" t="s">
        <v>7519</v>
      </c>
      <c r="BB539" s="3481" t="s">
        <v>5502</v>
      </c>
      <c r="BC539" s="3470" t="s">
        <v>7520</v>
      </c>
      <c r="BD539" s="3482">
        <v>100089</v>
      </c>
      <c r="BE539" s="3470">
        <v>88442745</v>
      </c>
      <c r="BF539" s="3483">
        <v>2.8</v>
      </c>
      <c r="BG539" s="3478">
        <v>37811</v>
      </c>
      <c r="BI539" s="3470" t="s">
        <v>3476</v>
      </c>
      <c r="BJ539" s="3508">
        <v>37823</v>
      </c>
      <c r="BK539" s="3508"/>
      <c r="BL539" s="3470" t="s">
        <v>3670</v>
      </c>
      <c r="BP539" s="3441"/>
      <c r="BQ539" s="3441"/>
      <c r="BR539" s="3441"/>
    </row>
    <row r="540" spans="1:253" s="3470" customFormat="1" ht="12" hidden="1">
      <c r="A540" s="3470" t="s">
        <v>7521</v>
      </c>
      <c r="B540" s="3470" t="s">
        <v>7522</v>
      </c>
      <c r="C540" s="3470" t="s">
        <v>7523</v>
      </c>
      <c r="D540" s="3470">
        <v>13161796513</v>
      </c>
      <c r="E540" s="3470" t="s">
        <v>3558</v>
      </c>
      <c r="F540" s="3470" t="s">
        <v>5428</v>
      </c>
      <c r="H540" s="3470" t="s">
        <v>5429</v>
      </c>
      <c r="I540" s="3470" t="s">
        <v>4741</v>
      </c>
      <c r="J540" s="3470" t="s">
        <v>7524</v>
      </c>
      <c r="K540" s="3470" t="s">
        <v>5786</v>
      </c>
      <c r="L540" s="3470">
        <v>118.04</v>
      </c>
      <c r="M540" s="3470">
        <v>15</v>
      </c>
      <c r="N540" s="3470" t="s">
        <v>5032</v>
      </c>
      <c r="O540" s="3470">
        <v>102.39</v>
      </c>
      <c r="P540" s="3470" t="s">
        <v>3452</v>
      </c>
      <c r="Q540" s="3470">
        <v>599802.55400000012</v>
      </c>
      <c r="R540" s="3470">
        <v>5081.3500000000004</v>
      </c>
      <c r="S540" s="3470">
        <v>59.37</v>
      </c>
      <c r="T540" s="3470">
        <v>593700</v>
      </c>
      <c r="U540" s="3470">
        <v>5030</v>
      </c>
      <c r="V540" s="3470">
        <v>0.1</v>
      </c>
      <c r="W540" s="3470">
        <v>53.43</v>
      </c>
      <c r="X540" s="3470">
        <v>534300</v>
      </c>
      <c r="Y540" s="3470">
        <v>2003</v>
      </c>
      <c r="Z540" s="3470">
        <v>8</v>
      </c>
      <c r="AA540" s="3470">
        <v>1</v>
      </c>
      <c r="AB540" s="3470">
        <v>2965</v>
      </c>
      <c r="AC540" s="3470" t="s">
        <v>7525</v>
      </c>
      <c r="AE540" s="3470" t="s">
        <v>3663</v>
      </c>
      <c r="AF540" s="3470" t="s">
        <v>4200</v>
      </c>
      <c r="AG540" s="3470" t="s">
        <v>3466</v>
      </c>
      <c r="AH540" s="3470" t="s">
        <v>3568</v>
      </c>
      <c r="AI540" s="3470" t="s">
        <v>5021</v>
      </c>
      <c r="AJ540" s="3470">
        <v>37986</v>
      </c>
      <c r="AK540" s="3470">
        <v>8</v>
      </c>
      <c r="AL540" s="3470">
        <v>67641700</v>
      </c>
      <c r="AN540" s="3470" t="s">
        <v>3570</v>
      </c>
      <c r="AO540" s="3470" t="s">
        <v>3568</v>
      </c>
      <c r="AP540" s="3470" t="s">
        <v>3476</v>
      </c>
      <c r="AQ540" s="3470" t="s">
        <v>3571</v>
      </c>
      <c r="AR540" s="3470" t="s">
        <v>3568</v>
      </c>
      <c r="AS540" s="3470" t="s">
        <v>3568</v>
      </c>
      <c r="AT540" s="3470" t="s">
        <v>3568</v>
      </c>
      <c r="AW540" s="3470" t="s">
        <v>3572</v>
      </c>
      <c r="AX540" s="3470" t="s">
        <v>2511</v>
      </c>
      <c r="AY540" s="3481" t="s">
        <v>7526</v>
      </c>
      <c r="AZ540" s="3470" t="s">
        <v>5786</v>
      </c>
      <c r="BA540" s="3470" t="s">
        <v>7527</v>
      </c>
      <c r="BB540" s="3481">
        <v>1101082131202</v>
      </c>
      <c r="BC540" s="3470" t="s">
        <v>5436</v>
      </c>
      <c r="BD540" s="3482">
        <v>102400</v>
      </c>
      <c r="BE540" s="3470">
        <v>62842753</v>
      </c>
      <c r="BF540" s="3483">
        <v>2.8</v>
      </c>
      <c r="BG540" s="3478">
        <v>37807</v>
      </c>
      <c r="BH540" s="3470" t="s">
        <v>3568</v>
      </c>
      <c r="BI540" s="3470" t="s">
        <v>3476</v>
      </c>
      <c r="BJ540" s="3508">
        <v>37820</v>
      </c>
      <c r="BK540" s="3508"/>
      <c r="BL540" s="3470" t="s">
        <v>3670</v>
      </c>
      <c r="BP540" s="3441"/>
      <c r="BQ540" s="3441"/>
      <c r="BR540" s="3441"/>
    </row>
    <row r="541" spans="1:253" s="3470" customFormat="1" ht="12" hidden="1">
      <c r="A541" s="3481" t="s">
        <v>7528</v>
      </c>
      <c r="B541" s="3470" t="s">
        <v>7529</v>
      </c>
      <c r="C541" s="3481" t="s">
        <v>7530</v>
      </c>
      <c r="D541" s="3481" t="s">
        <v>7531</v>
      </c>
      <c r="E541" s="3481" t="s">
        <v>2736</v>
      </c>
      <c r="F541" s="3481" t="s">
        <v>4534</v>
      </c>
      <c r="H541" s="3470" t="s">
        <v>4635</v>
      </c>
      <c r="I541" s="3470" t="s">
        <v>7532</v>
      </c>
      <c r="J541" s="3470" t="s">
        <v>4536</v>
      </c>
      <c r="K541" s="3481" t="s">
        <v>7533</v>
      </c>
      <c r="L541" s="3470">
        <v>101.48</v>
      </c>
      <c r="M541" s="3470">
        <v>23</v>
      </c>
      <c r="N541" s="3470" t="s">
        <v>7017</v>
      </c>
      <c r="O541" s="3470">
        <v>78.930000000000007</v>
      </c>
      <c r="P541" s="3481" t="s">
        <v>3452</v>
      </c>
      <c r="Q541" s="3457">
        <v>725582</v>
      </c>
      <c r="R541" s="3470">
        <v>7150</v>
      </c>
      <c r="S541" s="3472">
        <v>71.98</v>
      </c>
      <c r="T541" s="3527">
        <v>719800</v>
      </c>
      <c r="U541" s="3470">
        <v>7094</v>
      </c>
      <c r="V541" s="3493">
        <v>0.1</v>
      </c>
      <c r="W541" s="3475">
        <v>64.78</v>
      </c>
      <c r="X541" s="3476">
        <v>647800</v>
      </c>
      <c r="Y541" s="3470">
        <v>2003</v>
      </c>
      <c r="Z541" s="3441">
        <v>7</v>
      </c>
      <c r="AA541" s="3470">
        <v>22</v>
      </c>
      <c r="AB541" s="3477">
        <v>3595</v>
      </c>
      <c r="AC541" s="3470" t="s">
        <v>3634</v>
      </c>
      <c r="AE541" s="3470" t="s">
        <v>3663</v>
      </c>
      <c r="AF541" s="3454" t="s">
        <v>7283</v>
      </c>
      <c r="AG541" s="3481" t="s">
        <v>3466</v>
      </c>
      <c r="AI541" s="3470" t="s">
        <v>4849</v>
      </c>
      <c r="AJ541" s="3478">
        <v>38347</v>
      </c>
      <c r="AK541" s="3500">
        <v>7</v>
      </c>
      <c r="AL541" s="3524">
        <v>67641700</v>
      </c>
      <c r="AN541" s="3441" t="s">
        <v>3484</v>
      </c>
      <c r="AP541" s="3456" t="s">
        <v>3713</v>
      </c>
      <c r="AQ541" s="3470" t="s">
        <v>3571</v>
      </c>
      <c r="AR541" s="3441"/>
      <c r="AS541" s="3441"/>
      <c r="AT541" s="3441"/>
      <c r="AW541" s="3441" t="s">
        <v>4064</v>
      </c>
      <c r="AX541" s="3508"/>
      <c r="AY541" s="3481" t="s">
        <v>7534</v>
      </c>
      <c r="AZ541" s="3481" t="s">
        <v>6852</v>
      </c>
      <c r="BA541" s="3481" t="s">
        <v>4640</v>
      </c>
      <c r="BB541" s="3524" t="s">
        <v>4641</v>
      </c>
      <c r="BC541" s="3481" t="s">
        <v>4542</v>
      </c>
      <c r="BD541" s="3481">
        <v>100089</v>
      </c>
      <c r="BE541" s="3481">
        <v>68719656</v>
      </c>
      <c r="BF541" s="3526">
        <v>2.8</v>
      </c>
      <c r="BG541" s="3478">
        <v>37821</v>
      </c>
      <c r="BH541" s="3481" t="s">
        <v>3437</v>
      </c>
      <c r="BI541" s="3470" t="s">
        <v>3700</v>
      </c>
      <c r="BJ541" s="3484">
        <v>37823</v>
      </c>
      <c r="BK541" s="3601"/>
      <c r="BL541" s="3470" t="s">
        <v>3670</v>
      </c>
      <c r="BP541" s="3441"/>
      <c r="BQ541" s="3441"/>
      <c r="BR541" s="3441"/>
    </row>
    <row r="542" spans="1:253" s="3441" customFormat="1" ht="12" hidden="1">
      <c r="A542" s="3485" t="s">
        <v>7535</v>
      </c>
      <c r="B542" s="3470" t="s">
        <v>7536</v>
      </c>
      <c r="C542" s="3481" t="s">
        <v>7537</v>
      </c>
      <c r="D542" s="3453">
        <v>13911700117</v>
      </c>
      <c r="E542" s="3470" t="s">
        <v>2736</v>
      </c>
      <c r="F542" s="3528" t="s">
        <v>6366</v>
      </c>
      <c r="G542" s="3470"/>
      <c r="H542" s="3470" t="s">
        <v>4281</v>
      </c>
      <c r="I542" s="3453" t="s">
        <v>3676</v>
      </c>
      <c r="J542" s="3481" t="s">
        <v>3871</v>
      </c>
      <c r="K542" s="3441" t="s">
        <v>6369</v>
      </c>
      <c r="L542" s="3470">
        <v>90.1</v>
      </c>
      <c r="M542" s="3470">
        <v>4</v>
      </c>
      <c r="N542" s="3470" t="s">
        <v>3451</v>
      </c>
      <c r="O542" s="3470">
        <v>76.52</v>
      </c>
      <c r="P542" s="3470" t="s">
        <v>3452</v>
      </c>
      <c r="Q542" s="3457">
        <v>415451.1</v>
      </c>
      <c r="R542" s="3470">
        <v>4611</v>
      </c>
      <c r="S542" s="3642">
        <v>41.1</v>
      </c>
      <c r="T542" s="3527">
        <v>411000</v>
      </c>
      <c r="U542" s="3495">
        <v>4562</v>
      </c>
      <c r="V542" s="3512">
        <v>0.1</v>
      </c>
      <c r="W542" s="3475">
        <v>36.99</v>
      </c>
      <c r="X542" s="3473">
        <v>369900</v>
      </c>
      <c r="Y542" s="3515">
        <v>2003</v>
      </c>
      <c r="Z542" s="3441">
        <v>7</v>
      </c>
      <c r="AA542" s="3470">
        <v>23</v>
      </c>
      <c r="AB542" s="3477">
        <v>2055</v>
      </c>
      <c r="AC542" s="3470" t="s">
        <v>7004</v>
      </c>
      <c r="AD542" s="3485"/>
      <c r="AE542" s="3441" t="s">
        <v>3663</v>
      </c>
      <c r="AF542" s="3453" t="s">
        <v>4126</v>
      </c>
      <c r="AG542" s="3522" t="s">
        <v>3466</v>
      </c>
      <c r="AH542" s="3485" t="s">
        <v>3568</v>
      </c>
      <c r="AI542" s="3470" t="s">
        <v>3664</v>
      </c>
      <c r="AJ542" s="3523">
        <v>37986</v>
      </c>
      <c r="AK542" s="3500">
        <v>7</v>
      </c>
      <c r="AL542" s="3441">
        <v>67641700</v>
      </c>
      <c r="AN542" s="3469" t="s">
        <v>3768</v>
      </c>
      <c r="AP542" s="3441" t="s">
        <v>3476</v>
      </c>
      <c r="AQ542" s="3441" t="s">
        <v>3571</v>
      </c>
      <c r="AV542" s="3441" t="s">
        <v>3568</v>
      </c>
      <c r="AW542" s="3441" t="s">
        <v>3572</v>
      </c>
      <c r="AY542" s="3524" t="s">
        <v>7538</v>
      </c>
      <c r="AZ542" s="3441" t="s">
        <v>6369</v>
      </c>
      <c r="BA542" s="3441" t="s">
        <v>6391</v>
      </c>
      <c r="BB542" s="3524" t="s">
        <v>7215</v>
      </c>
      <c r="BC542" s="3441" t="s">
        <v>7216</v>
      </c>
      <c r="BD542" s="3525">
        <v>100025</v>
      </c>
      <c r="BE542" s="3441">
        <v>62908858</v>
      </c>
      <c r="BF542" s="3526">
        <v>2.7</v>
      </c>
      <c r="BG542" s="3518">
        <v>37737</v>
      </c>
      <c r="BH542" s="3441" t="s">
        <v>3758</v>
      </c>
      <c r="BI542" s="3470" t="s">
        <v>3476</v>
      </c>
      <c r="BJ542" s="3478">
        <v>37763</v>
      </c>
      <c r="BK542" s="3484"/>
      <c r="BL542" s="3470" t="s">
        <v>3670</v>
      </c>
      <c r="BS542" s="3470"/>
      <c r="BT542" s="3470"/>
      <c r="BU542" s="3470"/>
      <c r="BV542" s="3472"/>
      <c r="BW542" s="3472"/>
      <c r="BX542" s="3472"/>
      <c r="BY542" s="3472"/>
      <c r="BZ542" s="3472"/>
      <c r="CA542" s="3472"/>
      <c r="CB542" s="3472"/>
      <c r="CC542" s="3472"/>
      <c r="CD542" s="3472"/>
      <c r="CE542" s="3472"/>
      <c r="CF542" s="3472"/>
      <c r="CG542" s="3472"/>
      <c r="CH542" s="3472"/>
      <c r="CI542" s="3472"/>
      <c r="CJ542" s="3472"/>
      <c r="CK542" s="3472"/>
      <c r="CL542" s="3472"/>
      <c r="CM542" s="3472"/>
      <c r="CN542" s="3472"/>
      <c r="CO542" s="3472"/>
      <c r="CP542" s="3472"/>
      <c r="CQ542" s="3472"/>
      <c r="CR542" s="3472"/>
      <c r="CS542" s="3472"/>
      <c r="CT542" s="3472"/>
      <c r="CU542" s="3472"/>
      <c r="CV542" s="3472"/>
      <c r="CW542" s="3472"/>
      <c r="CX542" s="3472"/>
      <c r="CY542" s="3472"/>
      <c r="CZ542" s="3472"/>
      <c r="DA542" s="3472"/>
      <c r="DB542" s="3472"/>
      <c r="DC542" s="3472"/>
      <c r="DD542" s="3472"/>
      <c r="DE542" s="3472"/>
      <c r="DF542" s="3472"/>
      <c r="DG542" s="3472"/>
      <c r="DH542" s="3472"/>
      <c r="DI542" s="3472"/>
      <c r="DJ542" s="3472"/>
      <c r="DK542" s="3472"/>
      <c r="DL542" s="3472"/>
      <c r="DM542" s="3472"/>
      <c r="DN542" s="3472"/>
      <c r="DO542" s="3472"/>
      <c r="DP542" s="3472"/>
      <c r="DQ542" s="3472"/>
      <c r="DR542" s="3472"/>
      <c r="DS542" s="3472"/>
      <c r="DT542" s="3472"/>
      <c r="DU542" s="3472"/>
      <c r="DV542" s="3472"/>
      <c r="DW542" s="3472"/>
      <c r="DX542" s="3472"/>
      <c r="DY542" s="3472"/>
      <c r="DZ542" s="3472"/>
      <c r="EA542" s="3472"/>
      <c r="EB542" s="3472"/>
      <c r="EC542" s="3472"/>
      <c r="ED542" s="3472"/>
      <c r="EE542" s="3472"/>
      <c r="EF542" s="3472"/>
      <c r="EG542" s="3472"/>
      <c r="EH542" s="3472"/>
      <c r="EI542" s="3472"/>
      <c r="EJ542" s="3472"/>
      <c r="EK542" s="3472"/>
      <c r="EL542" s="3472"/>
      <c r="EM542" s="3472"/>
      <c r="EN542" s="3472"/>
      <c r="EO542" s="3472"/>
      <c r="EP542" s="3472"/>
      <c r="EQ542" s="3472"/>
      <c r="ER542" s="3472"/>
      <c r="ES542" s="3472"/>
      <c r="ET542" s="3472"/>
      <c r="EU542" s="3472"/>
      <c r="EV542" s="3472"/>
      <c r="EW542" s="3472"/>
      <c r="EX542" s="3472"/>
      <c r="EY542" s="3472"/>
      <c r="EZ542" s="3472"/>
      <c r="FA542" s="3472"/>
      <c r="FB542" s="3472"/>
      <c r="FC542" s="3472"/>
      <c r="FD542" s="3472"/>
      <c r="FE542" s="3472"/>
      <c r="FF542" s="3472"/>
      <c r="FG542" s="3472"/>
      <c r="FH542" s="3472"/>
      <c r="FI542" s="3472"/>
      <c r="FJ542" s="3472"/>
      <c r="FK542" s="3472"/>
      <c r="FL542" s="3472"/>
      <c r="FM542" s="3472"/>
      <c r="FN542" s="3472"/>
      <c r="FO542" s="3472"/>
      <c r="FP542" s="3472"/>
      <c r="FQ542" s="3472"/>
      <c r="FR542" s="3472"/>
      <c r="FS542" s="3472"/>
      <c r="FT542" s="3472"/>
      <c r="FU542" s="3472"/>
      <c r="FV542" s="3472"/>
      <c r="FW542" s="3472"/>
      <c r="FX542" s="3472"/>
      <c r="FY542" s="3472"/>
      <c r="FZ542" s="3472"/>
      <c r="GA542" s="3472"/>
      <c r="GB542" s="3472"/>
      <c r="GC542" s="3472"/>
      <c r="GD542" s="3472"/>
      <c r="GE542" s="3472"/>
      <c r="GF542" s="3472"/>
      <c r="GG542" s="3472"/>
      <c r="GH542" s="3472"/>
      <c r="GI542" s="3472"/>
      <c r="GJ542" s="3472"/>
      <c r="GK542" s="3472"/>
      <c r="GL542" s="3472"/>
      <c r="GM542" s="3472"/>
      <c r="GN542" s="3472"/>
      <c r="GO542" s="3472"/>
      <c r="GP542" s="3472"/>
      <c r="GQ542" s="3472"/>
      <c r="GR542" s="3472"/>
      <c r="GS542" s="3472"/>
      <c r="GT542" s="3472"/>
      <c r="GU542" s="3472"/>
      <c r="GV542" s="3472"/>
      <c r="GW542" s="3472"/>
      <c r="GX542" s="3472"/>
      <c r="GY542" s="3472"/>
      <c r="GZ542" s="3472"/>
      <c r="HA542" s="3472"/>
      <c r="HB542" s="3472"/>
      <c r="HC542" s="3472"/>
      <c r="HD542" s="3472"/>
      <c r="HE542" s="3472"/>
      <c r="HF542" s="3472"/>
      <c r="HG542" s="3472"/>
      <c r="HH542" s="3472"/>
      <c r="HI542" s="3472"/>
      <c r="HJ542" s="3472"/>
      <c r="HK542" s="3472"/>
      <c r="HL542" s="3472"/>
      <c r="HM542" s="3472"/>
      <c r="HN542" s="3472"/>
      <c r="HO542" s="3472"/>
      <c r="HP542" s="3472"/>
      <c r="HQ542" s="3472"/>
      <c r="HR542" s="3472"/>
      <c r="HS542" s="3472"/>
      <c r="HT542" s="3472"/>
      <c r="HU542" s="3472"/>
      <c r="HV542" s="3472"/>
      <c r="HW542" s="3472"/>
      <c r="HX542" s="3472"/>
      <c r="HY542" s="3472"/>
      <c r="HZ542" s="3472"/>
      <c r="IA542" s="3472"/>
      <c r="IB542" s="3472"/>
      <c r="IC542" s="3472"/>
      <c r="ID542" s="3472"/>
      <c r="IE542" s="3472"/>
      <c r="IF542" s="3472"/>
      <c r="IG542" s="3472"/>
      <c r="IH542" s="3472"/>
      <c r="II542" s="3472"/>
      <c r="IJ542" s="3472"/>
      <c r="IK542" s="3472"/>
      <c r="IL542" s="3472"/>
      <c r="IM542" s="3472"/>
      <c r="IN542" s="3472"/>
      <c r="IO542" s="3472"/>
      <c r="IP542" s="3472"/>
      <c r="IQ542" s="3472"/>
      <c r="IR542" s="3472"/>
      <c r="IS542" s="3472"/>
    </row>
    <row r="543" spans="1:253" s="3441" customFormat="1" ht="12" hidden="1">
      <c r="A543" s="3470" t="s">
        <v>7539</v>
      </c>
      <c r="B543" s="3470" t="s">
        <v>7540</v>
      </c>
      <c r="C543" s="3481" t="s">
        <v>7541</v>
      </c>
      <c r="D543" s="3470">
        <v>13911557358</v>
      </c>
      <c r="E543" s="3470" t="s">
        <v>3763</v>
      </c>
      <c r="F543" s="3470" t="s">
        <v>7542</v>
      </c>
      <c r="G543" s="3470"/>
      <c r="H543" s="3470" t="s">
        <v>5486</v>
      </c>
      <c r="I543" s="3470" t="s">
        <v>4433</v>
      </c>
      <c r="J543" s="3470" t="s">
        <v>4356</v>
      </c>
      <c r="K543" s="3470" t="s">
        <v>5487</v>
      </c>
      <c r="L543" s="3470">
        <v>95.21</v>
      </c>
      <c r="M543" s="3470">
        <v>12</v>
      </c>
      <c r="N543" s="3470" t="s">
        <v>7017</v>
      </c>
      <c r="O543" s="3470">
        <v>81.41</v>
      </c>
      <c r="P543" s="3470" t="s">
        <v>3452</v>
      </c>
      <c r="Q543" s="3457">
        <v>447725.02499999997</v>
      </c>
      <c r="R543" s="3470">
        <v>4702.5</v>
      </c>
      <c r="S543" s="3472">
        <v>44.3</v>
      </c>
      <c r="T543" s="3527">
        <v>443000</v>
      </c>
      <c r="U543" s="3470">
        <v>4653</v>
      </c>
      <c r="V543" s="3474">
        <v>0.05</v>
      </c>
      <c r="W543" s="3475">
        <v>42.08</v>
      </c>
      <c r="X543" s="3476">
        <v>420800</v>
      </c>
      <c r="Y543" s="3441">
        <v>2003</v>
      </c>
      <c r="Z543" s="3441">
        <v>7</v>
      </c>
      <c r="AA543" s="3470">
        <v>23</v>
      </c>
      <c r="AB543" s="3477">
        <v>2215</v>
      </c>
      <c r="AC543" s="3470" t="s">
        <v>3544</v>
      </c>
      <c r="AD543" s="3470"/>
      <c r="AE543" s="3470" t="s">
        <v>6906</v>
      </c>
      <c r="AF543" s="3470" t="s">
        <v>7256</v>
      </c>
      <c r="AG543" s="3470" t="s">
        <v>6908</v>
      </c>
      <c r="AH543" s="3470"/>
      <c r="AI543" s="3470" t="s">
        <v>6972</v>
      </c>
      <c r="AJ543" s="3478">
        <v>37790</v>
      </c>
      <c r="AK543" s="3500">
        <v>7</v>
      </c>
      <c r="AL543" s="3470">
        <v>67641700</v>
      </c>
      <c r="AM543" s="3470"/>
      <c r="AN543" s="3470" t="s">
        <v>3680</v>
      </c>
      <c r="AO543" s="3470"/>
      <c r="AP543" s="3470" t="s">
        <v>7144</v>
      </c>
      <c r="AQ543" s="3470" t="s">
        <v>7265</v>
      </c>
      <c r="AR543" s="3470"/>
      <c r="AS543" s="3470"/>
      <c r="AT543" s="3470"/>
      <c r="AU543" s="3470"/>
      <c r="AV543" s="3470" t="s">
        <v>3715</v>
      </c>
      <c r="AW543" s="3470" t="s">
        <v>6909</v>
      </c>
      <c r="AX543" s="3470" t="s">
        <v>3606</v>
      </c>
      <c r="AY543" s="3481" t="s">
        <v>7543</v>
      </c>
      <c r="AZ543" s="3470" t="s">
        <v>4347</v>
      </c>
      <c r="BA543" s="3470" t="s">
        <v>4349</v>
      </c>
      <c r="BB543" s="3481" t="s">
        <v>7544</v>
      </c>
      <c r="BC543" s="3470" t="s">
        <v>4351</v>
      </c>
      <c r="BD543" s="3482">
        <v>100010</v>
      </c>
      <c r="BE543" s="3470">
        <v>65233356</v>
      </c>
      <c r="BF543" s="3483">
        <v>2.7</v>
      </c>
      <c r="BG543" s="3478">
        <v>37814</v>
      </c>
      <c r="BH543" s="3470"/>
      <c r="BI543" s="3470" t="s">
        <v>3475</v>
      </c>
      <c r="BJ543" s="3508">
        <v>37824</v>
      </c>
      <c r="BK543" s="3478"/>
      <c r="BL543" s="3441" t="s">
        <v>3594</v>
      </c>
      <c r="BS543" s="3470"/>
      <c r="BT543" s="3470"/>
      <c r="BU543" s="3470"/>
      <c r="BV543" s="3472"/>
      <c r="BW543" s="3472"/>
      <c r="BX543" s="3472"/>
      <c r="BY543" s="3472"/>
      <c r="BZ543" s="3472"/>
      <c r="CA543" s="3472"/>
      <c r="CB543" s="3472"/>
      <c r="CC543" s="3472"/>
      <c r="CD543" s="3472"/>
      <c r="CE543" s="3472"/>
      <c r="CF543" s="3472"/>
      <c r="CG543" s="3472"/>
      <c r="CH543" s="3472"/>
      <c r="CI543" s="3472"/>
      <c r="CJ543" s="3472"/>
      <c r="CK543" s="3472"/>
      <c r="CL543" s="3472"/>
      <c r="CM543" s="3472"/>
      <c r="CN543" s="3472"/>
      <c r="CO543" s="3472"/>
      <c r="CP543" s="3472"/>
      <c r="CQ543" s="3472"/>
      <c r="CR543" s="3472"/>
      <c r="CS543" s="3472"/>
      <c r="CT543" s="3472"/>
      <c r="CU543" s="3472"/>
      <c r="CV543" s="3472"/>
      <c r="CW543" s="3472"/>
      <c r="CX543" s="3472"/>
      <c r="CY543" s="3472"/>
      <c r="CZ543" s="3472"/>
      <c r="DA543" s="3472"/>
      <c r="DB543" s="3472"/>
      <c r="DC543" s="3472"/>
      <c r="DD543" s="3472"/>
      <c r="DE543" s="3472"/>
      <c r="DF543" s="3472"/>
      <c r="DG543" s="3472"/>
      <c r="DH543" s="3472"/>
      <c r="DI543" s="3472"/>
      <c r="DJ543" s="3472"/>
      <c r="DK543" s="3472"/>
      <c r="DL543" s="3472"/>
      <c r="DM543" s="3472"/>
      <c r="DN543" s="3472"/>
      <c r="DO543" s="3472"/>
      <c r="DP543" s="3472"/>
      <c r="DQ543" s="3472"/>
      <c r="DR543" s="3472"/>
      <c r="DS543" s="3472"/>
      <c r="DT543" s="3472"/>
      <c r="DU543" s="3472"/>
      <c r="DV543" s="3472"/>
      <c r="DW543" s="3472"/>
      <c r="DX543" s="3472"/>
      <c r="DY543" s="3472"/>
      <c r="DZ543" s="3472"/>
      <c r="EA543" s="3472"/>
      <c r="EB543" s="3472"/>
      <c r="EC543" s="3472"/>
      <c r="ED543" s="3472"/>
      <c r="EE543" s="3472"/>
      <c r="EF543" s="3472"/>
      <c r="EG543" s="3472"/>
      <c r="EH543" s="3472"/>
      <c r="EI543" s="3472"/>
      <c r="EJ543" s="3472"/>
      <c r="EK543" s="3472"/>
      <c r="EL543" s="3472"/>
      <c r="EM543" s="3472"/>
      <c r="EN543" s="3472"/>
      <c r="EO543" s="3472"/>
      <c r="EP543" s="3472"/>
      <c r="EQ543" s="3472"/>
      <c r="ER543" s="3472"/>
      <c r="ES543" s="3472"/>
      <c r="ET543" s="3472"/>
      <c r="EU543" s="3472"/>
      <c r="EV543" s="3472"/>
      <c r="EW543" s="3472"/>
      <c r="EX543" s="3472"/>
      <c r="EY543" s="3472"/>
      <c r="EZ543" s="3472"/>
      <c r="FA543" s="3472"/>
      <c r="FB543" s="3472"/>
      <c r="FC543" s="3472"/>
      <c r="FD543" s="3472"/>
      <c r="FE543" s="3472"/>
      <c r="FF543" s="3472"/>
      <c r="FG543" s="3472"/>
      <c r="FH543" s="3472"/>
      <c r="FI543" s="3472"/>
      <c r="FJ543" s="3472"/>
      <c r="FK543" s="3472"/>
      <c r="FL543" s="3472"/>
      <c r="FM543" s="3472"/>
      <c r="FN543" s="3472"/>
      <c r="FO543" s="3472"/>
      <c r="FP543" s="3472"/>
      <c r="FQ543" s="3472"/>
      <c r="FR543" s="3472"/>
      <c r="FS543" s="3472"/>
      <c r="FT543" s="3472"/>
      <c r="FU543" s="3472"/>
      <c r="FV543" s="3472"/>
      <c r="FW543" s="3472"/>
      <c r="FX543" s="3472"/>
      <c r="FY543" s="3472"/>
      <c r="FZ543" s="3472"/>
      <c r="GA543" s="3472"/>
      <c r="GB543" s="3472"/>
      <c r="GC543" s="3472"/>
      <c r="GD543" s="3472"/>
      <c r="GE543" s="3472"/>
      <c r="GF543" s="3472"/>
      <c r="GG543" s="3472"/>
      <c r="GH543" s="3472"/>
      <c r="GI543" s="3472"/>
      <c r="GJ543" s="3472"/>
      <c r="GK543" s="3472"/>
      <c r="GL543" s="3472"/>
      <c r="GM543" s="3472"/>
      <c r="GN543" s="3472"/>
      <c r="GO543" s="3472"/>
      <c r="GP543" s="3472"/>
      <c r="GQ543" s="3472"/>
      <c r="GR543" s="3472"/>
      <c r="GS543" s="3472"/>
      <c r="GT543" s="3472"/>
      <c r="GU543" s="3472"/>
      <c r="GV543" s="3472"/>
      <c r="GW543" s="3472"/>
      <c r="GX543" s="3472"/>
      <c r="GY543" s="3472"/>
      <c r="GZ543" s="3472"/>
      <c r="HA543" s="3472"/>
      <c r="HB543" s="3472"/>
      <c r="HC543" s="3472"/>
      <c r="HD543" s="3472"/>
      <c r="HE543" s="3472"/>
      <c r="HF543" s="3472"/>
      <c r="HG543" s="3472"/>
      <c r="HH543" s="3472"/>
      <c r="HI543" s="3472"/>
      <c r="HJ543" s="3472"/>
      <c r="HK543" s="3472"/>
      <c r="HL543" s="3472"/>
      <c r="HM543" s="3472"/>
      <c r="HN543" s="3472"/>
      <c r="HO543" s="3472"/>
      <c r="HP543" s="3472"/>
      <c r="HQ543" s="3472"/>
      <c r="HR543" s="3472"/>
      <c r="HS543" s="3472"/>
      <c r="HT543" s="3472"/>
      <c r="HU543" s="3472"/>
      <c r="HV543" s="3472"/>
      <c r="HW543" s="3472"/>
      <c r="HX543" s="3472"/>
      <c r="HY543" s="3472"/>
      <c r="HZ543" s="3472"/>
      <c r="IA543" s="3472"/>
      <c r="IB543" s="3472"/>
      <c r="IC543" s="3472"/>
      <c r="ID543" s="3472"/>
      <c r="IE543" s="3472"/>
      <c r="IF543" s="3472"/>
      <c r="IG543" s="3472"/>
      <c r="IH543" s="3472"/>
      <c r="II543" s="3472"/>
      <c r="IJ543" s="3472"/>
      <c r="IK543" s="3472"/>
      <c r="IL543" s="3472"/>
      <c r="IM543" s="3472"/>
      <c r="IN543" s="3472"/>
      <c r="IO543" s="3472"/>
      <c r="IP543" s="3472"/>
      <c r="IQ543" s="3472"/>
      <c r="IR543" s="3472"/>
      <c r="IS543" s="3472"/>
    </row>
    <row r="544" spans="1:253" s="3469" customFormat="1" ht="13.2" hidden="1">
      <c r="A544" s="3485" t="s">
        <v>7545</v>
      </c>
      <c r="B544" s="3542" t="s">
        <v>7546</v>
      </c>
      <c r="C544" s="3530" t="s">
        <v>7547</v>
      </c>
      <c r="D544" s="3453">
        <v>13911171796</v>
      </c>
      <c r="E544" s="3530" t="s">
        <v>2736</v>
      </c>
      <c r="F544" s="3598" t="s">
        <v>4613</v>
      </c>
      <c r="G544" s="3522"/>
      <c r="H544" s="3530" t="s">
        <v>3477</v>
      </c>
      <c r="I544" s="3530" t="s">
        <v>7339</v>
      </c>
      <c r="J544" s="3530" t="s">
        <v>7548</v>
      </c>
      <c r="K544" s="3542" t="s">
        <v>4565</v>
      </c>
      <c r="L544" s="3477">
        <v>51.45</v>
      </c>
      <c r="M544" s="3477">
        <v>21</v>
      </c>
      <c r="N544" s="3453" t="s">
        <v>3489</v>
      </c>
      <c r="O544" s="3477">
        <v>40.56</v>
      </c>
      <c r="P544" s="3485" t="s">
        <v>3452</v>
      </c>
      <c r="Q544" s="3457">
        <v>391277.25</v>
      </c>
      <c r="R544" s="3477">
        <v>7605</v>
      </c>
      <c r="S544" s="3642">
        <v>38.89</v>
      </c>
      <c r="T544" s="3527">
        <v>388900</v>
      </c>
      <c r="U544" s="3495">
        <v>7560</v>
      </c>
      <c r="V544" s="3512">
        <v>0.1</v>
      </c>
      <c r="W544" s="3475">
        <v>35</v>
      </c>
      <c r="X544" s="3459">
        <v>350000</v>
      </c>
      <c r="Y544" s="3495">
        <v>2003</v>
      </c>
      <c r="Z544" s="3441">
        <v>7</v>
      </c>
      <c r="AA544" s="3470">
        <v>23</v>
      </c>
      <c r="AB544" s="3477">
        <v>1940</v>
      </c>
      <c r="AC544" s="3470" t="s">
        <v>3544</v>
      </c>
      <c r="AD544" s="3522"/>
      <c r="AE544" s="3470" t="s">
        <v>3663</v>
      </c>
      <c r="AF544" s="3542" t="s">
        <v>7549</v>
      </c>
      <c r="AG544" s="3542" t="s">
        <v>3546</v>
      </c>
      <c r="AH544" s="3542"/>
      <c r="AI544" s="3470" t="s">
        <v>3664</v>
      </c>
      <c r="AJ544" s="3513">
        <v>38199</v>
      </c>
      <c r="AK544" s="3500">
        <v>7</v>
      </c>
      <c r="AL544" s="3470">
        <v>67641700</v>
      </c>
      <c r="AM544" s="3441"/>
      <c r="AN544" s="3469" t="s">
        <v>3484</v>
      </c>
      <c r="AP544" s="3441" t="s">
        <v>3476</v>
      </c>
      <c r="AQ544" s="3456" t="s">
        <v>7265</v>
      </c>
      <c r="AV544" s="3599"/>
      <c r="AW544" s="3470" t="s">
        <v>3458</v>
      </c>
      <c r="AX544" s="3441" t="s">
        <v>2420</v>
      </c>
      <c r="AY544" s="3536" t="s">
        <v>7550</v>
      </c>
      <c r="AZ544" s="3542" t="s">
        <v>4568</v>
      </c>
      <c r="BA544" s="3463" t="s">
        <v>7551</v>
      </c>
      <c r="BB544" s="3466" t="s">
        <v>7552</v>
      </c>
      <c r="BC544" s="3463" t="s">
        <v>4587</v>
      </c>
      <c r="BD544" s="3537">
        <v>100037</v>
      </c>
      <c r="BE544" s="3515">
        <v>68347718</v>
      </c>
      <c r="BF544" s="3538">
        <v>2.8</v>
      </c>
      <c r="BG544" s="3535">
        <v>37798</v>
      </c>
      <c r="BH544" s="3441" t="s">
        <v>3758</v>
      </c>
      <c r="BI544" s="3470" t="s">
        <v>3476</v>
      </c>
      <c r="BJ544" s="3484">
        <v>37823</v>
      </c>
      <c r="BK544" s="3441"/>
      <c r="BL544" s="3470" t="s">
        <v>6897</v>
      </c>
      <c r="BM544" s="3441"/>
      <c r="BN544" s="3441"/>
      <c r="BO544" s="3441"/>
      <c r="BP544" s="3441"/>
      <c r="BQ544" s="3441"/>
      <c r="BR544" s="3441"/>
      <c r="BS544" s="3470"/>
      <c r="BT544" s="3470"/>
      <c r="BU544" s="3470"/>
    </row>
    <row r="545" spans="1:253" s="3469" customFormat="1" ht="13.2" hidden="1">
      <c r="A545" s="3485" t="s">
        <v>7553</v>
      </c>
      <c r="B545" s="3542" t="s">
        <v>7554</v>
      </c>
      <c r="C545" s="3530" t="s">
        <v>7555</v>
      </c>
      <c r="D545" s="3453">
        <v>13901252049</v>
      </c>
      <c r="E545" s="3530" t="s">
        <v>2736</v>
      </c>
      <c r="F545" s="3598" t="s">
        <v>6915</v>
      </c>
      <c r="G545" s="3522"/>
      <c r="H545" s="3530" t="s">
        <v>3477</v>
      </c>
      <c r="I545" s="3530" t="s">
        <v>7556</v>
      </c>
      <c r="J545" s="3530" t="s">
        <v>7557</v>
      </c>
      <c r="K545" s="3542" t="s">
        <v>7055</v>
      </c>
      <c r="L545" s="3477">
        <v>95.92</v>
      </c>
      <c r="M545" s="3477">
        <v>7</v>
      </c>
      <c r="N545" s="3453" t="s">
        <v>7017</v>
      </c>
      <c r="O545" s="3477">
        <v>75.61</v>
      </c>
      <c r="P545" s="3485" t="s">
        <v>3452</v>
      </c>
      <c r="Q545" s="3457">
        <v>730622.64</v>
      </c>
      <c r="R545" s="3477">
        <v>7617</v>
      </c>
      <c r="S545" s="3642">
        <v>72.510000000000005</v>
      </c>
      <c r="T545" s="3527">
        <v>725100</v>
      </c>
      <c r="U545" s="3495">
        <v>7560</v>
      </c>
      <c r="V545" s="3512">
        <v>0.1</v>
      </c>
      <c r="W545" s="3475">
        <v>65.25</v>
      </c>
      <c r="X545" s="3459">
        <v>652500</v>
      </c>
      <c r="Y545" s="3495">
        <v>2003</v>
      </c>
      <c r="Z545" s="3441">
        <v>7</v>
      </c>
      <c r="AA545" s="3470">
        <v>23</v>
      </c>
      <c r="AB545" s="3477">
        <v>3625</v>
      </c>
      <c r="AC545" s="3470" t="s">
        <v>7004</v>
      </c>
      <c r="AD545" s="3522"/>
      <c r="AE545" s="3470" t="s">
        <v>3663</v>
      </c>
      <c r="AF545" s="3542" t="s">
        <v>7503</v>
      </c>
      <c r="AG545" s="3542" t="s">
        <v>6908</v>
      </c>
      <c r="AH545" s="3542"/>
      <c r="AI545" s="3470" t="s">
        <v>6972</v>
      </c>
      <c r="AJ545" s="3513">
        <v>38199</v>
      </c>
      <c r="AK545" s="3500">
        <v>7</v>
      </c>
      <c r="AL545" s="3470">
        <v>67641700</v>
      </c>
      <c r="AM545" s="3441"/>
      <c r="AN545" s="3469" t="s">
        <v>3768</v>
      </c>
      <c r="AP545" s="3441" t="s">
        <v>3476</v>
      </c>
      <c r="AQ545" s="3456" t="s">
        <v>7265</v>
      </c>
      <c r="AV545" s="3599"/>
      <c r="AW545" s="3470" t="s">
        <v>3458</v>
      </c>
      <c r="AX545" s="3441" t="s">
        <v>3715</v>
      </c>
      <c r="AY545" s="3536" t="s">
        <v>7558</v>
      </c>
      <c r="AZ545" s="3542" t="s">
        <v>7066</v>
      </c>
      <c r="BA545" s="3463" t="s">
        <v>7559</v>
      </c>
      <c r="BB545" s="3466" t="s">
        <v>7560</v>
      </c>
      <c r="BC545" s="3463" t="s">
        <v>6921</v>
      </c>
      <c r="BD545" s="3537">
        <v>100037</v>
      </c>
      <c r="BE545" s="3515">
        <v>68347718</v>
      </c>
      <c r="BF545" s="3538">
        <v>2.8</v>
      </c>
      <c r="BG545" s="3535">
        <v>37778</v>
      </c>
      <c r="BH545" s="3441" t="s">
        <v>3437</v>
      </c>
      <c r="BI545" s="3470" t="s">
        <v>3476</v>
      </c>
      <c r="BJ545" s="3484">
        <v>37823</v>
      </c>
      <c r="BK545" s="3441"/>
      <c r="BL545" s="3470" t="s">
        <v>3594</v>
      </c>
      <c r="BM545" s="3441"/>
      <c r="BN545" s="3441"/>
      <c r="BO545" s="3441"/>
      <c r="BP545" s="3441"/>
      <c r="BQ545" s="3441"/>
      <c r="BR545" s="3441"/>
      <c r="BS545" s="3470"/>
      <c r="BT545" s="3470"/>
      <c r="BU545" s="3470"/>
    </row>
    <row r="546" spans="1:253" s="3469" customFormat="1" ht="13.2" hidden="1">
      <c r="A546" s="3485" t="s">
        <v>7561</v>
      </c>
      <c r="B546" s="3542" t="s">
        <v>7562</v>
      </c>
      <c r="C546" s="3530" t="s">
        <v>7563</v>
      </c>
      <c r="D546" s="3453">
        <v>13901085112</v>
      </c>
      <c r="E546" s="3530" t="s">
        <v>2736</v>
      </c>
      <c r="F546" s="3598" t="s">
        <v>4613</v>
      </c>
      <c r="G546" s="3522"/>
      <c r="H546" s="3530" t="s">
        <v>7564</v>
      </c>
      <c r="I546" s="3530" t="s">
        <v>7565</v>
      </c>
      <c r="J546" s="3530" t="s">
        <v>7566</v>
      </c>
      <c r="K546" s="3542" t="s">
        <v>4565</v>
      </c>
      <c r="L546" s="3477">
        <v>95.92</v>
      </c>
      <c r="M546" s="3477">
        <v>20</v>
      </c>
      <c r="N546" s="3453" t="s">
        <v>7017</v>
      </c>
      <c r="O546" s="3477">
        <v>75.61</v>
      </c>
      <c r="P546" s="3485" t="s">
        <v>3452</v>
      </c>
      <c r="Q546" s="3457">
        <v>770525.36</v>
      </c>
      <c r="R546" s="3477">
        <v>8033</v>
      </c>
      <c r="S546" s="3642">
        <v>76.44</v>
      </c>
      <c r="T546" s="3527">
        <v>764400</v>
      </c>
      <c r="U546" s="3495">
        <v>7970</v>
      </c>
      <c r="V546" s="3512">
        <v>0.1</v>
      </c>
      <c r="W546" s="3475">
        <v>68.790000000000006</v>
      </c>
      <c r="X546" s="3459">
        <v>687900.00000000012</v>
      </c>
      <c r="Y546" s="3495">
        <v>2003</v>
      </c>
      <c r="Z546" s="3441">
        <v>7</v>
      </c>
      <c r="AA546" s="3470">
        <v>23</v>
      </c>
      <c r="AB546" s="3477">
        <v>3820</v>
      </c>
      <c r="AC546" s="3470" t="s">
        <v>4922</v>
      </c>
      <c r="AD546" s="3522"/>
      <c r="AE546" s="3470" t="s">
        <v>3663</v>
      </c>
      <c r="AF546" s="3542" t="s">
        <v>7503</v>
      </c>
      <c r="AG546" s="3542" t="s">
        <v>3454</v>
      </c>
      <c r="AH546" s="3542"/>
      <c r="AI546" s="3470" t="s">
        <v>3664</v>
      </c>
      <c r="AJ546" s="3513">
        <v>38199</v>
      </c>
      <c r="AK546" s="3500">
        <v>7</v>
      </c>
      <c r="AL546" s="3470">
        <v>67641700</v>
      </c>
      <c r="AM546" s="3441"/>
      <c r="AN546" s="3469" t="s">
        <v>6892</v>
      </c>
      <c r="AP546" s="3441" t="s">
        <v>3476</v>
      </c>
      <c r="AQ546" s="3456" t="s">
        <v>7265</v>
      </c>
      <c r="AV546" s="3599"/>
      <c r="AW546" s="3470" t="s">
        <v>3458</v>
      </c>
      <c r="AX546" s="3441" t="s">
        <v>2420</v>
      </c>
      <c r="AY546" s="3465" t="s">
        <v>7567</v>
      </c>
      <c r="AZ546" s="3542" t="s">
        <v>7066</v>
      </c>
      <c r="BA546" s="3463" t="s">
        <v>7559</v>
      </c>
      <c r="BB546" s="3466" t="s">
        <v>7568</v>
      </c>
      <c r="BC546" s="3463" t="s">
        <v>4570</v>
      </c>
      <c r="BD546" s="3537">
        <v>100037</v>
      </c>
      <c r="BE546" s="3515">
        <v>68347718</v>
      </c>
      <c r="BF546" s="3538">
        <v>2.8</v>
      </c>
      <c r="BG546" s="3535">
        <v>37796</v>
      </c>
      <c r="BH546" s="3441" t="s">
        <v>3437</v>
      </c>
      <c r="BI546" s="3470" t="s">
        <v>3476</v>
      </c>
      <c r="BJ546" s="3484">
        <v>37824</v>
      </c>
      <c r="BK546" s="3441"/>
      <c r="BL546" s="3470" t="s">
        <v>3833</v>
      </c>
      <c r="BM546" s="3441"/>
      <c r="BN546" s="3441"/>
      <c r="BO546" s="3441"/>
      <c r="BP546" s="3441"/>
      <c r="BQ546" s="3441"/>
      <c r="BR546" s="3441"/>
      <c r="BS546" s="3470"/>
      <c r="BT546" s="3470"/>
      <c r="BU546" s="3470"/>
    </row>
    <row r="547" spans="1:253" s="3441" customFormat="1" ht="12" hidden="1">
      <c r="A547" s="3485" t="s">
        <v>7569</v>
      </c>
      <c r="B547" s="3470" t="s">
        <v>7570</v>
      </c>
      <c r="C547" s="3481" t="s">
        <v>7571</v>
      </c>
      <c r="D547" s="3481" t="s">
        <v>7572</v>
      </c>
      <c r="E547" s="3470" t="s">
        <v>3558</v>
      </c>
      <c r="F547" s="3470" t="s">
        <v>7573</v>
      </c>
      <c r="G547" s="3470" t="s">
        <v>7574</v>
      </c>
      <c r="H547" s="3470" t="s">
        <v>7575</v>
      </c>
      <c r="I547" s="3470" t="s">
        <v>3448</v>
      </c>
      <c r="J547" s="3481" t="s">
        <v>7576</v>
      </c>
      <c r="K547" s="3470" t="s">
        <v>5500</v>
      </c>
      <c r="L547" s="3470">
        <v>127.87</v>
      </c>
      <c r="M547" s="3470">
        <v>9</v>
      </c>
      <c r="N547" s="3470" t="s">
        <v>3661</v>
      </c>
      <c r="O547" s="3470">
        <v>107.41</v>
      </c>
      <c r="P547" s="3470" t="s">
        <v>3452</v>
      </c>
      <c r="Q547" s="3457">
        <v>829569.41200000013</v>
      </c>
      <c r="R547" s="3470">
        <v>6487.6</v>
      </c>
      <c r="S547" s="3472">
        <v>82.22</v>
      </c>
      <c r="T547" s="3527">
        <v>822200</v>
      </c>
      <c r="U547" s="3470">
        <v>6430</v>
      </c>
      <c r="V547" s="3474">
        <v>0.1</v>
      </c>
      <c r="W547" s="3475">
        <v>73.989999999999995</v>
      </c>
      <c r="X547" s="3476">
        <v>739900</v>
      </c>
      <c r="Y547" s="3441">
        <v>2003</v>
      </c>
      <c r="Z547" s="3441">
        <v>7</v>
      </c>
      <c r="AA547" s="3470">
        <v>23</v>
      </c>
      <c r="AB547" s="3485">
        <v>4110</v>
      </c>
      <c r="AC547" s="3470" t="s">
        <v>6747</v>
      </c>
      <c r="AD547" s="3485"/>
      <c r="AE547" s="3453" t="s">
        <v>2156</v>
      </c>
      <c r="AF547" s="3470" t="s">
        <v>3587</v>
      </c>
      <c r="AG547" s="3522" t="s">
        <v>3466</v>
      </c>
      <c r="AH547" s="3485"/>
      <c r="AI547" s="3470" t="s">
        <v>3664</v>
      </c>
      <c r="AJ547" s="3478">
        <v>38077</v>
      </c>
      <c r="AK547" s="3500">
        <v>7</v>
      </c>
      <c r="AL547" s="3441">
        <v>67641700</v>
      </c>
      <c r="AN547" s="3441" t="s">
        <v>3680</v>
      </c>
      <c r="AO547" s="3470" t="s">
        <v>2420</v>
      </c>
      <c r="AP547" s="3470" t="s">
        <v>3476</v>
      </c>
      <c r="AQ547" s="3441" t="s">
        <v>3571</v>
      </c>
      <c r="AW547" s="3441" t="s">
        <v>3572</v>
      </c>
      <c r="AX547" s="3441" t="s">
        <v>2511</v>
      </c>
      <c r="AY547" s="3524" t="s">
        <v>7577</v>
      </c>
      <c r="AZ547" s="3441" t="s">
        <v>5500</v>
      </c>
      <c r="BA547" s="3470" t="s">
        <v>7008</v>
      </c>
      <c r="BB547" s="3524" t="s">
        <v>5502</v>
      </c>
      <c r="BC547" s="3441" t="s">
        <v>7578</v>
      </c>
      <c r="BD547" s="3525">
        <v>100089</v>
      </c>
      <c r="BE547" s="3441">
        <v>88442745</v>
      </c>
      <c r="BF547" s="3526">
        <v>2.8</v>
      </c>
      <c r="BG547" s="3518">
        <v>37813</v>
      </c>
      <c r="BI547" s="3470" t="s">
        <v>3476</v>
      </c>
      <c r="BJ547" s="3508">
        <v>37824</v>
      </c>
      <c r="BK547" s="3484"/>
      <c r="BL547" s="3470" t="s">
        <v>3670</v>
      </c>
      <c r="BS547" s="3470"/>
      <c r="BT547" s="3470"/>
      <c r="BU547" s="3470"/>
    </row>
    <row r="548" spans="1:253" s="3441" customFormat="1" ht="12" hidden="1">
      <c r="A548" s="3485" t="s">
        <v>7579</v>
      </c>
      <c r="B548" s="3470" t="s">
        <v>7580</v>
      </c>
      <c r="C548" s="3481" t="s">
        <v>7581</v>
      </c>
      <c r="D548" s="3453">
        <v>13671364341</v>
      </c>
      <c r="E548" s="3470" t="s">
        <v>2736</v>
      </c>
      <c r="F548" s="3528" t="s">
        <v>7582</v>
      </c>
      <c r="G548" s="3470"/>
      <c r="H548" s="3470" t="s">
        <v>7583</v>
      </c>
      <c r="I548" s="3453" t="s">
        <v>4433</v>
      </c>
      <c r="J548" s="3481" t="s">
        <v>4012</v>
      </c>
      <c r="K548" s="3441" t="s">
        <v>6369</v>
      </c>
      <c r="L548" s="3470">
        <v>90.74</v>
      </c>
      <c r="M548" s="3470">
        <v>2</v>
      </c>
      <c r="N548" s="3470" t="s">
        <v>3491</v>
      </c>
      <c r="O548" s="3470">
        <v>80.72</v>
      </c>
      <c r="P548" s="3470" t="s">
        <v>3452</v>
      </c>
      <c r="Q548" s="3457">
        <v>488634.89999999997</v>
      </c>
      <c r="R548" s="3470">
        <v>5385</v>
      </c>
      <c r="S548" s="3642">
        <v>48.4</v>
      </c>
      <c r="T548" s="3527">
        <v>484000</v>
      </c>
      <c r="U548" s="3495">
        <v>5334</v>
      </c>
      <c r="V548" s="3512">
        <v>0.1</v>
      </c>
      <c r="W548" s="3475">
        <v>43.56</v>
      </c>
      <c r="X548" s="3473">
        <v>435600</v>
      </c>
      <c r="Y548" s="3515">
        <v>2003</v>
      </c>
      <c r="Z548" s="3441">
        <v>7</v>
      </c>
      <c r="AA548" s="3470">
        <v>23</v>
      </c>
      <c r="AB548" s="3477">
        <v>2420</v>
      </c>
      <c r="AC548" s="3470" t="s">
        <v>6891</v>
      </c>
      <c r="AD548" s="3485"/>
      <c r="AE548" s="3441" t="s">
        <v>3663</v>
      </c>
      <c r="AF548" s="3453" t="s">
        <v>4126</v>
      </c>
      <c r="AG548" s="3522" t="s">
        <v>3466</v>
      </c>
      <c r="AH548" s="3485" t="s">
        <v>3568</v>
      </c>
      <c r="AI548" s="3470" t="s">
        <v>6972</v>
      </c>
      <c r="AJ548" s="3523">
        <v>37986</v>
      </c>
      <c r="AK548" s="3500">
        <v>7</v>
      </c>
      <c r="AL548" s="3441">
        <v>67641700</v>
      </c>
      <c r="AN548" s="3469" t="s">
        <v>3768</v>
      </c>
      <c r="AP548" s="3441" t="s">
        <v>3476</v>
      </c>
      <c r="AQ548" s="3441" t="s">
        <v>3571</v>
      </c>
      <c r="AV548" s="3441" t="s">
        <v>3568</v>
      </c>
      <c r="AW548" s="3441" t="s">
        <v>3572</v>
      </c>
      <c r="AY548" s="3524" t="s">
        <v>7584</v>
      </c>
      <c r="AZ548" s="3441" t="s">
        <v>6369</v>
      </c>
      <c r="BA548" s="3441" t="s">
        <v>6391</v>
      </c>
      <c r="BB548" s="3524" t="s">
        <v>6371</v>
      </c>
      <c r="BC548" s="3441" t="s">
        <v>7020</v>
      </c>
      <c r="BD548" s="3525">
        <v>100025</v>
      </c>
      <c r="BE548" s="3441">
        <v>62908858</v>
      </c>
      <c r="BF548" s="3526">
        <v>2.7</v>
      </c>
      <c r="BG548" s="3518">
        <v>37797</v>
      </c>
      <c r="BH548" s="3441" t="s">
        <v>3758</v>
      </c>
      <c r="BI548" s="3470" t="s">
        <v>3476</v>
      </c>
      <c r="BJ548" s="3478">
        <v>37824</v>
      </c>
      <c r="BK548" s="3484"/>
      <c r="BL548" s="3470" t="s">
        <v>3670</v>
      </c>
      <c r="BS548" s="3470"/>
      <c r="BT548" s="3470"/>
      <c r="BU548" s="3470"/>
      <c r="BV548" s="3472"/>
      <c r="BW548" s="3472"/>
      <c r="BX548" s="3472"/>
      <c r="BY548" s="3472"/>
      <c r="BZ548" s="3472"/>
      <c r="CA548" s="3472"/>
      <c r="CB548" s="3472"/>
      <c r="CC548" s="3472"/>
      <c r="CD548" s="3472"/>
      <c r="CE548" s="3472"/>
      <c r="CF548" s="3472"/>
      <c r="CG548" s="3472"/>
      <c r="CH548" s="3472"/>
      <c r="CI548" s="3472"/>
      <c r="CJ548" s="3472"/>
      <c r="CK548" s="3472"/>
      <c r="CL548" s="3472"/>
      <c r="CM548" s="3472"/>
      <c r="CN548" s="3472"/>
      <c r="CO548" s="3472"/>
      <c r="CP548" s="3472"/>
      <c r="CQ548" s="3472"/>
      <c r="CR548" s="3472"/>
      <c r="CS548" s="3472"/>
      <c r="CT548" s="3472"/>
      <c r="CU548" s="3472"/>
      <c r="CV548" s="3472"/>
      <c r="CW548" s="3472"/>
      <c r="CX548" s="3472"/>
      <c r="CY548" s="3472"/>
      <c r="CZ548" s="3472"/>
      <c r="DA548" s="3472"/>
      <c r="DB548" s="3472"/>
      <c r="DC548" s="3472"/>
      <c r="DD548" s="3472"/>
      <c r="DE548" s="3472"/>
      <c r="DF548" s="3472"/>
      <c r="DG548" s="3472"/>
      <c r="DH548" s="3472"/>
      <c r="DI548" s="3472"/>
      <c r="DJ548" s="3472"/>
      <c r="DK548" s="3472"/>
      <c r="DL548" s="3472"/>
      <c r="DM548" s="3472"/>
      <c r="DN548" s="3472"/>
      <c r="DO548" s="3472"/>
      <c r="DP548" s="3472"/>
      <c r="DQ548" s="3472"/>
      <c r="DR548" s="3472"/>
      <c r="DS548" s="3472"/>
      <c r="DT548" s="3472"/>
      <c r="DU548" s="3472"/>
      <c r="DV548" s="3472"/>
      <c r="DW548" s="3472"/>
      <c r="DX548" s="3472"/>
      <c r="DY548" s="3472"/>
      <c r="DZ548" s="3472"/>
      <c r="EA548" s="3472"/>
      <c r="EB548" s="3472"/>
      <c r="EC548" s="3472"/>
      <c r="ED548" s="3472"/>
      <c r="EE548" s="3472"/>
      <c r="EF548" s="3472"/>
      <c r="EG548" s="3472"/>
      <c r="EH548" s="3472"/>
      <c r="EI548" s="3472"/>
      <c r="EJ548" s="3472"/>
      <c r="EK548" s="3472"/>
      <c r="EL548" s="3472"/>
      <c r="EM548" s="3472"/>
      <c r="EN548" s="3472"/>
      <c r="EO548" s="3472"/>
      <c r="EP548" s="3472"/>
      <c r="EQ548" s="3472"/>
      <c r="ER548" s="3472"/>
      <c r="ES548" s="3472"/>
      <c r="ET548" s="3472"/>
      <c r="EU548" s="3472"/>
      <c r="EV548" s="3472"/>
      <c r="EW548" s="3472"/>
      <c r="EX548" s="3472"/>
      <c r="EY548" s="3472"/>
      <c r="EZ548" s="3472"/>
      <c r="FA548" s="3472"/>
      <c r="FB548" s="3472"/>
      <c r="FC548" s="3472"/>
      <c r="FD548" s="3472"/>
      <c r="FE548" s="3472"/>
      <c r="FF548" s="3472"/>
      <c r="FG548" s="3472"/>
      <c r="FH548" s="3472"/>
      <c r="FI548" s="3472"/>
      <c r="FJ548" s="3472"/>
      <c r="FK548" s="3472"/>
      <c r="FL548" s="3472"/>
      <c r="FM548" s="3472"/>
      <c r="FN548" s="3472"/>
      <c r="FO548" s="3472"/>
      <c r="FP548" s="3472"/>
      <c r="FQ548" s="3472"/>
      <c r="FR548" s="3472"/>
      <c r="FS548" s="3472"/>
      <c r="FT548" s="3472"/>
      <c r="FU548" s="3472"/>
      <c r="FV548" s="3472"/>
      <c r="FW548" s="3472"/>
      <c r="FX548" s="3472"/>
      <c r="FY548" s="3472"/>
      <c r="FZ548" s="3472"/>
      <c r="GA548" s="3472"/>
      <c r="GB548" s="3472"/>
      <c r="GC548" s="3472"/>
      <c r="GD548" s="3472"/>
      <c r="GE548" s="3472"/>
      <c r="GF548" s="3472"/>
      <c r="GG548" s="3472"/>
      <c r="GH548" s="3472"/>
      <c r="GI548" s="3472"/>
      <c r="GJ548" s="3472"/>
      <c r="GK548" s="3472"/>
      <c r="GL548" s="3472"/>
      <c r="GM548" s="3472"/>
      <c r="GN548" s="3472"/>
      <c r="GO548" s="3472"/>
      <c r="GP548" s="3472"/>
      <c r="GQ548" s="3472"/>
      <c r="GR548" s="3472"/>
      <c r="GS548" s="3472"/>
      <c r="GT548" s="3472"/>
      <c r="GU548" s="3472"/>
      <c r="GV548" s="3472"/>
      <c r="GW548" s="3472"/>
      <c r="GX548" s="3472"/>
      <c r="GY548" s="3472"/>
      <c r="GZ548" s="3472"/>
      <c r="HA548" s="3472"/>
      <c r="HB548" s="3472"/>
      <c r="HC548" s="3472"/>
      <c r="HD548" s="3472"/>
      <c r="HE548" s="3472"/>
      <c r="HF548" s="3472"/>
      <c r="HG548" s="3472"/>
      <c r="HH548" s="3472"/>
      <c r="HI548" s="3472"/>
      <c r="HJ548" s="3472"/>
      <c r="HK548" s="3472"/>
      <c r="HL548" s="3472"/>
      <c r="HM548" s="3472"/>
      <c r="HN548" s="3472"/>
      <c r="HO548" s="3472"/>
      <c r="HP548" s="3472"/>
      <c r="HQ548" s="3472"/>
      <c r="HR548" s="3472"/>
      <c r="HS548" s="3472"/>
      <c r="HT548" s="3472"/>
      <c r="HU548" s="3472"/>
      <c r="HV548" s="3472"/>
      <c r="HW548" s="3472"/>
      <c r="HX548" s="3472"/>
      <c r="HY548" s="3472"/>
      <c r="HZ548" s="3472"/>
      <c r="IA548" s="3472"/>
      <c r="IB548" s="3472"/>
      <c r="IC548" s="3472"/>
      <c r="ID548" s="3472"/>
      <c r="IE548" s="3472"/>
      <c r="IF548" s="3472"/>
      <c r="IG548" s="3472"/>
      <c r="IH548" s="3472"/>
      <c r="II548" s="3472"/>
      <c r="IJ548" s="3472"/>
      <c r="IK548" s="3472"/>
      <c r="IL548" s="3472"/>
      <c r="IM548" s="3472"/>
      <c r="IN548" s="3472"/>
      <c r="IO548" s="3472"/>
      <c r="IP548" s="3472"/>
      <c r="IQ548" s="3472"/>
      <c r="IR548" s="3472"/>
      <c r="IS548" s="3472"/>
    </row>
    <row r="549" spans="1:253" s="3441" customFormat="1" ht="12" hidden="1">
      <c r="A549" s="3485" t="s">
        <v>7585</v>
      </c>
      <c r="B549" s="3470" t="s">
        <v>7586</v>
      </c>
      <c r="C549" s="3481" t="s">
        <v>7587</v>
      </c>
      <c r="D549" s="3453">
        <v>13801279337</v>
      </c>
      <c r="E549" s="3470" t="s">
        <v>3763</v>
      </c>
      <c r="F549" s="3528" t="s">
        <v>7013</v>
      </c>
      <c r="G549" s="3470"/>
      <c r="H549" s="3470" t="s">
        <v>7428</v>
      </c>
      <c r="I549" s="3453" t="s">
        <v>7244</v>
      </c>
      <c r="J549" s="3481" t="s">
        <v>6035</v>
      </c>
      <c r="K549" s="3441" t="s">
        <v>6369</v>
      </c>
      <c r="L549" s="3470">
        <v>90.74</v>
      </c>
      <c r="M549" s="3470">
        <v>1</v>
      </c>
      <c r="N549" s="3470" t="s">
        <v>5890</v>
      </c>
      <c r="O549" s="3470">
        <v>80.72</v>
      </c>
      <c r="P549" s="3470" t="s">
        <v>3452</v>
      </c>
      <c r="Q549" s="3457">
        <v>465042.5</v>
      </c>
      <c r="R549" s="3470">
        <v>5125</v>
      </c>
      <c r="S549" s="3642">
        <v>46.05</v>
      </c>
      <c r="T549" s="3527">
        <v>460500</v>
      </c>
      <c r="U549" s="3495">
        <v>5075</v>
      </c>
      <c r="V549" s="3512">
        <v>0.1</v>
      </c>
      <c r="W549" s="3475">
        <v>41.44</v>
      </c>
      <c r="X549" s="3473">
        <v>414400</v>
      </c>
      <c r="Y549" s="3515">
        <v>2003</v>
      </c>
      <c r="Z549" s="3441">
        <v>7</v>
      </c>
      <c r="AA549" s="3470">
        <v>23</v>
      </c>
      <c r="AB549" s="3477">
        <v>2300</v>
      </c>
      <c r="AC549" s="3470" t="s">
        <v>4922</v>
      </c>
      <c r="AD549" s="3485"/>
      <c r="AE549" s="3441" t="s">
        <v>3663</v>
      </c>
      <c r="AF549" s="3453" t="s">
        <v>4126</v>
      </c>
      <c r="AG549" s="3522" t="s">
        <v>3466</v>
      </c>
      <c r="AH549" s="3485" t="s">
        <v>3568</v>
      </c>
      <c r="AI549" s="3470" t="s">
        <v>3664</v>
      </c>
      <c r="AJ549" s="3523">
        <v>37986</v>
      </c>
      <c r="AK549" s="3500">
        <v>7</v>
      </c>
      <c r="AL549" s="3441">
        <v>67641700</v>
      </c>
      <c r="AN549" s="3469" t="s">
        <v>3484</v>
      </c>
      <c r="AP549" s="3441" t="s">
        <v>3476</v>
      </c>
      <c r="AQ549" s="3441" t="s">
        <v>3571</v>
      </c>
      <c r="AV549" s="3441" t="s">
        <v>3568</v>
      </c>
      <c r="AW549" s="3441" t="s">
        <v>3572</v>
      </c>
      <c r="AY549" s="3524" t="s">
        <v>7588</v>
      </c>
      <c r="AZ549" s="3441" t="s">
        <v>6367</v>
      </c>
      <c r="BA549" s="3441" t="s">
        <v>6391</v>
      </c>
      <c r="BB549" s="3524" t="s">
        <v>6371</v>
      </c>
      <c r="BC549" s="3441" t="s">
        <v>7020</v>
      </c>
      <c r="BD549" s="3525">
        <v>100025</v>
      </c>
      <c r="BE549" s="3441">
        <v>62908858</v>
      </c>
      <c r="BF549" s="3526">
        <v>2.7</v>
      </c>
      <c r="BG549" s="3518">
        <v>37801</v>
      </c>
      <c r="BH549" s="3441" t="s">
        <v>3437</v>
      </c>
      <c r="BI549" s="3470" t="s">
        <v>3476</v>
      </c>
      <c r="BJ549" s="3478">
        <v>37824</v>
      </c>
      <c r="BK549" s="3484"/>
      <c r="BL549" s="3470" t="s">
        <v>3670</v>
      </c>
      <c r="BS549" s="3470"/>
      <c r="BT549" s="3470"/>
      <c r="BU549" s="3470"/>
      <c r="BV549" s="3472"/>
      <c r="BW549" s="3472"/>
      <c r="BX549" s="3472"/>
      <c r="BY549" s="3472"/>
      <c r="BZ549" s="3472"/>
      <c r="CA549" s="3472"/>
      <c r="CB549" s="3472"/>
      <c r="CC549" s="3472"/>
      <c r="CD549" s="3472"/>
      <c r="CE549" s="3472"/>
      <c r="CF549" s="3472"/>
      <c r="CG549" s="3472"/>
      <c r="CH549" s="3472"/>
      <c r="CI549" s="3472"/>
      <c r="CJ549" s="3472"/>
      <c r="CK549" s="3472"/>
      <c r="CL549" s="3472"/>
      <c r="CM549" s="3472"/>
      <c r="CN549" s="3472"/>
      <c r="CO549" s="3472"/>
      <c r="CP549" s="3472"/>
      <c r="CQ549" s="3472"/>
      <c r="CR549" s="3472"/>
      <c r="CS549" s="3472"/>
      <c r="CT549" s="3472"/>
      <c r="CU549" s="3472"/>
      <c r="CV549" s="3472"/>
      <c r="CW549" s="3472"/>
      <c r="CX549" s="3472"/>
      <c r="CY549" s="3472"/>
      <c r="CZ549" s="3472"/>
      <c r="DA549" s="3472"/>
      <c r="DB549" s="3472"/>
      <c r="DC549" s="3472"/>
      <c r="DD549" s="3472"/>
      <c r="DE549" s="3472"/>
      <c r="DF549" s="3472"/>
      <c r="DG549" s="3472"/>
      <c r="DH549" s="3472"/>
      <c r="DI549" s="3472"/>
      <c r="DJ549" s="3472"/>
      <c r="DK549" s="3472"/>
      <c r="DL549" s="3472"/>
      <c r="DM549" s="3472"/>
      <c r="DN549" s="3472"/>
      <c r="DO549" s="3472"/>
      <c r="DP549" s="3472"/>
      <c r="DQ549" s="3472"/>
      <c r="DR549" s="3472"/>
      <c r="DS549" s="3472"/>
      <c r="DT549" s="3472"/>
      <c r="DU549" s="3472"/>
      <c r="DV549" s="3472"/>
      <c r="DW549" s="3472"/>
      <c r="DX549" s="3472"/>
      <c r="DY549" s="3472"/>
      <c r="DZ549" s="3472"/>
      <c r="EA549" s="3472"/>
      <c r="EB549" s="3472"/>
      <c r="EC549" s="3472"/>
      <c r="ED549" s="3472"/>
      <c r="EE549" s="3472"/>
      <c r="EF549" s="3472"/>
      <c r="EG549" s="3472"/>
      <c r="EH549" s="3472"/>
      <c r="EI549" s="3472"/>
      <c r="EJ549" s="3472"/>
      <c r="EK549" s="3472"/>
      <c r="EL549" s="3472"/>
      <c r="EM549" s="3472"/>
      <c r="EN549" s="3472"/>
      <c r="EO549" s="3472"/>
      <c r="EP549" s="3472"/>
      <c r="EQ549" s="3472"/>
      <c r="ER549" s="3472"/>
      <c r="ES549" s="3472"/>
      <c r="ET549" s="3472"/>
      <c r="EU549" s="3472"/>
      <c r="EV549" s="3472"/>
      <c r="EW549" s="3472"/>
      <c r="EX549" s="3472"/>
      <c r="EY549" s="3472"/>
      <c r="EZ549" s="3472"/>
      <c r="FA549" s="3472"/>
      <c r="FB549" s="3472"/>
      <c r="FC549" s="3472"/>
      <c r="FD549" s="3472"/>
      <c r="FE549" s="3472"/>
      <c r="FF549" s="3472"/>
      <c r="FG549" s="3472"/>
      <c r="FH549" s="3472"/>
      <c r="FI549" s="3472"/>
      <c r="FJ549" s="3472"/>
      <c r="FK549" s="3472"/>
      <c r="FL549" s="3472"/>
      <c r="FM549" s="3472"/>
      <c r="FN549" s="3472"/>
      <c r="FO549" s="3472"/>
      <c r="FP549" s="3472"/>
      <c r="FQ549" s="3472"/>
      <c r="FR549" s="3472"/>
      <c r="FS549" s="3472"/>
      <c r="FT549" s="3472"/>
      <c r="FU549" s="3472"/>
      <c r="FV549" s="3472"/>
      <c r="FW549" s="3472"/>
      <c r="FX549" s="3472"/>
      <c r="FY549" s="3472"/>
      <c r="FZ549" s="3472"/>
      <c r="GA549" s="3472"/>
      <c r="GB549" s="3472"/>
      <c r="GC549" s="3472"/>
      <c r="GD549" s="3472"/>
      <c r="GE549" s="3472"/>
      <c r="GF549" s="3472"/>
      <c r="GG549" s="3472"/>
      <c r="GH549" s="3472"/>
      <c r="GI549" s="3472"/>
      <c r="GJ549" s="3472"/>
      <c r="GK549" s="3472"/>
      <c r="GL549" s="3472"/>
      <c r="GM549" s="3472"/>
      <c r="GN549" s="3472"/>
      <c r="GO549" s="3472"/>
      <c r="GP549" s="3472"/>
      <c r="GQ549" s="3472"/>
      <c r="GR549" s="3472"/>
      <c r="GS549" s="3472"/>
      <c r="GT549" s="3472"/>
      <c r="GU549" s="3472"/>
      <c r="GV549" s="3472"/>
      <c r="GW549" s="3472"/>
      <c r="GX549" s="3472"/>
      <c r="GY549" s="3472"/>
      <c r="GZ549" s="3472"/>
      <c r="HA549" s="3472"/>
      <c r="HB549" s="3472"/>
      <c r="HC549" s="3472"/>
      <c r="HD549" s="3472"/>
      <c r="HE549" s="3472"/>
      <c r="HF549" s="3472"/>
      <c r="HG549" s="3472"/>
      <c r="HH549" s="3472"/>
      <c r="HI549" s="3472"/>
      <c r="HJ549" s="3472"/>
      <c r="HK549" s="3472"/>
      <c r="HL549" s="3472"/>
      <c r="HM549" s="3472"/>
      <c r="HN549" s="3472"/>
      <c r="HO549" s="3472"/>
      <c r="HP549" s="3472"/>
      <c r="HQ549" s="3472"/>
      <c r="HR549" s="3472"/>
      <c r="HS549" s="3472"/>
      <c r="HT549" s="3472"/>
      <c r="HU549" s="3472"/>
      <c r="HV549" s="3472"/>
      <c r="HW549" s="3472"/>
      <c r="HX549" s="3472"/>
      <c r="HY549" s="3472"/>
      <c r="HZ549" s="3472"/>
      <c r="IA549" s="3472"/>
      <c r="IB549" s="3472"/>
      <c r="IC549" s="3472"/>
      <c r="ID549" s="3472"/>
      <c r="IE549" s="3472"/>
      <c r="IF549" s="3472"/>
      <c r="IG549" s="3472"/>
      <c r="IH549" s="3472"/>
      <c r="II549" s="3472"/>
      <c r="IJ549" s="3472"/>
      <c r="IK549" s="3472"/>
      <c r="IL549" s="3472"/>
      <c r="IM549" s="3472"/>
      <c r="IN549" s="3472"/>
      <c r="IO549" s="3472"/>
      <c r="IP549" s="3472"/>
      <c r="IQ549" s="3472"/>
      <c r="IR549" s="3472"/>
      <c r="IS549" s="3472"/>
    </row>
    <row r="550" spans="1:253" s="3441" customFormat="1" ht="12" hidden="1">
      <c r="A550" s="3485" t="s">
        <v>7589</v>
      </c>
      <c r="B550" s="3470" t="s">
        <v>7590</v>
      </c>
      <c r="C550" s="3481" t="s">
        <v>7591</v>
      </c>
      <c r="D550" s="3453">
        <v>64876103</v>
      </c>
      <c r="E550" s="3470" t="s">
        <v>6987</v>
      </c>
      <c r="F550" s="3528" t="s">
        <v>6366</v>
      </c>
      <c r="G550" s="3470"/>
      <c r="H550" s="3470" t="s">
        <v>4262</v>
      </c>
      <c r="I550" s="3453" t="s">
        <v>3992</v>
      </c>
      <c r="J550" s="3481" t="s">
        <v>4061</v>
      </c>
      <c r="K550" s="3441" t="s">
        <v>6369</v>
      </c>
      <c r="L550" s="3470">
        <v>79.239999999999995</v>
      </c>
      <c r="M550" s="3470">
        <v>5</v>
      </c>
      <c r="N550" s="3470" t="s">
        <v>3486</v>
      </c>
      <c r="O550" s="3470">
        <v>70.75</v>
      </c>
      <c r="P550" s="3470" t="s">
        <v>3452</v>
      </c>
      <c r="Q550" s="3457">
        <v>417198.6</v>
      </c>
      <c r="R550" s="3470">
        <v>5265</v>
      </c>
      <c r="S550" s="3642">
        <v>41.31</v>
      </c>
      <c r="T550" s="3527">
        <v>413100</v>
      </c>
      <c r="U550" s="3495">
        <v>5214</v>
      </c>
      <c r="V550" s="3512">
        <v>0.1</v>
      </c>
      <c r="W550" s="3475">
        <v>37.17</v>
      </c>
      <c r="X550" s="3473">
        <v>371700</v>
      </c>
      <c r="Y550" s="3515">
        <v>2003</v>
      </c>
      <c r="Z550" s="3441">
        <v>7</v>
      </c>
      <c r="AA550" s="3470">
        <v>23</v>
      </c>
      <c r="AB550" s="3477">
        <v>2065</v>
      </c>
      <c r="AC550" s="3470" t="s">
        <v>6891</v>
      </c>
      <c r="AD550" s="3485"/>
      <c r="AE550" s="3441" t="s">
        <v>3663</v>
      </c>
      <c r="AF550" s="3453" t="s">
        <v>6957</v>
      </c>
      <c r="AG550" s="3522" t="s">
        <v>3466</v>
      </c>
      <c r="AH550" s="3485" t="s">
        <v>3568</v>
      </c>
      <c r="AI550" s="3470" t="s">
        <v>4849</v>
      </c>
      <c r="AJ550" s="3523">
        <v>37986</v>
      </c>
      <c r="AK550" s="3500">
        <v>7</v>
      </c>
      <c r="AL550" s="3441">
        <v>67641700</v>
      </c>
      <c r="AN550" s="3469" t="s">
        <v>3768</v>
      </c>
      <c r="AP550" s="3441" t="s">
        <v>3476</v>
      </c>
      <c r="AQ550" s="3441" t="s">
        <v>3571</v>
      </c>
      <c r="AV550" s="3441" t="s">
        <v>3568</v>
      </c>
      <c r="AW550" s="3441" t="s">
        <v>3572</v>
      </c>
      <c r="AY550" s="3524" t="s">
        <v>7592</v>
      </c>
      <c r="AZ550" s="3441" t="s">
        <v>6369</v>
      </c>
      <c r="BA550" s="3441" t="s">
        <v>6391</v>
      </c>
      <c r="BB550" s="3524" t="s">
        <v>7215</v>
      </c>
      <c r="BC550" s="3441" t="s">
        <v>7020</v>
      </c>
      <c r="BD550" s="3525">
        <v>100025</v>
      </c>
      <c r="BE550" s="3441">
        <v>62908858</v>
      </c>
      <c r="BF550" s="3526">
        <v>2.7</v>
      </c>
      <c r="BG550" s="3518">
        <v>37770</v>
      </c>
      <c r="BH550" s="3441" t="s">
        <v>3758</v>
      </c>
      <c r="BI550" s="3470" t="s">
        <v>3476</v>
      </c>
      <c r="BJ550" s="3478">
        <v>37824</v>
      </c>
      <c r="BK550" s="3484"/>
      <c r="BL550" s="3470" t="s">
        <v>3670</v>
      </c>
      <c r="BS550" s="3470"/>
      <c r="BT550" s="3470"/>
      <c r="BU550" s="3470"/>
      <c r="BV550" s="3472"/>
      <c r="BW550" s="3472"/>
      <c r="BX550" s="3472"/>
      <c r="BY550" s="3472"/>
      <c r="BZ550" s="3472"/>
      <c r="CA550" s="3472"/>
      <c r="CB550" s="3472"/>
      <c r="CC550" s="3472"/>
      <c r="CD550" s="3472"/>
      <c r="CE550" s="3472"/>
      <c r="CF550" s="3472"/>
      <c r="CG550" s="3472"/>
      <c r="CH550" s="3472"/>
      <c r="CI550" s="3472"/>
      <c r="CJ550" s="3472"/>
      <c r="CK550" s="3472"/>
      <c r="CL550" s="3472"/>
      <c r="CM550" s="3472"/>
      <c r="CN550" s="3472"/>
      <c r="CO550" s="3472"/>
      <c r="CP550" s="3472"/>
      <c r="CQ550" s="3472"/>
      <c r="CR550" s="3472"/>
      <c r="CS550" s="3472"/>
      <c r="CT550" s="3472"/>
      <c r="CU550" s="3472"/>
      <c r="CV550" s="3472"/>
      <c r="CW550" s="3472"/>
      <c r="CX550" s="3472"/>
      <c r="CY550" s="3472"/>
      <c r="CZ550" s="3472"/>
      <c r="DA550" s="3472"/>
      <c r="DB550" s="3472"/>
      <c r="DC550" s="3472"/>
      <c r="DD550" s="3472"/>
      <c r="DE550" s="3472"/>
      <c r="DF550" s="3472"/>
      <c r="DG550" s="3472"/>
      <c r="DH550" s="3472"/>
      <c r="DI550" s="3472"/>
      <c r="DJ550" s="3472"/>
      <c r="DK550" s="3472"/>
      <c r="DL550" s="3472"/>
      <c r="DM550" s="3472"/>
      <c r="DN550" s="3472"/>
      <c r="DO550" s="3472"/>
      <c r="DP550" s="3472"/>
      <c r="DQ550" s="3472"/>
      <c r="DR550" s="3472"/>
      <c r="DS550" s="3472"/>
      <c r="DT550" s="3472"/>
      <c r="DU550" s="3472"/>
      <c r="DV550" s="3472"/>
      <c r="DW550" s="3472"/>
      <c r="DX550" s="3472"/>
      <c r="DY550" s="3472"/>
      <c r="DZ550" s="3472"/>
      <c r="EA550" s="3472"/>
      <c r="EB550" s="3472"/>
      <c r="EC550" s="3472"/>
      <c r="ED550" s="3472"/>
      <c r="EE550" s="3472"/>
      <c r="EF550" s="3472"/>
      <c r="EG550" s="3472"/>
      <c r="EH550" s="3472"/>
      <c r="EI550" s="3472"/>
      <c r="EJ550" s="3472"/>
      <c r="EK550" s="3472"/>
      <c r="EL550" s="3472"/>
      <c r="EM550" s="3472"/>
      <c r="EN550" s="3472"/>
      <c r="EO550" s="3472"/>
      <c r="EP550" s="3472"/>
      <c r="EQ550" s="3472"/>
      <c r="ER550" s="3472"/>
      <c r="ES550" s="3472"/>
      <c r="ET550" s="3472"/>
      <c r="EU550" s="3472"/>
      <c r="EV550" s="3472"/>
      <c r="EW550" s="3472"/>
      <c r="EX550" s="3472"/>
      <c r="EY550" s="3472"/>
      <c r="EZ550" s="3472"/>
      <c r="FA550" s="3472"/>
      <c r="FB550" s="3472"/>
      <c r="FC550" s="3472"/>
      <c r="FD550" s="3472"/>
      <c r="FE550" s="3472"/>
      <c r="FF550" s="3472"/>
      <c r="FG550" s="3472"/>
      <c r="FH550" s="3472"/>
      <c r="FI550" s="3472"/>
      <c r="FJ550" s="3472"/>
      <c r="FK550" s="3472"/>
      <c r="FL550" s="3472"/>
      <c r="FM550" s="3472"/>
      <c r="FN550" s="3472"/>
      <c r="FO550" s="3472"/>
      <c r="FP550" s="3472"/>
      <c r="FQ550" s="3472"/>
      <c r="FR550" s="3472"/>
      <c r="FS550" s="3472"/>
      <c r="FT550" s="3472"/>
      <c r="FU550" s="3472"/>
      <c r="FV550" s="3472"/>
      <c r="FW550" s="3472"/>
      <c r="FX550" s="3472"/>
      <c r="FY550" s="3472"/>
      <c r="FZ550" s="3472"/>
      <c r="GA550" s="3472"/>
      <c r="GB550" s="3472"/>
      <c r="GC550" s="3472"/>
      <c r="GD550" s="3472"/>
      <c r="GE550" s="3472"/>
      <c r="GF550" s="3472"/>
      <c r="GG550" s="3472"/>
      <c r="GH550" s="3472"/>
      <c r="GI550" s="3472"/>
      <c r="GJ550" s="3472"/>
      <c r="GK550" s="3472"/>
      <c r="GL550" s="3472"/>
      <c r="GM550" s="3472"/>
      <c r="GN550" s="3472"/>
      <c r="GO550" s="3472"/>
      <c r="GP550" s="3472"/>
      <c r="GQ550" s="3472"/>
      <c r="GR550" s="3472"/>
      <c r="GS550" s="3472"/>
      <c r="GT550" s="3472"/>
      <c r="GU550" s="3472"/>
      <c r="GV550" s="3472"/>
      <c r="GW550" s="3472"/>
      <c r="GX550" s="3472"/>
      <c r="GY550" s="3472"/>
      <c r="GZ550" s="3472"/>
      <c r="HA550" s="3472"/>
      <c r="HB550" s="3472"/>
      <c r="HC550" s="3472"/>
      <c r="HD550" s="3472"/>
      <c r="HE550" s="3472"/>
      <c r="HF550" s="3472"/>
      <c r="HG550" s="3472"/>
      <c r="HH550" s="3472"/>
      <c r="HI550" s="3472"/>
      <c r="HJ550" s="3472"/>
      <c r="HK550" s="3472"/>
      <c r="HL550" s="3472"/>
      <c r="HM550" s="3472"/>
      <c r="HN550" s="3472"/>
      <c r="HO550" s="3472"/>
      <c r="HP550" s="3472"/>
      <c r="HQ550" s="3472"/>
      <c r="HR550" s="3472"/>
      <c r="HS550" s="3472"/>
      <c r="HT550" s="3472"/>
      <c r="HU550" s="3472"/>
      <c r="HV550" s="3472"/>
      <c r="HW550" s="3472"/>
      <c r="HX550" s="3472"/>
      <c r="HY550" s="3472"/>
      <c r="HZ550" s="3472"/>
      <c r="IA550" s="3472"/>
      <c r="IB550" s="3472"/>
      <c r="IC550" s="3472"/>
      <c r="ID550" s="3472"/>
      <c r="IE550" s="3472"/>
      <c r="IF550" s="3472"/>
      <c r="IG550" s="3472"/>
      <c r="IH550" s="3472"/>
      <c r="II550" s="3472"/>
      <c r="IJ550" s="3472"/>
      <c r="IK550" s="3472"/>
      <c r="IL550" s="3472"/>
      <c r="IM550" s="3472"/>
      <c r="IN550" s="3472"/>
      <c r="IO550" s="3472"/>
      <c r="IP550" s="3472"/>
      <c r="IQ550" s="3472"/>
      <c r="IR550" s="3472"/>
      <c r="IS550" s="3472"/>
    </row>
    <row r="551" spans="1:253" s="3441" customFormat="1" ht="12" hidden="1">
      <c r="A551" s="3485" t="s">
        <v>7593</v>
      </c>
      <c r="B551" s="3470" t="s">
        <v>7594</v>
      </c>
      <c r="C551" s="3481" t="s">
        <v>7595</v>
      </c>
      <c r="D551" s="3453">
        <v>13693697157</v>
      </c>
      <c r="E551" s="3470" t="s">
        <v>2736</v>
      </c>
      <c r="F551" s="3528" t="s">
        <v>7013</v>
      </c>
      <c r="G551" s="3470"/>
      <c r="H551" s="3470" t="s">
        <v>7014</v>
      </c>
      <c r="I551" s="3453" t="s">
        <v>7596</v>
      </c>
      <c r="J551" s="3481" t="s">
        <v>3777</v>
      </c>
      <c r="K551" s="3441" t="s">
        <v>6369</v>
      </c>
      <c r="L551" s="3470">
        <v>90.1</v>
      </c>
      <c r="M551" s="3470">
        <v>7</v>
      </c>
      <c r="N551" s="3470" t="s">
        <v>3451</v>
      </c>
      <c r="O551" s="3470">
        <v>76.52</v>
      </c>
      <c r="P551" s="3470" t="s">
        <v>3452</v>
      </c>
      <c r="Q551" s="3457">
        <v>441940.5</v>
      </c>
      <c r="R551" s="3470">
        <v>4905</v>
      </c>
      <c r="S551" s="3642">
        <v>43.75</v>
      </c>
      <c r="T551" s="3527">
        <v>437500</v>
      </c>
      <c r="U551" s="3495">
        <v>4856</v>
      </c>
      <c r="V551" s="3512">
        <v>0.1</v>
      </c>
      <c r="W551" s="3475">
        <v>39.369999999999997</v>
      </c>
      <c r="X551" s="3473">
        <v>393700</v>
      </c>
      <c r="Y551" s="3515">
        <v>2003</v>
      </c>
      <c r="Z551" s="3441">
        <v>7</v>
      </c>
      <c r="AA551" s="3470">
        <v>23</v>
      </c>
      <c r="AB551" s="3477">
        <v>2185</v>
      </c>
      <c r="AC551" s="3470" t="s">
        <v>3544</v>
      </c>
      <c r="AD551" s="3485"/>
      <c r="AE551" s="3441" t="s">
        <v>3663</v>
      </c>
      <c r="AF551" s="3453" t="s">
        <v>4126</v>
      </c>
      <c r="AG551" s="3522" t="s">
        <v>3466</v>
      </c>
      <c r="AH551" s="3485" t="s">
        <v>3568</v>
      </c>
      <c r="AI551" s="3470" t="s">
        <v>6972</v>
      </c>
      <c r="AJ551" s="3523">
        <v>37986</v>
      </c>
      <c r="AK551" s="3500">
        <v>7</v>
      </c>
      <c r="AL551" s="3441">
        <v>67641700</v>
      </c>
      <c r="AN551" s="3469" t="s">
        <v>3484</v>
      </c>
      <c r="AP551" s="3441" t="s">
        <v>3476</v>
      </c>
      <c r="AQ551" s="3441" t="s">
        <v>3571</v>
      </c>
      <c r="AV551" s="3441" t="s">
        <v>3568</v>
      </c>
      <c r="AW551" s="3441" t="s">
        <v>3572</v>
      </c>
      <c r="AY551" s="3524" t="s">
        <v>7597</v>
      </c>
      <c r="AZ551" s="3441" t="s">
        <v>6369</v>
      </c>
      <c r="BA551" s="3441" t="s">
        <v>7019</v>
      </c>
      <c r="BB551" s="3524" t="s">
        <v>6371</v>
      </c>
      <c r="BC551" s="3441" t="s">
        <v>6372</v>
      </c>
      <c r="BD551" s="3525">
        <v>100025</v>
      </c>
      <c r="BE551" s="3441">
        <v>62908858</v>
      </c>
      <c r="BF551" s="3526">
        <v>2.7</v>
      </c>
      <c r="BG551" s="3518">
        <v>37765</v>
      </c>
      <c r="BH551" s="3441" t="s">
        <v>3758</v>
      </c>
      <c r="BI551" s="3470" t="s">
        <v>3476</v>
      </c>
      <c r="BJ551" s="3478">
        <v>37824</v>
      </c>
      <c r="BK551" s="3484"/>
      <c r="BL551" s="3470" t="s">
        <v>3670</v>
      </c>
      <c r="BS551" s="3470"/>
      <c r="BT551" s="3470"/>
      <c r="BU551" s="3470"/>
      <c r="BV551" s="3472"/>
      <c r="BW551" s="3472"/>
      <c r="BX551" s="3472"/>
      <c r="BY551" s="3472"/>
      <c r="BZ551" s="3472"/>
      <c r="CA551" s="3472"/>
      <c r="CB551" s="3472"/>
      <c r="CC551" s="3472"/>
      <c r="CD551" s="3472"/>
      <c r="CE551" s="3472"/>
      <c r="CF551" s="3472"/>
      <c r="CG551" s="3472"/>
      <c r="CH551" s="3472"/>
      <c r="CI551" s="3472"/>
      <c r="CJ551" s="3472"/>
      <c r="CK551" s="3472"/>
      <c r="CL551" s="3472"/>
      <c r="CM551" s="3472"/>
      <c r="CN551" s="3472"/>
      <c r="CO551" s="3472"/>
      <c r="CP551" s="3472"/>
      <c r="CQ551" s="3472"/>
      <c r="CR551" s="3472"/>
      <c r="CS551" s="3472"/>
      <c r="CT551" s="3472"/>
      <c r="CU551" s="3472"/>
      <c r="CV551" s="3472"/>
      <c r="CW551" s="3472"/>
      <c r="CX551" s="3472"/>
      <c r="CY551" s="3472"/>
      <c r="CZ551" s="3472"/>
      <c r="DA551" s="3472"/>
      <c r="DB551" s="3472"/>
      <c r="DC551" s="3472"/>
      <c r="DD551" s="3472"/>
      <c r="DE551" s="3472"/>
      <c r="DF551" s="3472"/>
      <c r="DG551" s="3472"/>
      <c r="DH551" s="3472"/>
      <c r="DI551" s="3472"/>
      <c r="DJ551" s="3472"/>
      <c r="DK551" s="3472"/>
      <c r="DL551" s="3472"/>
      <c r="DM551" s="3472"/>
      <c r="DN551" s="3472"/>
      <c r="DO551" s="3472"/>
      <c r="DP551" s="3472"/>
      <c r="DQ551" s="3472"/>
      <c r="DR551" s="3472"/>
      <c r="DS551" s="3472"/>
      <c r="DT551" s="3472"/>
      <c r="DU551" s="3472"/>
      <c r="DV551" s="3472"/>
      <c r="DW551" s="3472"/>
      <c r="DX551" s="3472"/>
      <c r="DY551" s="3472"/>
      <c r="DZ551" s="3472"/>
      <c r="EA551" s="3472"/>
      <c r="EB551" s="3472"/>
      <c r="EC551" s="3472"/>
      <c r="ED551" s="3472"/>
      <c r="EE551" s="3472"/>
      <c r="EF551" s="3472"/>
      <c r="EG551" s="3472"/>
      <c r="EH551" s="3472"/>
      <c r="EI551" s="3472"/>
      <c r="EJ551" s="3472"/>
      <c r="EK551" s="3472"/>
      <c r="EL551" s="3472"/>
      <c r="EM551" s="3472"/>
      <c r="EN551" s="3472"/>
      <c r="EO551" s="3472"/>
      <c r="EP551" s="3472"/>
      <c r="EQ551" s="3472"/>
      <c r="ER551" s="3472"/>
      <c r="ES551" s="3472"/>
      <c r="ET551" s="3472"/>
      <c r="EU551" s="3472"/>
      <c r="EV551" s="3472"/>
      <c r="EW551" s="3472"/>
      <c r="EX551" s="3472"/>
      <c r="EY551" s="3472"/>
      <c r="EZ551" s="3472"/>
      <c r="FA551" s="3472"/>
      <c r="FB551" s="3472"/>
      <c r="FC551" s="3472"/>
      <c r="FD551" s="3472"/>
      <c r="FE551" s="3472"/>
      <c r="FF551" s="3472"/>
      <c r="FG551" s="3472"/>
      <c r="FH551" s="3472"/>
      <c r="FI551" s="3472"/>
      <c r="FJ551" s="3472"/>
      <c r="FK551" s="3472"/>
      <c r="FL551" s="3472"/>
      <c r="FM551" s="3472"/>
      <c r="FN551" s="3472"/>
      <c r="FO551" s="3472"/>
      <c r="FP551" s="3472"/>
      <c r="FQ551" s="3472"/>
      <c r="FR551" s="3472"/>
      <c r="FS551" s="3472"/>
      <c r="FT551" s="3472"/>
      <c r="FU551" s="3472"/>
      <c r="FV551" s="3472"/>
      <c r="FW551" s="3472"/>
      <c r="FX551" s="3472"/>
      <c r="FY551" s="3472"/>
      <c r="FZ551" s="3472"/>
      <c r="GA551" s="3472"/>
      <c r="GB551" s="3472"/>
      <c r="GC551" s="3472"/>
      <c r="GD551" s="3472"/>
      <c r="GE551" s="3472"/>
      <c r="GF551" s="3472"/>
      <c r="GG551" s="3472"/>
      <c r="GH551" s="3472"/>
      <c r="GI551" s="3472"/>
      <c r="GJ551" s="3472"/>
      <c r="GK551" s="3472"/>
      <c r="GL551" s="3472"/>
      <c r="GM551" s="3472"/>
      <c r="GN551" s="3472"/>
      <c r="GO551" s="3472"/>
      <c r="GP551" s="3472"/>
      <c r="GQ551" s="3472"/>
      <c r="GR551" s="3472"/>
      <c r="GS551" s="3472"/>
      <c r="GT551" s="3472"/>
      <c r="GU551" s="3472"/>
      <c r="GV551" s="3472"/>
      <c r="GW551" s="3472"/>
      <c r="GX551" s="3472"/>
      <c r="GY551" s="3472"/>
      <c r="GZ551" s="3472"/>
      <c r="HA551" s="3472"/>
      <c r="HB551" s="3472"/>
      <c r="HC551" s="3472"/>
      <c r="HD551" s="3472"/>
      <c r="HE551" s="3472"/>
      <c r="HF551" s="3472"/>
      <c r="HG551" s="3472"/>
      <c r="HH551" s="3472"/>
      <c r="HI551" s="3472"/>
      <c r="HJ551" s="3472"/>
      <c r="HK551" s="3472"/>
      <c r="HL551" s="3472"/>
      <c r="HM551" s="3472"/>
      <c r="HN551" s="3472"/>
      <c r="HO551" s="3472"/>
      <c r="HP551" s="3472"/>
      <c r="HQ551" s="3472"/>
      <c r="HR551" s="3472"/>
      <c r="HS551" s="3472"/>
      <c r="HT551" s="3472"/>
      <c r="HU551" s="3472"/>
      <c r="HV551" s="3472"/>
      <c r="HW551" s="3472"/>
      <c r="HX551" s="3472"/>
      <c r="HY551" s="3472"/>
      <c r="HZ551" s="3472"/>
      <c r="IA551" s="3472"/>
      <c r="IB551" s="3472"/>
      <c r="IC551" s="3472"/>
      <c r="ID551" s="3472"/>
      <c r="IE551" s="3472"/>
      <c r="IF551" s="3472"/>
      <c r="IG551" s="3472"/>
      <c r="IH551" s="3472"/>
      <c r="II551" s="3472"/>
      <c r="IJ551" s="3472"/>
      <c r="IK551" s="3472"/>
      <c r="IL551" s="3472"/>
      <c r="IM551" s="3472"/>
      <c r="IN551" s="3472"/>
      <c r="IO551" s="3472"/>
      <c r="IP551" s="3472"/>
      <c r="IQ551" s="3472"/>
      <c r="IR551" s="3472"/>
      <c r="IS551" s="3472"/>
    </row>
    <row r="552" spans="1:253" s="3470" customFormat="1" ht="12" hidden="1">
      <c r="A552" s="3470" t="s">
        <v>7598</v>
      </c>
      <c r="B552" s="3470" t="s">
        <v>7599</v>
      </c>
      <c r="C552" s="3470" t="s">
        <v>7600</v>
      </c>
      <c r="D552" s="3470" t="s">
        <v>7601</v>
      </c>
      <c r="E552" s="3470" t="s">
        <v>3558</v>
      </c>
      <c r="F552" s="3470" t="s">
        <v>4758</v>
      </c>
      <c r="H552" s="3470" t="s">
        <v>4759</v>
      </c>
      <c r="I552" s="3470" t="s">
        <v>3561</v>
      </c>
      <c r="J552" s="3470" t="s">
        <v>4890</v>
      </c>
      <c r="K552" s="3470" t="s">
        <v>4760</v>
      </c>
      <c r="L552" s="3470">
        <v>94.55</v>
      </c>
      <c r="M552" s="3470">
        <v>4</v>
      </c>
      <c r="N552" s="3470" t="s">
        <v>4030</v>
      </c>
      <c r="O552" s="3470">
        <v>81.8</v>
      </c>
      <c r="P552" s="3470" t="s">
        <v>3452</v>
      </c>
      <c r="Q552" s="3470">
        <v>442749.28499999997</v>
      </c>
      <c r="R552" s="3470">
        <v>4682.7</v>
      </c>
      <c r="S552" s="3470">
        <v>43.81</v>
      </c>
      <c r="T552" s="3470">
        <v>438100</v>
      </c>
      <c r="U552" s="3470">
        <v>4634</v>
      </c>
      <c r="V552" s="3470">
        <v>0.1</v>
      </c>
      <c r="W552" s="3470">
        <v>39.42</v>
      </c>
      <c r="X552" s="3470">
        <v>394200</v>
      </c>
      <c r="Y552" s="3470">
        <v>2003</v>
      </c>
      <c r="Z552" s="3470">
        <v>8</v>
      </c>
      <c r="AA552" s="3470">
        <v>1</v>
      </c>
      <c r="AB552" s="3470">
        <v>2190</v>
      </c>
      <c r="AC552" s="3470" t="s">
        <v>4407</v>
      </c>
      <c r="AE552" s="3470" t="s">
        <v>3663</v>
      </c>
      <c r="AF552" s="3470" t="s">
        <v>3728</v>
      </c>
      <c r="AG552" s="3470" t="s">
        <v>3466</v>
      </c>
      <c r="AH552" s="3470" t="s">
        <v>3568</v>
      </c>
      <c r="AI552" s="3470" t="s">
        <v>5021</v>
      </c>
      <c r="AJ552" s="3470">
        <v>38107</v>
      </c>
      <c r="AK552" s="3470">
        <v>8</v>
      </c>
      <c r="AL552" s="3470">
        <v>67641700</v>
      </c>
      <c r="AN552" s="3470" t="s">
        <v>3570</v>
      </c>
      <c r="AP552" s="3470" t="s">
        <v>3476</v>
      </c>
      <c r="AQ552" s="3470" t="s">
        <v>3571</v>
      </c>
      <c r="AV552" s="3470" t="s">
        <v>3568</v>
      </c>
      <c r="AW552" s="3470" t="s">
        <v>3572</v>
      </c>
      <c r="AX552" s="3470" t="s">
        <v>2511</v>
      </c>
      <c r="AY552" s="3481" t="s">
        <v>7602</v>
      </c>
      <c r="AZ552" s="3470" t="s">
        <v>4760</v>
      </c>
      <c r="BA552" s="3470" t="s">
        <v>4763</v>
      </c>
      <c r="BB552" s="3481" t="s">
        <v>4764</v>
      </c>
      <c r="BC552" s="3470" t="s">
        <v>4765</v>
      </c>
      <c r="BD552" s="3482">
        <v>102607</v>
      </c>
      <c r="BE552" s="3470">
        <v>68156287</v>
      </c>
      <c r="BF552" s="3483">
        <v>2.8</v>
      </c>
      <c r="BG552" s="3478">
        <v>37809</v>
      </c>
      <c r="BI552" s="3470" t="s">
        <v>3476</v>
      </c>
      <c r="BJ552" s="3508">
        <v>37824</v>
      </c>
      <c r="BK552" s="3508"/>
      <c r="BL552" s="3470" t="s">
        <v>3670</v>
      </c>
      <c r="BP552" s="3441"/>
      <c r="BQ552" s="3441"/>
      <c r="BR552" s="3441"/>
    </row>
    <row r="553" spans="1:253" s="3470" customFormat="1" ht="12" hidden="1">
      <c r="A553" s="3470" t="s">
        <v>7603</v>
      </c>
      <c r="B553" s="3470" t="s">
        <v>7604</v>
      </c>
      <c r="C553" s="3470" t="s">
        <v>7605</v>
      </c>
      <c r="D553" s="3470" t="s">
        <v>7606</v>
      </c>
      <c r="E553" s="3470" t="s">
        <v>3558</v>
      </c>
      <c r="F553" s="3470" t="s">
        <v>4758</v>
      </c>
      <c r="H553" s="3470" t="s">
        <v>4759</v>
      </c>
      <c r="I553" s="3470" t="s">
        <v>3561</v>
      </c>
      <c r="J553" s="3470" t="s">
        <v>7607</v>
      </c>
      <c r="K553" s="3470" t="s">
        <v>4760</v>
      </c>
      <c r="L553" s="3470">
        <v>94.55</v>
      </c>
      <c r="M553" s="3470">
        <v>2</v>
      </c>
      <c r="N553" s="3470" t="s">
        <v>4030</v>
      </c>
      <c r="O553" s="3470">
        <v>81.8</v>
      </c>
      <c r="P553" s="3470" t="s">
        <v>3452</v>
      </c>
      <c r="Q553" s="3470">
        <v>433387.88949999993</v>
      </c>
      <c r="R553" s="3470">
        <v>4583.6899999999996</v>
      </c>
      <c r="S553" s="3470">
        <v>42.87</v>
      </c>
      <c r="T553" s="3470">
        <v>428700</v>
      </c>
      <c r="U553" s="3470">
        <v>4535</v>
      </c>
      <c r="V553" s="3470">
        <v>0.1</v>
      </c>
      <c r="W553" s="3470">
        <v>38.58</v>
      </c>
      <c r="X553" s="3470">
        <v>385800</v>
      </c>
      <c r="Y553" s="3470">
        <v>2003</v>
      </c>
      <c r="Z553" s="3470">
        <v>8</v>
      </c>
      <c r="AA553" s="3470">
        <v>1</v>
      </c>
      <c r="AB553" s="3470">
        <v>2140</v>
      </c>
      <c r="AC553" s="3470" t="s">
        <v>4407</v>
      </c>
      <c r="AE553" s="3470" t="s">
        <v>3663</v>
      </c>
      <c r="AF553" s="3470" t="s">
        <v>3728</v>
      </c>
      <c r="AG553" s="3470" t="s">
        <v>3466</v>
      </c>
      <c r="AH553" s="3470" t="s">
        <v>3568</v>
      </c>
      <c r="AI553" s="3470" t="s">
        <v>5021</v>
      </c>
      <c r="AJ553" s="3470">
        <v>38107</v>
      </c>
      <c r="AK553" s="3470">
        <v>8</v>
      </c>
      <c r="AL553" s="3470">
        <v>67641700</v>
      </c>
      <c r="AN553" s="3470" t="s">
        <v>3570</v>
      </c>
      <c r="AP553" s="3470" t="s">
        <v>3476</v>
      </c>
      <c r="AQ553" s="3470" t="s">
        <v>3571</v>
      </c>
      <c r="AV553" s="3470" t="s">
        <v>3568</v>
      </c>
      <c r="AW553" s="3470" t="s">
        <v>3572</v>
      </c>
      <c r="AX553" s="3470" t="s">
        <v>2511</v>
      </c>
      <c r="AY553" s="3481" t="s">
        <v>7608</v>
      </c>
      <c r="AZ553" s="3470" t="s">
        <v>4760</v>
      </c>
      <c r="BA553" s="3470" t="s">
        <v>4763</v>
      </c>
      <c r="BB553" s="3481" t="s">
        <v>4764</v>
      </c>
      <c r="BC553" s="3470" t="s">
        <v>4765</v>
      </c>
      <c r="BD553" s="3482">
        <v>102607</v>
      </c>
      <c r="BE553" s="3470">
        <v>68156287</v>
      </c>
      <c r="BF553" s="3483">
        <v>2.8</v>
      </c>
      <c r="BG553" s="3478">
        <v>37810</v>
      </c>
      <c r="BI553" s="3470" t="s">
        <v>3476</v>
      </c>
      <c r="BJ553" s="3508">
        <v>37825</v>
      </c>
      <c r="BK553" s="3508"/>
      <c r="BL553" s="3470" t="s">
        <v>3670</v>
      </c>
      <c r="BP553" s="3441"/>
      <c r="BQ553" s="3441"/>
      <c r="BR553" s="3441"/>
    </row>
    <row r="554" spans="1:253" s="3470" customFormat="1" ht="12" hidden="1">
      <c r="A554" s="3470" t="s">
        <v>7609</v>
      </c>
      <c r="B554" s="3470" t="s">
        <v>7610</v>
      </c>
      <c r="C554" s="3470" t="s">
        <v>7611</v>
      </c>
      <c r="D554" s="3470" t="s">
        <v>7612</v>
      </c>
      <c r="E554" s="3470" t="s">
        <v>3558</v>
      </c>
      <c r="F554" s="3470" t="s">
        <v>4758</v>
      </c>
      <c r="H554" s="3470" t="s">
        <v>3979</v>
      </c>
      <c r="I554" s="3470" t="s">
        <v>4001</v>
      </c>
      <c r="J554" s="3470" t="s">
        <v>7613</v>
      </c>
      <c r="K554" s="3470" t="s">
        <v>4760</v>
      </c>
      <c r="L554" s="3470">
        <v>71.08</v>
      </c>
      <c r="M554" s="3470">
        <v>9</v>
      </c>
      <c r="N554" s="3470" t="s">
        <v>3564</v>
      </c>
      <c r="O554" s="3470">
        <v>61.78</v>
      </c>
      <c r="P554" s="3470" t="s">
        <v>3452</v>
      </c>
      <c r="Q554" s="3470">
        <v>350439.32679999998</v>
      </c>
      <c r="R554" s="3470">
        <v>4930.21</v>
      </c>
      <c r="S554" s="3470">
        <v>34.68</v>
      </c>
      <c r="T554" s="3470">
        <v>346800</v>
      </c>
      <c r="U554" s="3470">
        <v>4880</v>
      </c>
      <c r="V554" s="3470">
        <v>0.1</v>
      </c>
      <c r="W554" s="3470">
        <v>31.21</v>
      </c>
      <c r="X554" s="3470">
        <v>312100</v>
      </c>
      <c r="Y554" s="3470">
        <v>2003</v>
      </c>
      <c r="Z554" s="3470">
        <v>8</v>
      </c>
      <c r="AA554" s="3470">
        <v>1</v>
      </c>
      <c r="AB554" s="3470">
        <v>1730</v>
      </c>
      <c r="AC554" s="3470" t="s">
        <v>7614</v>
      </c>
      <c r="AE554" s="3470" t="s">
        <v>3663</v>
      </c>
      <c r="AF554" s="3470" t="s">
        <v>3728</v>
      </c>
      <c r="AG554" s="3470" t="s">
        <v>3466</v>
      </c>
      <c r="AH554" s="3470" t="s">
        <v>3568</v>
      </c>
      <c r="AI554" s="3470" t="s">
        <v>5021</v>
      </c>
      <c r="AJ554" s="3470">
        <v>38107</v>
      </c>
      <c r="AK554" s="3470">
        <v>8</v>
      </c>
      <c r="AL554" s="3470">
        <v>67641700</v>
      </c>
      <c r="AN554" s="3470" t="s">
        <v>3570</v>
      </c>
      <c r="AP554" s="3470" t="s">
        <v>3476</v>
      </c>
      <c r="AQ554" s="3470" t="s">
        <v>3571</v>
      </c>
      <c r="AV554" s="3470" t="s">
        <v>3568</v>
      </c>
      <c r="AW554" s="3470" t="s">
        <v>3572</v>
      </c>
      <c r="AX554" s="3470" t="s">
        <v>2511</v>
      </c>
      <c r="AY554" s="3481" t="s">
        <v>7615</v>
      </c>
      <c r="AZ554" s="3470" t="s">
        <v>4760</v>
      </c>
      <c r="BA554" s="3470" t="s">
        <v>4763</v>
      </c>
      <c r="BB554" s="3481" t="s">
        <v>4764</v>
      </c>
      <c r="BC554" s="3470" t="s">
        <v>4765</v>
      </c>
      <c r="BD554" s="3482">
        <v>102607</v>
      </c>
      <c r="BE554" s="3470">
        <v>68156287</v>
      </c>
      <c r="BF554" s="3483">
        <v>2.8</v>
      </c>
      <c r="BG554" s="3478">
        <v>37810</v>
      </c>
      <c r="BI554" s="3470" t="s">
        <v>3476</v>
      </c>
      <c r="BJ554" s="3508">
        <v>37823</v>
      </c>
      <c r="BK554" s="3508"/>
      <c r="BL554" s="3470" t="s">
        <v>3670</v>
      </c>
      <c r="BP554" s="3441"/>
      <c r="BQ554" s="3441"/>
      <c r="BR554" s="3441"/>
    </row>
    <row r="555" spans="1:253" s="3470" customFormat="1" ht="12" hidden="1">
      <c r="A555" s="3470" t="s">
        <v>7616</v>
      </c>
      <c r="B555" s="3470" t="s">
        <v>7617</v>
      </c>
      <c r="C555" s="3470" t="s">
        <v>7618</v>
      </c>
      <c r="D555" s="3470" t="s">
        <v>7619</v>
      </c>
      <c r="E555" s="3470" t="s">
        <v>3558</v>
      </c>
      <c r="F555" s="3470" t="s">
        <v>5821</v>
      </c>
      <c r="H555" s="3470" t="s">
        <v>4646</v>
      </c>
      <c r="I555" s="3470" t="s">
        <v>3561</v>
      </c>
      <c r="J555" s="3470" t="s">
        <v>5629</v>
      </c>
      <c r="K555" s="3470" t="s">
        <v>7617</v>
      </c>
      <c r="L555" s="3470">
        <v>78.510000000000005</v>
      </c>
      <c r="M555" s="3470">
        <v>2</v>
      </c>
      <c r="N555" s="3470" t="s">
        <v>4030</v>
      </c>
      <c r="P555" s="3470" t="s">
        <v>3452</v>
      </c>
      <c r="Q555" s="3470">
        <v>349997.58</v>
      </c>
      <c r="R555" s="3470">
        <v>4458</v>
      </c>
      <c r="S555" s="3470">
        <v>31.59</v>
      </c>
      <c r="T555" s="3470">
        <v>315900</v>
      </c>
      <c r="U555" s="3470">
        <v>4024</v>
      </c>
      <c r="V555" s="3470">
        <v>0.05</v>
      </c>
      <c r="W555" s="3470">
        <v>30.01</v>
      </c>
      <c r="X555" s="3470">
        <v>300100</v>
      </c>
      <c r="Y555" s="3470">
        <v>2003</v>
      </c>
      <c r="Z555" s="3470">
        <v>7</v>
      </c>
      <c r="AA555" s="3470">
        <v>25</v>
      </c>
      <c r="AB555" s="3470">
        <v>1575</v>
      </c>
      <c r="AC555" s="3470" t="s">
        <v>3565</v>
      </c>
      <c r="AE555" s="3470" t="s">
        <v>3569</v>
      </c>
      <c r="AF555" s="3470" t="s">
        <v>3493</v>
      </c>
      <c r="AG555" s="3470" t="s">
        <v>3466</v>
      </c>
      <c r="AI555" s="3470" t="s">
        <v>3569</v>
      </c>
      <c r="AK555" s="3470" t="s">
        <v>4663</v>
      </c>
      <c r="AL555" s="3470">
        <v>82253557</v>
      </c>
      <c r="AN555" s="3470" t="s">
        <v>3680</v>
      </c>
      <c r="AO555" s="3470" t="s">
        <v>3569</v>
      </c>
      <c r="AP555" s="3470" t="s">
        <v>3569</v>
      </c>
      <c r="AQ555" s="3470" t="s">
        <v>3571</v>
      </c>
      <c r="AW555" s="3470" t="s">
        <v>5825</v>
      </c>
      <c r="AY555" s="3481"/>
      <c r="AZ555" s="3470" t="s">
        <v>7620</v>
      </c>
      <c r="BB555" s="3481"/>
      <c r="BD555" s="3482"/>
      <c r="BF555" s="3483"/>
      <c r="BG555" s="3478">
        <v>37788</v>
      </c>
      <c r="BH555" s="3470" t="s">
        <v>5825</v>
      </c>
      <c r="BI555" s="3470" t="s">
        <v>3569</v>
      </c>
      <c r="BJ555" s="3508">
        <v>37819</v>
      </c>
      <c r="BK555" s="3508"/>
      <c r="BM555" s="3470" t="s">
        <v>3396</v>
      </c>
      <c r="BN555" s="3470" t="s">
        <v>5825</v>
      </c>
      <c r="BO555" s="3470" t="s">
        <v>7621</v>
      </c>
      <c r="BP555" s="3441"/>
      <c r="BQ555" s="3441"/>
      <c r="BR555" s="3441"/>
    </row>
    <row r="556" spans="1:253" s="3441" customFormat="1" ht="13.2" hidden="1">
      <c r="A556" s="3485" t="s">
        <v>7622</v>
      </c>
      <c r="B556" s="3470" t="s">
        <v>7623</v>
      </c>
      <c r="C556" s="3481" t="s">
        <v>7624</v>
      </c>
      <c r="D556" s="3481" t="s">
        <v>7625</v>
      </c>
      <c r="E556" s="3470" t="s">
        <v>3763</v>
      </c>
      <c r="F556" s="3528" t="s">
        <v>7347</v>
      </c>
      <c r="G556" s="3470"/>
      <c r="H556" s="3470" t="s">
        <v>7123</v>
      </c>
      <c r="I556" s="3470" t="s">
        <v>3582</v>
      </c>
      <c r="J556" s="3481" t="s">
        <v>4549</v>
      </c>
      <c r="K556" s="3470" t="s">
        <v>7115</v>
      </c>
      <c r="L556" s="3470">
        <v>91.13</v>
      </c>
      <c r="M556" s="3470">
        <v>3</v>
      </c>
      <c r="N556" s="3470" t="s">
        <v>3451</v>
      </c>
      <c r="O556" s="3470">
        <v>76.45</v>
      </c>
      <c r="P556" s="3470" t="s">
        <v>3452</v>
      </c>
      <c r="Q556" s="3457">
        <v>386391.19999999995</v>
      </c>
      <c r="R556" s="3470">
        <v>4240</v>
      </c>
      <c r="S556" s="3472">
        <v>38.229999999999997</v>
      </c>
      <c r="T556" s="3527">
        <v>382299.99999999994</v>
      </c>
      <c r="U556" s="3495">
        <v>4196</v>
      </c>
      <c r="V556" s="3474">
        <v>0.1</v>
      </c>
      <c r="W556" s="3475">
        <v>34.4</v>
      </c>
      <c r="X556" s="3476">
        <v>344000</v>
      </c>
      <c r="Y556" s="3441">
        <v>2003</v>
      </c>
      <c r="Z556" s="3441">
        <v>7</v>
      </c>
      <c r="AA556" s="3470">
        <v>24</v>
      </c>
      <c r="AB556" s="3477">
        <v>1910</v>
      </c>
      <c r="AC556" s="3470" t="s">
        <v>3585</v>
      </c>
      <c r="AD556" s="3485"/>
      <c r="AE556" s="3441" t="s">
        <v>3663</v>
      </c>
      <c r="AF556" s="3470" t="s">
        <v>6065</v>
      </c>
      <c r="AG556" s="3522" t="s">
        <v>3466</v>
      </c>
      <c r="AH556" s="3485"/>
      <c r="AI556" s="3470" t="s">
        <v>6531</v>
      </c>
      <c r="AJ556" s="3523">
        <v>37871</v>
      </c>
      <c r="AK556" s="3479">
        <v>7</v>
      </c>
      <c r="AL556" s="3441">
        <v>67641700</v>
      </c>
      <c r="AN556" s="3470" t="s">
        <v>3680</v>
      </c>
      <c r="AP556" s="3441" t="s">
        <v>3476</v>
      </c>
      <c r="AQ556" s="3441" t="s">
        <v>3571</v>
      </c>
      <c r="AW556" s="3441" t="s">
        <v>3572</v>
      </c>
      <c r="AY556" s="3524" t="s">
        <v>7626</v>
      </c>
      <c r="AZ556" s="3441" t="s">
        <v>7036</v>
      </c>
      <c r="BA556" s="3441" t="s">
        <v>4508</v>
      </c>
      <c r="BB556" s="3524" t="s">
        <v>7293</v>
      </c>
      <c r="BC556" s="3441" t="s">
        <v>7118</v>
      </c>
      <c r="BD556" s="3525">
        <v>100083</v>
      </c>
      <c r="BE556" s="3441">
        <v>82355171</v>
      </c>
      <c r="BF556" s="3526">
        <v>2.7</v>
      </c>
      <c r="BG556" s="3518">
        <v>37809</v>
      </c>
      <c r="BH556" s="3441" t="s">
        <v>4681</v>
      </c>
      <c r="BI556" s="3463" t="s">
        <v>3475</v>
      </c>
      <c r="BJ556" s="3478">
        <v>37823</v>
      </c>
      <c r="BK556" s="3484"/>
      <c r="BL556" s="3441" t="s">
        <v>3594</v>
      </c>
      <c r="BS556" s="3470"/>
      <c r="BT556" s="3470"/>
      <c r="BU556" s="3470"/>
    </row>
    <row r="557" spans="1:253" s="3470" customFormat="1" ht="12" hidden="1">
      <c r="A557" s="3470" t="s">
        <v>7627</v>
      </c>
      <c r="B557" s="3470" t="s">
        <v>7628</v>
      </c>
      <c r="C557" s="3470" t="s">
        <v>7629</v>
      </c>
      <c r="D557" s="3470">
        <v>13621186208</v>
      </c>
      <c r="E557" s="3470" t="s">
        <v>3558</v>
      </c>
      <c r="F557" s="3470" t="s">
        <v>4645</v>
      </c>
      <c r="H557" s="3470" t="s">
        <v>4646</v>
      </c>
      <c r="I557" s="3470" t="s">
        <v>7630</v>
      </c>
      <c r="J557" s="3470" t="s">
        <v>5629</v>
      </c>
      <c r="K557" s="3470" t="s">
        <v>4649</v>
      </c>
      <c r="L557" s="3470">
        <v>51.45</v>
      </c>
      <c r="M557" s="3470">
        <v>2</v>
      </c>
      <c r="N557" s="3470" t="s">
        <v>3564</v>
      </c>
      <c r="O557" s="3470">
        <v>40.56</v>
      </c>
      <c r="P557" s="3470" t="s">
        <v>3452</v>
      </c>
      <c r="Q557" s="3470">
        <v>378208.95</v>
      </c>
      <c r="R557" s="3470">
        <v>7351</v>
      </c>
      <c r="S557" s="3470">
        <v>37.81</v>
      </c>
      <c r="T557" s="3470">
        <v>378100</v>
      </c>
      <c r="U557" s="3470">
        <v>7350</v>
      </c>
      <c r="V557" s="3470">
        <v>0.1</v>
      </c>
      <c r="W557" s="3470">
        <v>34.020000000000003</v>
      </c>
      <c r="X557" s="3470">
        <v>340200</v>
      </c>
      <c r="Y557" s="3470">
        <v>2003</v>
      </c>
      <c r="Z557" s="3470">
        <v>7</v>
      </c>
      <c r="AA557" s="3470">
        <v>25</v>
      </c>
      <c r="AB557" s="3470">
        <v>1890</v>
      </c>
      <c r="AC557" s="3470" t="s">
        <v>7631</v>
      </c>
      <c r="AE557" s="3470" t="s">
        <v>3663</v>
      </c>
      <c r="AF557" s="3470" t="s">
        <v>7632</v>
      </c>
      <c r="AG557" s="3470" t="s">
        <v>3466</v>
      </c>
      <c r="AI557" s="3470" t="s">
        <v>5021</v>
      </c>
      <c r="AJ557" s="3470">
        <v>38199</v>
      </c>
      <c r="AK557" s="3470">
        <v>7</v>
      </c>
      <c r="AL557" s="3470">
        <v>67641700</v>
      </c>
      <c r="AN557" s="3470" t="s">
        <v>3680</v>
      </c>
      <c r="AP557" s="3470" t="s">
        <v>3476</v>
      </c>
      <c r="AQ557" s="3470" t="s">
        <v>3571</v>
      </c>
      <c r="AW557" s="3470" t="s">
        <v>3572</v>
      </c>
      <c r="AX557" s="3470" t="s">
        <v>2511</v>
      </c>
      <c r="AY557" s="3481" t="s">
        <v>7633</v>
      </c>
      <c r="AZ557" s="3470" t="s">
        <v>4654</v>
      </c>
      <c r="BA557" s="3470" t="s">
        <v>4655</v>
      </c>
      <c r="BB557" s="3481">
        <v>1101081437256</v>
      </c>
      <c r="BC557" s="3470" t="s">
        <v>4656</v>
      </c>
      <c r="BD557" s="3482">
        <v>100037</v>
      </c>
      <c r="BE557" s="3470">
        <v>68348381</v>
      </c>
      <c r="BF557" s="3483">
        <v>2.8</v>
      </c>
      <c r="BG557" s="3478">
        <v>37804</v>
      </c>
      <c r="BI557" s="3470" t="s">
        <v>3476</v>
      </c>
      <c r="BJ557" s="3508">
        <v>37826</v>
      </c>
      <c r="BK557" s="3508"/>
      <c r="BL557" s="3470" t="s">
        <v>3670</v>
      </c>
      <c r="BP557" s="3441"/>
      <c r="BQ557" s="3441"/>
      <c r="BR557" s="3441"/>
    </row>
    <row r="558" spans="1:253" s="3441" customFormat="1" ht="12" hidden="1">
      <c r="A558" s="3485" t="s">
        <v>7634</v>
      </c>
      <c r="B558" s="3470" t="s">
        <v>7635</v>
      </c>
      <c r="C558" s="3481" t="s">
        <v>7636</v>
      </c>
      <c r="D558" s="3481">
        <v>13910001965</v>
      </c>
      <c r="E558" s="3470" t="s">
        <v>3558</v>
      </c>
      <c r="F558" s="3521" t="s">
        <v>7637</v>
      </c>
      <c r="G558" s="3470"/>
      <c r="H558" s="3470" t="s">
        <v>7638</v>
      </c>
      <c r="I558" s="3470" t="s">
        <v>7639</v>
      </c>
      <c r="J558" s="3481" t="s">
        <v>7640</v>
      </c>
      <c r="K558" s="3470" t="s">
        <v>7641</v>
      </c>
      <c r="L558" s="3470">
        <v>50.73</v>
      </c>
      <c r="M558" s="3470">
        <v>9</v>
      </c>
      <c r="N558" s="3470" t="s">
        <v>3564</v>
      </c>
      <c r="O558" s="3470">
        <v>36.75</v>
      </c>
      <c r="P558" s="3470" t="s">
        <v>3452</v>
      </c>
      <c r="Q558" s="3457">
        <v>290636.22839999996</v>
      </c>
      <c r="R558" s="3470">
        <v>5729.08</v>
      </c>
      <c r="S558" s="3472">
        <v>28.78</v>
      </c>
      <c r="T558" s="3527">
        <v>287800</v>
      </c>
      <c r="U558" s="3470">
        <v>5674</v>
      </c>
      <c r="V558" s="3474">
        <v>0.1</v>
      </c>
      <c r="W558" s="3475">
        <v>25.9</v>
      </c>
      <c r="X558" s="3473">
        <v>259000</v>
      </c>
      <c r="Y558" s="3441">
        <v>2003</v>
      </c>
      <c r="Z558" s="3441">
        <v>8</v>
      </c>
      <c r="AA558" s="3441">
        <v>4</v>
      </c>
      <c r="AB558" s="3485">
        <v>1435</v>
      </c>
      <c r="AC558" s="3470" t="s">
        <v>3693</v>
      </c>
      <c r="AD558" s="3485"/>
      <c r="AE558" s="3441" t="s">
        <v>3663</v>
      </c>
      <c r="AF558" s="3470" t="s">
        <v>7642</v>
      </c>
      <c r="AG558" s="3522" t="s">
        <v>3466</v>
      </c>
      <c r="AH558" s="3485"/>
      <c r="AI558" s="3470" t="s">
        <v>7643</v>
      </c>
      <c r="AJ558" s="3523">
        <v>38168</v>
      </c>
      <c r="AK558" s="3479">
        <v>8</v>
      </c>
      <c r="AL558" s="3441">
        <v>67641700</v>
      </c>
      <c r="AN558" s="3441" t="s">
        <v>3695</v>
      </c>
      <c r="AP558" s="3441" t="s">
        <v>3476</v>
      </c>
      <c r="AQ558" s="3441" t="s">
        <v>7644</v>
      </c>
      <c r="AR558" s="3441">
        <v>2003</v>
      </c>
      <c r="AS558" s="3441">
        <v>9</v>
      </c>
      <c r="AT558" s="3441">
        <v>15</v>
      </c>
      <c r="AW558" s="3441" t="s">
        <v>3572</v>
      </c>
      <c r="AY558" s="3524">
        <v>521130</v>
      </c>
      <c r="AZ558" s="3441" t="s">
        <v>7641</v>
      </c>
      <c r="BA558" s="3441" t="s">
        <v>7645</v>
      </c>
      <c r="BB558" s="3524" t="s">
        <v>7646</v>
      </c>
      <c r="BC558" s="3441" t="s">
        <v>7647</v>
      </c>
      <c r="BD558" s="3525">
        <v>100016</v>
      </c>
      <c r="BE558" s="3441">
        <v>84534666</v>
      </c>
      <c r="BF558" s="3526">
        <v>3</v>
      </c>
      <c r="BG558" s="3518">
        <v>37793</v>
      </c>
      <c r="BH558" s="3441" t="s">
        <v>7648</v>
      </c>
      <c r="BI558" s="3441" t="s">
        <v>3476</v>
      </c>
      <c r="BJ558" s="3484">
        <v>37826</v>
      </c>
      <c r="BK558" s="3518"/>
      <c r="BL558" s="3470" t="s">
        <v>3670</v>
      </c>
      <c r="BS558" s="3470"/>
      <c r="BT558" s="3470"/>
      <c r="BU558" s="3470"/>
    </row>
    <row r="559" spans="1:253" s="3470" customFormat="1" ht="12" hidden="1">
      <c r="A559" s="3470" t="s">
        <v>7649</v>
      </c>
      <c r="B559" s="3470" t="s">
        <v>7650</v>
      </c>
      <c r="C559" s="3470" t="s">
        <v>7651</v>
      </c>
      <c r="D559" s="3470">
        <v>13910555505</v>
      </c>
      <c r="E559" s="3470" t="s">
        <v>3558</v>
      </c>
      <c r="F559" s="3470" t="s">
        <v>7652</v>
      </c>
      <c r="H559" s="3470" t="s">
        <v>4168</v>
      </c>
      <c r="I559" s="3470" t="s">
        <v>3561</v>
      </c>
      <c r="J559" s="3470" t="s">
        <v>5122</v>
      </c>
      <c r="K559" s="3470" t="s">
        <v>7653</v>
      </c>
      <c r="L559" s="3470">
        <v>90.74</v>
      </c>
      <c r="M559" s="3470">
        <v>3</v>
      </c>
      <c r="N559" s="3470" t="s">
        <v>4189</v>
      </c>
      <c r="O559" s="3470">
        <v>80.72</v>
      </c>
      <c r="P559" s="3470" t="s">
        <v>3452</v>
      </c>
      <c r="Q559" s="3470">
        <v>506782.9</v>
      </c>
      <c r="R559" s="3470">
        <v>5585</v>
      </c>
      <c r="S559" s="3470">
        <v>50.22</v>
      </c>
      <c r="T559" s="3470">
        <v>502200</v>
      </c>
      <c r="U559" s="3470">
        <v>5535</v>
      </c>
      <c r="V559" s="3470">
        <v>0.1</v>
      </c>
      <c r="W559" s="3470">
        <v>45.19</v>
      </c>
      <c r="X559" s="3470">
        <v>451900</v>
      </c>
      <c r="Y559" s="3470">
        <v>2003</v>
      </c>
      <c r="Z559" s="3470">
        <v>7</v>
      </c>
      <c r="AA559" s="3470">
        <v>25</v>
      </c>
      <c r="AB559" s="3470">
        <v>2510</v>
      </c>
      <c r="AC559" s="3470" t="s">
        <v>3693</v>
      </c>
      <c r="AE559" s="3470" t="s">
        <v>3663</v>
      </c>
      <c r="AF559" s="3470" t="s">
        <v>4200</v>
      </c>
      <c r="AG559" s="3470" t="s">
        <v>3466</v>
      </c>
      <c r="AH559" s="3470" t="s">
        <v>3568</v>
      </c>
      <c r="AI559" s="3470" t="s">
        <v>5021</v>
      </c>
      <c r="AJ559" s="3470">
        <v>37986</v>
      </c>
      <c r="AK559" s="3470">
        <v>7</v>
      </c>
      <c r="AL559" s="3470">
        <v>67641700</v>
      </c>
      <c r="AN559" s="3470" t="s">
        <v>3680</v>
      </c>
      <c r="AP559" s="3470" t="s">
        <v>3476</v>
      </c>
      <c r="AQ559" s="3470" t="s">
        <v>3571</v>
      </c>
      <c r="AV559" s="3470" t="s">
        <v>3568</v>
      </c>
      <c r="AW559" s="3470" t="s">
        <v>3572</v>
      </c>
      <c r="AY559" s="3481" t="s">
        <v>7654</v>
      </c>
      <c r="AZ559" s="3470" t="s">
        <v>7653</v>
      </c>
      <c r="BA559" s="3470" t="s">
        <v>7655</v>
      </c>
      <c r="BB559" s="3481" t="s">
        <v>7656</v>
      </c>
      <c r="BC559" s="3470" t="s">
        <v>7657</v>
      </c>
      <c r="BD559" s="3482">
        <v>100025</v>
      </c>
      <c r="BE559" s="3470">
        <v>62908858</v>
      </c>
      <c r="BF559" s="3483">
        <v>2.7</v>
      </c>
      <c r="BG559" s="3478">
        <v>37786</v>
      </c>
      <c r="BH559" s="3470" t="s">
        <v>4681</v>
      </c>
      <c r="BI559" s="3470" t="s">
        <v>3476</v>
      </c>
      <c r="BJ559" s="3508">
        <v>37825</v>
      </c>
      <c r="BK559" s="3508"/>
      <c r="BL559" s="3470" t="s">
        <v>3670</v>
      </c>
      <c r="BP559" s="3441"/>
      <c r="BQ559" s="3441"/>
      <c r="BR559" s="3441"/>
    </row>
    <row r="560" spans="1:253" s="3470" customFormat="1" ht="12" hidden="1">
      <c r="A560" s="3470" t="s">
        <v>7658</v>
      </c>
      <c r="B560" s="3470" t="s">
        <v>7659</v>
      </c>
      <c r="C560" s="3470" t="s">
        <v>7660</v>
      </c>
      <c r="D560" s="3470">
        <v>13511084413</v>
      </c>
      <c r="E560" s="3470" t="s">
        <v>3558</v>
      </c>
      <c r="F560" s="3470" t="s">
        <v>7652</v>
      </c>
      <c r="H560" s="3470" t="s">
        <v>7661</v>
      </c>
      <c r="I560" s="3470" t="s">
        <v>3561</v>
      </c>
      <c r="J560" s="3470" t="s">
        <v>7662</v>
      </c>
      <c r="K560" s="3470" t="s">
        <v>7653</v>
      </c>
      <c r="L560" s="3470">
        <v>90.1</v>
      </c>
      <c r="M560" s="3470">
        <v>7</v>
      </c>
      <c r="N560" s="3470" t="s">
        <v>4030</v>
      </c>
      <c r="O560" s="3470">
        <v>76.52</v>
      </c>
      <c r="P560" s="3470" t="s">
        <v>3452</v>
      </c>
      <c r="Q560" s="3470">
        <v>428686.79</v>
      </c>
      <c r="R560" s="3470">
        <v>4757.8999999999996</v>
      </c>
      <c r="S560" s="3470">
        <v>42.41</v>
      </c>
      <c r="T560" s="3470">
        <v>424100</v>
      </c>
      <c r="U560" s="3470">
        <v>4708</v>
      </c>
      <c r="V560" s="3470">
        <v>0.1</v>
      </c>
      <c r="W560" s="3470">
        <v>38.159999999999997</v>
      </c>
      <c r="X560" s="3470">
        <v>381600</v>
      </c>
      <c r="Y560" s="3470">
        <v>2003</v>
      </c>
      <c r="Z560" s="3470">
        <v>7</v>
      </c>
      <c r="AA560" s="3470">
        <v>28</v>
      </c>
      <c r="AB560" s="3470">
        <v>2120</v>
      </c>
      <c r="AC560" s="3470" t="s">
        <v>5033</v>
      </c>
      <c r="AE560" s="3470" t="s">
        <v>3663</v>
      </c>
      <c r="AF560" s="3470" t="s">
        <v>4200</v>
      </c>
      <c r="AG560" s="3470" t="s">
        <v>3466</v>
      </c>
      <c r="AH560" s="3470" t="s">
        <v>3568</v>
      </c>
      <c r="AI560" s="3470" t="s">
        <v>5021</v>
      </c>
      <c r="AJ560" s="3470">
        <v>37986</v>
      </c>
      <c r="AK560" s="3470">
        <v>7</v>
      </c>
      <c r="AL560" s="3470">
        <v>67641700</v>
      </c>
      <c r="AN560" s="3470" t="s">
        <v>4699</v>
      </c>
      <c r="AP560" s="3470" t="s">
        <v>3476</v>
      </c>
      <c r="AQ560" s="3470" t="s">
        <v>3571</v>
      </c>
      <c r="AV560" s="3470" t="s">
        <v>3568</v>
      </c>
      <c r="AW560" s="3470" t="s">
        <v>3572</v>
      </c>
      <c r="AY560" s="3481" t="s">
        <v>7663</v>
      </c>
      <c r="AZ560" s="3470" t="s">
        <v>7653</v>
      </c>
      <c r="BA560" s="3470" t="s">
        <v>7655</v>
      </c>
      <c r="BB560" s="3481" t="s">
        <v>7656</v>
      </c>
      <c r="BC560" s="3470" t="s">
        <v>7657</v>
      </c>
      <c r="BD560" s="3482">
        <v>100025</v>
      </c>
      <c r="BE560" s="3470">
        <v>62908858</v>
      </c>
      <c r="BF560" s="3483">
        <v>2.7</v>
      </c>
      <c r="BG560" s="3478">
        <v>37724</v>
      </c>
      <c r="BH560" s="3470" t="s">
        <v>4681</v>
      </c>
      <c r="BI560" s="3470" t="s">
        <v>3476</v>
      </c>
      <c r="BJ560" s="3508">
        <v>37769</v>
      </c>
      <c r="BK560" s="3508"/>
      <c r="BL560" s="3470" t="s">
        <v>3670</v>
      </c>
      <c r="BP560" s="3441"/>
      <c r="BQ560" s="3441"/>
      <c r="BR560" s="3441"/>
    </row>
    <row r="561" spans="1:70" s="3470" customFormat="1" ht="12" hidden="1">
      <c r="A561" s="3470" t="s">
        <v>7664</v>
      </c>
      <c r="B561" s="3470" t="s">
        <v>7665</v>
      </c>
      <c r="C561" s="3470" t="s">
        <v>7666</v>
      </c>
      <c r="D561" s="3470">
        <v>13683683486</v>
      </c>
      <c r="E561" s="3470" t="s">
        <v>3558</v>
      </c>
      <c r="F561" s="3470" t="s">
        <v>4645</v>
      </c>
      <c r="H561" s="3470" t="s">
        <v>4646</v>
      </c>
      <c r="I561" s="3470" t="s">
        <v>4733</v>
      </c>
      <c r="J561" s="3470" t="s">
        <v>7667</v>
      </c>
      <c r="K561" s="3470" t="s">
        <v>4649</v>
      </c>
      <c r="L561" s="3470">
        <v>58.03</v>
      </c>
      <c r="M561" s="3470">
        <v>17</v>
      </c>
      <c r="N561" s="3470" t="s">
        <v>3564</v>
      </c>
      <c r="O561" s="3470">
        <v>45.74</v>
      </c>
      <c r="P561" s="3470" t="s">
        <v>3452</v>
      </c>
      <c r="Q561" s="3470">
        <v>453852.63</v>
      </c>
      <c r="R561" s="3470">
        <v>7821</v>
      </c>
      <c r="S561" s="3470">
        <v>45.04</v>
      </c>
      <c r="T561" s="3470">
        <v>450400</v>
      </c>
      <c r="U561" s="3470">
        <v>7762</v>
      </c>
      <c r="V561" s="3470">
        <v>0.1</v>
      </c>
      <c r="W561" s="3470">
        <v>40.53</v>
      </c>
      <c r="X561" s="3470">
        <v>405300</v>
      </c>
      <c r="Y561" s="3470">
        <v>2003</v>
      </c>
      <c r="Z561" s="3470">
        <v>7</v>
      </c>
      <c r="AA561" s="3470">
        <v>28</v>
      </c>
      <c r="AB561" s="3470">
        <v>2250</v>
      </c>
      <c r="AC561" s="3470" t="s">
        <v>3565</v>
      </c>
      <c r="AE561" s="3470" t="s">
        <v>3663</v>
      </c>
      <c r="AF561" s="3470" t="s">
        <v>7668</v>
      </c>
      <c r="AG561" s="3470" t="s">
        <v>3466</v>
      </c>
      <c r="AI561" s="3470" t="s">
        <v>5021</v>
      </c>
      <c r="AJ561" s="3470">
        <v>38199</v>
      </c>
      <c r="AK561" s="3470">
        <v>7</v>
      </c>
      <c r="AL561" s="3470">
        <v>67641700</v>
      </c>
      <c r="AN561" s="3470" t="s">
        <v>4699</v>
      </c>
      <c r="AP561" s="3470" t="s">
        <v>3476</v>
      </c>
      <c r="AQ561" s="3470" t="s">
        <v>3571</v>
      </c>
      <c r="AW561" s="3470" t="s">
        <v>3572</v>
      </c>
      <c r="AX561" s="3470" t="s">
        <v>3568</v>
      </c>
      <c r="AY561" s="3481" t="s">
        <v>7669</v>
      </c>
      <c r="AZ561" s="3470" t="s">
        <v>4654</v>
      </c>
      <c r="BA561" s="3470" t="s">
        <v>4688</v>
      </c>
      <c r="BB561" s="3481" t="s">
        <v>4689</v>
      </c>
      <c r="BC561" s="3470" t="s">
        <v>4656</v>
      </c>
      <c r="BD561" s="3482">
        <v>100037</v>
      </c>
      <c r="BE561" s="3470">
        <v>68347718</v>
      </c>
      <c r="BF561" s="3483">
        <v>2.8</v>
      </c>
      <c r="BG561" s="3478">
        <v>37783</v>
      </c>
      <c r="BH561" s="3470" t="s">
        <v>4681</v>
      </c>
      <c r="BI561" s="3470" t="s">
        <v>3476</v>
      </c>
      <c r="BJ561" s="3508">
        <v>37826</v>
      </c>
      <c r="BK561" s="3508"/>
      <c r="BL561" s="3470" t="s">
        <v>3670</v>
      </c>
      <c r="BP561" s="3441"/>
      <c r="BQ561" s="3441"/>
      <c r="BR561" s="3441"/>
    </row>
    <row r="562" spans="1:70" s="3470" customFormat="1" ht="12" hidden="1">
      <c r="A562" s="3470" t="s">
        <v>7670</v>
      </c>
      <c r="B562" s="3470" t="s">
        <v>7671</v>
      </c>
      <c r="C562" s="3470" t="s">
        <v>7672</v>
      </c>
      <c r="D562" s="3470">
        <v>13910258771</v>
      </c>
      <c r="E562" s="3470" t="s">
        <v>3558</v>
      </c>
      <c r="F562" s="3470" t="s">
        <v>4645</v>
      </c>
      <c r="H562" s="3470" t="s">
        <v>4646</v>
      </c>
      <c r="I562" s="3470" t="s">
        <v>7673</v>
      </c>
      <c r="J562" s="3470" t="s">
        <v>7674</v>
      </c>
      <c r="K562" s="3470" t="s">
        <v>4649</v>
      </c>
      <c r="L562" s="3470">
        <v>92.49</v>
      </c>
      <c r="M562" s="3470">
        <v>14</v>
      </c>
      <c r="N562" s="3470" t="s">
        <v>4030</v>
      </c>
      <c r="O562" s="3470">
        <v>72.91</v>
      </c>
      <c r="P562" s="3470" t="s">
        <v>3452</v>
      </c>
      <c r="Q562" s="3470">
        <v>695987.25</v>
      </c>
      <c r="R562" s="3470">
        <v>7525</v>
      </c>
      <c r="S562" s="3470">
        <v>68.959999999999994</v>
      </c>
      <c r="T562" s="3470">
        <v>689600</v>
      </c>
      <c r="U562" s="3470">
        <v>7457</v>
      </c>
      <c r="V562" s="3470">
        <v>0.1</v>
      </c>
      <c r="W562" s="3470">
        <v>62.06</v>
      </c>
      <c r="X562" s="3470">
        <v>620600</v>
      </c>
      <c r="Y562" s="3470">
        <v>2003</v>
      </c>
      <c r="Z562" s="3470">
        <v>7</v>
      </c>
      <c r="AA562" s="3470">
        <v>28</v>
      </c>
      <c r="AB562" s="3470">
        <v>3445</v>
      </c>
      <c r="AC562" s="3470" t="s">
        <v>7614</v>
      </c>
      <c r="AE562" s="3470" t="s">
        <v>3663</v>
      </c>
      <c r="AF562" s="3470" t="s">
        <v>7668</v>
      </c>
      <c r="AG562" s="3470" t="s">
        <v>3466</v>
      </c>
      <c r="AI562" s="3470" t="s">
        <v>5021</v>
      </c>
      <c r="AJ562" s="3470">
        <v>38199</v>
      </c>
      <c r="AK562" s="3470">
        <v>7</v>
      </c>
      <c r="AL562" s="3470">
        <v>67641700</v>
      </c>
      <c r="AN562" s="3470" t="s">
        <v>4699</v>
      </c>
      <c r="AP562" s="3470" t="s">
        <v>3476</v>
      </c>
      <c r="AQ562" s="3470" t="s">
        <v>3571</v>
      </c>
      <c r="AW562" s="3470" t="s">
        <v>3572</v>
      </c>
      <c r="AX562" s="3470" t="s">
        <v>3568</v>
      </c>
      <c r="AY562" s="3481" t="s">
        <v>7669</v>
      </c>
      <c r="AZ562" s="3470" t="s">
        <v>4654</v>
      </c>
      <c r="BA562" s="3470" t="s">
        <v>4688</v>
      </c>
      <c r="BB562" s="3481" t="s">
        <v>4689</v>
      </c>
      <c r="BC562" s="3470" t="s">
        <v>4656</v>
      </c>
      <c r="BD562" s="3482">
        <v>100037</v>
      </c>
      <c r="BE562" s="3470">
        <v>68347718</v>
      </c>
      <c r="BF562" s="3483">
        <v>2.8</v>
      </c>
      <c r="BG562" s="3478">
        <v>37783</v>
      </c>
      <c r="BH562" s="3470" t="s">
        <v>4681</v>
      </c>
      <c r="BI562" s="3470" t="s">
        <v>3476</v>
      </c>
      <c r="BJ562" s="3508">
        <v>37826</v>
      </c>
      <c r="BK562" s="3508"/>
      <c r="BL562" s="3470" t="s">
        <v>3670</v>
      </c>
      <c r="BP562" s="3441"/>
      <c r="BQ562" s="3441"/>
      <c r="BR562" s="3441"/>
    </row>
    <row r="563" spans="1:70" s="3470" customFormat="1" ht="12" hidden="1">
      <c r="A563" s="3470" t="s">
        <v>7675</v>
      </c>
      <c r="B563" s="3470" t="s">
        <v>7676</v>
      </c>
      <c r="C563" s="3470" t="s">
        <v>7677</v>
      </c>
      <c r="D563" s="3470">
        <v>13801384451</v>
      </c>
      <c r="E563" s="3470" t="s">
        <v>3558</v>
      </c>
      <c r="F563" s="3470" t="s">
        <v>7153</v>
      </c>
      <c r="G563" s="3470" t="s">
        <v>3568</v>
      </c>
      <c r="H563" s="3470" t="s">
        <v>7376</v>
      </c>
      <c r="I563" s="3470" t="s">
        <v>4019</v>
      </c>
      <c r="J563" s="3470" t="s">
        <v>7678</v>
      </c>
      <c r="K563" s="3470" t="s">
        <v>6117</v>
      </c>
      <c r="L563" s="3470">
        <v>117.1</v>
      </c>
      <c r="M563" s="3470">
        <v>5</v>
      </c>
      <c r="N563" s="3470" t="s">
        <v>4003</v>
      </c>
      <c r="O563" s="3470">
        <v>105.92</v>
      </c>
      <c r="P563" s="3470" t="s">
        <v>3452</v>
      </c>
      <c r="Q563" s="3470">
        <v>469512.45</v>
      </c>
      <c r="R563" s="3470">
        <v>4009.5</v>
      </c>
      <c r="S563" s="3470">
        <v>46.91</v>
      </c>
      <c r="T563" s="3470">
        <v>469100</v>
      </c>
      <c r="U563" s="3470">
        <v>4006</v>
      </c>
      <c r="V563" s="3470">
        <v>0.1</v>
      </c>
      <c r="W563" s="3470">
        <v>42.21</v>
      </c>
      <c r="X563" s="3470">
        <v>422100</v>
      </c>
      <c r="Y563" s="3470">
        <v>2003</v>
      </c>
      <c r="Z563" s="3470">
        <v>8</v>
      </c>
      <c r="AA563" s="3470">
        <v>8</v>
      </c>
      <c r="AB563" s="3470">
        <v>2345</v>
      </c>
      <c r="AC563" s="3470" t="s">
        <v>7679</v>
      </c>
      <c r="AE563" s="3470" t="s">
        <v>3663</v>
      </c>
      <c r="AF563" s="3470" t="s">
        <v>7377</v>
      </c>
      <c r="AG563" s="3470" t="s">
        <v>3466</v>
      </c>
      <c r="AI563" s="3470" t="s">
        <v>5021</v>
      </c>
      <c r="AJ563" s="3470">
        <v>38108</v>
      </c>
      <c r="AK563" s="3470">
        <v>8</v>
      </c>
      <c r="AL563" s="3470">
        <v>67641700</v>
      </c>
      <c r="AN563" s="3470" t="s">
        <v>3695</v>
      </c>
      <c r="AO563" s="3470" t="s">
        <v>7680</v>
      </c>
      <c r="AP563" s="3470" t="s">
        <v>3476</v>
      </c>
      <c r="AQ563" s="3470" t="s">
        <v>3571</v>
      </c>
      <c r="AW563" s="3470" t="s">
        <v>3572</v>
      </c>
      <c r="AX563" s="3470" t="s">
        <v>3568</v>
      </c>
      <c r="AY563" s="3481">
        <v>299245</v>
      </c>
      <c r="AZ563" s="3470" t="s">
        <v>6117</v>
      </c>
      <c r="BA563" s="3470" t="s">
        <v>7157</v>
      </c>
      <c r="BB563" s="3481">
        <v>1102281326100</v>
      </c>
      <c r="BC563" s="3470" t="s">
        <v>7158</v>
      </c>
      <c r="BD563" s="3482">
        <v>100055</v>
      </c>
      <c r="BE563" s="3470">
        <v>82951881</v>
      </c>
      <c r="BF563" s="3483">
        <v>2.8</v>
      </c>
      <c r="BG563" s="3478">
        <v>37798</v>
      </c>
      <c r="BI563" s="3470" t="s">
        <v>3476</v>
      </c>
      <c r="BJ563" s="3508">
        <v>37840</v>
      </c>
      <c r="BK563" s="3508"/>
      <c r="BL563" s="3470" t="s">
        <v>3670</v>
      </c>
      <c r="BP563" s="3441"/>
      <c r="BQ563" s="3441"/>
      <c r="BR563" s="3441"/>
    </row>
    <row r="564" spans="1:70" s="3470" customFormat="1" ht="12" hidden="1">
      <c r="A564" s="3470" t="s">
        <v>7681</v>
      </c>
      <c r="B564" s="3470" t="s">
        <v>7682</v>
      </c>
      <c r="C564" s="3470" t="s">
        <v>7683</v>
      </c>
      <c r="D564" s="3470">
        <v>13301225808</v>
      </c>
      <c r="E564" s="3470" t="s">
        <v>3558</v>
      </c>
      <c r="F564" s="3470" t="s">
        <v>4645</v>
      </c>
      <c r="H564" s="3470" t="s">
        <v>4646</v>
      </c>
      <c r="I564" s="3470" t="s">
        <v>4671</v>
      </c>
      <c r="J564" s="3470" t="s">
        <v>7684</v>
      </c>
      <c r="K564" s="3470" t="s">
        <v>4649</v>
      </c>
      <c r="L564" s="3470">
        <v>54.5</v>
      </c>
      <c r="M564" s="3470">
        <v>10</v>
      </c>
      <c r="N564" s="3470" t="s">
        <v>3564</v>
      </c>
      <c r="O564" s="3470">
        <v>42.96</v>
      </c>
      <c r="P564" s="3470" t="s">
        <v>3452</v>
      </c>
      <c r="Q564" s="3470">
        <v>415072</v>
      </c>
      <c r="R564" s="3470">
        <v>7616</v>
      </c>
      <c r="S564" s="3470">
        <v>41.13</v>
      </c>
      <c r="T564" s="3470">
        <v>411300</v>
      </c>
      <c r="U564" s="3470">
        <v>7548</v>
      </c>
      <c r="V564" s="3470">
        <v>0.1</v>
      </c>
      <c r="W564" s="3470">
        <v>37.01</v>
      </c>
      <c r="X564" s="3470">
        <v>370100</v>
      </c>
      <c r="Y564" s="3470">
        <v>2003</v>
      </c>
      <c r="Z564" s="3470">
        <v>7</v>
      </c>
      <c r="AA564" s="3470">
        <v>28</v>
      </c>
      <c r="AB564" s="3470">
        <v>2055</v>
      </c>
      <c r="AC564" s="3470" t="s">
        <v>3693</v>
      </c>
      <c r="AE564" s="3470" t="s">
        <v>3663</v>
      </c>
      <c r="AF564" s="3470" t="s">
        <v>7668</v>
      </c>
      <c r="AG564" s="3470" t="s">
        <v>3466</v>
      </c>
      <c r="AI564" s="3470" t="s">
        <v>5021</v>
      </c>
      <c r="AJ564" s="3470">
        <v>38199</v>
      </c>
      <c r="AK564" s="3470">
        <v>7</v>
      </c>
      <c r="AL564" s="3470">
        <v>67641700</v>
      </c>
      <c r="AN564" s="3470" t="s">
        <v>4699</v>
      </c>
      <c r="AP564" s="3470" t="s">
        <v>3476</v>
      </c>
      <c r="AQ564" s="3470" t="s">
        <v>3571</v>
      </c>
      <c r="AW564" s="3470" t="s">
        <v>3572</v>
      </c>
      <c r="AX564" s="3470" t="s">
        <v>3568</v>
      </c>
      <c r="AY564" s="3481" t="s">
        <v>7685</v>
      </c>
      <c r="AZ564" s="3470" t="s">
        <v>4654</v>
      </c>
      <c r="BA564" s="3470" t="s">
        <v>4688</v>
      </c>
      <c r="BB564" s="3481" t="s">
        <v>4689</v>
      </c>
      <c r="BC564" s="3470" t="s">
        <v>4656</v>
      </c>
      <c r="BD564" s="3482">
        <v>100037</v>
      </c>
      <c r="BE564" s="3470">
        <v>68347718</v>
      </c>
      <c r="BF564" s="3483">
        <v>2.8</v>
      </c>
      <c r="BG564" s="3478">
        <v>37819</v>
      </c>
      <c r="BH564" s="3470" t="s">
        <v>4681</v>
      </c>
      <c r="BI564" s="3470" t="s">
        <v>3476</v>
      </c>
      <c r="BJ564" s="3508">
        <v>37827</v>
      </c>
      <c r="BK564" s="3508"/>
      <c r="BL564" s="3470" t="s">
        <v>3670</v>
      </c>
      <c r="BP564" s="3441"/>
      <c r="BQ564" s="3441"/>
      <c r="BR564" s="3441"/>
    </row>
    <row r="565" spans="1:70" s="3470" customFormat="1" ht="12" hidden="1">
      <c r="A565" s="3470" t="s">
        <v>7686</v>
      </c>
      <c r="B565" s="3470" t="s">
        <v>7687</v>
      </c>
      <c r="C565" s="3470" t="s">
        <v>7688</v>
      </c>
      <c r="D565" s="3470" t="s">
        <v>7689</v>
      </c>
      <c r="E565" s="3470" t="s">
        <v>3558</v>
      </c>
      <c r="F565" s="3470" t="s">
        <v>7514</v>
      </c>
      <c r="G565" s="3470" t="s">
        <v>7515</v>
      </c>
      <c r="H565" s="3470" t="s">
        <v>4000</v>
      </c>
      <c r="I565" s="3470" t="s">
        <v>7690</v>
      </c>
      <c r="J565" s="3470" t="s">
        <v>7691</v>
      </c>
      <c r="K565" s="3470" t="s">
        <v>5500</v>
      </c>
      <c r="L565" s="3470">
        <v>161.02000000000001</v>
      </c>
      <c r="M565" s="3470">
        <v>2</v>
      </c>
      <c r="N565" s="3470" t="s">
        <v>4003</v>
      </c>
      <c r="O565" s="3470">
        <v>135.26</v>
      </c>
      <c r="P565" s="3470" t="s">
        <v>3452</v>
      </c>
      <c r="Q565" s="3470">
        <v>944478.91200000013</v>
      </c>
      <c r="R565" s="3470">
        <v>5865.6</v>
      </c>
      <c r="S565" s="3470">
        <v>93.58</v>
      </c>
      <c r="T565" s="3470">
        <v>935800</v>
      </c>
      <c r="U565" s="3470">
        <v>5812</v>
      </c>
      <c r="V565" s="3470">
        <v>0.1</v>
      </c>
      <c r="W565" s="3470">
        <v>84.22</v>
      </c>
      <c r="X565" s="3470">
        <v>842200</v>
      </c>
      <c r="Y565" s="3470">
        <v>2003</v>
      </c>
      <c r="Z565" s="3470">
        <v>8</v>
      </c>
      <c r="AA565" s="3470">
        <v>1</v>
      </c>
      <c r="AB565" s="3470">
        <v>4675</v>
      </c>
      <c r="AC565" s="3470" t="s">
        <v>3603</v>
      </c>
      <c r="AE565" s="3470" t="s">
        <v>3663</v>
      </c>
      <c r="AF565" s="3470" t="s">
        <v>3728</v>
      </c>
      <c r="AG565" s="3470" t="s">
        <v>3466</v>
      </c>
      <c r="AI565" s="3470" t="s">
        <v>5021</v>
      </c>
      <c r="AJ565" s="3470">
        <v>38077</v>
      </c>
      <c r="AK565" s="3470">
        <v>8</v>
      </c>
      <c r="AL565" s="3470">
        <v>67641700</v>
      </c>
      <c r="AN565" s="3470" t="s">
        <v>3570</v>
      </c>
      <c r="AO565" s="3470" t="s">
        <v>7692</v>
      </c>
      <c r="AP565" s="3470" t="s">
        <v>3476</v>
      </c>
      <c r="AQ565" s="3470" t="s">
        <v>3571</v>
      </c>
      <c r="AW565" s="3470" t="s">
        <v>3572</v>
      </c>
      <c r="AX565" s="3470" t="s">
        <v>3568</v>
      </c>
      <c r="AY565" s="3481" t="s">
        <v>7693</v>
      </c>
      <c r="AZ565" s="3470" t="s">
        <v>5500</v>
      </c>
      <c r="BA565" s="3470" t="s">
        <v>7519</v>
      </c>
      <c r="BB565" s="3481" t="s">
        <v>5502</v>
      </c>
      <c r="BC565" s="3470" t="s">
        <v>7520</v>
      </c>
      <c r="BD565" s="3482">
        <v>100089</v>
      </c>
      <c r="BE565" s="3470">
        <v>88442745</v>
      </c>
      <c r="BF565" s="3483">
        <v>2.8</v>
      </c>
      <c r="BG565" s="3478">
        <v>37824</v>
      </c>
      <c r="BI565" s="3470" t="s">
        <v>3476</v>
      </c>
      <c r="BJ565" s="3508">
        <v>37831</v>
      </c>
      <c r="BK565" s="3508"/>
      <c r="BL565" s="3470" t="s">
        <v>3670</v>
      </c>
      <c r="BP565" s="3441"/>
      <c r="BQ565" s="3441"/>
      <c r="BR565" s="3441"/>
    </row>
    <row r="566" spans="1:70" s="3470" customFormat="1" ht="12" hidden="1">
      <c r="A566" s="3470" t="s">
        <v>7694</v>
      </c>
      <c r="B566" s="3470" t="s">
        <v>7695</v>
      </c>
      <c r="C566" s="3470" t="s">
        <v>7696</v>
      </c>
      <c r="D566" s="3470">
        <v>13801281086</v>
      </c>
      <c r="E566" s="3470" t="s">
        <v>3558</v>
      </c>
      <c r="F566" s="3470" t="s">
        <v>7153</v>
      </c>
      <c r="G566" s="3470" t="s">
        <v>3568</v>
      </c>
      <c r="H566" s="3470" t="s">
        <v>7162</v>
      </c>
      <c r="I566" s="3470" t="s">
        <v>4019</v>
      </c>
      <c r="J566" s="3470" t="s">
        <v>7697</v>
      </c>
      <c r="K566" s="3470" t="s">
        <v>6117</v>
      </c>
      <c r="L566" s="3470">
        <v>98.22</v>
      </c>
      <c r="M566" s="3470">
        <v>4</v>
      </c>
      <c r="N566" s="3470" t="s">
        <v>5032</v>
      </c>
      <c r="O566" s="3470">
        <v>83.29</v>
      </c>
      <c r="P566" s="3470" t="s">
        <v>3452</v>
      </c>
      <c r="Q566" s="3470">
        <v>386004.6</v>
      </c>
      <c r="R566" s="3470">
        <v>3930</v>
      </c>
      <c r="S566" s="3470">
        <v>38.159999999999997</v>
      </c>
      <c r="T566" s="3470">
        <v>381600</v>
      </c>
      <c r="U566" s="3470">
        <v>3886</v>
      </c>
      <c r="V566" s="3470">
        <v>0.1</v>
      </c>
      <c r="W566" s="3470">
        <v>34.340000000000003</v>
      </c>
      <c r="X566" s="3470">
        <v>343400</v>
      </c>
      <c r="Y566" s="3470">
        <v>2003</v>
      </c>
      <c r="Z566" s="3470">
        <v>8</v>
      </c>
      <c r="AA566" s="3470">
        <v>5</v>
      </c>
      <c r="AB566" s="3470">
        <v>1905</v>
      </c>
      <c r="AC566" s="3470" t="s">
        <v>3565</v>
      </c>
      <c r="AE566" s="3470" t="s">
        <v>3663</v>
      </c>
      <c r="AF566" s="3470" t="s">
        <v>7190</v>
      </c>
      <c r="AG566" s="3470" t="s">
        <v>3466</v>
      </c>
      <c r="AI566" s="3470" t="s">
        <v>5021</v>
      </c>
      <c r="AJ566" s="3470">
        <v>38108</v>
      </c>
      <c r="AK566" s="3470">
        <v>8</v>
      </c>
      <c r="AL566" s="3470">
        <v>67641700</v>
      </c>
      <c r="AN566" s="3470" t="s">
        <v>3695</v>
      </c>
      <c r="AO566" s="3470" t="s">
        <v>7698</v>
      </c>
      <c r="AP566" s="3470" t="s">
        <v>3476</v>
      </c>
      <c r="AQ566" s="3470" t="s">
        <v>3571</v>
      </c>
      <c r="AW566" s="3470" t="s">
        <v>3572</v>
      </c>
      <c r="AX566" s="3470" t="s">
        <v>3568</v>
      </c>
      <c r="AY566" s="3481">
        <v>299320</v>
      </c>
      <c r="AZ566" s="3470" t="s">
        <v>6117</v>
      </c>
      <c r="BA566" s="3470" t="s">
        <v>7157</v>
      </c>
      <c r="BB566" s="3481">
        <v>1102281326100</v>
      </c>
      <c r="BC566" s="3470" t="s">
        <v>7158</v>
      </c>
      <c r="BD566" s="3482">
        <v>100055</v>
      </c>
      <c r="BE566" s="3470">
        <v>82951881</v>
      </c>
      <c r="BF566" s="3483">
        <v>2.8</v>
      </c>
      <c r="BG566" s="3478">
        <v>37820</v>
      </c>
      <c r="BI566" s="3470" t="s">
        <v>3476</v>
      </c>
      <c r="BJ566" s="3508">
        <v>37834</v>
      </c>
      <c r="BK566" s="3508"/>
      <c r="BL566" s="3470" t="s">
        <v>3670</v>
      </c>
      <c r="BP566" s="3441"/>
      <c r="BQ566" s="3441"/>
      <c r="BR566" s="3441"/>
    </row>
    <row r="567" spans="1:70" s="3470" customFormat="1" ht="12" hidden="1">
      <c r="A567" s="3470" t="s">
        <v>7699</v>
      </c>
      <c r="B567" s="3470" t="s">
        <v>7700</v>
      </c>
      <c r="C567" s="3470" t="s">
        <v>7701</v>
      </c>
      <c r="D567" s="3470">
        <v>13671134405</v>
      </c>
      <c r="E567" s="3470" t="s">
        <v>3558</v>
      </c>
      <c r="F567" s="3470" t="s">
        <v>7153</v>
      </c>
      <c r="G567" s="3470" t="s">
        <v>3568</v>
      </c>
      <c r="H567" s="3470" t="s">
        <v>7702</v>
      </c>
      <c r="I567" s="3470" t="s">
        <v>4019</v>
      </c>
      <c r="J567" s="3470" t="s">
        <v>5019</v>
      </c>
      <c r="K567" s="3470" t="s">
        <v>6117</v>
      </c>
      <c r="L567" s="3470">
        <v>90.69</v>
      </c>
      <c r="M567" s="3470">
        <v>1</v>
      </c>
      <c r="N567" s="3470" t="s">
        <v>5032</v>
      </c>
      <c r="O567" s="3470">
        <v>80.64</v>
      </c>
      <c r="P567" s="3470" t="s">
        <v>3452</v>
      </c>
      <c r="Q567" s="3470">
        <v>318730.91190000001</v>
      </c>
      <c r="R567" s="3470">
        <v>3514.51</v>
      </c>
      <c r="S567" s="3470">
        <v>31.46</v>
      </c>
      <c r="T567" s="3470">
        <v>314600</v>
      </c>
      <c r="U567" s="3470">
        <v>3470</v>
      </c>
      <c r="V567" s="3470">
        <v>0.1</v>
      </c>
      <c r="W567" s="3470">
        <v>28.31</v>
      </c>
      <c r="X567" s="3470">
        <v>283100</v>
      </c>
      <c r="Y567" s="3470">
        <v>2003</v>
      </c>
      <c r="Z567" s="3470">
        <v>8</v>
      </c>
      <c r="AA567" s="3470">
        <v>4</v>
      </c>
      <c r="AB567" s="3470">
        <v>1570</v>
      </c>
      <c r="AC567" s="3470" t="s">
        <v>3565</v>
      </c>
      <c r="AE567" s="3470" t="s">
        <v>3663</v>
      </c>
      <c r="AF567" s="3470" t="s">
        <v>7190</v>
      </c>
      <c r="AG567" s="3470" t="s">
        <v>3466</v>
      </c>
      <c r="AI567" s="3470" t="s">
        <v>5021</v>
      </c>
      <c r="AJ567" s="3470">
        <v>38108</v>
      </c>
      <c r="AK567" s="3470">
        <v>8</v>
      </c>
      <c r="AL567" s="3470">
        <v>67641700</v>
      </c>
      <c r="AN567" s="3470" t="s">
        <v>3695</v>
      </c>
      <c r="AO567" s="3470" t="s">
        <v>7703</v>
      </c>
      <c r="AP567" s="3470" t="s">
        <v>3476</v>
      </c>
      <c r="AQ567" s="3470" t="s">
        <v>3571</v>
      </c>
      <c r="AW567" s="3470" t="s">
        <v>3572</v>
      </c>
      <c r="AX567" s="3470" t="s">
        <v>3568</v>
      </c>
      <c r="AY567" s="3481">
        <v>299239</v>
      </c>
      <c r="AZ567" s="3470" t="s">
        <v>6117</v>
      </c>
      <c r="BA567" s="3470" t="s">
        <v>7157</v>
      </c>
      <c r="BB567" s="3481">
        <v>1102281326100</v>
      </c>
      <c r="BC567" s="3470" t="s">
        <v>7158</v>
      </c>
      <c r="BD567" s="3482">
        <v>100055</v>
      </c>
      <c r="BE567" s="3470">
        <v>82951881</v>
      </c>
      <c r="BF567" s="3483">
        <v>2.8</v>
      </c>
      <c r="BG567" s="3478">
        <v>37767</v>
      </c>
      <c r="BI567" s="3470" t="s">
        <v>3476</v>
      </c>
      <c r="BJ567" s="3508">
        <v>37833</v>
      </c>
      <c r="BK567" s="3508"/>
      <c r="BL567" s="3470" t="s">
        <v>3670</v>
      </c>
      <c r="BP567" s="3441"/>
      <c r="BQ567" s="3441"/>
      <c r="BR567" s="3441"/>
    </row>
    <row r="568" spans="1:70" s="3470" customFormat="1" ht="12" hidden="1">
      <c r="A568" s="3470" t="s">
        <v>7704</v>
      </c>
      <c r="B568" s="3470" t="s">
        <v>7705</v>
      </c>
      <c r="C568" s="3470" t="s">
        <v>7706</v>
      </c>
      <c r="D568" s="3470">
        <v>13910069585</v>
      </c>
      <c r="E568" s="3470" t="s">
        <v>3558</v>
      </c>
      <c r="F568" s="3470" t="s">
        <v>7153</v>
      </c>
      <c r="G568" s="3470" t="s">
        <v>3568</v>
      </c>
      <c r="H568" s="3470" t="s">
        <v>7162</v>
      </c>
      <c r="I568" s="3470" t="s">
        <v>3561</v>
      </c>
      <c r="J568" s="3470" t="s">
        <v>7382</v>
      </c>
      <c r="K568" s="3470" t="s">
        <v>6117</v>
      </c>
      <c r="L568" s="3470">
        <v>98.22</v>
      </c>
      <c r="M568" s="3470">
        <v>10</v>
      </c>
      <c r="N568" s="3470" t="s">
        <v>5032</v>
      </c>
      <c r="O568" s="3470">
        <v>83.29</v>
      </c>
      <c r="P568" s="3470" t="s">
        <v>3452</v>
      </c>
      <c r="Q568" s="3470">
        <v>394844.4</v>
      </c>
      <c r="R568" s="3470">
        <v>4020</v>
      </c>
      <c r="S568" s="3470">
        <v>39.049999999999997</v>
      </c>
      <c r="T568" s="3470">
        <v>390500</v>
      </c>
      <c r="U568" s="3470">
        <v>3976</v>
      </c>
      <c r="V568" s="3470">
        <v>0.1</v>
      </c>
      <c r="W568" s="3470">
        <v>35.14</v>
      </c>
      <c r="X568" s="3470">
        <v>351400</v>
      </c>
      <c r="Y568" s="3470">
        <v>2003</v>
      </c>
      <c r="Z568" s="3470">
        <v>8</v>
      </c>
      <c r="AA568" s="3470">
        <v>1</v>
      </c>
      <c r="AB568" s="3470">
        <v>1950</v>
      </c>
      <c r="AC568" s="3470" t="s">
        <v>4686</v>
      </c>
      <c r="AE568" s="3470" t="s">
        <v>3663</v>
      </c>
      <c r="AF568" s="3470" t="s">
        <v>7190</v>
      </c>
      <c r="AG568" s="3470" t="s">
        <v>3466</v>
      </c>
      <c r="AI568" s="3470" t="s">
        <v>5021</v>
      </c>
      <c r="AJ568" s="3470">
        <v>38108</v>
      </c>
      <c r="AK568" s="3470">
        <v>8</v>
      </c>
      <c r="AL568" s="3470">
        <v>67641700</v>
      </c>
      <c r="AN568" s="3470" t="s">
        <v>3570</v>
      </c>
      <c r="AO568" s="3470" t="s">
        <v>7707</v>
      </c>
      <c r="AP568" s="3470" t="s">
        <v>3476</v>
      </c>
      <c r="AQ568" s="3470" t="s">
        <v>3571</v>
      </c>
      <c r="AW568" s="3470" t="s">
        <v>3572</v>
      </c>
      <c r="AX568" s="3470" t="s">
        <v>3568</v>
      </c>
      <c r="AY568" s="3481">
        <v>299312</v>
      </c>
      <c r="AZ568" s="3470" t="s">
        <v>6117</v>
      </c>
      <c r="BA568" s="3470" t="s">
        <v>7157</v>
      </c>
      <c r="BB568" s="3481">
        <v>1102281326100</v>
      </c>
      <c r="BC568" s="3470" t="s">
        <v>7158</v>
      </c>
      <c r="BD568" s="3482">
        <v>100055</v>
      </c>
      <c r="BE568" s="3470">
        <v>82951881</v>
      </c>
      <c r="BF568" s="3483">
        <v>2.8</v>
      </c>
      <c r="BG568" s="3478">
        <v>37819</v>
      </c>
      <c r="BI568" s="3470" t="s">
        <v>3476</v>
      </c>
      <c r="BJ568" s="3508">
        <v>37830</v>
      </c>
      <c r="BK568" s="3508"/>
      <c r="BL568" s="3470" t="s">
        <v>3670</v>
      </c>
      <c r="BP568" s="3441"/>
      <c r="BQ568" s="3441"/>
      <c r="BR568" s="3441"/>
    </row>
    <row r="569" spans="1:70" s="3470" customFormat="1" ht="12" hidden="1">
      <c r="A569" s="3470" t="s">
        <v>7708</v>
      </c>
      <c r="B569" s="3470" t="s">
        <v>7709</v>
      </c>
      <c r="C569" s="3470" t="s">
        <v>7710</v>
      </c>
      <c r="D569" s="3470">
        <v>13910116185</v>
      </c>
      <c r="E569" s="3470" t="s">
        <v>3558</v>
      </c>
      <c r="F569" s="3470" t="s">
        <v>7153</v>
      </c>
      <c r="G569" s="3470" t="s">
        <v>3568</v>
      </c>
      <c r="H569" s="3470" t="s">
        <v>4112</v>
      </c>
      <c r="I569" s="3470" t="s">
        <v>3735</v>
      </c>
      <c r="J569" s="3470" t="s">
        <v>7678</v>
      </c>
      <c r="K569" s="3470" t="s">
        <v>6117</v>
      </c>
      <c r="L569" s="3470">
        <v>122.2</v>
      </c>
      <c r="M569" s="3470">
        <v>5</v>
      </c>
      <c r="N569" s="3470" t="s">
        <v>4003</v>
      </c>
      <c r="O569" s="3470">
        <v>111.4</v>
      </c>
      <c r="P569" s="3470" t="s">
        <v>3452</v>
      </c>
      <c r="Q569" s="3470">
        <v>488800</v>
      </c>
      <c r="R569" s="3470">
        <v>4000</v>
      </c>
      <c r="S569" s="3470">
        <v>48.33</v>
      </c>
      <c r="T569" s="3470">
        <v>483300</v>
      </c>
      <c r="U569" s="3470">
        <v>3955</v>
      </c>
      <c r="V569" s="3470">
        <v>0.1</v>
      </c>
      <c r="W569" s="3470">
        <v>43.49</v>
      </c>
      <c r="X569" s="3470">
        <v>434900</v>
      </c>
      <c r="Y569" s="3470">
        <v>2003</v>
      </c>
      <c r="Z569" s="3470">
        <v>8</v>
      </c>
      <c r="AA569" s="3470">
        <v>12</v>
      </c>
      <c r="AB569" s="3470">
        <v>2415</v>
      </c>
      <c r="AC569" s="3470" t="s">
        <v>3693</v>
      </c>
      <c r="AE569" s="3470" t="s">
        <v>3663</v>
      </c>
      <c r="AF569" s="3470" t="s">
        <v>7190</v>
      </c>
      <c r="AG569" s="3470" t="s">
        <v>3466</v>
      </c>
      <c r="AI569" s="3470" t="s">
        <v>5021</v>
      </c>
      <c r="AJ569" s="3470">
        <v>38108</v>
      </c>
      <c r="AK569" s="3470">
        <v>8</v>
      </c>
      <c r="AL569" s="3470">
        <v>67641700</v>
      </c>
      <c r="AN569" s="3470" t="s">
        <v>3739</v>
      </c>
      <c r="AO569" s="3470" t="s">
        <v>7711</v>
      </c>
      <c r="AP569" s="3470" t="s">
        <v>3476</v>
      </c>
      <c r="AQ569" s="3470" t="s">
        <v>3571</v>
      </c>
      <c r="AW569" s="3470" t="s">
        <v>3572</v>
      </c>
      <c r="AX569" s="3470" t="s">
        <v>3568</v>
      </c>
      <c r="AY569" s="3481">
        <v>299284</v>
      </c>
      <c r="AZ569" s="3470" t="s">
        <v>6117</v>
      </c>
      <c r="BA569" s="3470" t="s">
        <v>7157</v>
      </c>
      <c r="BB569" s="3481">
        <v>1102281326100</v>
      </c>
      <c r="BC569" s="3470" t="s">
        <v>7158</v>
      </c>
      <c r="BD569" s="3482">
        <v>100055</v>
      </c>
      <c r="BE569" s="3470">
        <v>82951881</v>
      </c>
      <c r="BF569" s="3483">
        <v>2.8</v>
      </c>
      <c r="BG569" s="3478">
        <v>37820</v>
      </c>
      <c r="BI569" s="3470" t="s">
        <v>3476</v>
      </c>
      <c r="BJ569" s="3508">
        <v>37841</v>
      </c>
      <c r="BK569" s="3508"/>
      <c r="BL569" s="3470" t="s">
        <v>3670</v>
      </c>
      <c r="BP569" s="3441"/>
      <c r="BQ569" s="3441"/>
      <c r="BR569" s="3441"/>
    </row>
    <row r="570" spans="1:70" s="3470" customFormat="1" ht="12" hidden="1">
      <c r="A570" s="3470" t="s">
        <v>7712</v>
      </c>
      <c r="B570" s="3470" t="s">
        <v>7713</v>
      </c>
      <c r="C570" s="3470" t="s">
        <v>7714</v>
      </c>
      <c r="D570" s="3470">
        <v>13691215505</v>
      </c>
      <c r="E570" s="3470" t="s">
        <v>3558</v>
      </c>
      <c r="F570" s="3470" t="s">
        <v>7153</v>
      </c>
      <c r="G570" s="3470" t="s">
        <v>3568</v>
      </c>
      <c r="H570" s="3470" t="s">
        <v>7162</v>
      </c>
      <c r="I570" s="3470" t="s">
        <v>4309</v>
      </c>
      <c r="J570" s="3470" t="s">
        <v>4662</v>
      </c>
      <c r="K570" s="3470" t="s">
        <v>6117</v>
      </c>
      <c r="L570" s="3470">
        <v>98.22</v>
      </c>
      <c r="M570" s="3470">
        <v>10</v>
      </c>
      <c r="N570" s="3470" t="s">
        <v>5032</v>
      </c>
      <c r="O570" s="3470">
        <v>83.29</v>
      </c>
      <c r="P570" s="3470" t="s">
        <v>3452</v>
      </c>
      <c r="Q570" s="3470">
        <v>400737.6</v>
      </c>
      <c r="R570" s="3470">
        <v>4080</v>
      </c>
      <c r="S570" s="3470">
        <v>39.58</v>
      </c>
      <c r="T570" s="3470">
        <v>395800</v>
      </c>
      <c r="U570" s="3470">
        <v>4030</v>
      </c>
      <c r="V570" s="3470">
        <v>0.1</v>
      </c>
      <c r="W570" s="3470">
        <v>35.619999999999997</v>
      </c>
      <c r="X570" s="3470">
        <v>356200</v>
      </c>
      <c r="Y570" s="3470">
        <v>2003</v>
      </c>
      <c r="Z570" s="3470">
        <v>8</v>
      </c>
      <c r="AA570" s="3470">
        <v>14</v>
      </c>
      <c r="AB570" s="3470">
        <v>1975</v>
      </c>
      <c r="AC570" s="3470" t="s">
        <v>3565</v>
      </c>
      <c r="AE570" s="3470" t="s">
        <v>3663</v>
      </c>
      <c r="AF570" s="3470" t="s">
        <v>3694</v>
      </c>
      <c r="AG570" s="3470" t="s">
        <v>3466</v>
      </c>
      <c r="AI570" s="3470" t="s">
        <v>5021</v>
      </c>
      <c r="AJ570" s="3470">
        <v>38108</v>
      </c>
      <c r="AK570" s="3470">
        <v>8</v>
      </c>
      <c r="AL570" s="3470">
        <v>67641700</v>
      </c>
      <c r="AN570" s="3470" t="s">
        <v>3739</v>
      </c>
      <c r="AO570" s="3470" t="s">
        <v>7715</v>
      </c>
      <c r="AP570" s="3470" t="s">
        <v>3476</v>
      </c>
      <c r="AQ570" s="3470" t="s">
        <v>3571</v>
      </c>
      <c r="AW570" s="3470" t="s">
        <v>3572</v>
      </c>
      <c r="AX570" s="3470" t="s">
        <v>3568</v>
      </c>
      <c r="AY570" s="3481">
        <v>299326</v>
      </c>
      <c r="AZ570" s="3470" t="s">
        <v>6117</v>
      </c>
      <c r="BA570" s="3470" t="s">
        <v>7157</v>
      </c>
      <c r="BB570" s="3481">
        <v>1102281326100</v>
      </c>
      <c r="BC570" s="3470" t="s">
        <v>7158</v>
      </c>
      <c r="BD570" s="3482">
        <v>100055</v>
      </c>
      <c r="BE570" s="3470">
        <v>82951881</v>
      </c>
      <c r="BF570" s="3483">
        <v>2.8</v>
      </c>
      <c r="BG570" s="3478">
        <v>37829</v>
      </c>
      <c r="BI570" s="3470" t="s">
        <v>3476</v>
      </c>
      <c r="BJ570" s="3508">
        <v>37845</v>
      </c>
      <c r="BK570" s="3508"/>
      <c r="BL570" s="3470" t="s">
        <v>3670</v>
      </c>
      <c r="BP570" s="3441"/>
      <c r="BQ570" s="3441"/>
      <c r="BR570" s="3441"/>
    </row>
    <row r="571" spans="1:70" s="3470" customFormat="1" ht="12" hidden="1">
      <c r="A571" s="3470" t="s">
        <v>7716</v>
      </c>
      <c r="B571" s="3470" t="s">
        <v>7717</v>
      </c>
      <c r="C571" s="3470" t="s">
        <v>7718</v>
      </c>
      <c r="D571" s="3470">
        <v>13801134120</v>
      </c>
      <c r="E571" s="3470" t="s">
        <v>3558</v>
      </c>
      <c r="F571" s="3470" t="s">
        <v>7153</v>
      </c>
      <c r="G571" s="3470" t="s">
        <v>3568</v>
      </c>
      <c r="H571" s="3470" t="s">
        <v>7376</v>
      </c>
      <c r="I571" s="3470" t="s">
        <v>4019</v>
      </c>
      <c r="J571" s="3470" t="s">
        <v>3980</v>
      </c>
      <c r="K571" s="3470" t="s">
        <v>6117</v>
      </c>
      <c r="L571" s="3470">
        <v>117.1</v>
      </c>
      <c r="M571" s="3470">
        <v>2</v>
      </c>
      <c r="N571" s="3470" t="s">
        <v>4003</v>
      </c>
      <c r="O571" s="3470">
        <v>105.92</v>
      </c>
      <c r="P571" s="3470" t="s">
        <v>3452</v>
      </c>
      <c r="Q571" s="3470">
        <v>477768</v>
      </c>
      <c r="R571" s="3470">
        <v>4080</v>
      </c>
      <c r="S571" s="3470">
        <v>47.24</v>
      </c>
      <c r="T571" s="3470">
        <v>472400</v>
      </c>
      <c r="U571" s="3470">
        <v>4035</v>
      </c>
      <c r="V571" s="3470">
        <v>0.1</v>
      </c>
      <c r="W571" s="3470">
        <v>42.51</v>
      </c>
      <c r="X571" s="3470">
        <v>425100</v>
      </c>
      <c r="Y571" s="3470">
        <v>2003</v>
      </c>
      <c r="Z571" s="3470">
        <v>8</v>
      </c>
      <c r="AA571" s="3470">
        <v>12</v>
      </c>
      <c r="AB571" s="3470">
        <v>2360</v>
      </c>
      <c r="AC571" s="3470" t="s">
        <v>3693</v>
      </c>
      <c r="AE571" s="3470" t="s">
        <v>3663</v>
      </c>
      <c r="AF571" s="3470" t="s">
        <v>7190</v>
      </c>
      <c r="AG571" s="3470" t="s">
        <v>3466</v>
      </c>
      <c r="AI571" s="3470" t="s">
        <v>5021</v>
      </c>
      <c r="AJ571" s="3470">
        <v>38108</v>
      </c>
      <c r="AK571" s="3470">
        <v>8</v>
      </c>
      <c r="AL571" s="3470">
        <v>67641700</v>
      </c>
      <c r="AN571" s="3470" t="s">
        <v>3739</v>
      </c>
      <c r="AO571" s="3470" t="s">
        <v>7719</v>
      </c>
      <c r="AP571" s="3470" t="s">
        <v>3476</v>
      </c>
      <c r="AQ571" s="3470" t="s">
        <v>3571</v>
      </c>
      <c r="AW571" s="3470" t="s">
        <v>3572</v>
      </c>
      <c r="AX571" s="3470" t="s">
        <v>3568</v>
      </c>
      <c r="AY571" s="3481">
        <v>299263</v>
      </c>
      <c r="AZ571" s="3470" t="s">
        <v>6117</v>
      </c>
      <c r="BA571" s="3470" t="s">
        <v>7157</v>
      </c>
      <c r="BB571" s="3481">
        <v>1102281326100</v>
      </c>
      <c r="BC571" s="3470" t="s">
        <v>7158</v>
      </c>
      <c r="BD571" s="3482">
        <v>100055</v>
      </c>
      <c r="BE571" s="3470">
        <v>82951881</v>
      </c>
      <c r="BF571" s="3483">
        <v>2.8</v>
      </c>
      <c r="BG571" s="3478">
        <v>37794</v>
      </c>
      <c r="BI571" s="3470" t="s">
        <v>3476</v>
      </c>
      <c r="BJ571" s="3508">
        <v>37844</v>
      </c>
      <c r="BK571" s="3508"/>
      <c r="BL571" s="3470" t="s">
        <v>3670</v>
      </c>
      <c r="BP571" s="3441"/>
      <c r="BQ571" s="3441"/>
      <c r="BR571" s="3441"/>
    </row>
    <row r="572" spans="1:70" s="3470" customFormat="1" ht="12" hidden="1">
      <c r="A572" s="3470" t="s">
        <v>7720</v>
      </c>
      <c r="B572" s="3470" t="s">
        <v>7721</v>
      </c>
      <c r="C572" s="3470" t="s">
        <v>7722</v>
      </c>
      <c r="D572" s="3470" t="s">
        <v>7723</v>
      </c>
      <c r="E572" s="3470" t="s">
        <v>3558</v>
      </c>
      <c r="F572" s="3470" t="s">
        <v>4693</v>
      </c>
      <c r="H572" s="3470" t="s">
        <v>7724</v>
      </c>
      <c r="I572" s="3470" t="s">
        <v>3689</v>
      </c>
      <c r="J572" s="3470" t="s">
        <v>7725</v>
      </c>
      <c r="K572" s="3470" t="s">
        <v>4697</v>
      </c>
      <c r="L572" s="3470">
        <v>44.8</v>
      </c>
      <c r="M572" s="3470">
        <v>11</v>
      </c>
      <c r="N572" s="3470" t="s">
        <v>3692</v>
      </c>
      <c r="O572" s="3470">
        <v>33.28</v>
      </c>
      <c r="P572" s="3470" t="s">
        <v>3452</v>
      </c>
      <c r="Q572" s="3470">
        <v>383129.59999999998</v>
      </c>
      <c r="R572" s="3470">
        <v>8552</v>
      </c>
      <c r="S572" s="3470">
        <v>38</v>
      </c>
      <c r="T572" s="3470">
        <v>380000</v>
      </c>
      <c r="U572" s="3470">
        <v>8484</v>
      </c>
      <c r="V572" s="3470">
        <v>0.1</v>
      </c>
      <c r="W572" s="3470">
        <v>34.200000000000003</v>
      </c>
      <c r="X572" s="3470">
        <v>342000</v>
      </c>
      <c r="Y572" s="3470">
        <v>2003</v>
      </c>
      <c r="Z572" s="3470">
        <v>7</v>
      </c>
      <c r="AA572" s="3470">
        <v>29</v>
      </c>
      <c r="AB572" s="3470">
        <v>1900</v>
      </c>
      <c r="AC572" s="3470" t="s">
        <v>4686</v>
      </c>
      <c r="AE572" s="3470" t="s">
        <v>3663</v>
      </c>
      <c r="AF572" s="3470" t="s">
        <v>3694</v>
      </c>
      <c r="AG572" s="3470" t="s">
        <v>3466</v>
      </c>
      <c r="AH572" s="3470" t="s">
        <v>3463</v>
      </c>
      <c r="AI572" s="3470" t="s">
        <v>5021</v>
      </c>
      <c r="AJ572" s="3470">
        <v>38138</v>
      </c>
      <c r="AK572" s="3470">
        <v>7</v>
      </c>
      <c r="AL572" s="3470">
        <v>67641700</v>
      </c>
      <c r="AN572" s="3470" t="s">
        <v>4699</v>
      </c>
      <c r="AP572" s="3470" t="s">
        <v>3476</v>
      </c>
      <c r="AQ572" s="3470" t="s">
        <v>3571</v>
      </c>
      <c r="AV572" s="3470" t="s">
        <v>3568</v>
      </c>
      <c r="AW572" s="3470" t="s">
        <v>3572</v>
      </c>
      <c r="AX572" s="3470" t="s">
        <v>3568</v>
      </c>
      <c r="AY572" s="3481" t="s">
        <v>7726</v>
      </c>
      <c r="AZ572" s="3470" t="s">
        <v>4697</v>
      </c>
      <c r="BA572" s="3470" t="s">
        <v>4700</v>
      </c>
      <c r="BB572" s="3481" t="s">
        <v>4701</v>
      </c>
      <c r="BC572" s="3470" t="s">
        <v>4702</v>
      </c>
      <c r="BD572" s="3482">
        <v>100011</v>
      </c>
      <c r="BE572" s="3470">
        <v>62351476</v>
      </c>
      <c r="BF572" s="3483">
        <v>2.8</v>
      </c>
      <c r="BG572" s="3478">
        <v>37805</v>
      </c>
      <c r="BI572" s="3470" t="s">
        <v>3476</v>
      </c>
      <c r="BJ572" s="3508">
        <v>37827</v>
      </c>
      <c r="BK572" s="3508"/>
      <c r="BL572" s="3470" t="s">
        <v>3670</v>
      </c>
      <c r="BP572" s="3441"/>
      <c r="BQ572" s="3441"/>
      <c r="BR572" s="3441"/>
    </row>
    <row r="573" spans="1:70" s="3470" customFormat="1" ht="12" hidden="1">
      <c r="A573" s="3470" t="s">
        <v>7727</v>
      </c>
      <c r="B573" s="3470" t="s">
        <v>7728</v>
      </c>
      <c r="C573" s="3470" t="s">
        <v>7729</v>
      </c>
      <c r="D573" s="3470">
        <v>13911074106</v>
      </c>
      <c r="E573" s="3470" t="s">
        <v>3558</v>
      </c>
      <c r="F573" s="3470" t="s">
        <v>4645</v>
      </c>
      <c r="H573" s="3470" t="s">
        <v>4646</v>
      </c>
      <c r="I573" s="3470" t="s">
        <v>4741</v>
      </c>
      <c r="J573" s="3470" t="s">
        <v>7730</v>
      </c>
      <c r="K573" s="3470" t="s">
        <v>4649</v>
      </c>
      <c r="L573" s="3470">
        <v>52.86</v>
      </c>
      <c r="M573" s="3470">
        <v>15</v>
      </c>
      <c r="N573" s="3470" t="s">
        <v>3564</v>
      </c>
      <c r="O573" s="3470">
        <v>41.67</v>
      </c>
      <c r="P573" s="3470" t="s">
        <v>3452</v>
      </c>
      <c r="Q573" s="3470">
        <v>411673.68</v>
      </c>
      <c r="R573" s="3470">
        <v>7788</v>
      </c>
      <c r="S573" s="3470">
        <v>40.81</v>
      </c>
      <c r="T573" s="3470">
        <v>408100</v>
      </c>
      <c r="U573" s="3470">
        <v>7722</v>
      </c>
      <c r="V573" s="3470">
        <v>0.1</v>
      </c>
      <c r="W573" s="3470">
        <v>36.72</v>
      </c>
      <c r="X573" s="3470">
        <v>367200</v>
      </c>
      <c r="Y573" s="3470">
        <v>2003</v>
      </c>
      <c r="Z573" s="3470">
        <v>7</v>
      </c>
      <c r="AA573" s="3470">
        <v>29</v>
      </c>
      <c r="AB573" s="3470">
        <v>2040</v>
      </c>
      <c r="AC573" s="3470" t="s">
        <v>3693</v>
      </c>
      <c r="AE573" s="3470" t="s">
        <v>3663</v>
      </c>
      <c r="AF573" s="3470" t="s">
        <v>7668</v>
      </c>
      <c r="AG573" s="3470" t="s">
        <v>3466</v>
      </c>
      <c r="AI573" s="3470" t="s">
        <v>5021</v>
      </c>
      <c r="AJ573" s="3470">
        <v>38199</v>
      </c>
      <c r="AK573" s="3470">
        <v>7</v>
      </c>
      <c r="AL573" s="3470">
        <v>67641700</v>
      </c>
      <c r="AN573" s="3470" t="s">
        <v>4699</v>
      </c>
      <c r="AP573" s="3470" t="s">
        <v>3476</v>
      </c>
      <c r="AQ573" s="3470" t="s">
        <v>3571</v>
      </c>
      <c r="AW573" s="3470" t="s">
        <v>3572</v>
      </c>
      <c r="AX573" s="3470" t="s">
        <v>3568</v>
      </c>
      <c r="AY573" s="3481" t="s">
        <v>7731</v>
      </c>
      <c r="AZ573" s="3470" t="s">
        <v>4654</v>
      </c>
      <c r="BA573" s="3470" t="s">
        <v>4688</v>
      </c>
      <c r="BB573" s="3481" t="s">
        <v>4689</v>
      </c>
      <c r="BC573" s="3470" t="s">
        <v>4656</v>
      </c>
      <c r="BD573" s="3482">
        <v>100037</v>
      </c>
      <c r="BE573" s="3470">
        <v>68347718</v>
      </c>
      <c r="BF573" s="3483">
        <v>2.8</v>
      </c>
      <c r="BG573" s="3478">
        <v>37808</v>
      </c>
      <c r="BH573" s="3470" t="s">
        <v>4681</v>
      </c>
      <c r="BI573" s="3470" t="s">
        <v>3476</v>
      </c>
      <c r="BJ573" s="3508">
        <v>37827</v>
      </c>
      <c r="BK573" s="3508"/>
      <c r="BL573" s="3470" t="s">
        <v>3670</v>
      </c>
      <c r="BP573" s="3441"/>
      <c r="BQ573" s="3441"/>
      <c r="BR573" s="3441"/>
    </row>
    <row r="574" spans="1:70" s="3470" customFormat="1" ht="12" hidden="1">
      <c r="A574" s="3470" t="s">
        <v>7732</v>
      </c>
      <c r="B574" s="3470" t="s">
        <v>7733</v>
      </c>
      <c r="C574" s="3470" t="s">
        <v>7734</v>
      </c>
      <c r="D574" s="3470" t="s">
        <v>7735</v>
      </c>
      <c r="E574" s="3470" t="s">
        <v>3558</v>
      </c>
      <c r="F574" s="3470" t="s">
        <v>3559</v>
      </c>
      <c r="H574" s="3470" t="s">
        <v>3560</v>
      </c>
      <c r="I574" s="3470" t="s">
        <v>4001</v>
      </c>
      <c r="J574" s="3470" t="s">
        <v>7736</v>
      </c>
      <c r="K574" s="3470" t="s">
        <v>7737</v>
      </c>
      <c r="L574" s="3470">
        <v>71.28</v>
      </c>
      <c r="M574" s="3470">
        <v>7</v>
      </c>
      <c r="N574" s="3470" t="s">
        <v>3564</v>
      </c>
      <c r="O574" s="3470">
        <v>57.75</v>
      </c>
      <c r="P574" s="3470" t="s">
        <v>3452</v>
      </c>
      <c r="Q574" s="3470">
        <v>326462.40000000002</v>
      </c>
      <c r="R574" s="3470">
        <v>4580</v>
      </c>
      <c r="S574" s="3470">
        <v>32.28</v>
      </c>
      <c r="T574" s="3470">
        <v>322800</v>
      </c>
      <c r="U574" s="3470">
        <v>4530</v>
      </c>
      <c r="V574" s="3470">
        <v>0.1</v>
      </c>
      <c r="W574" s="3470">
        <v>29.05</v>
      </c>
      <c r="X574" s="3470">
        <v>290500</v>
      </c>
      <c r="Y574" s="3470">
        <v>2003</v>
      </c>
      <c r="Z574" s="3470">
        <v>7</v>
      </c>
      <c r="AA574" s="3470">
        <v>29</v>
      </c>
      <c r="AB574" s="3470">
        <v>1610</v>
      </c>
      <c r="AC574" s="3470" t="s">
        <v>3693</v>
      </c>
      <c r="AE574" s="3470" t="s">
        <v>3663</v>
      </c>
      <c r="AF574" s="3470" t="s">
        <v>4032</v>
      </c>
      <c r="AG574" s="3470" t="s">
        <v>3466</v>
      </c>
      <c r="AH574" s="3470" t="s">
        <v>3568</v>
      </c>
      <c r="AI574" s="3470" t="s">
        <v>5021</v>
      </c>
      <c r="AJ574" s="3470">
        <v>37894</v>
      </c>
      <c r="AK574" s="3470">
        <v>7</v>
      </c>
      <c r="AL574" s="3470">
        <v>67641700</v>
      </c>
      <c r="AM574" s="3470" t="s">
        <v>3568</v>
      </c>
      <c r="AN574" s="3470" t="s">
        <v>4699</v>
      </c>
      <c r="AO574" s="3470" t="s">
        <v>3568</v>
      </c>
      <c r="AP574" s="3470" t="s">
        <v>3476</v>
      </c>
      <c r="AQ574" s="3470" t="s">
        <v>3571</v>
      </c>
      <c r="AW574" s="3470" t="s">
        <v>3572</v>
      </c>
      <c r="AY574" s="3481" t="s">
        <v>7738</v>
      </c>
      <c r="AZ574" s="3470" t="s">
        <v>3563</v>
      </c>
      <c r="BA574" s="3470" t="s">
        <v>3574</v>
      </c>
      <c r="BB574" s="3481" t="s">
        <v>3575</v>
      </c>
      <c r="BC574" s="3470" t="s">
        <v>3576</v>
      </c>
      <c r="BD574" s="3482">
        <v>100037</v>
      </c>
      <c r="BE574" s="3470">
        <v>84050046</v>
      </c>
      <c r="BF574" s="3483">
        <v>2.8</v>
      </c>
      <c r="BG574" s="3478">
        <v>37695</v>
      </c>
      <c r="BH574" s="3470" t="s">
        <v>4753</v>
      </c>
      <c r="BI574" s="3470" t="s">
        <v>3476</v>
      </c>
      <c r="BJ574" s="3508">
        <v>37830</v>
      </c>
      <c r="BK574" s="3508">
        <v>37719</v>
      </c>
      <c r="BL574" s="3470" t="s">
        <v>3670</v>
      </c>
      <c r="BP574" s="3441"/>
      <c r="BQ574" s="3441"/>
      <c r="BR574" s="3441"/>
    </row>
    <row r="575" spans="1:70" s="3470" customFormat="1" ht="12" hidden="1">
      <c r="A575" s="3470" t="s">
        <v>7739</v>
      </c>
      <c r="B575" s="3470" t="s">
        <v>7740</v>
      </c>
      <c r="C575" s="3470" t="s">
        <v>7741</v>
      </c>
      <c r="D575" s="3470" t="s">
        <v>7742</v>
      </c>
      <c r="E575" s="3470" t="s">
        <v>3558</v>
      </c>
      <c r="F575" s="3470" t="s">
        <v>3559</v>
      </c>
      <c r="H575" s="3470" t="s">
        <v>7743</v>
      </c>
      <c r="I575" s="3470" t="s">
        <v>4019</v>
      </c>
      <c r="J575" s="3470" t="s">
        <v>7744</v>
      </c>
      <c r="K575" s="3470" t="s">
        <v>7737</v>
      </c>
      <c r="L575" s="3470">
        <v>85.78</v>
      </c>
      <c r="M575" s="3470">
        <v>13</v>
      </c>
      <c r="N575" s="3470" t="s">
        <v>3564</v>
      </c>
      <c r="O575" s="3470">
        <v>69.5</v>
      </c>
      <c r="P575" s="3470" t="s">
        <v>3452</v>
      </c>
      <c r="Q575" s="3470">
        <v>423753.2</v>
      </c>
      <c r="R575" s="3470">
        <v>4940</v>
      </c>
      <c r="S575" s="3470">
        <v>41.94</v>
      </c>
      <c r="T575" s="3470">
        <v>419400</v>
      </c>
      <c r="U575" s="3470">
        <v>4890</v>
      </c>
      <c r="V575" s="3470">
        <v>0.1</v>
      </c>
      <c r="W575" s="3470">
        <v>37.74</v>
      </c>
      <c r="X575" s="3470">
        <v>377400</v>
      </c>
      <c r="Y575" s="3470">
        <v>2003</v>
      </c>
      <c r="Z575" s="3470">
        <v>7</v>
      </c>
      <c r="AA575" s="3470">
        <v>29</v>
      </c>
      <c r="AB575" s="3470">
        <v>2095</v>
      </c>
      <c r="AC575" s="3470" t="s">
        <v>4020</v>
      </c>
      <c r="AE575" s="3470" t="s">
        <v>3663</v>
      </c>
      <c r="AF575" s="3470" t="s">
        <v>4032</v>
      </c>
      <c r="AG575" s="3470" t="s">
        <v>3466</v>
      </c>
      <c r="AH575" s="3470" t="s">
        <v>3568</v>
      </c>
      <c r="AI575" s="3470" t="s">
        <v>5021</v>
      </c>
      <c r="AJ575" s="3470">
        <v>37894</v>
      </c>
      <c r="AK575" s="3470">
        <v>7</v>
      </c>
      <c r="AL575" s="3470">
        <v>67641700</v>
      </c>
      <c r="AM575" s="3470" t="s">
        <v>3568</v>
      </c>
      <c r="AN575" s="3470" t="s">
        <v>4699</v>
      </c>
      <c r="AO575" s="3470" t="s">
        <v>3568</v>
      </c>
      <c r="AP575" s="3470" t="s">
        <v>3476</v>
      </c>
      <c r="AQ575" s="3470" t="s">
        <v>3571</v>
      </c>
      <c r="AW575" s="3470" t="s">
        <v>3572</v>
      </c>
      <c r="AY575" s="3481" t="s">
        <v>7745</v>
      </c>
      <c r="AZ575" s="3470" t="s">
        <v>3563</v>
      </c>
      <c r="BA575" s="3470" t="s">
        <v>3574</v>
      </c>
      <c r="BB575" s="3481" t="s">
        <v>3575</v>
      </c>
      <c r="BC575" s="3470" t="s">
        <v>3576</v>
      </c>
      <c r="BD575" s="3482">
        <v>100037</v>
      </c>
      <c r="BE575" s="3470">
        <v>84050046</v>
      </c>
      <c r="BF575" s="3483">
        <v>2.8</v>
      </c>
      <c r="BG575" s="3478">
        <v>37779</v>
      </c>
      <c r="BH575" s="3470" t="s">
        <v>4753</v>
      </c>
      <c r="BI575" s="3470" t="s">
        <v>3476</v>
      </c>
      <c r="BJ575" s="3508">
        <v>37830</v>
      </c>
      <c r="BK575" s="3508">
        <v>37789</v>
      </c>
      <c r="BL575" s="3470" t="s">
        <v>3670</v>
      </c>
      <c r="BP575" s="3441"/>
      <c r="BQ575" s="3441"/>
      <c r="BR575" s="3441"/>
    </row>
    <row r="576" spans="1:70" s="3441" customFormat="1" ht="12" hidden="1">
      <c r="A576" s="3485" t="s">
        <v>7746</v>
      </c>
      <c r="B576" s="3470" t="s">
        <v>7747</v>
      </c>
      <c r="C576" s="3481" t="s">
        <v>7748</v>
      </c>
      <c r="D576" s="3481" t="s">
        <v>7749</v>
      </c>
      <c r="E576" s="3470" t="s">
        <v>3558</v>
      </c>
      <c r="F576" s="3470" t="s">
        <v>7153</v>
      </c>
      <c r="G576" s="3470" t="s">
        <v>3568</v>
      </c>
      <c r="H576" s="3470" t="s">
        <v>5608</v>
      </c>
      <c r="I576" s="3453" t="s">
        <v>4019</v>
      </c>
      <c r="J576" s="3481" t="s">
        <v>3474</v>
      </c>
      <c r="K576" s="3470" t="s">
        <v>6117</v>
      </c>
      <c r="L576" s="3470">
        <v>98.22</v>
      </c>
      <c r="M576" s="3470">
        <v>5</v>
      </c>
      <c r="N576" s="3470" t="s">
        <v>7255</v>
      </c>
      <c r="O576" s="3470">
        <v>83.29</v>
      </c>
      <c r="P576" s="3470" t="s">
        <v>3452</v>
      </c>
      <c r="Q576" s="3457">
        <v>387969</v>
      </c>
      <c r="R576" s="3470">
        <v>3950</v>
      </c>
      <c r="S576" s="3472">
        <v>38.36</v>
      </c>
      <c r="T576" s="3527">
        <v>383600</v>
      </c>
      <c r="U576" s="3470">
        <v>3906</v>
      </c>
      <c r="V576" s="3474">
        <v>0.1</v>
      </c>
      <c r="W576" s="3475">
        <v>34.520000000000003</v>
      </c>
      <c r="X576" s="3476">
        <v>345200.00000000006</v>
      </c>
      <c r="Y576" s="3441">
        <v>2003</v>
      </c>
      <c r="Z576" s="3441">
        <v>10</v>
      </c>
      <c r="AA576" s="3470">
        <v>22</v>
      </c>
      <c r="AB576" s="3477">
        <v>1915</v>
      </c>
      <c r="AC576" s="3470" t="s">
        <v>7750</v>
      </c>
      <c r="AD576" s="3485"/>
      <c r="AE576" s="3441" t="s">
        <v>3663</v>
      </c>
      <c r="AF576" s="3470" t="s">
        <v>7751</v>
      </c>
      <c r="AG576" s="3522" t="s">
        <v>3466</v>
      </c>
      <c r="AH576" s="3485"/>
      <c r="AI576" s="3470" t="s">
        <v>5021</v>
      </c>
      <c r="AJ576" s="3523">
        <v>38108</v>
      </c>
      <c r="AK576" s="3500" t="s">
        <v>4752</v>
      </c>
      <c r="AL576" s="3441">
        <v>67641700</v>
      </c>
      <c r="AN576" s="3469" t="s">
        <v>3482</v>
      </c>
      <c r="AO576" s="3441" t="s">
        <v>7752</v>
      </c>
      <c r="AP576" s="3441" t="s">
        <v>3476</v>
      </c>
      <c r="AQ576" s="3441" t="s">
        <v>3571</v>
      </c>
      <c r="AW576" s="3441" t="s">
        <v>3572</v>
      </c>
      <c r="AX576" s="3441" t="s">
        <v>3568</v>
      </c>
      <c r="AY576" s="3524" t="s">
        <v>7753</v>
      </c>
      <c r="AZ576" s="3441" t="s">
        <v>6117</v>
      </c>
      <c r="BA576" s="3441" t="s">
        <v>7157</v>
      </c>
      <c r="BB576" s="3524">
        <v>1102281326100</v>
      </c>
      <c r="BC576" s="3441" t="s">
        <v>7158</v>
      </c>
      <c r="BD576" s="3525">
        <v>100055</v>
      </c>
      <c r="BE576" s="3441">
        <v>82951881</v>
      </c>
      <c r="BF576" s="3526">
        <v>2.8</v>
      </c>
      <c r="BG576" s="3518">
        <v>37803</v>
      </c>
      <c r="BH576" s="3441" t="s">
        <v>4753</v>
      </c>
      <c r="BI576" s="3441" t="s">
        <v>3476</v>
      </c>
      <c r="BJ576" s="3484">
        <v>37914</v>
      </c>
      <c r="BK576" s="3484"/>
      <c r="BL576" s="3470" t="s">
        <v>3670</v>
      </c>
    </row>
    <row r="577" spans="1:70" s="3470" customFormat="1" ht="12" hidden="1">
      <c r="A577" s="3470" t="s">
        <v>7754</v>
      </c>
      <c r="B577" s="3470" t="s">
        <v>7755</v>
      </c>
      <c r="C577" s="3470" t="s">
        <v>7756</v>
      </c>
      <c r="D577" s="3470" t="s">
        <v>7757</v>
      </c>
      <c r="E577" s="3470" t="s">
        <v>3558</v>
      </c>
      <c r="F577" s="3470" t="s">
        <v>4770</v>
      </c>
      <c r="H577" s="3470" t="s">
        <v>7458</v>
      </c>
      <c r="I577" s="3470" t="s">
        <v>4001</v>
      </c>
      <c r="J577" s="3470" t="s">
        <v>7613</v>
      </c>
      <c r="K577" s="3470" t="s">
        <v>4772</v>
      </c>
      <c r="L577" s="3470">
        <v>66.930000000000007</v>
      </c>
      <c r="M577" s="3470">
        <v>9</v>
      </c>
      <c r="N577" s="3470" t="s">
        <v>3564</v>
      </c>
      <c r="O577" s="3470">
        <v>54.45</v>
      </c>
      <c r="P577" s="3470" t="s">
        <v>3452</v>
      </c>
      <c r="Q577" s="3470">
        <v>251656.8</v>
      </c>
      <c r="R577" s="3470">
        <v>3760</v>
      </c>
      <c r="S577" s="3470">
        <v>24.86</v>
      </c>
      <c r="T577" s="3470">
        <v>248600</v>
      </c>
      <c r="U577" s="3470">
        <v>3715</v>
      </c>
      <c r="V577" s="3470">
        <v>0.1</v>
      </c>
      <c r="W577" s="3470">
        <v>22.37</v>
      </c>
      <c r="X577" s="3470">
        <v>223700</v>
      </c>
      <c r="Y577" s="3470">
        <v>2003</v>
      </c>
      <c r="Z577" s="3470">
        <v>7</v>
      </c>
      <c r="AA577" s="3470">
        <v>30</v>
      </c>
      <c r="AB577" s="3470">
        <v>1240</v>
      </c>
      <c r="AC577" s="3470" t="s">
        <v>3693</v>
      </c>
      <c r="AE577" s="3470" t="s">
        <v>3663</v>
      </c>
      <c r="AF577" s="3470" t="s">
        <v>5090</v>
      </c>
      <c r="AG577" s="3470" t="s">
        <v>3466</v>
      </c>
      <c r="AI577" s="3470" t="s">
        <v>7643</v>
      </c>
      <c r="AJ577" s="3470">
        <v>37876</v>
      </c>
      <c r="AK577" s="3470">
        <v>7</v>
      </c>
      <c r="AL577" s="3470">
        <v>67641700</v>
      </c>
      <c r="AN577" s="3470" t="s">
        <v>4699</v>
      </c>
      <c r="AP577" s="3470" t="s">
        <v>3476</v>
      </c>
      <c r="AQ577" s="3470" t="s">
        <v>3571</v>
      </c>
      <c r="AW577" s="3470" t="s">
        <v>3572</v>
      </c>
      <c r="AY577" s="3481" t="s">
        <v>7758</v>
      </c>
      <c r="AZ577" s="3470" t="s">
        <v>4772</v>
      </c>
      <c r="BA577" s="3470" t="s">
        <v>4775</v>
      </c>
      <c r="BB577" s="3481" t="s">
        <v>4776</v>
      </c>
      <c r="BC577" s="3470" t="s">
        <v>4777</v>
      </c>
      <c r="BD577" s="3482">
        <v>100083</v>
      </c>
      <c r="BE577" s="3470">
        <v>82355171</v>
      </c>
      <c r="BF577" s="3483">
        <v>2.7</v>
      </c>
      <c r="BG577" s="3478">
        <v>37814</v>
      </c>
      <c r="BH577" s="3470" t="s">
        <v>4681</v>
      </c>
      <c r="BI577" s="3470" t="s">
        <v>3476</v>
      </c>
      <c r="BJ577" s="3508">
        <v>37831</v>
      </c>
      <c r="BK577" s="3508"/>
      <c r="BL577" s="3470" t="s">
        <v>3670</v>
      </c>
      <c r="BP577" s="3441"/>
      <c r="BQ577" s="3441"/>
      <c r="BR577" s="3441"/>
    </row>
    <row r="578" spans="1:70" s="3470" customFormat="1" ht="12" hidden="1">
      <c r="A578" s="3470" t="s">
        <v>7759</v>
      </c>
      <c r="B578" s="3470" t="s">
        <v>7760</v>
      </c>
      <c r="C578" s="3470" t="s">
        <v>7761</v>
      </c>
      <c r="D578" s="3470">
        <v>13910220397</v>
      </c>
      <c r="E578" s="3470" t="s">
        <v>3558</v>
      </c>
      <c r="F578" s="3470" t="s">
        <v>4645</v>
      </c>
      <c r="H578" s="3470" t="s">
        <v>4646</v>
      </c>
      <c r="I578" s="3470" t="s">
        <v>7762</v>
      </c>
      <c r="J578" s="3470" t="s">
        <v>7763</v>
      </c>
      <c r="K578" s="3470" t="s">
        <v>4649</v>
      </c>
      <c r="L578" s="3470">
        <v>52.86</v>
      </c>
      <c r="M578" s="3470">
        <v>21</v>
      </c>
      <c r="N578" s="3470" t="s">
        <v>3564</v>
      </c>
      <c r="O578" s="3470">
        <v>41.67</v>
      </c>
      <c r="P578" s="3470" t="s">
        <v>3452</v>
      </c>
      <c r="Q578" s="3470">
        <v>398194.38</v>
      </c>
      <c r="R578" s="3470">
        <v>7533</v>
      </c>
      <c r="S578" s="3470">
        <v>39.479999999999997</v>
      </c>
      <c r="T578" s="3470">
        <v>394800</v>
      </c>
      <c r="U578" s="3470">
        <v>7470</v>
      </c>
      <c r="V578" s="3470">
        <v>0.1</v>
      </c>
      <c r="W578" s="3470">
        <v>35.53</v>
      </c>
      <c r="X578" s="3470">
        <v>355300</v>
      </c>
      <c r="Y578" s="3470">
        <v>2003</v>
      </c>
      <c r="Z578" s="3470">
        <v>7</v>
      </c>
      <c r="AA578" s="3470">
        <v>30</v>
      </c>
      <c r="AB578" s="3470">
        <v>1970</v>
      </c>
      <c r="AC578" s="3470" t="s">
        <v>5548</v>
      </c>
      <c r="AE578" s="3470" t="s">
        <v>3663</v>
      </c>
      <c r="AF578" s="3470" t="s">
        <v>7668</v>
      </c>
      <c r="AG578" s="3470" t="s">
        <v>3466</v>
      </c>
      <c r="AI578" s="3470" t="s">
        <v>5021</v>
      </c>
      <c r="AJ578" s="3470">
        <v>38199</v>
      </c>
      <c r="AK578" s="3470">
        <v>7</v>
      </c>
      <c r="AL578" s="3470">
        <v>67641700</v>
      </c>
      <c r="AN578" s="3470" t="s">
        <v>4699</v>
      </c>
      <c r="AP578" s="3470" t="s">
        <v>3476</v>
      </c>
      <c r="AQ578" s="3470" t="s">
        <v>3571</v>
      </c>
      <c r="AW578" s="3470" t="s">
        <v>3572</v>
      </c>
      <c r="AX578" s="3470" t="s">
        <v>3568</v>
      </c>
      <c r="AY578" s="3481" t="s">
        <v>7764</v>
      </c>
      <c r="AZ578" s="3470" t="s">
        <v>4654</v>
      </c>
      <c r="BA578" s="3470" t="s">
        <v>4688</v>
      </c>
      <c r="BB578" s="3481" t="s">
        <v>4689</v>
      </c>
      <c r="BC578" s="3470" t="s">
        <v>4656</v>
      </c>
      <c r="BD578" s="3482">
        <v>100037</v>
      </c>
      <c r="BE578" s="3470">
        <v>68347718</v>
      </c>
      <c r="BF578" s="3483">
        <v>2.8</v>
      </c>
      <c r="BG578" s="3478">
        <v>37781</v>
      </c>
      <c r="BH578" s="3470" t="s">
        <v>4681</v>
      </c>
      <c r="BI578" s="3470" t="s">
        <v>3476</v>
      </c>
      <c r="BJ578" s="3508">
        <v>37831</v>
      </c>
      <c r="BK578" s="3508"/>
      <c r="BL578" s="3470" t="s">
        <v>3670</v>
      </c>
      <c r="BP578" s="3441"/>
      <c r="BQ578" s="3441"/>
      <c r="BR578" s="3441"/>
    </row>
    <row r="579" spans="1:70" s="3691" customFormat="1" ht="12">
      <c r="A579" s="3691" t="s">
        <v>11679</v>
      </c>
      <c r="B579" s="3691" t="s">
        <v>7765</v>
      </c>
      <c r="C579" s="3691" t="s">
        <v>7766</v>
      </c>
      <c r="D579" s="3691">
        <v>13910755249</v>
      </c>
      <c r="E579" s="3691" t="s">
        <v>3558</v>
      </c>
      <c r="F579" s="3692" t="s">
        <v>11669</v>
      </c>
      <c r="G579" s="3470"/>
      <c r="H579" s="3691" t="s">
        <v>4694</v>
      </c>
      <c r="I579" s="3691" t="s">
        <v>3561</v>
      </c>
      <c r="J579" s="3691" t="s">
        <v>5629</v>
      </c>
      <c r="K579" s="3470" t="s">
        <v>5328</v>
      </c>
      <c r="L579" s="3691">
        <v>140.13999999999999</v>
      </c>
      <c r="M579" s="3691">
        <v>2</v>
      </c>
      <c r="N579" s="3691" t="s">
        <v>5547</v>
      </c>
      <c r="O579" s="3470">
        <v>128.38</v>
      </c>
      <c r="P579" s="3470" t="s">
        <v>3452</v>
      </c>
      <c r="Q579" s="3691">
        <v>1024999.9359599998</v>
      </c>
      <c r="R579" s="3693">
        <v>7314.1139999999996</v>
      </c>
      <c r="S579" s="3691">
        <v>101.57</v>
      </c>
      <c r="T579" s="3470">
        <v>1015700</v>
      </c>
      <c r="U579" s="3691">
        <v>7248</v>
      </c>
      <c r="V579" s="3470">
        <v>0.05</v>
      </c>
      <c r="W579" s="3470">
        <v>96.49</v>
      </c>
      <c r="X579" s="3470">
        <v>964900</v>
      </c>
      <c r="Y579" s="3470">
        <v>2003</v>
      </c>
      <c r="Z579" s="3470">
        <v>8</v>
      </c>
      <c r="AA579" s="3470">
        <v>1</v>
      </c>
      <c r="AB579" s="3470">
        <v>5035</v>
      </c>
      <c r="AC579" s="3470" t="s">
        <v>3693</v>
      </c>
      <c r="AD579" s="3470"/>
      <c r="AE579" s="3470" t="s">
        <v>3663</v>
      </c>
      <c r="AF579" s="3470" t="s">
        <v>3493</v>
      </c>
      <c r="AG579" s="3470" t="s">
        <v>3466</v>
      </c>
      <c r="AH579" s="3470" t="s">
        <v>3568</v>
      </c>
      <c r="AI579" s="3470" t="s">
        <v>5021</v>
      </c>
      <c r="AJ579" s="3470">
        <v>37708</v>
      </c>
      <c r="AK579" s="3470">
        <v>8</v>
      </c>
      <c r="AL579" s="3470">
        <v>67641700</v>
      </c>
      <c r="AM579" s="3470"/>
      <c r="AN579" s="3470" t="s">
        <v>3570</v>
      </c>
      <c r="AO579" s="3470"/>
      <c r="AP579" s="3470" t="s">
        <v>3476</v>
      </c>
      <c r="AQ579" s="3470" t="s">
        <v>3571</v>
      </c>
      <c r="AR579" s="3470"/>
      <c r="AS579" s="3470"/>
      <c r="AT579" s="3470"/>
      <c r="AU579" s="3470" t="s">
        <v>3568</v>
      </c>
      <c r="AV579" s="3470"/>
      <c r="AW579" s="3470" t="s">
        <v>3572</v>
      </c>
      <c r="AX579" s="3470" t="s">
        <v>2511</v>
      </c>
      <c r="AY579" s="3481" t="s">
        <v>7767</v>
      </c>
      <c r="AZ579" s="3470" t="s">
        <v>5328</v>
      </c>
      <c r="BA579" s="3470" t="s">
        <v>5330</v>
      </c>
      <c r="BB579" s="3481">
        <v>1100001137671</v>
      </c>
      <c r="BC579" s="3470" t="s">
        <v>5331</v>
      </c>
      <c r="BD579" s="3482">
        <v>100036</v>
      </c>
      <c r="BE579" s="3470">
        <v>88219818</v>
      </c>
      <c r="BF579" s="3483">
        <v>2.9</v>
      </c>
      <c r="BG579" s="3694">
        <v>37812</v>
      </c>
      <c r="BI579" s="3691" t="s">
        <v>3476</v>
      </c>
      <c r="BJ579" s="3695">
        <v>37831</v>
      </c>
      <c r="BK579" s="3695"/>
      <c r="BL579" s="3691" t="s">
        <v>3670</v>
      </c>
      <c r="BP579" s="3696"/>
      <c r="BQ579" s="3696"/>
      <c r="BR579" s="3696"/>
    </row>
    <row r="580" spans="1:70" s="3470" customFormat="1" ht="12" hidden="1">
      <c r="A580" s="3470" t="s">
        <v>7768</v>
      </c>
      <c r="B580" s="3470" t="s">
        <v>7769</v>
      </c>
      <c r="C580" s="3470" t="s">
        <v>7770</v>
      </c>
      <c r="D580" s="3470">
        <v>13501066949</v>
      </c>
      <c r="E580" s="3470" t="s">
        <v>3558</v>
      </c>
      <c r="F580" s="3470" t="s">
        <v>7771</v>
      </c>
      <c r="H580" s="3470" t="s">
        <v>7772</v>
      </c>
      <c r="I580" s="3470" t="s">
        <v>4309</v>
      </c>
      <c r="J580" s="3470" t="s">
        <v>7773</v>
      </c>
      <c r="K580" s="3470" t="s">
        <v>6548</v>
      </c>
      <c r="L580" s="3470">
        <v>83.93</v>
      </c>
      <c r="M580" s="3470">
        <v>3</v>
      </c>
      <c r="N580" s="3470" t="s">
        <v>4030</v>
      </c>
      <c r="O580" s="3470">
        <v>71.77</v>
      </c>
      <c r="P580" s="3470" t="s">
        <v>3452</v>
      </c>
      <c r="Q580" s="3470">
        <v>420438.94199999998</v>
      </c>
      <c r="R580" s="3470">
        <v>5009.3999999999996</v>
      </c>
      <c r="S580" s="3470">
        <v>41.62</v>
      </c>
      <c r="T580" s="3470">
        <v>416200</v>
      </c>
      <c r="U580" s="3470">
        <v>4960</v>
      </c>
      <c r="V580" s="3470">
        <v>0.1</v>
      </c>
      <c r="W580" s="3470">
        <v>37.450000000000003</v>
      </c>
      <c r="X580" s="3470">
        <v>374500</v>
      </c>
      <c r="Y580" s="3470">
        <v>2003</v>
      </c>
      <c r="Z580" s="3470">
        <v>8</v>
      </c>
      <c r="AA580" s="3470">
        <v>6</v>
      </c>
      <c r="AB580" s="3470">
        <v>2080</v>
      </c>
      <c r="AC580" s="3470" t="s">
        <v>5548</v>
      </c>
      <c r="AE580" s="3470" t="s">
        <v>3663</v>
      </c>
      <c r="AF580" s="3470" t="s">
        <v>3728</v>
      </c>
      <c r="AG580" s="3470" t="s">
        <v>3466</v>
      </c>
      <c r="AH580" s="3470" t="s">
        <v>3568</v>
      </c>
      <c r="AI580" s="3470" t="s">
        <v>5021</v>
      </c>
      <c r="AJ580" s="3470">
        <v>38077</v>
      </c>
      <c r="AK580" s="3470">
        <v>8</v>
      </c>
      <c r="AL580" s="3470">
        <v>67641700</v>
      </c>
      <c r="AN580" s="3470" t="s">
        <v>3695</v>
      </c>
      <c r="AP580" s="3470" t="s">
        <v>3476</v>
      </c>
      <c r="AQ580" s="3470" t="s">
        <v>3571</v>
      </c>
      <c r="AU580" s="3470" t="s">
        <v>3568</v>
      </c>
      <c r="AW580" s="3470" t="s">
        <v>3572</v>
      </c>
      <c r="AY580" s="3481">
        <v>534251</v>
      </c>
      <c r="AZ580" s="3470" t="s">
        <v>6548</v>
      </c>
      <c r="BA580" s="3470" t="s">
        <v>7774</v>
      </c>
      <c r="BB580" s="3481" t="s">
        <v>7775</v>
      </c>
      <c r="BC580" s="3470" t="s">
        <v>7776</v>
      </c>
      <c r="BD580" s="3482">
        <v>100085</v>
      </c>
      <c r="BE580" s="3470">
        <v>84976161</v>
      </c>
      <c r="BF580" s="3483">
        <v>2.7</v>
      </c>
      <c r="BG580" s="3478">
        <v>37811</v>
      </c>
      <c r="BH580" s="3470" t="s">
        <v>7648</v>
      </c>
      <c r="BI580" s="3470" t="s">
        <v>3476</v>
      </c>
      <c r="BJ580" s="3508">
        <v>37832</v>
      </c>
      <c r="BK580" s="3508"/>
      <c r="BL580" s="3470" t="s">
        <v>3670</v>
      </c>
      <c r="BP580" s="3441"/>
      <c r="BQ580" s="3441"/>
      <c r="BR580" s="3441"/>
    </row>
    <row r="581" spans="1:70" s="3470" customFormat="1" ht="12" hidden="1">
      <c r="A581" s="3470" t="s">
        <v>7777</v>
      </c>
      <c r="B581" s="3470" t="s">
        <v>7778</v>
      </c>
      <c r="C581" s="3470" t="s">
        <v>7779</v>
      </c>
      <c r="D581" s="3470">
        <v>13911797273</v>
      </c>
      <c r="E581" s="3470" t="s">
        <v>3558</v>
      </c>
      <c r="F581" s="3470" t="s">
        <v>7652</v>
      </c>
      <c r="H581" s="3470" t="s">
        <v>4168</v>
      </c>
      <c r="I581" s="3470" t="s">
        <v>4309</v>
      </c>
      <c r="J581" s="3470" t="s">
        <v>7697</v>
      </c>
      <c r="K581" s="3470" t="s">
        <v>7653</v>
      </c>
      <c r="L581" s="3470">
        <v>90.74</v>
      </c>
      <c r="M581" s="3470">
        <v>4</v>
      </c>
      <c r="N581" s="3470" t="s">
        <v>4189</v>
      </c>
      <c r="O581" s="3470">
        <v>80.72</v>
      </c>
      <c r="P581" s="3470" t="s">
        <v>3452</v>
      </c>
      <c r="Q581" s="3470">
        <v>483190.5</v>
      </c>
      <c r="R581" s="3470">
        <v>5325</v>
      </c>
      <c r="S581" s="3470">
        <v>47.9</v>
      </c>
      <c r="T581" s="3470">
        <v>479000</v>
      </c>
      <c r="U581" s="3470">
        <v>5279</v>
      </c>
      <c r="V581" s="3470">
        <v>0.1</v>
      </c>
      <c r="W581" s="3470">
        <v>43.11</v>
      </c>
      <c r="X581" s="3470">
        <v>431100</v>
      </c>
      <c r="Y581" s="3470">
        <v>2003</v>
      </c>
      <c r="Z581" s="3470">
        <v>8</v>
      </c>
      <c r="AA581" s="3470">
        <v>1</v>
      </c>
      <c r="AB581" s="3470">
        <v>2395</v>
      </c>
      <c r="AC581" s="3470" t="s">
        <v>3693</v>
      </c>
      <c r="AE581" s="3470" t="s">
        <v>3663</v>
      </c>
      <c r="AF581" s="3470" t="s">
        <v>4200</v>
      </c>
      <c r="AG581" s="3470" t="s">
        <v>3466</v>
      </c>
      <c r="AH581" s="3470" t="s">
        <v>3568</v>
      </c>
      <c r="AI581" s="3470" t="s">
        <v>5021</v>
      </c>
      <c r="AJ581" s="3470">
        <v>37986</v>
      </c>
      <c r="AK581" s="3470">
        <v>8</v>
      </c>
      <c r="AL581" s="3470">
        <v>67641700</v>
      </c>
      <c r="AN581" s="3470" t="s">
        <v>3570</v>
      </c>
      <c r="AP581" s="3470" t="s">
        <v>3476</v>
      </c>
      <c r="AQ581" s="3470" t="s">
        <v>3571</v>
      </c>
      <c r="AV581" s="3470" t="s">
        <v>3568</v>
      </c>
      <c r="AW581" s="3470" t="s">
        <v>3572</v>
      </c>
      <c r="AY581" s="3481" t="s">
        <v>7780</v>
      </c>
      <c r="AZ581" s="3470" t="s">
        <v>7653</v>
      </c>
      <c r="BA581" s="3470" t="s">
        <v>7655</v>
      </c>
      <c r="BB581" s="3481" t="s">
        <v>7656</v>
      </c>
      <c r="BC581" s="3470" t="s">
        <v>7657</v>
      </c>
      <c r="BD581" s="3482">
        <v>100025</v>
      </c>
      <c r="BE581" s="3470">
        <v>62908858</v>
      </c>
      <c r="BF581" s="3483">
        <v>2.7</v>
      </c>
      <c r="BG581" s="3478">
        <v>37775</v>
      </c>
      <c r="BH581" s="3470" t="s">
        <v>4681</v>
      </c>
      <c r="BI581" s="3470" t="s">
        <v>3476</v>
      </c>
      <c r="BJ581" s="3508">
        <v>37832</v>
      </c>
      <c r="BK581" s="3508"/>
      <c r="BL581" s="3470" t="s">
        <v>3670</v>
      </c>
      <c r="BP581" s="3441"/>
      <c r="BQ581" s="3441"/>
      <c r="BR581" s="3441"/>
    </row>
    <row r="582" spans="1:70" s="3470" customFormat="1" ht="12" hidden="1">
      <c r="A582" s="3470" t="s">
        <v>7781</v>
      </c>
      <c r="B582" s="3470" t="s">
        <v>7782</v>
      </c>
      <c r="C582" s="3470" t="s">
        <v>7783</v>
      </c>
      <c r="D582" s="3470">
        <v>62942966</v>
      </c>
      <c r="E582" s="3470" t="s">
        <v>3558</v>
      </c>
      <c r="F582" s="3470" t="s">
        <v>7784</v>
      </c>
      <c r="H582" s="3470" t="s">
        <v>7785</v>
      </c>
      <c r="I582" s="3470" t="s">
        <v>7786</v>
      </c>
      <c r="J582" s="3470" t="s">
        <v>7787</v>
      </c>
      <c r="K582" s="3470" t="s">
        <v>5786</v>
      </c>
      <c r="L582" s="3470">
        <v>129.91</v>
      </c>
      <c r="M582" s="3470">
        <v>22</v>
      </c>
      <c r="N582" s="3470" t="s">
        <v>3738</v>
      </c>
      <c r="O582" s="3470">
        <v>112.84</v>
      </c>
      <c r="P582" s="3470" t="s">
        <v>3452</v>
      </c>
      <c r="Q582" s="3470">
        <v>663190.55000000005</v>
      </c>
      <c r="R582" s="3470">
        <v>5105</v>
      </c>
      <c r="S582" s="3470">
        <v>65.680000000000007</v>
      </c>
      <c r="T582" s="3470">
        <v>656800</v>
      </c>
      <c r="U582" s="3470">
        <v>5056</v>
      </c>
      <c r="V582" s="3470">
        <v>0.1</v>
      </c>
      <c r="W582" s="3470">
        <v>59.11</v>
      </c>
      <c r="X582" s="3470">
        <v>591100</v>
      </c>
      <c r="Y582" s="3470">
        <v>2003</v>
      </c>
      <c r="Z582" s="3470">
        <v>8</v>
      </c>
      <c r="AA582" s="3470">
        <v>6</v>
      </c>
      <c r="AB582" s="3470">
        <v>3280</v>
      </c>
      <c r="AC582" s="3470" t="s">
        <v>3565</v>
      </c>
      <c r="AE582" s="3470" t="s">
        <v>3663</v>
      </c>
      <c r="AF582" s="3470" t="s">
        <v>4200</v>
      </c>
      <c r="AG582" s="3470" t="s">
        <v>3466</v>
      </c>
      <c r="AH582" s="3470" t="s">
        <v>3568</v>
      </c>
      <c r="AI582" s="3470" t="s">
        <v>5021</v>
      </c>
      <c r="AJ582" s="3470">
        <v>37925</v>
      </c>
      <c r="AK582" s="3470">
        <v>8</v>
      </c>
      <c r="AL582" s="3470">
        <v>67641700</v>
      </c>
      <c r="AN582" s="3470" t="s">
        <v>3695</v>
      </c>
      <c r="AO582" s="3470" t="s">
        <v>3568</v>
      </c>
      <c r="AP582" s="3470" t="s">
        <v>3476</v>
      </c>
      <c r="AQ582" s="3470" t="s">
        <v>3571</v>
      </c>
      <c r="AR582" s="3470" t="s">
        <v>3568</v>
      </c>
      <c r="AS582" s="3470" t="s">
        <v>3568</v>
      </c>
      <c r="AT582" s="3470" t="s">
        <v>3568</v>
      </c>
      <c r="AW582" s="3470" t="s">
        <v>3572</v>
      </c>
      <c r="AX582" s="3470" t="s">
        <v>2511</v>
      </c>
      <c r="AY582" s="3481" t="s">
        <v>7788</v>
      </c>
      <c r="AZ582" s="3470" t="s">
        <v>5786</v>
      </c>
      <c r="BA582" s="3470" t="s">
        <v>7527</v>
      </c>
      <c r="BB582" s="3481">
        <v>1101082131202</v>
      </c>
      <c r="BC582" s="3470" t="s">
        <v>5436</v>
      </c>
      <c r="BD582" s="3482">
        <v>102400</v>
      </c>
      <c r="BE582" s="3470">
        <v>62842753</v>
      </c>
      <c r="BF582" s="3483">
        <v>2.8</v>
      </c>
      <c r="BG582" s="3478">
        <v>37783</v>
      </c>
      <c r="BH582" s="3470" t="s">
        <v>3568</v>
      </c>
      <c r="BI582" s="3470" t="s">
        <v>3476</v>
      </c>
      <c r="BJ582" s="3508">
        <v>37804</v>
      </c>
      <c r="BK582" s="3508"/>
      <c r="BL582" s="3470" t="s">
        <v>3670</v>
      </c>
      <c r="BP582" s="3441"/>
      <c r="BQ582" s="3441"/>
      <c r="BR582" s="3441"/>
    </row>
    <row r="583" spans="1:70" s="3470" customFormat="1" ht="12" hidden="1">
      <c r="A583" s="3470" t="s">
        <v>7789</v>
      </c>
      <c r="B583" s="3470" t="s">
        <v>7790</v>
      </c>
      <c r="C583" s="3470" t="s">
        <v>7791</v>
      </c>
      <c r="D583" s="3470">
        <v>13693672863</v>
      </c>
      <c r="E583" s="3470" t="s">
        <v>3558</v>
      </c>
      <c r="F583" s="3470" t="s">
        <v>4645</v>
      </c>
      <c r="H583" s="3470" t="s">
        <v>4646</v>
      </c>
      <c r="I583" s="3470" t="s">
        <v>5066</v>
      </c>
      <c r="J583" s="3470" t="s">
        <v>7736</v>
      </c>
      <c r="K583" s="3470" t="s">
        <v>4649</v>
      </c>
      <c r="L583" s="3470">
        <v>76.47</v>
      </c>
      <c r="M583" s="3470">
        <v>7</v>
      </c>
      <c r="N583" s="3470" t="s">
        <v>3564</v>
      </c>
      <c r="O583" s="3470">
        <v>60.28</v>
      </c>
      <c r="P583" s="3470" t="s">
        <v>3452</v>
      </c>
      <c r="Q583" s="3470">
        <v>549207.54</v>
      </c>
      <c r="R583" s="3470">
        <v>7182</v>
      </c>
      <c r="S583" s="3470">
        <v>54.4</v>
      </c>
      <c r="T583" s="3470">
        <v>544000</v>
      </c>
      <c r="U583" s="3470">
        <v>7115</v>
      </c>
      <c r="V583" s="3470">
        <v>0.1</v>
      </c>
      <c r="W583" s="3470">
        <v>48.96</v>
      </c>
      <c r="X583" s="3470">
        <v>489600</v>
      </c>
      <c r="Y583" s="3470">
        <v>2003</v>
      </c>
      <c r="Z583" s="3470">
        <v>8</v>
      </c>
      <c r="AA583" s="3470">
        <v>1</v>
      </c>
      <c r="AB583" s="3470">
        <v>2720</v>
      </c>
      <c r="AC583" s="3470" t="s">
        <v>3693</v>
      </c>
      <c r="AE583" s="3470" t="s">
        <v>3663</v>
      </c>
      <c r="AF583" s="3470" t="s">
        <v>7668</v>
      </c>
      <c r="AG583" s="3470" t="s">
        <v>3466</v>
      </c>
      <c r="AI583" s="3470" t="s">
        <v>5021</v>
      </c>
      <c r="AJ583" s="3470">
        <v>38199</v>
      </c>
      <c r="AK583" s="3470">
        <v>8</v>
      </c>
      <c r="AL583" s="3470">
        <v>67641700</v>
      </c>
      <c r="AN583" s="3470" t="s">
        <v>3570</v>
      </c>
      <c r="AP583" s="3470" t="s">
        <v>3476</v>
      </c>
      <c r="AQ583" s="3470" t="s">
        <v>3571</v>
      </c>
      <c r="AW583" s="3470" t="s">
        <v>3572</v>
      </c>
      <c r="AX583" s="3470" t="s">
        <v>3568</v>
      </c>
      <c r="AY583" s="3481" t="s">
        <v>7792</v>
      </c>
      <c r="AZ583" s="3470" t="s">
        <v>4654</v>
      </c>
      <c r="BA583" s="3470" t="s">
        <v>4688</v>
      </c>
      <c r="BB583" s="3481" t="s">
        <v>4689</v>
      </c>
      <c r="BC583" s="3470" t="s">
        <v>4656</v>
      </c>
      <c r="BD583" s="3482">
        <v>100037</v>
      </c>
      <c r="BE583" s="3470">
        <v>68347718</v>
      </c>
      <c r="BF583" s="3483">
        <v>2.8</v>
      </c>
      <c r="BG583" s="3478">
        <v>37803</v>
      </c>
      <c r="BH583" s="3470" t="s">
        <v>4681</v>
      </c>
      <c r="BI583" s="3470" t="s">
        <v>3476</v>
      </c>
      <c r="BJ583" s="3508">
        <v>37832</v>
      </c>
      <c r="BK583" s="3508"/>
      <c r="BL583" s="3470" t="s">
        <v>3670</v>
      </c>
      <c r="BP583" s="3441"/>
      <c r="BQ583" s="3441"/>
      <c r="BR583" s="3441"/>
    </row>
    <row r="584" spans="1:70" s="3470" customFormat="1" ht="12" hidden="1">
      <c r="A584" s="3470" t="s">
        <v>7793</v>
      </c>
      <c r="B584" s="3470" t="s">
        <v>7794</v>
      </c>
      <c r="C584" s="3470" t="s">
        <v>7795</v>
      </c>
      <c r="D584" s="3470">
        <v>62228761</v>
      </c>
      <c r="E584" s="3470" t="s">
        <v>3558</v>
      </c>
      <c r="F584" s="3470" t="s">
        <v>4645</v>
      </c>
      <c r="H584" s="3470" t="s">
        <v>4646</v>
      </c>
      <c r="I584" s="3470" t="s">
        <v>7796</v>
      </c>
      <c r="J584" s="3470" t="s">
        <v>7797</v>
      </c>
      <c r="K584" s="3470" t="s">
        <v>4649</v>
      </c>
      <c r="L584" s="3470">
        <v>76.47</v>
      </c>
      <c r="M584" s="3470">
        <v>16</v>
      </c>
      <c r="N584" s="3470" t="s">
        <v>3564</v>
      </c>
      <c r="O584" s="3470">
        <v>60.28</v>
      </c>
      <c r="P584" s="3470" t="s">
        <v>3452</v>
      </c>
      <c r="Q584" s="3470">
        <v>554483.97</v>
      </c>
      <c r="R584" s="3470">
        <v>7251</v>
      </c>
      <c r="S584" s="3470">
        <v>54.97</v>
      </c>
      <c r="T584" s="3470">
        <v>549700</v>
      </c>
      <c r="U584" s="3470">
        <v>7189</v>
      </c>
      <c r="V584" s="3470">
        <v>0.1</v>
      </c>
      <c r="W584" s="3470">
        <v>49.47</v>
      </c>
      <c r="X584" s="3470">
        <v>494700</v>
      </c>
      <c r="Y584" s="3470">
        <v>2003</v>
      </c>
      <c r="Z584" s="3470">
        <v>8</v>
      </c>
      <c r="AA584" s="3470">
        <v>1</v>
      </c>
      <c r="AB584" s="3470">
        <v>2745</v>
      </c>
      <c r="AC584" s="3470" t="s">
        <v>3693</v>
      </c>
      <c r="AE584" s="3470" t="s">
        <v>3663</v>
      </c>
      <c r="AF584" s="3470" t="s">
        <v>7668</v>
      </c>
      <c r="AG584" s="3470" t="s">
        <v>3466</v>
      </c>
      <c r="AI584" s="3470" t="s">
        <v>5021</v>
      </c>
      <c r="AJ584" s="3470">
        <v>38199</v>
      </c>
      <c r="AK584" s="3470">
        <v>8</v>
      </c>
      <c r="AL584" s="3470">
        <v>67641700</v>
      </c>
      <c r="AN584" s="3470" t="s">
        <v>3570</v>
      </c>
      <c r="AP584" s="3470" t="s">
        <v>3476</v>
      </c>
      <c r="AQ584" s="3470" t="s">
        <v>3571</v>
      </c>
      <c r="AW584" s="3470" t="s">
        <v>3572</v>
      </c>
      <c r="AX584" s="3470" t="s">
        <v>3568</v>
      </c>
      <c r="AY584" s="3481" t="s">
        <v>7798</v>
      </c>
      <c r="AZ584" s="3470" t="s">
        <v>4654</v>
      </c>
      <c r="BA584" s="3470" t="s">
        <v>4688</v>
      </c>
      <c r="BB584" s="3481" t="s">
        <v>4689</v>
      </c>
      <c r="BC584" s="3470" t="s">
        <v>4656</v>
      </c>
      <c r="BD584" s="3482">
        <v>100037</v>
      </c>
      <c r="BE584" s="3470">
        <v>68347718</v>
      </c>
      <c r="BF584" s="3483">
        <v>2.8</v>
      </c>
      <c r="BG584" s="3478">
        <v>37775</v>
      </c>
      <c r="BH584" s="3470" t="s">
        <v>4681</v>
      </c>
      <c r="BI584" s="3470" t="s">
        <v>3476</v>
      </c>
      <c r="BJ584" s="3508">
        <v>37827</v>
      </c>
      <c r="BK584" s="3508"/>
      <c r="BL584" s="3470" t="s">
        <v>3670</v>
      </c>
      <c r="BP584" s="3441"/>
      <c r="BQ584" s="3441"/>
      <c r="BR584" s="3441"/>
    </row>
    <row r="585" spans="1:70" s="3470" customFormat="1" ht="12" hidden="1">
      <c r="A585" s="3470" t="s">
        <v>7799</v>
      </c>
      <c r="B585" s="3470" t="s">
        <v>7800</v>
      </c>
      <c r="C585" s="3470" t="s">
        <v>7801</v>
      </c>
      <c r="D585" s="3470" t="s">
        <v>7802</v>
      </c>
      <c r="E585" s="3470" t="s">
        <v>3558</v>
      </c>
      <c r="F585" s="3470" t="s">
        <v>7803</v>
      </c>
      <c r="H585" s="3470" t="s">
        <v>7772</v>
      </c>
      <c r="I585" s="3470" t="s">
        <v>3561</v>
      </c>
      <c r="J585" s="3470" t="s">
        <v>7678</v>
      </c>
      <c r="K585" s="3470" t="s">
        <v>7804</v>
      </c>
      <c r="L585" s="3470">
        <v>93.08</v>
      </c>
      <c r="M585" s="3470">
        <v>5</v>
      </c>
      <c r="N585" s="3470" t="s">
        <v>5032</v>
      </c>
      <c r="O585" s="3470">
        <v>81.209999999999994</v>
      </c>
      <c r="P585" s="3470" t="s">
        <v>3452</v>
      </c>
      <c r="Q585" s="3470">
        <v>391122.16</v>
      </c>
      <c r="R585" s="3470">
        <v>4202</v>
      </c>
      <c r="S585" s="3470">
        <v>38.659999999999997</v>
      </c>
      <c r="T585" s="3470">
        <v>386600</v>
      </c>
      <c r="U585" s="3470">
        <v>4154</v>
      </c>
      <c r="V585" s="3470">
        <v>0.1</v>
      </c>
      <c r="W585" s="3470">
        <v>34.79</v>
      </c>
      <c r="X585" s="3470">
        <v>347900</v>
      </c>
      <c r="Y585" s="3470">
        <v>2003</v>
      </c>
      <c r="Z585" s="3470">
        <v>8</v>
      </c>
      <c r="AA585" s="3470">
        <v>1</v>
      </c>
      <c r="AB585" s="3470">
        <v>1930</v>
      </c>
      <c r="AC585" s="3470" t="s">
        <v>3693</v>
      </c>
      <c r="AE585" s="3470" t="s">
        <v>3663</v>
      </c>
      <c r="AF585" s="3470" t="s">
        <v>7155</v>
      </c>
      <c r="AG585" s="3470" t="s">
        <v>3466</v>
      </c>
      <c r="AI585" s="3470" t="s">
        <v>5021</v>
      </c>
      <c r="AJ585" s="3470">
        <v>38077</v>
      </c>
      <c r="AK585" s="3470">
        <v>8</v>
      </c>
      <c r="AL585" s="3470">
        <v>67641700</v>
      </c>
      <c r="AN585" s="3470" t="s">
        <v>3570</v>
      </c>
      <c r="AO585" s="3470" t="s">
        <v>3568</v>
      </c>
      <c r="AP585" s="3470" t="s">
        <v>7805</v>
      </c>
      <c r="AQ585" s="3470" t="s">
        <v>3571</v>
      </c>
      <c r="AW585" s="3470" t="s">
        <v>3572</v>
      </c>
      <c r="AX585" s="3470" t="s">
        <v>3568</v>
      </c>
      <c r="AY585" s="3481" t="s">
        <v>7806</v>
      </c>
      <c r="AZ585" s="3470" t="s">
        <v>7804</v>
      </c>
      <c r="BA585" s="3470" t="s">
        <v>7807</v>
      </c>
      <c r="BB585" s="3481">
        <v>1102281149818</v>
      </c>
      <c r="BC585" s="3470" t="s">
        <v>7808</v>
      </c>
      <c r="BD585" s="3482">
        <v>100044</v>
      </c>
      <c r="BE585" s="3470">
        <v>88018575</v>
      </c>
      <c r="BF585" s="3483">
        <v>2.7</v>
      </c>
      <c r="BG585" s="3478">
        <v>37815</v>
      </c>
      <c r="BI585" s="3470" t="s">
        <v>7805</v>
      </c>
      <c r="BJ585" s="3508">
        <v>37833</v>
      </c>
      <c r="BK585" s="3508"/>
      <c r="BL585" s="3470" t="s">
        <v>3670</v>
      </c>
      <c r="BP585" s="3441"/>
      <c r="BQ585" s="3441"/>
      <c r="BR585" s="3441"/>
    </row>
    <row r="586" spans="1:70" s="3470" customFormat="1" ht="12" hidden="1">
      <c r="A586" s="3470" t="s">
        <v>7809</v>
      </c>
      <c r="B586" s="3470" t="s">
        <v>7810</v>
      </c>
      <c r="C586" s="3470" t="s">
        <v>7811</v>
      </c>
      <c r="D586" s="3470" t="s">
        <v>7812</v>
      </c>
      <c r="E586" s="3470" t="s">
        <v>3558</v>
      </c>
      <c r="F586" s="3470" t="s">
        <v>7803</v>
      </c>
      <c r="H586" s="3470" t="s">
        <v>4759</v>
      </c>
      <c r="I586" s="3470" t="s">
        <v>4019</v>
      </c>
      <c r="J586" s="3470" t="s">
        <v>5003</v>
      </c>
      <c r="K586" s="3470" t="s">
        <v>7804</v>
      </c>
      <c r="L586" s="3470">
        <v>84.17</v>
      </c>
      <c r="M586" s="3470">
        <v>6</v>
      </c>
      <c r="N586" s="3470" t="s">
        <v>4030</v>
      </c>
      <c r="O586" s="3470">
        <v>73.77</v>
      </c>
      <c r="P586" s="3470" t="s">
        <v>3452</v>
      </c>
      <c r="Q586" s="3470">
        <v>373378.12</v>
      </c>
      <c r="R586" s="3470">
        <v>4436</v>
      </c>
      <c r="S586" s="3470">
        <v>36.950000000000003</v>
      </c>
      <c r="T586" s="3470">
        <v>369500</v>
      </c>
      <c r="U586" s="3470">
        <v>4390</v>
      </c>
      <c r="V586" s="3470">
        <v>0.1</v>
      </c>
      <c r="W586" s="3470">
        <v>33.25</v>
      </c>
      <c r="X586" s="3470">
        <v>332500</v>
      </c>
      <c r="Y586" s="3470">
        <v>2003</v>
      </c>
      <c r="Z586" s="3470">
        <v>8</v>
      </c>
      <c r="AA586" s="3470">
        <v>1</v>
      </c>
      <c r="AB586" s="3470">
        <v>1845</v>
      </c>
      <c r="AC586" s="3470" t="s">
        <v>3693</v>
      </c>
      <c r="AE586" s="3470" t="s">
        <v>3663</v>
      </c>
      <c r="AF586" s="3470" t="s">
        <v>7155</v>
      </c>
      <c r="AG586" s="3470" t="s">
        <v>3466</v>
      </c>
      <c r="AI586" s="3470" t="s">
        <v>5021</v>
      </c>
      <c r="AJ586" s="3470">
        <v>38077</v>
      </c>
      <c r="AK586" s="3470">
        <v>8</v>
      </c>
      <c r="AL586" s="3470">
        <v>67641700</v>
      </c>
      <c r="AN586" s="3470" t="s">
        <v>3570</v>
      </c>
      <c r="AO586" s="3470" t="s">
        <v>3568</v>
      </c>
      <c r="AP586" s="3470" t="s">
        <v>7805</v>
      </c>
      <c r="AQ586" s="3470" t="s">
        <v>3571</v>
      </c>
      <c r="AW586" s="3470" t="s">
        <v>3572</v>
      </c>
      <c r="AX586" s="3470" t="s">
        <v>3568</v>
      </c>
      <c r="AY586" s="3481" t="s">
        <v>7813</v>
      </c>
      <c r="AZ586" s="3470" t="s">
        <v>7804</v>
      </c>
      <c r="BA586" s="3470" t="s">
        <v>7807</v>
      </c>
      <c r="BB586" s="3481">
        <v>1102281149818</v>
      </c>
      <c r="BC586" s="3470" t="s">
        <v>7808</v>
      </c>
      <c r="BD586" s="3482">
        <v>100044</v>
      </c>
      <c r="BE586" s="3470">
        <v>88018575</v>
      </c>
      <c r="BF586" s="3483">
        <v>2.7</v>
      </c>
      <c r="BG586" s="3478">
        <v>37815</v>
      </c>
      <c r="BI586" s="3470" t="s">
        <v>7805</v>
      </c>
      <c r="BJ586" s="3508">
        <v>37833</v>
      </c>
      <c r="BK586" s="3508"/>
      <c r="BL586" s="3470" t="s">
        <v>3670</v>
      </c>
      <c r="BP586" s="3441"/>
      <c r="BQ586" s="3441"/>
      <c r="BR586" s="3441"/>
    </row>
    <row r="587" spans="1:70" s="3470" customFormat="1" ht="12" hidden="1">
      <c r="A587" s="3470" t="s">
        <v>7814</v>
      </c>
      <c r="B587" s="3470" t="s">
        <v>7815</v>
      </c>
      <c r="C587" s="3470" t="s">
        <v>7816</v>
      </c>
      <c r="D587" s="3470" t="s">
        <v>7817</v>
      </c>
      <c r="E587" s="3470" t="s">
        <v>3558</v>
      </c>
      <c r="F587" s="3470" t="s">
        <v>7803</v>
      </c>
      <c r="H587" s="3470" t="s">
        <v>7661</v>
      </c>
      <c r="I587" s="3470" t="s">
        <v>4019</v>
      </c>
      <c r="J587" s="3470" t="s">
        <v>3736</v>
      </c>
      <c r="K587" s="3470" t="s">
        <v>7804</v>
      </c>
      <c r="L587" s="3470">
        <v>111.06</v>
      </c>
      <c r="M587" s="3470">
        <v>3</v>
      </c>
      <c r="N587" s="3470" t="s">
        <v>4003</v>
      </c>
      <c r="O587" s="3470">
        <v>98.9</v>
      </c>
      <c r="P587" s="3470" t="s">
        <v>3452</v>
      </c>
      <c r="Q587" s="3470">
        <v>510431.76</v>
      </c>
      <c r="R587" s="3470">
        <v>4596</v>
      </c>
      <c r="S587" s="3470">
        <v>50.51</v>
      </c>
      <c r="T587" s="3470">
        <v>505100</v>
      </c>
      <c r="U587" s="3470">
        <v>4548</v>
      </c>
      <c r="V587" s="3470">
        <v>0.1</v>
      </c>
      <c r="W587" s="3470">
        <v>45.45</v>
      </c>
      <c r="X587" s="3470">
        <v>454500</v>
      </c>
      <c r="Y587" s="3470">
        <v>2003</v>
      </c>
      <c r="Z587" s="3470">
        <v>8</v>
      </c>
      <c r="AA587" s="3470">
        <v>1</v>
      </c>
      <c r="AB587" s="3470">
        <v>2525</v>
      </c>
      <c r="AC587" s="3470" t="s">
        <v>3693</v>
      </c>
      <c r="AE587" s="3470" t="s">
        <v>3663</v>
      </c>
      <c r="AF587" s="3470" t="s">
        <v>7155</v>
      </c>
      <c r="AG587" s="3470" t="s">
        <v>3466</v>
      </c>
      <c r="AI587" s="3470" t="s">
        <v>5021</v>
      </c>
      <c r="AJ587" s="3470">
        <v>38077</v>
      </c>
      <c r="AK587" s="3470">
        <v>8</v>
      </c>
      <c r="AL587" s="3470">
        <v>67641700</v>
      </c>
      <c r="AN587" s="3470" t="s">
        <v>3570</v>
      </c>
      <c r="AO587" s="3470" t="s">
        <v>3568</v>
      </c>
      <c r="AP587" s="3470" t="s">
        <v>7805</v>
      </c>
      <c r="AQ587" s="3470" t="s">
        <v>3571</v>
      </c>
      <c r="AW587" s="3470" t="s">
        <v>3572</v>
      </c>
      <c r="AX587" s="3470" t="s">
        <v>3568</v>
      </c>
      <c r="AY587" s="3481" t="s">
        <v>7818</v>
      </c>
      <c r="AZ587" s="3470" t="s">
        <v>7804</v>
      </c>
      <c r="BA587" s="3470" t="s">
        <v>7807</v>
      </c>
      <c r="BB587" s="3481">
        <v>1102281149818</v>
      </c>
      <c r="BC587" s="3470" t="s">
        <v>7808</v>
      </c>
      <c r="BD587" s="3482">
        <v>100044</v>
      </c>
      <c r="BE587" s="3470">
        <v>88018575</v>
      </c>
      <c r="BF587" s="3483">
        <v>2.7</v>
      </c>
      <c r="BG587" s="3478">
        <v>37814</v>
      </c>
      <c r="BI587" s="3470" t="s">
        <v>7805</v>
      </c>
      <c r="BJ587" s="3508">
        <v>37833</v>
      </c>
      <c r="BK587" s="3508"/>
      <c r="BL587" s="3470" t="s">
        <v>3670</v>
      </c>
      <c r="BP587" s="3441"/>
      <c r="BQ587" s="3441"/>
      <c r="BR587" s="3441"/>
    </row>
    <row r="588" spans="1:70" s="3470" customFormat="1" ht="12" hidden="1">
      <c r="A588" s="3470" t="s">
        <v>7819</v>
      </c>
      <c r="B588" s="3470" t="s">
        <v>7820</v>
      </c>
      <c r="C588" s="3470" t="s">
        <v>7821</v>
      </c>
      <c r="D588" s="3470" t="s">
        <v>7822</v>
      </c>
      <c r="E588" s="3470" t="s">
        <v>3558</v>
      </c>
      <c r="F588" s="3470" t="s">
        <v>7803</v>
      </c>
      <c r="H588" s="3470" t="s">
        <v>4168</v>
      </c>
      <c r="I588" s="3470" t="s">
        <v>3561</v>
      </c>
      <c r="J588" s="3470" t="s">
        <v>3562</v>
      </c>
      <c r="K588" s="3470" t="s">
        <v>7804</v>
      </c>
      <c r="L588" s="3470">
        <v>84.88</v>
      </c>
      <c r="M588" s="3470">
        <v>6</v>
      </c>
      <c r="N588" s="3470" t="s">
        <v>4030</v>
      </c>
      <c r="O588" s="3470">
        <v>74.069999999999993</v>
      </c>
      <c r="P588" s="3470" t="s">
        <v>3452</v>
      </c>
      <c r="Q588" s="3470">
        <v>369312.88</v>
      </c>
      <c r="R588" s="3470">
        <v>4351</v>
      </c>
      <c r="S588" s="3470">
        <v>36.520000000000003</v>
      </c>
      <c r="T588" s="3470">
        <v>365200</v>
      </c>
      <c r="U588" s="3470">
        <v>4303</v>
      </c>
      <c r="V588" s="3470">
        <v>0.1</v>
      </c>
      <c r="W588" s="3470">
        <v>32.86</v>
      </c>
      <c r="X588" s="3470">
        <v>328600</v>
      </c>
      <c r="Y588" s="3470">
        <v>2003</v>
      </c>
      <c r="Z588" s="3470">
        <v>8</v>
      </c>
      <c r="AA588" s="3470">
        <v>1</v>
      </c>
      <c r="AB588" s="3470">
        <v>1825</v>
      </c>
      <c r="AC588" s="3470" t="s">
        <v>3693</v>
      </c>
      <c r="AE588" s="3470" t="s">
        <v>3663</v>
      </c>
      <c r="AF588" s="3470" t="s">
        <v>7155</v>
      </c>
      <c r="AG588" s="3470" t="s">
        <v>3466</v>
      </c>
      <c r="AI588" s="3470" t="s">
        <v>5021</v>
      </c>
      <c r="AJ588" s="3470">
        <v>38077</v>
      </c>
      <c r="AK588" s="3470">
        <v>8</v>
      </c>
      <c r="AL588" s="3470">
        <v>67641700</v>
      </c>
      <c r="AN588" s="3470" t="s">
        <v>3570</v>
      </c>
      <c r="AO588" s="3470" t="s">
        <v>3568</v>
      </c>
      <c r="AP588" s="3470" t="s">
        <v>7805</v>
      </c>
      <c r="AQ588" s="3470" t="s">
        <v>3571</v>
      </c>
      <c r="AW588" s="3470" t="s">
        <v>3572</v>
      </c>
      <c r="AX588" s="3470" t="s">
        <v>3568</v>
      </c>
      <c r="AY588" s="3481" t="s">
        <v>7823</v>
      </c>
      <c r="AZ588" s="3470" t="s">
        <v>7804</v>
      </c>
      <c r="BA588" s="3470" t="s">
        <v>7807</v>
      </c>
      <c r="BB588" s="3481">
        <v>1102281149818</v>
      </c>
      <c r="BC588" s="3470" t="s">
        <v>7808</v>
      </c>
      <c r="BD588" s="3482">
        <v>100044</v>
      </c>
      <c r="BE588" s="3470">
        <v>88018575</v>
      </c>
      <c r="BF588" s="3483">
        <v>2.7</v>
      </c>
      <c r="BG588" s="3478">
        <v>37822</v>
      </c>
      <c r="BI588" s="3470" t="s">
        <v>7805</v>
      </c>
      <c r="BJ588" s="3508">
        <v>37833</v>
      </c>
      <c r="BK588" s="3508"/>
      <c r="BL588" s="3470" t="s">
        <v>3670</v>
      </c>
      <c r="BP588" s="3441"/>
      <c r="BQ588" s="3441"/>
      <c r="BR588" s="3441"/>
    </row>
    <row r="589" spans="1:70" s="3470" customFormat="1" ht="12" hidden="1">
      <c r="A589" s="3470" t="s">
        <v>7824</v>
      </c>
      <c r="B589" s="3470" t="s">
        <v>7825</v>
      </c>
      <c r="C589" s="3470" t="s">
        <v>7826</v>
      </c>
      <c r="D589" s="3470" t="s">
        <v>7827</v>
      </c>
      <c r="E589" s="3470" t="s">
        <v>3558</v>
      </c>
      <c r="F589" s="3470" t="s">
        <v>3559</v>
      </c>
      <c r="H589" s="3470" t="s">
        <v>7743</v>
      </c>
      <c r="I589" s="3470" t="s">
        <v>3561</v>
      </c>
      <c r="J589" s="3470" t="s">
        <v>7828</v>
      </c>
      <c r="K589" s="3470" t="s">
        <v>7829</v>
      </c>
      <c r="L589" s="3470">
        <v>62.81</v>
      </c>
      <c r="M589" s="3470">
        <v>16</v>
      </c>
      <c r="N589" s="3470" t="s">
        <v>3564</v>
      </c>
      <c r="O589" s="3470">
        <v>50.89</v>
      </c>
      <c r="P589" s="3470" t="s">
        <v>3452</v>
      </c>
      <c r="Q589" s="3470">
        <v>314678.09999999998</v>
      </c>
      <c r="R589" s="3470">
        <v>5010</v>
      </c>
      <c r="S589" s="3470">
        <v>31.15</v>
      </c>
      <c r="T589" s="3470">
        <v>311500</v>
      </c>
      <c r="U589" s="3470">
        <v>4960</v>
      </c>
      <c r="V589" s="3470">
        <v>0.1</v>
      </c>
      <c r="W589" s="3470">
        <v>28.03</v>
      </c>
      <c r="X589" s="3470">
        <v>280300</v>
      </c>
      <c r="Y589" s="3470">
        <v>2003</v>
      </c>
      <c r="Z589" s="3470">
        <v>8</v>
      </c>
      <c r="AA589" s="3470">
        <v>1</v>
      </c>
      <c r="AB589" s="3470">
        <v>1555</v>
      </c>
      <c r="AC589" s="3470" t="s">
        <v>4004</v>
      </c>
      <c r="AE589" s="3470" t="s">
        <v>3663</v>
      </c>
      <c r="AF589" s="3470" t="s">
        <v>4032</v>
      </c>
      <c r="AG589" s="3470" t="s">
        <v>3466</v>
      </c>
      <c r="AH589" s="3470" t="s">
        <v>3568</v>
      </c>
      <c r="AI589" s="3470" t="s">
        <v>5021</v>
      </c>
      <c r="AJ589" s="3470">
        <v>37894</v>
      </c>
      <c r="AK589" s="3470">
        <v>8</v>
      </c>
      <c r="AL589" s="3470">
        <v>67641700</v>
      </c>
      <c r="AM589" s="3470" t="s">
        <v>3568</v>
      </c>
      <c r="AN589" s="3470" t="s">
        <v>3570</v>
      </c>
      <c r="AO589" s="3470" t="s">
        <v>3568</v>
      </c>
      <c r="AP589" s="3470" t="s">
        <v>3476</v>
      </c>
      <c r="AQ589" s="3470" t="s">
        <v>3571</v>
      </c>
      <c r="AW589" s="3470" t="s">
        <v>3572</v>
      </c>
      <c r="AY589" s="3481" t="s">
        <v>7830</v>
      </c>
      <c r="AZ589" s="3470" t="s">
        <v>7829</v>
      </c>
      <c r="BA589" s="3470" t="s">
        <v>3574</v>
      </c>
      <c r="BB589" s="3481" t="s">
        <v>3575</v>
      </c>
      <c r="BC589" s="3470" t="s">
        <v>3576</v>
      </c>
      <c r="BD589" s="3482">
        <v>100037</v>
      </c>
      <c r="BE589" s="3470">
        <v>84050046</v>
      </c>
      <c r="BF589" s="3483">
        <v>2.8</v>
      </c>
      <c r="BG589" s="3478">
        <v>37697</v>
      </c>
      <c r="BH589" s="3470" t="s">
        <v>4753</v>
      </c>
      <c r="BI589" s="3470" t="s">
        <v>3476</v>
      </c>
      <c r="BJ589" s="3508">
        <v>37832</v>
      </c>
      <c r="BK589" s="3508">
        <v>37719</v>
      </c>
      <c r="BL589" s="3470" t="s">
        <v>3670</v>
      </c>
      <c r="BP589" s="3441"/>
      <c r="BQ589" s="3441"/>
      <c r="BR589" s="3441"/>
    </row>
    <row r="590" spans="1:70" s="3470" customFormat="1" ht="12" hidden="1">
      <c r="A590" s="3470" t="s">
        <v>7831</v>
      </c>
      <c r="B590" s="3470" t="s">
        <v>7832</v>
      </c>
      <c r="C590" s="3470" t="s">
        <v>7833</v>
      </c>
      <c r="D590" s="3470">
        <v>62209142</v>
      </c>
      <c r="E590" s="3470" t="s">
        <v>3558</v>
      </c>
      <c r="F590" s="3470" t="s">
        <v>4645</v>
      </c>
      <c r="H590" s="3470" t="s">
        <v>4646</v>
      </c>
      <c r="I590" s="3470" t="s">
        <v>7834</v>
      </c>
      <c r="J590" s="3470" t="s">
        <v>7835</v>
      </c>
      <c r="K590" s="3470" t="s">
        <v>4649</v>
      </c>
      <c r="L590" s="3470">
        <v>59.94</v>
      </c>
      <c r="M590" s="3470">
        <v>18</v>
      </c>
      <c r="N590" s="3470" t="s">
        <v>3564</v>
      </c>
      <c r="O590" s="3470">
        <v>47.25</v>
      </c>
      <c r="P590" s="3470" t="s">
        <v>3452</v>
      </c>
      <c r="Q590" s="3470">
        <v>463995.54</v>
      </c>
      <c r="R590" s="3470">
        <v>7741</v>
      </c>
      <c r="S590" s="3470">
        <v>46.03</v>
      </c>
      <c r="T590" s="3470">
        <v>460300</v>
      </c>
      <c r="U590" s="3470">
        <v>7680</v>
      </c>
      <c r="V590" s="3470">
        <v>0.1</v>
      </c>
      <c r="W590" s="3470">
        <v>41.42</v>
      </c>
      <c r="X590" s="3470">
        <v>414200</v>
      </c>
      <c r="Y590" s="3470">
        <v>2003</v>
      </c>
      <c r="Z590" s="3470">
        <v>8</v>
      </c>
      <c r="AA590" s="3470">
        <v>1</v>
      </c>
      <c r="AB590" s="3470">
        <v>2300</v>
      </c>
      <c r="AC590" s="3470" t="s">
        <v>3565</v>
      </c>
      <c r="AE590" s="3470" t="s">
        <v>3663</v>
      </c>
      <c r="AF590" s="3470" t="s">
        <v>7668</v>
      </c>
      <c r="AG590" s="3470" t="s">
        <v>3466</v>
      </c>
      <c r="AI590" s="3470" t="s">
        <v>5021</v>
      </c>
      <c r="AJ590" s="3470">
        <v>38199</v>
      </c>
      <c r="AK590" s="3470">
        <v>8</v>
      </c>
      <c r="AL590" s="3470">
        <v>67641700</v>
      </c>
      <c r="AN590" s="3470" t="s">
        <v>3570</v>
      </c>
      <c r="AP590" s="3470" t="s">
        <v>3476</v>
      </c>
      <c r="AQ590" s="3470" t="s">
        <v>3571</v>
      </c>
      <c r="AW590" s="3470" t="s">
        <v>3572</v>
      </c>
      <c r="AX590" s="3470" t="s">
        <v>3568</v>
      </c>
      <c r="AY590" s="3481" t="s">
        <v>7836</v>
      </c>
      <c r="AZ590" s="3470" t="s">
        <v>4654</v>
      </c>
      <c r="BA590" s="3470" t="s">
        <v>4688</v>
      </c>
      <c r="BB590" s="3481" t="s">
        <v>4689</v>
      </c>
      <c r="BC590" s="3470" t="s">
        <v>4656</v>
      </c>
      <c r="BD590" s="3482">
        <v>100037</v>
      </c>
      <c r="BE590" s="3470">
        <v>68347718</v>
      </c>
      <c r="BF590" s="3483">
        <v>2.8</v>
      </c>
      <c r="BG590" s="3478">
        <v>37823</v>
      </c>
      <c r="BH590" s="3470" t="s">
        <v>4681</v>
      </c>
      <c r="BI590" s="3470" t="s">
        <v>3476</v>
      </c>
      <c r="BJ590" s="3508">
        <v>37833</v>
      </c>
      <c r="BK590" s="3508"/>
      <c r="BL590" s="3470" t="s">
        <v>3670</v>
      </c>
      <c r="BP590" s="3441"/>
      <c r="BQ590" s="3441"/>
      <c r="BR590" s="3441"/>
    </row>
    <row r="591" spans="1:70" s="3470" customFormat="1" ht="12" hidden="1">
      <c r="A591" s="3470" t="s">
        <v>7837</v>
      </c>
      <c r="B591" s="3470" t="s">
        <v>7838</v>
      </c>
      <c r="C591" s="3470" t="s">
        <v>7839</v>
      </c>
      <c r="D591" s="3470">
        <v>13321182983</v>
      </c>
      <c r="E591" s="3470" t="s">
        <v>3558</v>
      </c>
      <c r="F591" s="3470" t="s">
        <v>4645</v>
      </c>
      <c r="H591" s="3470" t="s">
        <v>4646</v>
      </c>
      <c r="I591" s="3470" t="s">
        <v>7840</v>
      </c>
      <c r="J591" s="3470" t="s">
        <v>7841</v>
      </c>
      <c r="K591" s="3470" t="s">
        <v>4649</v>
      </c>
      <c r="L591" s="3470">
        <v>54.5</v>
      </c>
      <c r="M591" s="3470">
        <v>19</v>
      </c>
      <c r="N591" s="3470" t="s">
        <v>3564</v>
      </c>
      <c r="O591" s="3470">
        <v>42.96</v>
      </c>
      <c r="P591" s="3470" t="s">
        <v>3452</v>
      </c>
      <c r="Q591" s="3470">
        <v>416434.5</v>
      </c>
      <c r="R591" s="3470">
        <v>7641</v>
      </c>
      <c r="S591" s="3470">
        <v>41.31</v>
      </c>
      <c r="T591" s="3470">
        <v>413100</v>
      </c>
      <c r="U591" s="3470">
        <v>7580</v>
      </c>
      <c r="V591" s="3470">
        <v>0.1</v>
      </c>
      <c r="W591" s="3470">
        <v>37.17</v>
      </c>
      <c r="X591" s="3470">
        <v>371700</v>
      </c>
      <c r="Y591" s="3470">
        <v>2003</v>
      </c>
      <c r="Z591" s="3470">
        <v>8</v>
      </c>
      <c r="AA591" s="3470">
        <v>1</v>
      </c>
      <c r="AB591" s="3470">
        <v>2065</v>
      </c>
      <c r="AC591" s="3470" t="s">
        <v>3565</v>
      </c>
      <c r="AE591" s="3470" t="s">
        <v>3663</v>
      </c>
      <c r="AF591" s="3470" t="s">
        <v>7668</v>
      </c>
      <c r="AG591" s="3470" t="s">
        <v>3466</v>
      </c>
      <c r="AI591" s="3470" t="s">
        <v>5021</v>
      </c>
      <c r="AJ591" s="3470">
        <v>38199</v>
      </c>
      <c r="AK591" s="3470">
        <v>8</v>
      </c>
      <c r="AL591" s="3470">
        <v>67641700</v>
      </c>
      <c r="AN591" s="3470" t="s">
        <v>3570</v>
      </c>
      <c r="AP591" s="3470" t="s">
        <v>3476</v>
      </c>
      <c r="AQ591" s="3470" t="s">
        <v>3571</v>
      </c>
      <c r="AW591" s="3470" t="s">
        <v>3572</v>
      </c>
      <c r="AX591" s="3470" t="s">
        <v>3568</v>
      </c>
      <c r="AY591" s="3481" t="s">
        <v>7842</v>
      </c>
      <c r="AZ591" s="3470" t="s">
        <v>4654</v>
      </c>
      <c r="BA591" s="3470" t="s">
        <v>4688</v>
      </c>
      <c r="BB591" s="3481" t="s">
        <v>4689</v>
      </c>
      <c r="BC591" s="3470" t="s">
        <v>4656</v>
      </c>
      <c r="BD591" s="3482">
        <v>100037</v>
      </c>
      <c r="BE591" s="3470">
        <v>68347718</v>
      </c>
      <c r="BF591" s="3483">
        <v>2.8</v>
      </c>
      <c r="BG591" s="3478">
        <v>37801</v>
      </c>
      <c r="BH591" s="3470" t="s">
        <v>4681</v>
      </c>
      <c r="BI591" s="3470" t="s">
        <v>3476</v>
      </c>
      <c r="BJ591" s="3508">
        <v>37832</v>
      </c>
      <c r="BK591" s="3508"/>
      <c r="BL591" s="3470" t="s">
        <v>3670</v>
      </c>
      <c r="BP591" s="3441"/>
      <c r="BQ591" s="3441"/>
      <c r="BR591" s="3441"/>
    </row>
    <row r="592" spans="1:70" s="3470" customFormat="1" ht="12" hidden="1">
      <c r="A592" s="3470" t="s">
        <v>7843</v>
      </c>
      <c r="B592" s="3470" t="s">
        <v>7844</v>
      </c>
      <c r="C592" s="3470" t="s">
        <v>7845</v>
      </c>
      <c r="D592" s="3470">
        <v>13901316511</v>
      </c>
      <c r="E592" s="3470" t="s">
        <v>3558</v>
      </c>
      <c r="F592" s="3470" t="s">
        <v>7153</v>
      </c>
      <c r="G592" s="3470" t="s">
        <v>3568</v>
      </c>
      <c r="H592" s="3470" t="s">
        <v>7162</v>
      </c>
      <c r="I592" s="3470" t="s">
        <v>3561</v>
      </c>
      <c r="J592" s="3470" t="s">
        <v>4909</v>
      </c>
      <c r="K592" s="3470" t="s">
        <v>6117</v>
      </c>
      <c r="L592" s="3470">
        <v>98.22</v>
      </c>
      <c r="M592" s="3470">
        <v>5</v>
      </c>
      <c r="N592" s="3470" t="s">
        <v>5032</v>
      </c>
      <c r="O592" s="3470">
        <v>83.29</v>
      </c>
      <c r="P592" s="3470" t="s">
        <v>3452</v>
      </c>
      <c r="Q592" s="3470">
        <v>385022.4</v>
      </c>
      <c r="R592" s="3470">
        <v>3920</v>
      </c>
      <c r="S592" s="3470">
        <v>38.07</v>
      </c>
      <c r="T592" s="3470">
        <v>380700</v>
      </c>
      <c r="U592" s="3470">
        <v>3876</v>
      </c>
      <c r="V592" s="3470">
        <v>0.1</v>
      </c>
      <c r="W592" s="3470">
        <v>34.26</v>
      </c>
      <c r="X592" s="3470">
        <v>342600</v>
      </c>
      <c r="Y592" s="3470">
        <v>2003</v>
      </c>
      <c r="Z592" s="3470">
        <v>8</v>
      </c>
      <c r="AA592" s="3470">
        <v>12</v>
      </c>
      <c r="AB592" s="3470">
        <v>1900</v>
      </c>
      <c r="AC592" s="3470" t="s">
        <v>3565</v>
      </c>
      <c r="AE592" s="3470" t="s">
        <v>3663</v>
      </c>
      <c r="AF592" s="3470" t="s">
        <v>3694</v>
      </c>
      <c r="AG592" s="3470" t="s">
        <v>3466</v>
      </c>
      <c r="AI592" s="3470" t="s">
        <v>5021</v>
      </c>
      <c r="AJ592" s="3470">
        <v>38108</v>
      </c>
      <c r="AK592" s="3470">
        <v>8</v>
      </c>
      <c r="AL592" s="3470">
        <v>67641700</v>
      </c>
      <c r="AN592" s="3470" t="s">
        <v>3739</v>
      </c>
      <c r="AO592" s="3470" t="s">
        <v>7846</v>
      </c>
      <c r="AP592" s="3470" t="s">
        <v>3476</v>
      </c>
      <c r="AQ592" s="3470" t="s">
        <v>3571</v>
      </c>
      <c r="AW592" s="3470" t="s">
        <v>3572</v>
      </c>
      <c r="AX592" s="3470" t="s">
        <v>3568</v>
      </c>
      <c r="AY592" s="3481">
        <v>299327</v>
      </c>
      <c r="AZ592" s="3470" t="s">
        <v>6117</v>
      </c>
      <c r="BA592" s="3470" t="s">
        <v>7157</v>
      </c>
      <c r="BB592" s="3481">
        <v>1102281326100</v>
      </c>
      <c r="BC592" s="3470" t="s">
        <v>7158</v>
      </c>
      <c r="BD592" s="3482">
        <v>100055</v>
      </c>
      <c r="BE592" s="3470">
        <v>82951881</v>
      </c>
      <c r="BF592" s="3483">
        <v>2.8</v>
      </c>
      <c r="BG592" s="3478">
        <v>37827</v>
      </c>
      <c r="BI592" s="3470" t="s">
        <v>3476</v>
      </c>
      <c r="BJ592" s="3508">
        <v>37841</v>
      </c>
      <c r="BK592" s="3508"/>
      <c r="BL592" s="3470" t="s">
        <v>3670</v>
      </c>
      <c r="BP592" s="3441"/>
      <c r="BQ592" s="3441"/>
      <c r="BR592" s="3441"/>
    </row>
    <row r="593" spans="1:70" s="3470" customFormat="1" ht="12" hidden="1">
      <c r="A593" s="3470" t="s">
        <v>7847</v>
      </c>
      <c r="B593" s="3470" t="s">
        <v>7848</v>
      </c>
      <c r="C593" s="3470" t="s">
        <v>7849</v>
      </c>
      <c r="D593" s="3470" t="s">
        <v>7850</v>
      </c>
      <c r="E593" s="3470" t="s">
        <v>3558</v>
      </c>
      <c r="F593" s="3470" t="s">
        <v>4693</v>
      </c>
      <c r="H593" s="3470" t="s">
        <v>4694</v>
      </c>
      <c r="I593" s="3470" t="s">
        <v>7851</v>
      </c>
      <c r="J593" s="3470" t="s">
        <v>7852</v>
      </c>
      <c r="K593" s="3470" t="s">
        <v>4697</v>
      </c>
      <c r="L593" s="3470">
        <v>37.979999999999997</v>
      </c>
      <c r="M593" s="3470">
        <v>8</v>
      </c>
      <c r="N593" s="3470" t="s">
        <v>3692</v>
      </c>
      <c r="O593" s="3470">
        <v>28.21</v>
      </c>
      <c r="P593" s="3470" t="s">
        <v>3452</v>
      </c>
      <c r="Q593" s="3470">
        <v>328640.94</v>
      </c>
      <c r="R593" s="3470">
        <v>8653</v>
      </c>
      <c r="S593" s="3470">
        <v>32.619999999999997</v>
      </c>
      <c r="T593" s="3470">
        <v>326200</v>
      </c>
      <c r="U593" s="3470">
        <v>8590</v>
      </c>
      <c r="V593" s="3470">
        <v>0.1</v>
      </c>
      <c r="W593" s="3470">
        <v>29.35</v>
      </c>
      <c r="X593" s="3470">
        <v>293500</v>
      </c>
      <c r="Y593" s="3470">
        <v>2003</v>
      </c>
      <c r="Z593" s="3470">
        <v>8</v>
      </c>
      <c r="AA593" s="3470">
        <v>4</v>
      </c>
      <c r="AB593" s="3470">
        <v>1630</v>
      </c>
      <c r="AC593" s="3470" t="s">
        <v>4674</v>
      </c>
      <c r="AE593" s="3470" t="s">
        <v>3663</v>
      </c>
      <c r="AF593" s="3470" t="s">
        <v>3694</v>
      </c>
      <c r="AG593" s="3470" t="s">
        <v>3466</v>
      </c>
      <c r="AH593" s="3470" t="s">
        <v>3463</v>
      </c>
      <c r="AI593" s="3470" t="s">
        <v>5021</v>
      </c>
      <c r="AJ593" s="3470">
        <v>38138</v>
      </c>
      <c r="AK593" s="3470">
        <v>8</v>
      </c>
      <c r="AL593" s="3470">
        <v>67641700</v>
      </c>
      <c r="AN593" s="3470" t="s">
        <v>3695</v>
      </c>
      <c r="AP593" s="3470" t="s">
        <v>3476</v>
      </c>
      <c r="AQ593" s="3470" t="s">
        <v>3571</v>
      </c>
      <c r="AV593" s="3470" t="s">
        <v>3568</v>
      </c>
      <c r="AW593" s="3470" t="s">
        <v>3572</v>
      </c>
      <c r="AX593" s="3470" t="s">
        <v>3568</v>
      </c>
      <c r="AY593" s="3481" t="s">
        <v>7853</v>
      </c>
      <c r="AZ593" s="3470" t="s">
        <v>4697</v>
      </c>
      <c r="BA593" s="3470" t="s">
        <v>4700</v>
      </c>
      <c r="BB593" s="3481" t="s">
        <v>4701</v>
      </c>
      <c r="BC593" s="3470" t="s">
        <v>4702</v>
      </c>
      <c r="BD593" s="3482">
        <v>100011</v>
      </c>
      <c r="BE593" s="3470">
        <v>62351476</v>
      </c>
      <c r="BF593" s="3483">
        <v>2.8</v>
      </c>
      <c r="BG593" s="3478">
        <v>37801</v>
      </c>
      <c r="BI593" s="3470" t="s">
        <v>3476</v>
      </c>
      <c r="BJ593" s="3508">
        <v>37830</v>
      </c>
      <c r="BK593" s="3508"/>
      <c r="BL593" s="3470" t="s">
        <v>3670</v>
      </c>
      <c r="BP593" s="3441"/>
      <c r="BQ593" s="3441"/>
      <c r="BR593" s="3441"/>
    </row>
    <row r="594" spans="1:70" s="3470" customFormat="1" ht="12" hidden="1">
      <c r="A594" s="3470" t="s">
        <v>7854</v>
      </c>
      <c r="B594" s="3470" t="s">
        <v>7855</v>
      </c>
      <c r="C594" s="3470" t="s">
        <v>7856</v>
      </c>
      <c r="D594" s="3470">
        <v>13910507922</v>
      </c>
      <c r="E594" s="3470" t="s">
        <v>3558</v>
      </c>
      <c r="F594" s="3470" t="s">
        <v>7652</v>
      </c>
      <c r="H594" s="3470" t="s">
        <v>7661</v>
      </c>
      <c r="I594" s="3470" t="s">
        <v>7857</v>
      </c>
      <c r="J594" s="3470" t="s">
        <v>7858</v>
      </c>
      <c r="K594" s="3470" t="s">
        <v>7653</v>
      </c>
      <c r="L594" s="3470">
        <v>59.69</v>
      </c>
      <c r="M594" s="3470">
        <v>7</v>
      </c>
      <c r="N594" s="3470" t="s">
        <v>3564</v>
      </c>
      <c r="O594" s="3470">
        <v>50.69</v>
      </c>
      <c r="P594" s="3470" t="s">
        <v>3452</v>
      </c>
      <c r="Q594" s="3470">
        <v>292779.45</v>
      </c>
      <c r="R594" s="3470">
        <v>4905</v>
      </c>
      <c r="S594" s="3470">
        <v>28.98</v>
      </c>
      <c r="T594" s="3470">
        <v>289800</v>
      </c>
      <c r="U594" s="3470">
        <v>4856</v>
      </c>
      <c r="V594" s="3470">
        <v>0.1</v>
      </c>
      <c r="W594" s="3470">
        <v>26.08</v>
      </c>
      <c r="X594" s="3470">
        <v>260800</v>
      </c>
      <c r="Y594" s="3470">
        <v>2003</v>
      </c>
      <c r="Z594" s="3470">
        <v>8</v>
      </c>
      <c r="AA594" s="3470">
        <v>4</v>
      </c>
      <c r="AB594" s="3470">
        <v>1445</v>
      </c>
      <c r="AC594" s="3470" t="s">
        <v>3565</v>
      </c>
      <c r="AE594" s="3470" t="s">
        <v>3663</v>
      </c>
      <c r="AF594" s="3470" t="s">
        <v>4200</v>
      </c>
      <c r="AG594" s="3470" t="s">
        <v>3466</v>
      </c>
      <c r="AH594" s="3470" t="s">
        <v>3568</v>
      </c>
      <c r="AI594" s="3470" t="s">
        <v>5021</v>
      </c>
      <c r="AJ594" s="3470">
        <v>37986</v>
      </c>
      <c r="AK594" s="3470">
        <v>8</v>
      </c>
      <c r="AL594" s="3470">
        <v>67641700</v>
      </c>
      <c r="AN594" s="3470" t="s">
        <v>3695</v>
      </c>
      <c r="AP594" s="3470" t="s">
        <v>3476</v>
      </c>
      <c r="AQ594" s="3470" t="s">
        <v>3571</v>
      </c>
      <c r="AV594" s="3470" t="s">
        <v>3568</v>
      </c>
      <c r="AW594" s="3470" t="s">
        <v>3572</v>
      </c>
      <c r="AY594" s="3481" t="s">
        <v>7859</v>
      </c>
      <c r="AZ594" s="3470" t="s">
        <v>7653</v>
      </c>
      <c r="BA594" s="3470" t="s">
        <v>7655</v>
      </c>
      <c r="BB594" s="3481" t="s">
        <v>7656</v>
      </c>
      <c r="BC594" s="3470" t="s">
        <v>7657</v>
      </c>
      <c r="BD594" s="3482">
        <v>100025</v>
      </c>
      <c r="BE594" s="3470">
        <v>62908858</v>
      </c>
      <c r="BF594" s="3483">
        <v>2.7</v>
      </c>
      <c r="BG594" s="3478">
        <v>37765</v>
      </c>
      <c r="BH594" s="3470" t="s">
        <v>4681</v>
      </c>
      <c r="BI594" s="3470" t="s">
        <v>3476</v>
      </c>
      <c r="BJ594" s="3508">
        <v>37823</v>
      </c>
      <c r="BK594" s="3508"/>
      <c r="BL594" s="3470" t="s">
        <v>3670</v>
      </c>
      <c r="BP594" s="3441"/>
      <c r="BQ594" s="3441"/>
      <c r="BR594" s="3441"/>
    </row>
    <row r="595" spans="1:70" s="3470" customFormat="1" ht="12" hidden="1">
      <c r="A595" s="3470" t="s">
        <v>7860</v>
      </c>
      <c r="B595" s="3470" t="s">
        <v>7861</v>
      </c>
      <c r="C595" s="3470" t="s">
        <v>7862</v>
      </c>
      <c r="D595" s="3470">
        <v>13910066190</v>
      </c>
      <c r="E595" s="3470" t="s">
        <v>3558</v>
      </c>
      <c r="F595" s="3470" t="s">
        <v>7863</v>
      </c>
      <c r="H595" s="3470" t="s">
        <v>7661</v>
      </c>
      <c r="I595" s="3470" t="s">
        <v>7690</v>
      </c>
      <c r="J595" s="3470" t="s">
        <v>7613</v>
      </c>
      <c r="K595" s="3470" t="s">
        <v>7864</v>
      </c>
      <c r="L595" s="3470">
        <v>70.349999999999994</v>
      </c>
      <c r="M595" s="3470">
        <v>9</v>
      </c>
      <c r="N595" s="3470" t="s">
        <v>3564</v>
      </c>
      <c r="O595" s="3470">
        <v>58</v>
      </c>
      <c r="P595" s="3470" t="s">
        <v>3452</v>
      </c>
      <c r="Q595" s="3470">
        <v>416472</v>
      </c>
      <c r="R595" s="3470">
        <v>5920</v>
      </c>
      <c r="S595" s="3470">
        <v>41.26</v>
      </c>
      <c r="T595" s="3470">
        <v>412600</v>
      </c>
      <c r="U595" s="3470">
        <v>5865</v>
      </c>
      <c r="V595" s="3470">
        <v>0.1</v>
      </c>
      <c r="W595" s="3470">
        <v>37.130000000000003</v>
      </c>
      <c r="X595" s="3470">
        <v>371300</v>
      </c>
      <c r="Y595" s="3470">
        <v>2003</v>
      </c>
      <c r="Z595" s="3470">
        <v>8</v>
      </c>
      <c r="AA595" s="3470">
        <v>6</v>
      </c>
      <c r="AB595" s="3470">
        <v>2060</v>
      </c>
      <c r="AC595" s="3470" t="s">
        <v>3693</v>
      </c>
      <c r="AE595" s="3470" t="s">
        <v>3663</v>
      </c>
      <c r="AF595" s="3470" t="s">
        <v>4200</v>
      </c>
      <c r="AG595" s="3470" t="s">
        <v>3466</v>
      </c>
      <c r="AH595" s="3470" t="s">
        <v>3568</v>
      </c>
      <c r="AI595" s="3470" t="s">
        <v>5021</v>
      </c>
      <c r="AJ595" s="3470">
        <v>37864</v>
      </c>
      <c r="AK595" s="3470">
        <v>8</v>
      </c>
      <c r="AL595" s="3470">
        <v>67641700</v>
      </c>
      <c r="AN595" s="3470" t="s">
        <v>3695</v>
      </c>
      <c r="AP595" s="3470" t="s">
        <v>3476</v>
      </c>
      <c r="AQ595" s="3470" t="s">
        <v>3571</v>
      </c>
      <c r="AU595" s="3470" t="s">
        <v>3568</v>
      </c>
      <c r="AW595" s="3470" t="s">
        <v>3572</v>
      </c>
      <c r="AY595" s="3481">
        <v>25155</v>
      </c>
      <c r="AZ595" s="3470" t="s">
        <v>7864</v>
      </c>
      <c r="BA595" s="3470" t="s">
        <v>7865</v>
      </c>
      <c r="BB595" s="3481" t="s">
        <v>7866</v>
      </c>
      <c r="BC595" s="3470" t="s">
        <v>7867</v>
      </c>
      <c r="BD595" s="3482">
        <v>100085</v>
      </c>
      <c r="BE595" s="3470">
        <v>62976699</v>
      </c>
      <c r="BF595" s="3483">
        <v>2.7</v>
      </c>
      <c r="BG595" s="3478">
        <v>37728</v>
      </c>
      <c r="BH595" s="3470" t="s">
        <v>7648</v>
      </c>
      <c r="BI595" s="3470" t="s">
        <v>3476</v>
      </c>
      <c r="BJ595" s="3508">
        <v>37834</v>
      </c>
      <c r="BK595" s="3508"/>
      <c r="BL595" s="3470" t="s">
        <v>3670</v>
      </c>
      <c r="BP595" s="3441"/>
      <c r="BQ595" s="3441"/>
      <c r="BR595" s="3441"/>
    </row>
    <row r="596" spans="1:70" s="3470" customFormat="1" ht="12" hidden="1">
      <c r="A596" s="3470" t="s">
        <v>7868</v>
      </c>
      <c r="B596" s="3470" t="s">
        <v>7869</v>
      </c>
      <c r="C596" s="3470" t="s">
        <v>7870</v>
      </c>
      <c r="D596" s="3470" t="s">
        <v>7871</v>
      </c>
      <c r="E596" s="3470" t="s">
        <v>3558</v>
      </c>
      <c r="F596" s="3470" t="s">
        <v>7803</v>
      </c>
      <c r="H596" s="3470" t="s">
        <v>7661</v>
      </c>
      <c r="I596" s="3470" t="s">
        <v>4019</v>
      </c>
      <c r="J596" s="3470" t="s">
        <v>5003</v>
      </c>
      <c r="K596" s="3470" t="s">
        <v>7804</v>
      </c>
      <c r="L596" s="3470">
        <v>111.06</v>
      </c>
      <c r="M596" s="3470">
        <v>6</v>
      </c>
      <c r="N596" s="3470" t="s">
        <v>4003</v>
      </c>
      <c r="O596" s="3470">
        <v>98.9</v>
      </c>
      <c r="P596" s="3470" t="s">
        <v>3452</v>
      </c>
      <c r="Q596" s="3470">
        <v>463009.14</v>
      </c>
      <c r="R596" s="3470">
        <v>4169</v>
      </c>
      <c r="S596" s="3470">
        <v>45.75</v>
      </c>
      <c r="T596" s="3470">
        <v>457500</v>
      </c>
      <c r="U596" s="3470">
        <v>4120</v>
      </c>
      <c r="V596" s="3470">
        <v>0.1</v>
      </c>
      <c r="W596" s="3470">
        <v>41.17</v>
      </c>
      <c r="X596" s="3470">
        <v>411700</v>
      </c>
      <c r="Y596" s="3470">
        <v>2003</v>
      </c>
      <c r="Z596" s="3470">
        <v>8</v>
      </c>
      <c r="AA596" s="3470">
        <v>4</v>
      </c>
      <c r="AB596" s="3470">
        <v>2285</v>
      </c>
      <c r="AC596" s="3470" t="s">
        <v>3693</v>
      </c>
      <c r="AE596" s="3470" t="s">
        <v>3663</v>
      </c>
      <c r="AF596" s="3470" t="s">
        <v>7377</v>
      </c>
      <c r="AG596" s="3470" t="s">
        <v>3466</v>
      </c>
      <c r="AI596" s="3470" t="s">
        <v>5021</v>
      </c>
      <c r="AJ596" s="3470">
        <v>38077</v>
      </c>
      <c r="AK596" s="3470">
        <v>8</v>
      </c>
      <c r="AL596" s="3470">
        <v>67641700</v>
      </c>
      <c r="AN596" s="3470" t="s">
        <v>3695</v>
      </c>
      <c r="AO596" s="3470" t="s">
        <v>3568</v>
      </c>
      <c r="AP596" s="3470" t="s">
        <v>3476</v>
      </c>
      <c r="AQ596" s="3470" t="s">
        <v>3571</v>
      </c>
      <c r="AW596" s="3470" t="s">
        <v>3572</v>
      </c>
      <c r="AX596" s="3470" t="s">
        <v>3568</v>
      </c>
      <c r="AY596" s="3481" t="s">
        <v>7872</v>
      </c>
      <c r="AZ596" s="3470" t="s">
        <v>7804</v>
      </c>
      <c r="BA596" s="3470" t="s">
        <v>7807</v>
      </c>
      <c r="BB596" s="3481">
        <v>1102281149818</v>
      </c>
      <c r="BC596" s="3470" t="s">
        <v>7808</v>
      </c>
      <c r="BD596" s="3482">
        <v>100044</v>
      </c>
      <c r="BE596" s="3470">
        <v>88018575</v>
      </c>
      <c r="BF596" s="3483">
        <v>2.7</v>
      </c>
      <c r="BG596" s="3478">
        <v>37808</v>
      </c>
      <c r="BI596" s="3470" t="s">
        <v>3476</v>
      </c>
      <c r="BJ596" s="3508">
        <v>37834</v>
      </c>
      <c r="BK596" s="3508"/>
      <c r="BL596" s="3470" t="s">
        <v>3670</v>
      </c>
      <c r="BP596" s="3441"/>
      <c r="BQ596" s="3441"/>
      <c r="BR596" s="3441"/>
    </row>
    <row r="597" spans="1:70" s="3470" customFormat="1" ht="12" hidden="1">
      <c r="A597" s="3470" t="s">
        <v>7873</v>
      </c>
      <c r="B597" s="3470" t="s">
        <v>7874</v>
      </c>
      <c r="C597" s="3470" t="s">
        <v>7875</v>
      </c>
      <c r="D597" s="3470">
        <v>13681518875</v>
      </c>
      <c r="E597" s="3470" t="s">
        <v>3558</v>
      </c>
      <c r="F597" s="3470" t="s">
        <v>7153</v>
      </c>
      <c r="G597" s="3470" t="s">
        <v>3568</v>
      </c>
      <c r="H597" s="3470" t="s">
        <v>4112</v>
      </c>
      <c r="I597" s="3470" t="s">
        <v>3735</v>
      </c>
      <c r="J597" s="3470" t="s">
        <v>3980</v>
      </c>
      <c r="K597" s="3470" t="s">
        <v>6117</v>
      </c>
      <c r="L597" s="3470">
        <v>122.2</v>
      </c>
      <c r="M597" s="3470">
        <v>2</v>
      </c>
      <c r="N597" s="3470" t="s">
        <v>4003</v>
      </c>
      <c r="O597" s="3470">
        <v>111.4</v>
      </c>
      <c r="P597" s="3470" t="s">
        <v>3452</v>
      </c>
      <c r="Q597" s="3470">
        <v>498576</v>
      </c>
      <c r="R597" s="3470">
        <v>4080</v>
      </c>
      <c r="S597" s="3470">
        <v>49.34</v>
      </c>
      <c r="T597" s="3470">
        <v>493400</v>
      </c>
      <c r="U597" s="3470">
        <v>4038</v>
      </c>
      <c r="V597" s="3470">
        <v>0.1</v>
      </c>
      <c r="W597" s="3470">
        <v>44.4</v>
      </c>
      <c r="X597" s="3470">
        <v>444000</v>
      </c>
      <c r="Y597" s="3470">
        <v>2003</v>
      </c>
      <c r="Z597" s="3470">
        <v>8</v>
      </c>
      <c r="AA597" s="3470">
        <v>12</v>
      </c>
      <c r="AB597" s="3470">
        <v>2465</v>
      </c>
      <c r="AC597" s="3470" t="s">
        <v>7525</v>
      </c>
      <c r="AE597" s="3470" t="s">
        <v>3663</v>
      </c>
      <c r="AF597" s="3470" t="s">
        <v>7190</v>
      </c>
      <c r="AG597" s="3470" t="s">
        <v>3466</v>
      </c>
      <c r="AI597" s="3470" t="s">
        <v>5021</v>
      </c>
      <c r="AJ597" s="3470">
        <v>38108</v>
      </c>
      <c r="AK597" s="3470">
        <v>8</v>
      </c>
      <c r="AL597" s="3470">
        <v>67641700</v>
      </c>
      <c r="AN597" s="3470" t="s">
        <v>3739</v>
      </c>
      <c r="AO597" s="3470" t="s">
        <v>7876</v>
      </c>
      <c r="AP597" s="3470" t="s">
        <v>3476</v>
      </c>
      <c r="AQ597" s="3470" t="s">
        <v>3571</v>
      </c>
      <c r="AW597" s="3470" t="s">
        <v>3572</v>
      </c>
      <c r="AX597" s="3470" t="s">
        <v>3568</v>
      </c>
      <c r="AY597" s="3481">
        <v>299333</v>
      </c>
      <c r="AZ597" s="3470" t="s">
        <v>6117</v>
      </c>
      <c r="BA597" s="3470" t="s">
        <v>7157</v>
      </c>
      <c r="BB597" s="3481">
        <v>1102281326100</v>
      </c>
      <c r="BC597" s="3470" t="s">
        <v>7158</v>
      </c>
      <c r="BD597" s="3482">
        <v>100055</v>
      </c>
      <c r="BE597" s="3470">
        <v>82951881</v>
      </c>
      <c r="BF597" s="3483">
        <v>2.8</v>
      </c>
      <c r="BG597" s="3478">
        <v>37828</v>
      </c>
      <c r="BI597" s="3470" t="s">
        <v>3476</v>
      </c>
      <c r="BJ597" s="3508">
        <v>37840</v>
      </c>
      <c r="BK597" s="3508"/>
      <c r="BL597" s="3470" t="s">
        <v>3670</v>
      </c>
      <c r="BP597" s="3441"/>
      <c r="BQ597" s="3441"/>
      <c r="BR597" s="3441"/>
    </row>
    <row r="598" spans="1:70" s="3470" customFormat="1" ht="12" hidden="1">
      <c r="A598" s="3470" t="s">
        <v>7877</v>
      </c>
      <c r="B598" s="3470" t="s">
        <v>7878</v>
      </c>
      <c r="C598" s="3470" t="s">
        <v>7879</v>
      </c>
      <c r="D598" s="3470" t="s">
        <v>7880</v>
      </c>
      <c r="E598" s="3470" t="s">
        <v>3558</v>
      </c>
      <c r="F598" s="3470" t="s">
        <v>4770</v>
      </c>
      <c r="H598" s="3470" t="s">
        <v>7881</v>
      </c>
      <c r="I598" s="3470" t="s">
        <v>4877</v>
      </c>
      <c r="J598" s="3470" t="s">
        <v>5480</v>
      </c>
      <c r="K598" s="3470" t="s">
        <v>4772</v>
      </c>
      <c r="L598" s="3470">
        <v>91.13</v>
      </c>
      <c r="M598" s="3470">
        <v>9</v>
      </c>
      <c r="N598" s="3470" t="s">
        <v>4030</v>
      </c>
      <c r="O598" s="3470">
        <v>76.45</v>
      </c>
      <c r="P598" s="3470" t="s">
        <v>3452</v>
      </c>
      <c r="Q598" s="3470">
        <v>351761.8</v>
      </c>
      <c r="R598" s="3470">
        <v>3860</v>
      </c>
      <c r="S598" s="3470">
        <v>34.79</v>
      </c>
      <c r="T598" s="3470">
        <v>347900</v>
      </c>
      <c r="U598" s="3470">
        <v>3818</v>
      </c>
      <c r="V598" s="3470">
        <v>0.1</v>
      </c>
      <c r="W598" s="3470">
        <v>31.31</v>
      </c>
      <c r="X598" s="3470">
        <v>313100</v>
      </c>
      <c r="Y598" s="3470">
        <v>2003</v>
      </c>
      <c r="Z598" s="3470">
        <v>8</v>
      </c>
      <c r="AA598" s="3470">
        <v>5</v>
      </c>
      <c r="AB598" s="3470">
        <v>1735</v>
      </c>
      <c r="AC598" s="3470" t="s">
        <v>3603</v>
      </c>
      <c r="AE598" s="3470" t="s">
        <v>3663</v>
      </c>
      <c r="AF598" s="3470" t="s">
        <v>5090</v>
      </c>
      <c r="AG598" s="3470" t="s">
        <v>3466</v>
      </c>
      <c r="AI598" s="3470" t="s">
        <v>7643</v>
      </c>
      <c r="AJ598" s="3470">
        <v>37882</v>
      </c>
      <c r="AK598" s="3470">
        <v>8</v>
      </c>
      <c r="AL598" s="3470">
        <v>67641700</v>
      </c>
      <c r="AN598" s="3470" t="s">
        <v>3695</v>
      </c>
      <c r="AP598" s="3470" t="s">
        <v>3476</v>
      </c>
      <c r="AQ598" s="3470" t="s">
        <v>3571</v>
      </c>
      <c r="AW598" s="3470" t="s">
        <v>3572</v>
      </c>
      <c r="AY598" s="3481" t="s">
        <v>7882</v>
      </c>
      <c r="AZ598" s="3470" t="s">
        <v>4772</v>
      </c>
      <c r="BA598" s="3470" t="s">
        <v>4775</v>
      </c>
      <c r="BB598" s="3481" t="s">
        <v>4776</v>
      </c>
      <c r="BC598" s="3470" t="s">
        <v>4777</v>
      </c>
      <c r="BD598" s="3482">
        <v>100083</v>
      </c>
      <c r="BE598" s="3470">
        <v>82355171</v>
      </c>
      <c r="BF598" s="3483">
        <v>2.7</v>
      </c>
      <c r="BG598" s="3478">
        <v>37814</v>
      </c>
      <c r="BH598" s="3470" t="s">
        <v>4681</v>
      </c>
      <c r="BI598" s="3470" t="s">
        <v>3476</v>
      </c>
      <c r="BJ598" s="3508">
        <v>37834</v>
      </c>
      <c r="BK598" s="3508"/>
      <c r="BL598" s="3470" t="s">
        <v>3670</v>
      </c>
      <c r="BP598" s="3441"/>
      <c r="BQ598" s="3441"/>
      <c r="BR598" s="3441"/>
    </row>
    <row r="599" spans="1:70" s="3470" customFormat="1" ht="12" hidden="1">
      <c r="A599" s="3470" t="s">
        <v>7883</v>
      </c>
      <c r="B599" s="3470" t="s">
        <v>7884</v>
      </c>
      <c r="C599" s="3470" t="s">
        <v>7885</v>
      </c>
      <c r="D599" s="3470">
        <v>13520399011</v>
      </c>
      <c r="E599" s="3470" t="s">
        <v>3558</v>
      </c>
      <c r="F599" s="3470" t="s">
        <v>5428</v>
      </c>
      <c r="H599" s="3470" t="s">
        <v>5429</v>
      </c>
      <c r="I599" s="3470" t="s">
        <v>4027</v>
      </c>
      <c r="J599" s="3470" t="s">
        <v>7886</v>
      </c>
      <c r="K599" s="3470" t="s">
        <v>5786</v>
      </c>
      <c r="L599" s="3470">
        <v>118.04</v>
      </c>
      <c r="M599" s="3470">
        <v>6</v>
      </c>
      <c r="N599" s="3470" t="s">
        <v>5032</v>
      </c>
      <c r="O599" s="3470">
        <v>102.39</v>
      </c>
      <c r="P599" s="3470" t="s">
        <v>3452</v>
      </c>
      <c r="Q599" s="3470">
        <v>578725.33160000003</v>
      </c>
      <c r="R599" s="3470">
        <v>4902.79</v>
      </c>
      <c r="S599" s="3470">
        <v>57.29</v>
      </c>
      <c r="T599" s="3470">
        <v>572900</v>
      </c>
      <c r="U599" s="3470">
        <v>4854</v>
      </c>
      <c r="V599" s="3470">
        <v>0.1</v>
      </c>
      <c r="W599" s="3470">
        <v>51.56</v>
      </c>
      <c r="X599" s="3470">
        <v>515600</v>
      </c>
      <c r="Y599" s="3470">
        <v>2003</v>
      </c>
      <c r="Z599" s="3470">
        <v>8</v>
      </c>
      <c r="AA599" s="3470">
        <v>5</v>
      </c>
      <c r="AB599" s="3470">
        <v>2860</v>
      </c>
      <c r="AC599" s="3470" t="s">
        <v>7887</v>
      </c>
      <c r="AE599" s="3470" t="s">
        <v>3663</v>
      </c>
      <c r="AF599" s="3470" t="s">
        <v>4200</v>
      </c>
      <c r="AG599" s="3470" t="s">
        <v>3466</v>
      </c>
      <c r="AH599" s="3470" t="s">
        <v>3568</v>
      </c>
      <c r="AI599" s="3470" t="s">
        <v>5021</v>
      </c>
      <c r="AJ599" s="3470">
        <v>37986</v>
      </c>
      <c r="AK599" s="3470">
        <v>8</v>
      </c>
      <c r="AL599" s="3470">
        <v>67641700</v>
      </c>
      <c r="AN599" s="3470" t="s">
        <v>3695</v>
      </c>
      <c r="AO599" s="3470" t="s">
        <v>3568</v>
      </c>
      <c r="AP599" s="3470" t="s">
        <v>3476</v>
      </c>
      <c r="AQ599" s="3470" t="s">
        <v>3571</v>
      </c>
      <c r="AR599" s="3470" t="s">
        <v>3568</v>
      </c>
      <c r="AS599" s="3470" t="s">
        <v>3568</v>
      </c>
      <c r="AT599" s="3470" t="s">
        <v>3568</v>
      </c>
      <c r="AW599" s="3470" t="s">
        <v>3572</v>
      </c>
      <c r="AX599" s="3470" t="s">
        <v>2511</v>
      </c>
      <c r="AY599" s="3481" t="s">
        <v>7888</v>
      </c>
      <c r="AZ599" s="3470" t="s">
        <v>5786</v>
      </c>
      <c r="BA599" s="3470" t="s">
        <v>7527</v>
      </c>
      <c r="BB599" s="3481">
        <v>1101082131202</v>
      </c>
      <c r="BC599" s="3470" t="s">
        <v>5436</v>
      </c>
      <c r="BD599" s="3482">
        <v>102400</v>
      </c>
      <c r="BE599" s="3470">
        <v>62842753</v>
      </c>
      <c r="BF599" s="3483">
        <v>2.8</v>
      </c>
      <c r="BG599" s="3478">
        <v>37807</v>
      </c>
      <c r="BH599" s="3470" t="s">
        <v>3568</v>
      </c>
      <c r="BI599" s="3470" t="s">
        <v>3476</v>
      </c>
      <c r="BJ599" s="3508">
        <v>37834</v>
      </c>
      <c r="BK599" s="3508"/>
      <c r="BL599" s="3470" t="s">
        <v>3670</v>
      </c>
      <c r="BP599" s="3441"/>
      <c r="BQ599" s="3441"/>
      <c r="BR599" s="3441"/>
    </row>
    <row r="600" spans="1:70" s="3470" customFormat="1" ht="12" hidden="1">
      <c r="A600" s="3470" t="s">
        <v>7889</v>
      </c>
      <c r="B600" s="3470" t="s">
        <v>7890</v>
      </c>
      <c r="C600" s="3470" t="s">
        <v>7891</v>
      </c>
      <c r="D600" s="3470" t="s">
        <v>7892</v>
      </c>
      <c r="E600" s="3470" t="s">
        <v>3558</v>
      </c>
      <c r="F600" s="3470" t="s">
        <v>5335</v>
      </c>
      <c r="H600" s="3470" t="s">
        <v>3837</v>
      </c>
      <c r="J600" s="3470" t="s">
        <v>7893</v>
      </c>
      <c r="K600" s="3470" t="s">
        <v>5338</v>
      </c>
      <c r="L600" s="3470">
        <v>82.8</v>
      </c>
      <c r="M600" s="3470">
        <v>12</v>
      </c>
      <c r="N600" s="3470" t="s">
        <v>4030</v>
      </c>
      <c r="O600" s="3470">
        <v>67.12</v>
      </c>
      <c r="P600" s="3470" t="s">
        <v>3452</v>
      </c>
      <c r="Q600" s="3470">
        <v>319608</v>
      </c>
      <c r="R600" s="3470">
        <v>3860</v>
      </c>
      <c r="S600" s="3470">
        <v>31.58</v>
      </c>
      <c r="T600" s="3470">
        <v>315800</v>
      </c>
      <c r="U600" s="3470">
        <v>3815</v>
      </c>
      <c r="V600" s="3470">
        <v>0.1</v>
      </c>
      <c r="W600" s="3470">
        <v>28.42</v>
      </c>
      <c r="X600" s="3470">
        <v>284200</v>
      </c>
      <c r="Y600" s="3470">
        <v>2003</v>
      </c>
      <c r="Z600" s="3470">
        <v>8</v>
      </c>
      <c r="AA600" s="3470">
        <v>6</v>
      </c>
      <c r="AB600" s="3470">
        <v>1575</v>
      </c>
      <c r="AC600" s="3470" t="s">
        <v>3603</v>
      </c>
      <c r="AE600" s="3470" t="s">
        <v>3663</v>
      </c>
      <c r="AF600" s="3470" t="s">
        <v>7377</v>
      </c>
      <c r="AG600" s="3470" t="s">
        <v>3466</v>
      </c>
      <c r="AH600" s="3470" t="s">
        <v>3568</v>
      </c>
      <c r="AI600" s="3470" t="s">
        <v>5021</v>
      </c>
      <c r="AJ600" s="3470">
        <v>38138</v>
      </c>
      <c r="AK600" s="3470">
        <v>8</v>
      </c>
      <c r="AL600" s="3470">
        <v>67641700</v>
      </c>
      <c r="AN600" s="3470" t="s">
        <v>3695</v>
      </c>
      <c r="AO600" s="3470" t="s">
        <v>3568</v>
      </c>
      <c r="AP600" s="3470" t="s">
        <v>3476</v>
      </c>
      <c r="AQ600" s="3470" t="s">
        <v>3571</v>
      </c>
      <c r="AV600" s="3470" t="s">
        <v>3568</v>
      </c>
      <c r="AW600" s="3470" t="s">
        <v>3572</v>
      </c>
      <c r="AY600" s="3481">
        <v>262866</v>
      </c>
      <c r="AZ600" s="3470" t="s">
        <v>5338</v>
      </c>
      <c r="BA600" s="3470" t="s">
        <v>5342</v>
      </c>
      <c r="BB600" s="3481" t="s">
        <v>5343</v>
      </c>
      <c r="BC600" s="3470" t="s">
        <v>5344</v>
      </c>
      <c r="BD600" s="3482">
        <v>102488</v>
      </c>
      <c r="BE600" s="3470">
        <v>63023627</v>
      </c>
      <c r="BF600" s="3483">
        <v>2.8</v>
      </c>
      <c r="BG600" s="3478">
        <v>37777</v>
      </c>
      <c r="BI600" s="3470" t="s">
        <v>3476</v>
      </c>
      <c r="BJ600" s="3508">
        <v>37834</v>
      </c>
      <c r="BK600" s="3508"/>
      <c r="BL600" s="3470" t="s">
        <v>3670</v>
      </c>
      <c r="BP600" s="3441"/>
      <c r="BQ600" s="3441"/>
      <c r="BR600" s="3441"/>
    </row>
    <row r="601" spans="1:70" s="3470" customFormat="1" ht="12" hidden="1">
      <c r="A601" s="3470" t="s">
        <v>7894</v>
      </c>
      <c r="B601" s="3470" t="s">
        <v>7895</v>
      </c>
      <c r="C601" s="3470" t="s">
        <v>7896</v>
      </c>
      <c r="D601" s="3470" t="s">
        <v>7897</v>
      </c>
      <c r="E601" s="3470" t="s">
        <v>3558</v>
      </c>
      <c r="F601" s="3470" t="s">
        <v>5335</v>
      </c>
      <c r="H601" s="3470" t="s">
        <v>3837</v>
      </c>
      <c r="J601" s="3470" t="s">
        <v>7898</v>
      </c>
      <c r="K601" s="3470" t="s">
        <v>5338</v>
      </c>
      <c r="L601" s="3470">
        <v>57.9</v>
      </c>
      <c r="M601" s="3470">
        <v>16</v>
      </c>
      <c r="N601" s="3470" t="s">
        <v>3564</v>
      </c>
      <c r="O601" s="3470">
        <v>46.94</v>
      </c>
      <c r="P601" s="3470" t="s">
        <v>3452</v>
      </c>
      <c r="Q601" s="3470">
        <v>257227.11899999998</v>
      </c>
      <c r="R601" s="3470">
        <v>4442.6099999999997</v>
      </c>
      <c r="S601" s="3470">
        <v>25.45</v>
      </c>
      <c r="T601" s="3470">
        <v>254500</v>
      </c>
      <c r="U601" s="3470">
        <v>4397</v>
      </c>
      <c r="V601" s="3470">
        <v>0.1</v>
      </c>
      <c r="W601" s="3470">
        <v>22.9</v>
      </c>
      <c r="X601" s="3470">
        <v>229000</v>
      </c>
      <c r="Y601" s="3470">
        <v>2003</v>
      </c>
      <c r="Z601" s="3470">
        <v>8</v>
      </c>
      <c r="AA601" s="3470">
        <v>5</v>
      </c>
      <c r="AB601" s="3470">
        <v>1270</v>
      </c>
      <c r="AC601" s="3470" t="s">
        <v>3603</v>
      </c>
      <c r="AE601" s="3470" t="s">
        <v>3663</v>
      </c>
      <c r="AF601" s="3470" t="s">
        <v>7899</v>
      </c>
      <c r="AG601" s="3470" t="s">
        <v>3466</v>
      </c>
      <c r="AH601" s="3470" t="s">
        <v>3568</v>
      </c>
      <c r="AI601" s="3470" t="s">
        <v>5021</v>
      </c>
      <c r="AJ601" s="3470">
        <v>38138</v>
      </c>
      <c r="AK601" s="3470">
        <v>8</v>
      </c>
      <c r="AL601" s="3470">
        <v>67641700</v>
      </c>
      <c r="AN601" s="3470" t="s">
        <v>3695</v>
      </c>
      <c r="AO601" s="3470" t="s">
        <v>3568</v>
      </c>
      <c r="AP601" s="3470" t="s">
        <v>3476</v>
      </c>
      <c r="AQ601" s="3470" t="s">
        <v>3571</v>
      </c>
      <c r="AV601" s="3470" t="s">
        <v>3568</v>
      </c>
      <c r="AW601" s="3470" t="s">
        <v>3572</v>
      </c>
      <c r="AY601" s="3481">
        <v>267159</v>
      </c>
      <c r="AZ601" s="3470" t="s">
        <v>5338</v>
      </c>
      <c r="BA601" s="3470" t="s">
        <v>5342</v>
      </c>
      <c r="BB601" s="3481" t="s">
        <v>5343</v>
      </c>
      <c r="BC601" s="3470" t="s">
        <v>5344</v>
      </c>
      <c r="BD601" s="3482">
        <v>102488</v>
      </c>
      <c r="BE601" s="3470">
        <v>63023627</v>
      </c>
      <c r="BF601" s="3483">
        <v>2.8</v>
      </c>
      <c r="BG601" s="3478">
        <v>37806</v>
      </c>
      <c r="BI601" s="3470" t="s">
        <v>3476</v>
      </c>
      <c r="BJ601" s="3508">
        <v>37837</v>
      </c>
      <c r="BK601" s="3508"/>
      <c r="BL601" s="3470" t="s">
        <v>3670</v>
      </c>
      <c r="BP601" s="3441"/>
      <c r="BQ601" s="3441"/>
      <c r="BR601" s="3441"/>
    </row>
    <row r="602" spans="1:70" s="3470" customFormat="1" ht="12" hidden="1">
      <c r="A602" s="3470" t="s">
        <v>7900</v>
      </c>
      <c r="B602" s="3470" t="s">
        <v>7901</v>
      </c>
      <c r="C602" s="3470" t="s">
        <v>7902</v>
      </c>
      <c r="D602" s="3470">
        <v>13693567589</v>
      </c>
      <c r="E602" s="3470" t="s">
        <v>3558</v>
      </c>
      <c r="F602" s="3470" t="s">
        <v>4645</v>
      </c>
      <c r="H602" s="3470" t="s">
        <v>4646</v>
      </c>
      <c r="I602" s="3470" t="s">
        <v>4695</v>
      </c>
      <c r="J602" s="3470" t="s">
        <v>7903</v>
      </c>
      <c r="K602" s="3470" t="s">
        <v>4649</v>
      </c>
      <c r="L602" s="3470">
        <v>95.92</v>
      </c>
      <c r="M602" s="3470">
        <v>4</v>
      </c>
      <c r="N602" s="3470" t="s">
        <v>4030</v>
      </c>
      <c r="O602" s="3470">
        <v>75.61</v>
      </c>
      <c r="P602" s="3470" t="s">
        <v>3452</v>
      </c>
      <c r="Q602" s="3470">
        <v>749327.04</v>
      </c>
      <c r="R602" s="3470">
        <v>7812</v>
      </c>
      <c r="S602" s="3470">
        <v>74.27</v>
      </c>
      <c r="T602" s="3470">
        <v>742700</v>
      </c>
      <c r="U602" s="3470">
        <v>7743</v>
      </c>
      <c r="V602" s="3470">
        <v>0.1</v>
      </c>
      <c r="W602" s="3470">
        <v>66.84</v>
      </c>
      <c r="X602" s="3470">
        <v>668400</v>
      </c>
      <c r="Y602" s="3470">
        <v>2003</v>
      </c>
      <c r="Z602" s="3470">
        <v>8</v>
      </c>
      <c r="AA602" s="3470">
        <v>5</v>
      </c>
      <c r="AB602" s="3470">
        <v>3710</v>
      </c>
      <c r="AC602" s="3470" t="s">
        <v>3693</v>
      </c>
      <c r="AE602" s="3470" t="s">
        <v>3663</v>
      </c>
      <c r="AF602" s="3470" t="s">
        <v>3728</v>
      </c>
      <c r="AG602" s="3470" t="s">
        <v>3466</v>
      </c>
      <c r="AI602" s="3470" t="s">
        <v>5021</v>
      </c>
      <c r="AJ602" s="3470">
        <v>38199</v>
      </c>
      <c r="AK602" s="3470">
        <v>8</v>
      </c>
      <c r="AL602" s="3470">
        <v>67641700</v>
      </c>
      <c r="AN602" s="3470" t="s">
        <v>3695</v>
      </c>
      <c r="AP602" s="3470" t="s">
        <v>3476</v>
      </c>
      <c r="AQ602" s="3470" t="s">
        <v>3571</v>
      </c>
      <c r="AW602" s="3470" t="s">
        <v>3572</v>
      </c>
      <c r="AX602" s="3470" t="s">
        <v>3568</v>
      </c>
      <c r="AY602" s="3481" t="s">
        <v>7904</v>
      </c>
      <c r="AZ602" s="3470" t="s">
        <v>4654</v>
      </c>
      <c r="BA602" s="3470" t="s">
        <v>4688</v>
      </c>
      <c r="BB602" s="3481" t="s">
        <v>4689</v>
      </c>
      <c r="BC602" s="3470" t="s">
        <v>4656</v>
      </c>
      <c r="BD602" s="3482">
        <v>100037</v>
      </c>
      <c r="BE602" s="3470">
        <v>68347718</v>
      </c>
      <c r="BF602" s="3483">
        <v>2.8</v>
      </c>
      <c r="BG602" s="3478">
        <v>37796</v>
      </c>
      <c r="BH602" s="3470" t="s">
        <v>4681</v>
      </c>
      <c r="BI602" s="3470" t="s">
        <v>3476</v>
      </c>
      <c r="BJ602" s="3508">
        <v>37819</v>
      </c>
      <c r="BK602" s="3508"/>
      <c r="BL602" s="3470" t="s">
        <v>3670</v>
      </c>
      <c r="BP602" s="3441"/>
      <c r="BQ602" s="3441"/>
      <c r="BR602" s="3441"/>
    </row>
    <row r="603" spans="1:70" s="3470" customFormat="1" ht="12" hidden="1">
      <c r="A603" s="3470" t="s">
        <v>7905</v>
      </c>
      <c r="B603" s="3470" t="s">
        <v>7906</v>
      </c>
      <c r="C603" s="3470" t="s">
        <v>7907</v>
      </c>
      <c r="D603" s="3470" t="s">
        <v>7908</v>
      </c>
      <c r="E603" s="3470" t="s">
        <v>3558</v>
      </c>
      <c r="F603" s="3470" t="s">
        <v>7909</v>
      </c>
      <c r="H603" s="3470" t="s">
        <v>7772</v>
      </c>
      <c r="I603" s="3470" t="s">
        <v>4001</v>
      </c>
      <c r="J603" s="3470" t="s">
        <v>5563</v>
      </c>
      <c r="K603" s="3470" t="s">
        <v>7910</v>
      </c>
      <c r="L603" s="3470">
        <v>112.73</v>
      </c>
      <c r="M603" s="3470">
        <v>6.5</v>
      </c>
      <c r="N603" s="3470" t="s">
        <v>5032</v>
      </c>
      <c r="O603" s="3470">
        <v>96.91</v>
      </c>
      <c r="P603" s="3470" t="s">
        <v>3452</v>
      </c>
      <c r="Q603" s="3470">
        <v>789278.64949999994</v>
      </c>
      <c r="R603" s="3470">
        <v>8144.45</v>
      </c>
      <c r="S603" s="3470">
        <v>78.22</v>
      </c>
      <c r="T603" s="3470">
        <v>782200</v>
      </c>
      <c r="U603" s="3470">
        <v>6939</v>
      </c>
      <c r="V603" s="3470">
        <v>0.1</v>
      </c>
      <c r="W603" s="3470">
        <v>70.39</v>
      </c>
      <c r="X603" s="3470">
        <v>703900</v>
      </c>
      <c r="Y603" s="3470">
        <v>2003</v>
      </c>
      <c r="Z603" s="3470">
        <v>8</v>
      </c>
      <c r="AA603" s="3470">
        <v>5</v>
      </c>
      <c r="AB603" s="3470">
        <v>3910</v>
      </c>
      <c r="AC603" s="3470" t="s">
        <v>4004</v>
      </c>
      <c r="AE603" s="3470" t="s">
        <v>3663</v>
      </c>
      <c r="AF603" s="3470" t="s">
        <v>3728</v>
      </c>
      <c r="AG603" s="3470" t="s">
        <v>3466</v>
      </c>
      <c r="AI603" s="3470" t="s">
        <v>7643</v>
      </c>
      <c r="AJ603" s="3470">
        <v>37986</v>
      </c>
      <c r="AK603" s="3470">
        <v>8</v>
      </c>
      <c r="AL603" s="3470">
        <v>67641700</v>
      </c>
      <c r="AN603" s="3470" t="s">
        <v>3695</v>
      </c>
      <c r="AP603" s="3470" t="s">
        <v>3476</v>
      </c>
      <c r="AQ603" s="3470" t="s">
        <v>3571</v>
      </c>
      <c r="AW603" s="3470" t="s">
        <v>3572</v>
      </c>
      <c r="AY603" s="3481">
        <v>512006</v>
      </c>
      <c r="AZ603" s="3470" t="s">
        <v>7910</v>
      </c>
      <c r="BA603" s="3470" t="s">
        <v>7911</v>
      </c>
      <c r="BB603" s="3481" t="s">
        <v>7912</v>
      </c>
      <c r="BC603" s="3470" t="s">
        <v>7913</v>
      </c>
      <c r="BD603" s="3482">
        <v>100036</v>
      </c>
      <c r="BE603" s="3470">
        <v>88515522</v>
      </c>
      <c r="BF603" s="3483">
        <v>2.95</v>
      </c>
      <c r="BG603" s="3478">
        <v>37797</v>
      </c>
      <c r="BH603" s="3470" t="s">
        <v>7648</v>
      </c>
      <c r="BI603" s="3470" t="s">
        <v>3476</v>
      </c>
      <c r="BJ603" s="3508">
        <v>37834</v>
      </c>
      <c r="BK603" s="3508"/>
      <c r="BL603" s="3470" t="s">
        <v>3670</v>
      </c>
      <c r="BP603" s="3441"/>
      <c r="BQ603" s="3441"/>
      <c r="BR603" s="3441"/>
    </row>
    <row r="604" spans="1:70" s="3470" customFormat="1" ht="12" hidden="1">
      <c r="A604" s="3470" t="s">
        <v>7914</v>
      </c>
      <c r="B604" s="3470" t="s">
        <v>7915</v>
      </c>
      <c r="C604" s="3470" t="s">
        <v>7916</v>
      </c>
      <c r="D604" s="3470" t="s">
        <v>7917</v>
      </c>
      <c r="E604" s="3470" t="s">
        <v>3558</v>
      </c>
      <c r="F604" s="3470" t="s">
        <v>7652</v>
      </c>
      <c r="H604" s="3470" t="s">
        <v>4168</v>
      </c>
      <c r="I604" s="3470" t="s">
        <v>4309</v>
      </c>
      <c r="J604" s="3470" t="s">
        <v>5122</v>
      </c>
      <c r="K604" s="3470" t="s">
        <v>7653</v>
      </c>
      <c r="L604" s="3470">
        <v>104.38</v>
      </c>
      <c r="M604" s="3470">
        <v>3</v>
      </c>
      <c r="N604" s="3470" t="s">
        <v>3480</v>
      </c>
      <c r="O604" s="3470">
        <v>92.85</v>
      </c>
      <c r="P604" s="3470" t="s">
        <v>3452</v>
      </c>
      <c r="Q604" s="3470">
        <v>571480.5</v>
      </c>
      <c r="R604" s="3470">
        <v>5475</v>
      </c>
      <c r="S604" s="3470">
        <v>56.6</v>
      </c>
      <c r="T604" s="3470">
        <v>566000</v>
      </c>
      <c r="U604" s="3470">
        <v>5423</v>
      </c>
      <c r="V604" s="3470">
        <v>0.1</v>
      </c>
      <c r="W604" s="3470">
        <v>50.94</v>
      </c>
      <c r="X604" s="3470">
        <v>509400</v>
      </c>
      <c r="Y604" s="3470">
        <v>2003</v>
      </c>
      <c r="Z604" s="3470">
        <v>8</v>
      </c>
      <c r="AA604" s="3470">
        <v>5</v>
      </c>
      <c r="AB604" s="3470">
        <v>2830</v>
      </c>
      <c r="AC604" s="3470" t="s">
        <v>4004</v>
      </c>
      <c r="AE604" s="3470" t="s">
        <v>3663</v>
      </c>
      <c r="AF604" s="3470" t="s">
        <v>4200</v>
      </c>
      <c r="AG604" s="3470" t="s">
        <v>3466</v>
      </c>
      <c r="AH604" s="3470" t="s">
        <v>3568</v>
      </c>
      <c r="AI604" s="3470" t="s">
        <v>5021</v>
      </c>
      <c r="AJ604" s="3470">
        <v>37986</v>
      </c>
      <c r="AK604" s="3470">
        <v>8</v>
      </c>
      <c r="AL604" s="3470">
        <v>67641700</v>
      </c>
      <c r="AN604" s="3470" t="s">
        <v>3695</v>
      </c>
      <c r="AP604" s="3470" t="s">
        <v>3476</v>
      </c>
      <c r="AQ604" s="3470" t="s">
        <v>3571</v>
      </c>
      <c r="AV604" s="3470" t="s">
        <v>3568</v>
      </c>
      <c r="AW604" s="3470" t="s">
        <v>3572</v>
      </c>
      <c r="AY604" s="3481" t="s">
        <v>7918</v>
      </c>
      <c r="AZ604" s="3470" t="s">
        <v>7653</v>
      </c>
      <c r="BA604" s="3470" t="s">
        <v>7655</v>
      </c>
      <c r="BB604" s="3481" t="s">
        <v>7656</v>
      </c>
      <c r="BC604" s="3470" t="s">
        <v>7657</v>
      </c>
      <c r="BD604" s="3482">
        <v>100025</v>
      </c>
      <c r="BE604" s="3470">
        <v>62908858</v>
      </c>
      <c r="BF604" s="3483">
        <v>2.7</v>
      </c>
      <c r="BG604" s="3478">
        <v>37793</v>
      </c>
      <c r="BH604" s="3470" t="s">
        <v>4681</v>
      </c>
      <c r="BI604" s="3470" t="s">
        <v>3476</v>
      </c>
      <c r="BJ604" s="3508">
        <v>37826</v>
      </c>
      <c r="BK604" s="3508"/>
      <c r="BL604" s="3470" t="s">
        <v>3670</v>
      </c>
      <c r="BP604" s="3441"/>
      <c r="BQ604" s="3441"/>
      <c r="BR604" s="3441"/>
    </row>
    <row r="605" spans="1:70" s="3470" customFormat="1" ht="12" hidden="1">
      <c r="A605" s="3470" t="s">
        <v>7919</v>
      </c>
      <c r="B605" s="3470" t="s">
        <v>7920</v>
      </c>
      <c r="C605" s="3470" t="s">
        <v>7921</v>
      </c>
      <c r="D605" s="3470">
        <v>13521183731</v>
      </c>
      <c r="E605" s="3470" t="s">
        <v>3558</v>
      </c>
      <c r="F605" s="3470" t="s">
        <v>4645</v>
      </c>
      <c r="H605" s="3470" t="s">
        <v>4646</v>
      </c>
      <c r="I605" s="3470" t="s">
        <v>7922</v>
      </c>
      <c r="J605" s="3470" t="s">
        <v>7923</v>
      </c>
      <c r="K605" s="3470" t="s">
        <v>4649</v>
      </c>
      <c r="L605" s="3470">
        <v>52.86</v>
      </c>
      <c r="M605" s="3470">
        <v>13</v>
      </c>
      <c r="N605" s="3470" t="s">
        <v>3692</v>
      </c>
      <c r="O605" s="3470">
        <v>41.67</v>
      </c>
      <c r="P605" s="3470" t="s">
        <v>3452</v>
      </c>
      <c r="Q605" s="3470">
        <v>406017.66</v>
      </c>
      <c r="R605" s="3470">
        <v>7681</v>
      </c>
      <c r="S605" s="3470">
        <v>40.24</v>
      </c>
      <c r="T605" s="3470">
        <v>402400</v>
      </c>
      <c r="U605" s="3470">
        <v>7613</v>
      </c>
      <c r="V605" s="3470">
        <v>0.1</v>
      </c>
      <c r="W605" s="3470">
        <v>36.21</v>
      </c>
      <c r="X605" s="3470">
        <v>362100</v>
      </c>
      <c r="Y605" s="3470">
        <v>2003</v>
      </c>
      <c r="Z605" s="3470">
        <v>8</v>
      </c>
      <c r="AA605" s="3470">
        <v>5</v>
      </c>
      <c r="AB605" s="3470">
        <v>2010</v>
      </c>
      <c r="AC605" s="3470" t="s">
        <v>3693</v>
      </c>
      <c r="AE605" s="3470" t="s">
        <v>3663</v>
      </c>
      <c r="AF605" s="3470" t="s">
        <v>3728</v>
      </c>
      <c r="AG605" s="3470" t="s">
        <v>3466</v>
      </c>
      <c r="AI605" s="3470" t="s">
        <v>5021</v>
      </c>
      <c r="AJ605" s="3470">
        <v>38199</v>
      </c>
      <c r="AK605" s="3470">
        <v>8</v>
      </c>
      <c r="AL605" s="3470">
        <v>67641700</v>
      </c>
      <c r="AN605" s="3470" t="s">
        <v>3695</v>
      </c>
      <c r="AP605" s="3470" t="s">
        <v>3476</v>
      </c>
      <c r="AQ605" s="3470" t="s">
        <v>3571</v>
      </c>
      <c r="AW605" s="3470" t="s">
        <v>3572</v>
      </c>
      <c r="AX605" s="3470" t="s">
        <v>3568</v>
      </c>
      <c r="AY605" s="3481" t="s">
        <v>7924</v>
      </c>
      <c r="AZ605" s="3470" t="s">
        <v>4654</v>
      </c>
      <c r="BA605" s="3470" t="s">
        <v>4688</v>
      </c>
      <c r="BB605" s="3481" t="s">
        <v>4689</v>
      </c>
      <c r="BC605" s="3470" t="s">
        <v>4656</v>
      </c>
      <c r="BD605" s="3482">
        <v>100037</v>
      </c>
      <c r="BE605" s="3470">
        <v>68347718</v>
      </c>
      <c r="BF605" s="3483">
        <v>2.8</v>
      </c>
      <c r="BG605" s="3478">
        <v>37825</v>
      </c>
      <c r="BH605" s="3470" t="s">
        <v>4681</v>
      </c>
      <c r="BI605" s="3470" t="s">
        <v>3476</v>
      </c>
      <c r="BJ605" s="3508">
        <v>37837</v>
      </c>
      <c r="BK605" s="3508"/>
      <c r="BL605" s="3470" t="s">
        <v>3670</v>
      </c>
      <c r="BP605" s="3441"/>
      <c r="BQ605" s="3441"/>
      <c r="BR605" s="3441"/>
    </row>
    <row r="606" spans="1:70" s="3470" customFormat="1" ht="12" hidden="1">
      <c r="A606" s="3470" t="s">
        <v>7925</v>
      </c>
      <c r="B606" s="3470" t="s">
        <v>7926</v>
      </c>
      <c r="C606" s="3470" t="s">
        <v>7927</v>
      </c>
      <c r="D606" s="3470">
        <v>13691298643</v>
      </c>
      <c r="E606" s="3470" t="s">
        <v>3558</v>
      </c>
      <c r="F606" s="3470" t="s">
        <v>4645</v>
      </c>
      <c r="H606" s="3470" t="s">
        <v>4646</v>
      </c>
      <c r="I606" s="3470" t="s">
        <v>7673</v>
      </c>
      <c r="J606" s="3470" t="s">
        <v>7928</v>
      </c>
      <c r="K606" s="3470" t="s">
        <v>4649</v>
      </c>
      <c r="L606" s="3470">
        <v>52.86</v>
      </c>
      <c r="M606" s="3470">
        <v>14</v>
      </c>
      <c r="N606" s="3470" t="s">
        <v>3692</v>
      </c>
      <c r="O606" s="3470">
        <v>41.67</v>
      </c>
      <c r="P606" s="3470" t="s">
        <v>3452</v>
      </c>
      <c r="Q606" s="3470">
        <v>406387.68</v>
      </c>
      <c r="R606" s="3470">
        <v>7688</v>
      </c>
      <c r="S606" s="3470">
        <v>40.270000000000003</v>
      </c>
      <c r="T606" s="3470">
        <v>402700</v>
      </c>
      <c r="U606" s="3470">
        <v>7620</v>
      </c>
      <c r="V606" s="3470">
        <v>0.1</v>
      </c>
      <c r="W606" s="3470">
        <v>36.24</v>
      </c>
      <c r="X606" s="3470">
        <v>362400</v>
      </c>
      <c r="Y606" s="3470">
        <v>2003</v>
      </c>
      <c r="Z606" s="3470">
        <v>8</v>
      </c>
      <c r="AA606" s="3470">
        <v>6</v>
      </c>
      <c r="AB606" s="3470">
        <v>2010</v>
      </c>
      <c r="AC606" s="3470" t="s">
        <v>3693</v>
      </c>
      <c r="AE606" s="3470" t="s">
        <v>3663</v>
      </c>
      <c r="AF606" s="3470" t="s">
        <v>3728</v>
      </c>
      <c r="AG606" s="3470" t="s">
        <v>3466</v>
      </c>
      <c r="AI606" s="3470" t="s">
        <v>5021</v>
      </c>
      <c r="AJ606" s="3470">
        <v>38199</v>
      </c>
      <c r="AK606" s="3470">
        <v>8</v>
      </c>
      <c r="AL606" s="3470">
        <v>67641700</v>
      </c>
      <c r="AN606" s="3470" t="s">
        <v>3695</v>
      </c>
      <c r="AP606" s="3470" t="s">
        <v>3476</v>
      </c>
      <c r="AQ606" s="3470" t="s">
        <v>3571</v>
      </c>
      <c r="AW606" s="3470" t="s">
        <v>3572</v>
      </c>
      <c r="AX606" s="3470" t="s">
        <v>3568</v>
      </c>
      <c r="AY606" s="3481" t="s">
        <v>7929</v>
      </c>
      <c r="AZ606" s="3470" t="s">
        <v>4654</v>
      </c>
      <c r="BA606" s="3470" t="s">
        <v>4688</v>
      </c>
      <c r="BB606" s="3481" t="s">
        <v>4689</v>
      </c>
      <c r="BC606" s="3470" t="s">
        <v>4656</v>
      </c>
      <c r="BD606" s="3482">
        <v>100037</v>
      </c>
      <c r="BE606" s="3470">
        <v>68347718</v>
      </c>
      <c r="BF606" s="3483">
        <v>2.8</v>
      </c>
      <c r="BG606" s="3478">
        <v>37821</v>
      </c>
      <c r="BH606" s="3470" t="s">
        <v>4681</v>
      </c>
      <c r="BI606" s="3470" t="s">
        <v>3476</v>
      </c>
      <c r="BJ606" s="3508">
        <v>37837</v>
      </c>
      <c r="BK606" s="3508"/>
      <c r="BL606" s="3470" t="s">
        <v>3670</v>
      </c>
      <c r="BP606" s="3441"/>
      <c r="BQ606" s="3441"/>
      <c r="BR606" s="3441"/>
    </row>
    <row r="607" spans="1:70" s="3470" customFormat="1" ht="12" hidden="1">
      <c r="A607" s="3470" t="s">
        <v>7930</v>
      </c>
      <c r="B607" s="3470" t="s">
        <v>7931</v>
      </c>
      <c r="C607" s="3470" t="s">
        <v>7932</v>
      </c>
      <c r="D607" s="3470" t="s">
        <v>7933</v>
      </c>
      <c r="E607" s="3470" t="s">
        <v>3558</v>
      </c>
      <c r="F607" s="3470" t="s">
        <v>4758</v>
      </c>
      <c r="H607" s="3470" t="s">
        <v>3979</v>
      </c>
      <c r="I607" s="3470" t="s">
        <v>3561</v>
      </c>
      <c r="J607" s="3470" t="s">
        <v>5003</v>
      </c>
      <c r="K607" s="3470" t="s">
        <v>4760</v>
      </c>
      <c r="L607" s="3470">
        <v>125.07</v>
      </c>
      <c r="M607" s="3470">
        <v>6</v>
      </c>
      <c r="N607" s="3470" t="s">
        <v>3738</v>
      </c>
      <c r="O607" s="3470">
        <v>108.7</v>
      </c>
      <c r="P607" s="3470" t="s">
        <v>3452</v>
      </c>
      <c r="Q607" s="3470">
        <v>569068.5</v>
      </c>
      <c r="R607" s="3470">
        <v>4550</v>
      </c>
      <c r="S607" s="3470">
        <v>56.33</v>
      </c>
      <c r="T607" s="3470">
        <v>563300</v>
      </c>
      <c r="U607" s="3470">
        <v>4504</v>
      </c>
      <c r="V607" s="3470">
        <v>0.1</v>
      </c>
      <c r="W607" s="3470">
        <v>50.69</v>
      </c>
      <c r="X607" s="3470">
        <v>506900</v>
      </c>
      <c r="Y607" s="3470">
        <v>2003</v>
      </c>
      <c r="Z607" s="3470">
        <v>8</v>
      </c>
      <c r="AA607" s="3470">
        <v>5</v>
      </c>
      <c r="AB607" s="3470">
        <v>2815</v>
      </c>
      <c r="AC607" s="3470" t="s">
        <v>3565</v>
      </c>
      <c r="AE607" s="3470" t="s">
        <v>3663</v>
      </c>
      <c r="AF607" s="3470" t="s">
        <v>4032</v>
      </c>
      <c r="AG607" s="3470" t="s">
        <v>3466</v>
      </c>
      <c r="AH607" s="3470" t="s">
        <v>3568</v>
      </c>
      <c r="AI607" s="3470" t="s">
        <v>5021</v>
      </c>
      <c r="AJ607" s="3470">
        <v>38107</v>
      </c>
      <c r="AK607" s="3470">
        <v>8</v>
      </c>
      <c r="AL607" s="3470">
        <v>67641700</v>
      </c>
      <c r="AN607" s="3470" t="s">
        <v>3695</v>
      </c>
      <c r="AO607" s="3470" t="s">
        <v>3568</v>
      </c>
      <c r="AP607" s="3470" t="s">
        <v>3476</v>
      </c>
      <c r="AQ607" s="3470" t="s">
        <v>3571</v>
      </c>
      <c r="AV607" s="3470" t="s">
        <v>3568</v>
      </c>
      <c r="AW607" s="3470" t="s">
        <v>3572</v>
      </c>
      <c r="AX607" s="3470" t="s">
        <v>2511</v>
      </c>
      <c r="AY607" s="3481" t="s">
        <v>7934</v>
      </c>
      <c r="AZ607" s="3470" t="s">
        <v>4760</v>
      </c>
      <c r="BA607" s="3470" t="s">
        <v>4763</v>
      </c>
      <c r="BB607" s="3481" t="s">
        <v>4764</v>
      </c>
      <c r="BC607" s="3470" t="s">
        <v>4765</v>
      </c>
      <c r="BD607" s="3482">
        <v>102607</v>
      </c>
      <c r="BE607" s="3470">
        <v>68156287</v>
      </c>
      <c r="BF607" s="3483">
        <v>2.8</v>
      </c>
      <c r="BG607" s="3478">
        <v>37826</v>
      </c>
      <c r="BI607" s="3470" t="s">
        <v>3476</v>
      </c>
      <c r="BJ607" s="3508">
        <v>37834</v>
      </c>
      <c r="BK607" s="3508"/>
      <c r="BL607" s="3470" t="s">
        <v>3670</v>
      </c>
      <c r="BP607" s="3441"/>
      <c r="BQ607" s="3441"/>
      <c r="BR607" s="3441"/>
    </row>
    <row r="608" spans="1:70" s="3470" customFormat="1" ht="12" hidden="1">
      <c r="A608" s="3470" t="s">
        <v>7935</v>
      </c>
      <c r="B608" s="3470" t="s">
        <v>7936</v>
      </c>
      <c r="C608" s="3470" t="s">
        <v>7937</v>
      </c>
      <c r="D608" s="3470">
        <v>13651086532</v>
      </c>
      <c r="E608" s="3470" t="s">
        <v>3558</v>
      </c>
      <c r="F608" s="3470" t="s">
        <v>4645</v>
      </c>
      <c r="H608" s="3470" t="s">
        <v>4646</v>
      </c>
      <c r="I608" s="3470" t="s">
        <v>7922</v>
      </c>
      <c r="J608" s="3470" t="s">
        <v>7938</v>
      </c>
      <c r="K608" s="3470" t="s">
        <v>4649</v>
      </c>
      <c r="L608" s="3470">
        <v>51.45</v>
      </c>
      <c r="M608" s="3470">
        <v>13</v>
      </c>
      <c r="N608" s="3470" t="s">
        <v>3692</v>
      </c>
      <c r="O608" s="3470">
        <v>40.56</v>
      </c>
      <c r="P608" s="3470" t="s">
        <v>3452</v>
      </c>
      <c r="Q608" s="3470">
        <v>393695.4</v>
      </c>
      <c r="R608" s="3470">
        <v>7652</v>
      </c>
      <c r="S608" s="3470">
        <v>39.01</v>
      </c>
      <c r="T608" s="3470">
        <v>390100</v>
      </c>
      <c r="U608" s="3470">
        <v>7583</v>
      </c>
      <c r="V608" s="3470">
        <v>0.1</v>
      </c>
      <c r="W608" s="3470">
        <v>35.1</v>
      </c>
      <c r="X608" s="3470">
        <v>351000</v>
      </c>
      <c r="Y608" s="3470">
        <v>2003</v>
      </c>
      <c r="Z608" s="3470">
        <v>8</v>
      </c>
      <c r="AA608" s="3470">
        <v>5</v>
      </c>
      <c r="AB608" s="3470">
        <v>1950</v>
      </c>
      <c r="AC608" s="3470" t="s">
        <v>3565</v>
      </c>
      <c r="AE608" s="3470" t="s">
        <v>3663</v>
      </c>
      <c r="AF608" s="3470" t="s">
        <v>3728</v>
      </c>
      <c r="AG608" s="3470" t="s">
        <v>3466</v>
      </c>
      <c r="AI608" s="3470" t="s">
        <v>5021</v>
      </c>
      <c r="AJ608" s="3470">
        <v>38199</v>
      </c>
      <c r="AK608" s="3470">
        <v>8</v>
      </c>
      <c r="AL608" s="3470">
        <v>67641700</v>
      </c>
      <c r="AN608" s="3470" t="s">
        <v>3695</v>
      </c>
      <c r="AP608" s="3470" t="s">
        <v>3476</v>
      </c>
      <c r="AQ608" s="3470" t="s">
        <v>3571</v>
      </c>
      <c r="AW608" s="3470" t="s">
        <v>3572</v>
      </c>
      <c r="AX608" s="3470" t="s">
        <v>3568</v>
      </c>
      <c r="AY608" s="3481" t="s">
        <v>7939</v>
      </c>
      <c r="AZ608" s="3470" t="s">
        <v>4654</v>
      </c>
      <c r="BA608" s="3470" t="s">
        <v>4688</v>
      </c>
      <c r="BB608" s="3481" t="s">
        <v>4689</v>
      </c>
      <c r="BC608" s="3470" t="s">
        <v>4656</v>
      </c>
      <c r="BD608" s="3482">
        <v>100037</v>
      </c>
      <c r="BE608" s="3470">
        <v>68347718</v>
      </c>
      <c r="BF608" s="3483">
        <v>2.8</v>
      </c>
      <c r="BG608" s="3478">
        <v>37819</v>
      </c>
      <c r="BH608" s="3470" t="s">
        <v>4681</v>
      </c>
      <c r="BI608" s="3470" t="s">
        <v>3476</v>
      </c>
      <c r="BJ608" s="3508">
        <v>37837</v>
      </c>
      <c r="BK608" s="3508"/>
      <c r="BL608" s="3470" t="s">
        <v>3670</v>
      </c>
      <c r="BP608" s="3441"/>
      <c r="BQ608" s="3441"/>
      <c r="BR608" s="3441"/>
    </row>
    <row r="609" spans="1:73" s="3470" customFormat="1" ht="12" hidden="1">
      <c r="A609" s="3470" t="s">
        <v>7940</v>
      </c>
      <c r="B609" s="3470" t="s">
        <v>7941</v>
      </c>
      <c r="C609" s="3470" t="s">
        <v>7942</v>
      </c>
      <c r="D609" s="3470">
        <v>13910091702</v>
      </c>
      <c r="E609" s="3470" t="s">
        <v>3558</v>
      </c>
      <c r="F609" s="3470" t="s">
        <v>7652</v>
      </c>
      <c r="H609" s="3470" t="s">
        <v>7772</v>
      </c>
      <c r="I609" s="3470" t="s">
        <v>7943</v>
      </c>
      <c r="J609" s="3470" t="s">
        <v>7944</v>
      </c>
      <c r="K609" s="3470" t="s">
        <v>7653</v>
      </c>
      <c r="L609" s="3470">
        <v>104.4</v>
      </c>
      <c r="M609" s="3470">
        <v>9</v>
      </c>
      <c r="N609" s="3470" t="s">
        <v>3480</v>
      </c>
      <c r="O609" s="3470">
        <v>82.57</v>
      </c>
      <c r="P609" s="3470" t="s">
        <v>3452</v>
      </c>
      <c r="Q609" s="3470">
        <v>480240</v>
      </c>
      <c r="R609" s="3470">
        <v>4600</v>
      </c>
      <c r="S609" s="3470">
        <v>47.52</v>
      </c>
      <c r="T609" s="3470">
        <v>475200</v>
      </c>
      <c r="U609" s="3470">
        <v>4552</v>
      </c>
      <c r="V609" s="3470">
        <v>0.1</v>
      </c>
      <c r="W609" s="3470">
        <v>42.76</v>
      </c>
      <c r="X609" s="3470">
        <v>427600</v>
      </c>
      <c r="Y609" s="3470">
        <v>2003</v>
      </c>
      <c r="Z609" s="3470">
        <v>8</v>
      </c>
      <c r="AA609" s="3470">
        <v>6</v>
      </c>
      <c r="AB609" s="3470">
        <v>2375</v>
      </c>
      <c r="AC609" s="3470" t="s">
        <v>7614</v>
      </c>
      <c r="AE609" s="3470" t="s">
        <v>3663</v>
      </c>
      <c r="AF609" s="3470" t="s">
        <v>7945</v>
      </c>
      <c r="AG609" s="3470" t="s">
        <v>3466</v>
      </c>
      <c r="AH609" s="3470" t="s">
        <v>3568</v>
      </c>
      <c r="AI609" s="3470" t="s">
        <v>5021</v>
      </c>
      <c r="AJ609" s="3470">
        <v>38077</v>
      </c>
      <c r="AK609" s="3470">
        <v>8</v>
      </c>
      <c r="AL609" s="3470">
        <v>67641700</v>
      </c>
      <c r="AN609" s="3470" t="s">
        <v>3695</v>
      </c>
      <c r="AP609" s="3470" t="s">
        <v>3476</v>
      </c>
      <c r="AQ609" s="3470" t="s">
        <v>3571</v>
      </c>
      <c r="AV609" s="3470" t="s">
        <v>3568</v>
      </c>
      <c r="AW609" s="3470" t="s">
        <v>3572</v>
      </c>
      <c r="AY609" s="3481" t="s">
        <v>7946</v>
      </c>
      <c r="AZ609" s="3470" t="s">
        <v>7653</v>
      </c>
      <c r="BA609" s="3470" t="s">
        <v>7655</v>
      </c>
      <c r="BB609" s="3481" t="s">
        <v>7656</v>
      </c>
      <c r="BC609" s="3470" t="s">
        <v>7657</v>
      </c>
      <c r="BD609" s="3482">
        <v>100025</v>
      </c>
      <c r="BE609" s="3470">
        <v>62908858</v>
      </c>
      <c r="BF609" s="3483">
        <v>2.7</v>
      </c>
      <c r="BG609" s="3478">
        <v>37830</v>
      </c>
      <c r="BH609" s="3470" t="s">
        <v>4681</v>
      </c>
      <c r="BI609" s="3470" t="s">
        <v>3476</v>
      </c>
      <c r="BJ609" s="3508">
        <v>37837</v>
      </c>
      <c r="BK609" s="3508"/>
      <c r="BL609" s="3470" t="s">
        <v>3670</v>
      </c>
      <c r="BP609" s="3441"/>
      <c r="BQ609" s="3441"/>
      <c r="BR609" s="3441"/>
    </row>
    <row r="610" spans="1:73" s="3470" customFormat="1" ht="12" hidden="1">
      <c r="A610" s="3470" t="s">
        <v>7947</v>
      </c>
      <c r="B610" s="3470" t="s">
        <v>7948</v>
      </c>
      <c r="C610" s="3470" t="s">
        <v>7949</v>
      </c>
      <c r="D610" s="3470">
        <v>13301399322</v>
      </c>
      <c r="E610" s="3470" t="s">
        <v>3558</v>
      </c>
      <c r="F610" s="3470" t="s">
        <v>7652</v>
      </c>
      <c r="H610" s="3470" t="s">
        <v>7772</v>
      </c>
      <c r="I610" s="3470" t="s">
        <v>4733</v>
      </c>
      <c r="J610" s="3470" t="s">
        <v>7950</v>
      </c>
      <c r="K610" s="3470" t="s">
        <v>7653</v>
      </c>
      <c r="L610" s="3470">
        <v>87.59</v>
      </c>
      <c r="M610" s="3470">
        <v>17</v>
      </c>
      <c r="N610" s="3470" t="s">
        <v>5032</v>
      </c>
      <c r="O610" s="3470">
        <v>69.27</v>
      </c>
      <c r="P610" s="3470" t="s">
        <v>3452</v>
      </c>
      <c r="Q610" s="3470">
        <v>425687.4</v>
      </c>
      <c r="R610" s="3470">
        <v>4860</v>
      </c>
      <c r="S610" s="3470">
        <v>42.13</v>
      </c>
      <c r="T610" s="3470">
        <v>421300</v>
      </c>
      <c r="U610" s="3470">
        <v>4811</v>
      </c>
      <c r="V610" s="3470">
        <v>0.1</v>
      </c>
      <c r="W610" s="3470">
        <v>37.909999999999997</v>
      </c>
      <c r="X610" s="3470">
        <v>379100</v>
      </c>
      <c r="Y610" s="3470">
        <v>2003</v>
      </c>
      <c r="Z610" s="3470">
        <v>8</v>
      </c>
      <c r="AA610" s="3470">
        <v>6</v>
      </c>
      <c r="AB610" s="3470">
        <v>2105</v>
      </c>
      <c r="AC610" s="3470" t="s">
        <v>3693</v>
      </c>
      <c r="AE610" s="3470" t="s">
        <v>3663</v>
      </c>
      <c r="AF610" s="3470" t="s">
        <v>7945</v>
      </c>
      <c r="AG610" s="3470" t="s">
        <v>3466</v>
      </c>
      <c r="AH610" s="3470" t="s">
        <v>3568</v>
      </c>
      <c r="AI610" s="3470" t="s">
        <v>5021</v>
      </c>
      <c r="AJ610" s="3470">
        <v>38077</v>
      </c>
      <c r="AK610" s="3470">
        <v>8</v>
      </c>
      <c r="AL610" s="3470">
        <v>67641700</v>
      </c>
      <c r="AN610" s="3470" t="s">
        <v>3695</v>
      </c>
      <c r="AP610" s="3470" t="s">
        <v>3476</v>
      </c>
      <c r="AQ610" s="3470" t="s">
        <v>3571</v>
      </c>
      <c r="AV610" s="3470" t="s">
        <v>3568</v>
      </c>
      <c r="AW610" s="3470" t="s">
        <v>3572</v>
      </c>
      <c r="AY610" s="3481" t="s">
        <v>7951</v>
      </c>
      <c r="AZ610" s="3470" t="s">
        <v>7653</v>
      </c>
      <c r="BA610" s="3470" t="s">
        <v>7655</v>
      </c>
      <c r="BB610" s="3481" t="s">
        <v>7656</v>
      </c>
      <c r="BC610" s="3470" t="s">
        <v>7657</v>
      </c>
      <c r="BD610" s="3482">
        <v>100025</v>
      </c>
      <c r="BE610" s="3470">
        <v>62908858</v>
      </c>
      <c r="BF610" s="3483">
        <v>2.7</v>
      </c>
      <c r="BG610" s="3478">
        <v>37822</v>
      </c>
      <c r="BH610" s="3470" t="s">
        <v>4681</v>
      </c>
      <c r="BI610" s="3470" t="s">
        <v>3476</v>
      </c>
      <c r="BJ610" s="3508">
        <v>37838</v>
      </c>
      <c r="BK610" s="3508"/>
      <c r="BL610" s="3470" t="s">
        <v>3670</v>
      </c>
      <c r="BP610" s="3441"/>
      <c r="BQ610" s="3441"/>
      <c r="BR610" s="3441"/>
    </row>
    <row r="611" spans="1:73" s="3470" customFormat="1" ht="12" hidden="1">
      <c r="A611" s="3470" t="s">
        <v>7952</v>
      </c>
      <c r="B611" s="3470" t="s">
        <v>7953</v>
      </c>
      <c r="C611" s="3470" t="s">
        <v>7954</v>
      </c>
      <c r="D611" s="3470">
        <v>13901027059</v>
      </c>
      <c r="E611" s="3470" t="s">
        <v>3558</v>
      </c>
      <c r="F611" s="3470" t="s">
        <v>7652</v>
      </c>
      <c r="H611" s="3470" t="s">
        <v>7661</v>
      </c>
      <c r="I611" s="3470" t="s">
        <v>7857</v>
      </c>
      <c r="J611" s="3470" t="s">
        <v>5019</v>
      </c>
      <c r="K611" s="3470" t="s">
        <v>7653</v>
      </c>
      <c r="L611" s="3470">
        <v>92.75</v>
      </c>
      <c r="M611" s="3470">
        <v>1</v>
      </c>
      <c r="N611" s="3470" t="s">
        <v>5032</v>
      </c>
      <c r="O611" s="3470">
        <v>78.77</v>
      </c>
      <c r="P611" s="3470" t="s">
        <v>3452</v>
      </c>
      <c r="Q611" s="3470">
        <v>412208.82500000001</v>
      </c>
      <c r="R611" s="3470">
        <v>4444.3</v>
      </c>
      <c r="S611" s="3470">
        <v>40.799999999999997</v>
      </c>
      <c r="T611" s="3470">
        <v>408000</v>
      </c>
      <c r="U611" s="3470">
        <v>4399</v>
      </c>
      <c r="V611" s="3470">
        <v>0.1</v>
      </c>
      <c r="W611" s="3470">
        <v>36.72</v>
      </c>
      <c r="X611" s="3470">
        <v>367200</v>
      </c>
      <c r="Y611" s="3470">
        <v>2003</v>
      </c>
      <c r="Z611" s="3470">
        <v>8</v>
      </c>
      <c r="AA611" s="3470">
        <v>6</v>
      </c>
      <c r="AB611" s="3470">
        <v>2040</v>
      </c>
      <c r="AC611" s="3470" t="s">
        <v>3693</v>
      </c>
      <c r="AE611" s="3470" t="s">
        <v>3663</v>
      </c>
      <c r="AF611" s="3470" t="s">
        <v>4200</v>
      </c>
      <c r="AG611" s="3470" t="s">
        <v>3466</v>
      </c>
      <c r="AH611" s="3470" t="s">
        <v>3568</v>
      </c>
      <c r="AI611" s="3470" t="s">
        <v>5021</v>
      </c>
      <c r="AJ611" s="3470">
        <v>37986</v>
      </c>
      <c r="AK611" s="3470">
        <v>8</v>
      </c>
      <c r="AL611" s="3470">
        <v>67641700</v>
      </c>
      <c r="AN611" s="3470" t="s">
        <v>3695</v>
      </c>
      <c r="AP611" s="3470" t="s">
        <v>3476</v>
      </c>
      <c r="AQ611" s="3470" t="s">
        <v>3571</v>
      </c>
      <c r="AV611" s="3470" t="s">
        <v>3568</v>
      </c>
      <c r="AW611" s="3470" t="s">
        <v>3572</v>
      </c>
      <c r="AY611" s="3481" t="s">
        <v>7955</v>
      </c>
      <c r="AZ611" s="3470" t="s">
        <v>7653</v>
      </c>
      <c r="BA611" s="3470" t="s">
        <v>7655</v>
      </c>
      <c r="BB611" s="3481" t="s">
        <v>7656</v>
      </c>
      <c r="BC611" s="3470" t="s">
        <v>7657</v>
      </c>
      <c r="BD611" s="3482">
        <v>100025</v>
      </c>
      <c r="BE611" s="3470">
        <v>62908858</v>
      </c>
      <c r="BF611" s="3483">
        <v>2.7</v>
      </c>
      <c r="BG611" s="3478">
        <v>37733</v>
      </c>
      <c r="BH611" s="3470" t="s">
        <v>4681</v>
      </c>
      <c r="BI611" s="3470" t="s">
        <v>3476</v>
      </c>
      <c r="BJ611" s="3508">
        <v>37837</v>
      </c>
      <c r="BK611" s="3508"/>
      <c r="BL611" s="3470" t="s">
        <v>3670</v>
      </c>
      <c r="BP611" s="3441"/>
      <c r="BQ611" s="3441"/>
      <c r="BR611" s="3441"/>
    </row>
    <row r="612" spans="1:73" s="3470" customFormat="1" ht="12" hidden="1">
      <c r="A612" s="3470" t="s">
        <v>7956</v>
      </c>
      <c r="B612" s="3470" t="s">
        <v>7957</v>
      </c>
      <c r="C612" s="3470" t="s">
        <v>7958</v>
      </c>
      <c r="D612" s="3470">
        <v>13911005752</v>
      </c>
      <c r="E612" s="3470" t="s">
        <v>3558</v>
      </c>
      <c r="F612" s="3470" t="s">
        <v>7652</v>
      </c>
      <c r="H612" s="3470" t="s">
        <v>4168</v>
      </c>
      <c r="I612" s="3470" t="s">
        <v>4001</v>
      </c>
      <c r="J612" s="3470" t="s">
        <v>4909</v>
      </c>
      <c r="K612" s="3470" t="s">
        <v>7653</v>
      </c>
      <c r="L612" s="3470">
        <v>79.25</v>
      </c>
      <c r="M612" s="3470">
        <v>5</v>
      </c>
      <c r="N612" s="3470" t="s">
        <v>5032</v>
      </c>
      <c r="O612" s="3470">
        <v>70.75</v>
      </c>
      <c r="P612" s="3470" t="s">
        <v>3452</v>
      </c>
      <c r="Q612" s="3470">
        <v>405363.75</v>
      </c>
      <c r="R612" s="3470">
        <v>5115</v>
      </c>
      <c r="S612" s="3470">
        <v>40.14</v>
      </c>
      <c r="T612" s="3470">
        <v>401400</v>
      </c>
      <c r="U612" s="3470">
        <v>5065</v>
      </c>
      <c r="V612" s="3470">
        <v>0.1</v>
      </c>
      <c r="W612" s="3470">
        <v>36.119999999999997</v>
      </c>
      <c r="X612" s="3470">
        <v>361200</v>
      </c>
      <c r="Y612" s="3470">
        <v>2003</v>
      </c>
      <c r="Z612" s="3470">
        <v>8</v>
      </c>
      <c r="AA612" s="3470">
        <v>6</v>
      </c>
      <c r="AB612" s="3470">
        <v>2005</v>
      </c>
      <c r="AC612" s="3470" t="s">
        <v>3565</v>
      </c>
      <c r="AE612" s="3470" t="s">
        <v>3663</v>
      </c>
      <c r="AF612" s="3470" t="s">
        <v>4200</v>
      </c>
      <c r="AG612" s="3470" t="s">
        <v>3466</v>
      </c>
      <c r="AH612" s="3470" t="s">
        <v>3568</v>
      </c>
      <c r="AI612" s="3470" t="s">
        <v>5021</v>
      </c>
      <c r="AJ612" s="3470">
        <v>37986</v>
      </c>
      <c r="AK612" s="3470">
        <v>8</v>
      </c>
      <c r="AL612" s="3470">
        <v>67641700</v>
      </c>
      <c r="AN612" s="3470" t="s">
        <v>3695</v>
      </c>
      <c r="AP612" s="3470" t="s">
        <v>3476</v>
      </c>
      <c r="AQ612" s="3470" t="s">
        <v>3571</v>
      </c>
      <c r="AV612" s="3470" t="s">
        <v>3568</v>
      </c>
      <c r="AW612" s="3470" t="s">
        <v>3572</v>
      </c>
      <c r="AY612" s="3481" t="s">
        <v>7959</v>
      </c>
      <c r="AZ612" s="3470" t="s">
        <v>7653</v>
      </c>
      <c r="BA612" s="3470" t="s">
        <v>7655</v>
      </c>
      <c r="BB612" s="3481" t="s">
        <v>7656</v>
      </c>
      <c r="BC612" s="3470" t="s">
        <v>7657</v>
      </c>
      <c r="BD612" s="3482">
        <v>100025</v>
      </c>
      <c r="BE612" s="3470">
        <v>62908858</v>
      </c>
      <c r="BF612" s="3483">
        <v>2.7</v>
      </c>
      <c r="BG612" s="3478">
        <v>37766</v>
      </c>
      <c r="BH612" s="3470" t="s">
        <v>4681</v>
      </c>
      <c r="BI612" s="3470" t="s">
        <v>3476</v>
      </c>
      <c r="BJ612" s="3508">
        <v>37833</v>
      </c>
      <c r="BK612" s="3508"/>
      <c r="BL612" s="3470" t="s">
        <v>3670</v>
      </c>
      <c r="BP612" s="3441"/>
      <c r="BQ612" s="3441"/>
      <c r="BR612" s="3441"/>
    </row>
    <row r="613" spans="1:73" s="3470" customFormat="1" ht="12" hidden="1">
      <c r="A613" s="3470" t="s">
        <v>7960</v>
      </c>
      <c r="B613" s="3470" t="s">
        <v>7961</v>
      </c>
      <c r="C613" s="3470" t="s">
        <v>7962</v>
      </c>
      <c r="D613" s="3470" t="s">
        <v>7963</v>
      </c>
      <c r="E613" s="3470" t="s">
        <v>3558</v>
      </c>
      <c r="F613" s="3470" t="s">
        <v>4770</v>
      </c>
      <c r="H613" s="3470" t="s">
        <v>7881</v>
      </c>
      <c r="I613" s="3470" t="s">
        <v>3735</v>
      </c>
      <c r="J613" s="3470" t="s">
        <v>3980</v>
      </c>
      <c r="K613" s="3470" t="s">
        <v>4772</v>
      </c>
      <c r="L613" s="3470">
        <v>91.13</v>
      </c>
      <c r="M613" s="3470">
        <v>2</v>
      </c>
      <c r="N613" s="3470" t="s">
        <v>4030</v>
      </c>
      <c r="O613" s="3470">
        <v>76.45</v>
      </c>
      <c r="P613" s="3470" t="s">
        <v>3452</v>
      </c>
      <c r="Q613" s="3470">
        <v>377278.2</v>
      </c>
      <c r="R613" s="3470">
        <v>4140</v>
      </c>
      <c r="S613" s="3470">
        <v>37.340000000000003</v>
      </c>
      <c r="T613" s="3470">
        <v>373400</v>
      </c>
      <c r="U613" s="3470">
        <v>4098</v>
      </c>
      <c r="V613" s="3470">
        <v>0.1</v>
      </c>
      <c r="W613" s="3470">
        <v>33.6</v>
      </c>
      <c r="X613" s="3470">
        <v>336000</v>
      </c>
      <c r="Y613" s="3470">
        <v>2003</v>
      </c>
      <c r="Z613" s="3470">
        <v>8</v>
      </c>
      <c r="AA613" s="3470">
        <v>6</v>
      </c>
      <c r="AB613" s="3470">
        <v>1865</v>
      </c>
      <c r="AC613" s="3470" t="s">
        <v>3693</v>
      </c>
      <c r="AE613" s="3470" t="s">
        <v>3663</v>
      </c>
      <c r="AF613" s="3470" t="s">
        <v>5090</v>
      </c>
      <c r="AG613" s="3470" t="s">
        <v>3466</v>
      </c>
      <c r="AI613" s="3470" t="s">
        <v>7643</v>
      </c>
      <c r="AJ613" s="3470">
        <v>37885</v>
      </c>
      <c r="AK613" s="3470">
        <v>8</v>
      </c>
      <c r="AL613" s="3470">
        <v>67641700</v>
      </c>
      <c r="AN613" s="3470" t="s">
        <v>3695</v>
      </c>
      <c r="AP613" s="3470" t="s">
        <v>3476</v>
      </c>
      <c r="AQ613" s="3470" t="s">
        <v>3571</v>
      </c>
      <c r="AW613" s="3470" t="s">
        <v>3572</v>
      </c>
      <c r="AY613" s="3481" t="s">
        <v>7964</v>
      </c>
      <c r="AZ613" s="3470" t="s">
        <v>4772</v>
      </c>
      <c r="BA613" s="3470" t="s">
        <v>4775</v>
      </c>
      <c r="BB613" s="3481" t="s">
        <v>4776</v>
      </c>
      <c r="BC613" s="3470" t="s">
        <v>4777</v>
      </c>
      <c r="BD613" s="3482">
        <v>100083</v>
      </c>
      <c r="BE613" s="3470">
        <v>82355171</v>
      </c>
      <c r="BF613" s="3483">
        <v>2.7</v>
      </c>
      <c r="BG613" s="3478">
        <v>37823</v>
      </c>
      <c r="BH613" s="3470" t="s">
        <v>4681</v>
      </c>
      <c r="BI613" s="3470" t="s">
        <v>3476</v>
      </c>
      <c r="BJ613" s="3508">
        <v>37838</v>
      </c>
      <c r="BK613" s="3508"/>
      <c r="BL613" s="3470" t="s">
        <v>3670</v>
      </c>
      <c r="BP613" s="3441"/>
      <c r="BQ613" s="3441"/>
      <c r="BR613" s="3441"/>
    </row>
    <row r="614" spans="1:73" s="3470" customFormat="1" ht="12" hidden="1">
      <c r="A614" s="3470" t="s">
        <v>7965</v>
      </c>
      <c r="B614" s="3470" t="s">
        <v>7966</v>
      </c>
      <c r="C614" s="3470" t="s">
        <v>7967</v>
      </c>
      <c r="D614" s="3470">
        <v>13601251887</v>
      </c>
      <c r="E614" s="3470" t="s">
        <v>3558</v>
      </c>
      <c r="F614" s="3470" t="s">
        <v>4645</v>
      </c>
      <c r="H614" s="3470" t="s">
        <v>4646</v>
      </c>
      <c r="I614" s="3470" t="s">
        <v>3689</v>
      </c>
      <c r="J614" s="3470" t="s">
        <v>7968</v>
      </c>
      <c r="K614" s="3470" t="s">
        <v>4649</v>
      </c>
      <c r="L614" s="3470">
        <v>86.06</v>
      </c>
      <c r="M614" s="3470">
        <v>11</v>
      </c>
      <c r="N614" s="3470" t="s">
        <v>3564</v>
      </c>
      <c r="O614" s="3470">
        <v>67.84</v>
      </c>
      <c r="P614" s="3470" t="s">
        <v>3452</v>
      </c>
      <c r="Q614" s="3470">
        <v>612833.26</v>
      </c>
      <c r="R614" s="3470">
        <v>7121</v>
      </c>
      <c r="S614" s="3470">
        <v>60.76</v>
      </c>
      <c r="T614" s="3470">
        <v>607600</v>
      </c>
      <c r="U614" s="3470">
        <v>7061</v>
      </c>
      <c r="V614" s="3470">
        <v>0.1</v>
      </c>
      <c r="W614" s="3470">
        <v>54.68</v>
      </c>
      <c r="X614" s="3470">
        <v>546800</v>
      </c>
      <c r="Y614" s="3470">
        <v>2003</v>
      </c>
      <c r="Z614" s="3470">
        <v>8</v>
      </c>
      <c r="AA614" s="3470">
        <v>6</v>
      </c>
      <c r="AB614" s="3470">
        <v>3035</v>
      </c>
      <c r="AC614" s="3470" t="s">
        <v>3693</v>
      </c>
      <c r="AE614" s="3470" t="s">
        <v>3663</v>
      </c>
      <c r="AF614" s="3470" t="s">
        <v>3728</v>
      </c>
      <c r="AG614" s="3470" t="s">
        <v>3466</v>
      </c>
      <c r="AI614" s="3470" t="s">
        <v>5021</v>
      </c>
      <c r="AJ614" s="3470">
        <v>38199</v>
      </c>
      <c r="AK614" s="3470">
        <v>8</v>
      </c>
      <c r="AL614" s="3470">
        <v>67641700</v>
      </c>
      <c r="AN614" s="3470" t="s">
        <v>3695</v>
      </c>
      <c r="AP614" s="3470" t="s">
        <v>3476</v>
      </c>
      <c r="AQ614" s="3470" t="s">
        <v>3571</v>
      </c>
      <c r="AW614" s="3470" t="s">
        <v>3572</v>
      </c>
      <c r="AX614" s="3470" t="s">
        <v>3568</v>
      </c>
      <c r="AY614" s="3481" t="s">
        <v>7969</v>
      </c>
      <c r="AZ614" s="3470" t="s">
        <v>4654</v>
      </c>
      <c r="BA614" s="3470" t="s">
        <v>4688</v>
      </c>
      <c r="BB614" s="3481" t="s">
        <v>4689</v>
      </c>
      <c r="BC614" s="3470" t="s">
        <v>4656</v>
      </c>
      <c r="BD614" s="3482">
        <v>100037</v>
      </c>
      <c r="BE614" s="3470">
        <v>68347718</v>
      </c>
      <c r="BF614" s="3483">
        <v>2.8</v>
      </c>
      <c r="BG614" s="3478">
        <v>37829</v>
      </c>
      <c r="BH614" s="3470" t="s">
        <v>4681</v>
      </c>
      <c r="BI614" s="3470" t="s">
        <v>3476</v>
      </c>
      <c r="BJ614" s="3508">
        <v>37838</v>
      </c>
      <c r="BK614" s="3508"/>
      <c r="BL614" s="3470" t="s">
        <v>3670</v>
      </c>
      <c r="BP614" s="3441"/>
      <c r="BQ614" s="3441"/>
      <c r="BR614" s="3441"/>
    </row>
    <row r="615" spans="1:73" s="3470" customFormat="1" ht="12" hidden="1">
      <c r="A615" s="3470" t="s">
        <v>7970</v>
      </c>
      <c r="B615" s="3470" t="s">
        <v>7971</v>
      </c>
      <c r="C615" s="3470" t="s">
        <v>7972</v>
      </c>
      <c r="D615" s="3470" t="s">
        <v>7973</v>
      </c>
      <c r="E615" s="3470" t="s">
        <v>3558</v>
      </c>
      <c r="F615" s="3470" t="s">
        <v>7803</v>
      </c>
      <c r="H615" s="3470" t="s">
        <v>4759</v>
      </c>
      <c r="I615" s="3470" t="s">
        <v>4001</v>
      </c>
      <c r="J615" s="3470" t="s">
        <v>5629</v>
      </c>
      <c r="K615" s="3470" t="s">
        <v>7804</v>
      </c>
      <c r="L615" s="3470">
        <v>60.47</v>
      </c>
      <c r="M615" s="3470">
        <v>2</v>
      </c>
      <c r="N615" s="3470" t="s">
        <v>3564</v>
      </c>
      <c r="O615" s="3470">
        <v>53</v>
      </c>
      <c r="P615" s="3470" t="s">
        <v>3452</v>
      </c>
      <c r="Q615" s="3470">
        <v>276226.96000000002</v>
      </c>
      <c r="R615" s="3470">
        <v>4568</v>
      </c>
      <c r="S615" s="3470">
        <v>27.33</v>
      </c>
      <c r="T615" s="3470">
        <v>273300</v>
      </c>
      <c r="U615" s="3470">
        <v>4520</v>
      </c>
      <c r="V615" s="3470">
        <v>0.1</v>
      </c>
      <c r="W615" s="3470">
        <v>24.59</v>
      </c>
      <c r="X615" s="3470">
        <v>245900</v>
      </c>
      <c r="Y615" s="3470">
        <v>2003</v>
      </c>
      <c r="Z615" s="3470">
        <v>8</v>
      </c>
      <c r="AA615" s="3470">
        <v>7</v>
      </c>
      <c r="AB615" s="3470">
        <v>1365</v>
      </c>
      <c r="AC615" s="3470" t="s">
        <v>3693</v>
      </c>
      <c r="AE615" s="3470" t="s">
        <v>3663</v>
      </c>
      <c r="AF615" s="3470" t="s">
        <v>7377</v>
      </c>
      <c r="AG615" s="3470" t="s">
        <v>3466</v>
      </c>
      <c r="AI615" s="3470" t="s">
        <v>5021</v>
      </c>
      <c r="AJ615" s="3470">
        <v>38077</v>
      </c>
      <c r="AK615" s="3470">
        <v>8</v>
      </c>
      <c r="AL615" s="3470">
        <v>67641700</v>
      </c>
      <c r="AN615" s="3470" t="s">
        <v>3695</v>
      </c>
      <c r="AO615" s="3470" t="s">
        <v>3568</v>
      </c>
      <c r="AP615" s="3470" t="s">
        <v>3476</v>
      </c>
      <c r="AQ615" s="3470" t="s">
        <v>3571</v>
      </c>
      <c r="AW615" s="3470" t="s">
        <v>3572</v>
      </c>
      <c r="AX615" s="3470" t="s">
        <v>3568</v>
      </c>
      <c r="AY615" s="3481" t="s">
        <v>7974</v>
      </c>
      <c r="AZ615" s="3470" t="s">
        <v>7804</v>
      </c>
      <c r="BA615" s="3470" t="s">
        <v>7807</v>
      </c>
      <c r="BB615" s="3481">
        <v>1102281149818</v>
      </c>
      <c r="BC615" s="3470" t="s">
        <v>7808</v>
      </c>
      <c r="BD615" s="3482">
        <v>100044</v>
      </c>
      <c r="BE615" s="3470">
        <v>88018575</v>
      </c>
      <c r="BF615" s="3483">
        <v>2.7</v>
      </c>
      <c r="BG615" s="3478">
        <v>37810</v>
      </c>
      <c r="BI615" s="3470" t="s">
        <v>3476</v>
      </c>
      <c r="BJ615" s="3508">
        <v>37838</v>
      </c>
      <c r="BK615" s="3508"/>
      <c r="BL615" s="3470" t="s">
        <v>3670</v>
      </c>
      <c r="BP615" s="3441"/>
      <c r="BQ615" s="3441"/>
      <c r="BR615" s="3441"/>
    </row>
    <row r="616" spans="1:73" s="3470" customFormat="1" ht="12" hidden="1">
      <c r="A616" s="3470" t="s">
        <v>7975</v>
      </c>
      <c r="B616" s="3470" t="s">
        <v>7976</v>
      </c>
      <c r="C616" s="3470" t="s">
        <v>7977</v>
      </c>
      <c r="D616" s="3470" t="s">
        <v>7978</v>
      </c>
      <c r="E616" s="3470" t="s">
        <v>3558</v>
      </c>
      <c r="F616" s="3470" t="s">
        <v>7803</v>
      </c>
      <c r="H616" s="3470" t="s">
        <v>4759</v>
      </c>
      <c r="I616" s="3470" t="s">
        <v>3735</v>
      </c>
      <c r="J616" s="3470" t="s">
        <v>5089</v>
      </c>
      <c r="K616" s="3470" t="s">
        <v>7804</v>
      </c>
      <c r="L616" s="3470">
        <v>84.17</v>
      </c>
      <c r="M616" s="3470">
        <v>5</v>
      </c>
      <c r="N616" s="3470" t="s">
        <v>4030</v>
      </c>
      <c r="O616" s="3470">
        <v>73.77</v>
      </c>
      <c r="P616" s="3470" t="s">
        <v>3452</v>
      </c>
      <c r="Q616" s="3470">
        <v>380785.08</v>
      </c>
      <c r="R616" s="3470">
        <v>4524</v>
      </c>
      <c r="S616" s="3470">
        <v>37.67</v>
      </c>
      <c r="T616" s="3470">
        <v>376700</v>
      </c>
      <c r="U616" s="3470">
        <v>4476</v>
      </c>
      <c r="V616" s="3470">
        <v>0.1</v>
      </c>
      <c r="W616" s="3470">
        <v>33.9</v>
      </c>
      <c r="X616" s="3470">
        <v>339000</v>
      </c>
      <c r="Y616" s="3470">
        <v>2003</v>
      </c>
      <c r="Z616" s="3470">
        <v>8</v>
      </c>
      <c r="AA616" s="3470">
        <v>7</v>
      </c>
      <c r="AB616" s="3470">
        <v>1880</v>
      </c>
      <c r="AC616" s="3470" t="s">
        <v>3693</v>
      </c>
      <c r="AE616" s="3470" t="s">
        <v>3663</v>
      </c>
      <c r="AF616" s="3470" t="s">
        <v>7377</v>
      </c>
      <c r="AG616" s="3470" t="s">
        <v>3466</v>
      </c>
      <c r="AI616" s="3470" t="s">
        <v>5021</v>
      </c>
      <c r="AJ616" s="3470">
        <v>38077</v>
      </c>
      <c r="AK616" s="3470">
        <v>8</v>
      </c>
      <c r="AL616" s="3470">
        <v>67641700</v>
      </c>
      <c r="AN616" s="3470" t="s">
        <v>3695</v>
      </c>
      <c r="AO616" s="3470" t="s">
        <v>3568</v>
      </c>
      <c r="AP616" s="3470" t="s">
        <v>3476</v>
      </c>
      <c r="AQ616" s="3470" t="s">
        <v>3571</v>
      </c>
      <c r="AW616" s="3470" t="s">
        <v>3572</v>
      </c>
      <c r="AX616" s="3470" t="s">
        <v>3568</v>
      </c>
      <c r="AY616" s="3481" t="s">
        <v>7979</v>
      </c>
      <c r="AZ616" s="3470" t="s">
        <v>7804</v>
      </c>
      <c r="BA616" s="3470" t="s">
        <v>7807</v>
      </c>
      <c r="BB616" s="3481">
        <v>1102281149818</v>
      </c>
      <c r="BC616" s="3470" t="s">
        <v>7808</v>
      </c>
      <c r="BD616" s="3482">
        <v>100044</v>
      </c>
      <c r="BE616" s="3470">
        <v>88018575</v>
      </c>
      <c r="BF616" s="3483">
        <v>2.7</v>
      </c>
      <c r="BG616" s="3478">
        <v>37814</v>
      </c>
      <c r="BI616" s="3470" t="s">
        <v>3476</v>
      </c>
      <c r="BJ616" s="3508">
        <v>37838</v>
      </c>
      <c r="BK616" s="3508"/>
      <c r="BL616" s="3470" t="s">
        <v>3670</v>
      </c>
      <c r="BP616" s="3441"/>
      <c r="BQ616" s="3441"/>
      <c r="BR616" s="3441"/>
    </row>
    <row r="617" spans="1:73" s="3470" customFormat="1" ht="12" hidden="1">
      <c r="A617" s="3470" t="s">
        <v>7980</v>
      </c>
      <c r="B617" s="3470" t="s">
        <v>7981</v>
      </c>
      <c r="C617" s="3470" t="s">
        <v>7982</v>
      </c>
      <c r="D617" s="3470">
        <v>62214415</v>
      </c>
      <c r="E617" s="3470" t="s">
        <v>3558</v>
      </c>
      <c r="F617" s="3470" t="s">
        <v>4645</v>
      </c>
      <c r="H617" s="3470" t="s">
        <v>4684</v>
      </c>
      <c r="I617" s="3470" t="s">
        <v>7851</v>
      </c>
      <c r="J617" s="3470" t="s">
        <v>7983</v>
      </c>
      <c r="K617" s="3470" t="s">
        <v>4649</v>
      </c>
      <c r="L617" s="3470">
        <v>117.41</v>
      </c>
      <c r="M617" s="3470">
        <v>8</v>
      </c>
      <c r="N617" s="3470" t="s">
        <v>4003</v>
      </c>
      <c r="O617" s="3470">
        <v>92.55</v>
      </c>
      <c r="P617" s="3470" t="s">
        <v>3452</v>
      </c>
      <c r="Q617" s="3470">
        <v>927773.82</v>
      </c>
      <c r="R617" s="3470">
        <v>7902</v>
      </c>
      <c r="S617" s="3470">
        <v>92.04</v>
      </c>
      <c r="T617" s="3470">
        <v>920400</v>
      </c>
      <c r="U617" s="3470">
        <v>7840</v>
      </c>
      <c r="V617" s="3470">
        <v>0.1</v>
      </c>
      <c r="W617" s="3470">
        <v>82.83</v>
      </c>
      <c r="X617" s="3470">
        <v>828300</v>
      </c>
      <c r="Y617" s="3470">
        <v>2003</v>
      </c>
      <c r="Z617" s="3470">
        <v>8</v>
      </c>
      <c r="AA617" s="3470">
        <v>7</v>
      </c>
      <c r="AB617" s="3470">
        <v>4600</v>
      </c>
      <c r="AC617" s="3470" t="s">
        <v>3603</v>
      </c>
      <c r="AE617" s="3470" t="s">
        <v>3663</v>
      </c>
      <c r="AF617" s="3470" t="s">
        <v>3728</v>
      </c>
      <c r="AG617" s="3470" t="s">
        <v>3466</v>
      </c>
      <c r="AI617" s="3470" t="s">
        <v>5021</v>
      </c>
      <c r="AJ617" s="3470">
        <v>38199</v>
      </c>
      <c r="AK617" s="3470">
        <v>8</v>
      </c>
      <c r="AL617" s="3470">
        <v>67641700</v>
      </c>
      <c r="AN617" s="3470" t="s">
        <v>3695</v>
      </c>
      <c r="AP617" s="3470" t="s">
        <v>3476</v>
      </c>
      <c r="AQ617" s="3470" t="s">
        <v>3571</v>
      </c>
      <c r="AW617" s="3470" t="s">
        <v>3572</v>
      </c>
      <c r="AX617" s="3470" t="s">
        <v>3568</v>
      </c>
      <c r="AY617" s="3481" t="s">
        <v>7984</v>
      </c>
      <c r="AZ617" s="3470" t="s">
        <v>4654</v>
      </c>
      <c r="BA617" s="3470" t="s">
        <v>4688</v>
      </c>
      <c r="BB617" s="3481" t="s">
        <v>4689</v>
      </c>
      <c r="BC617" s="3470" t="s">
        <v>4656</v>
      </c>
      <c r="BD617" s="3482">
        <v>100037</v>
      </c>
      <c r="BE617" s="3470">
        <v>68347718</v>
      </c>
      <c r="BF617" s="3483">
        <v>2.8</v>
      </c>
      <c r="BG617" s="3478">
        <v>37827</v>
      </c>
      <c r="BH617" s="3470" t="s">
        <v>4681</v>
      </c>
      <c r="BI617" s="3470" t="s">
        <v>3476</v>
      </c>
      <c r="BJ617" s="3508">
        <v>37838</v>
      </c>
      <c r="BK617" s="3508"/>
      <c r="BL617" s="3470" t="s">
        <v>3670</v>
      </c>
      <c r="BP617" s="3441"/>
      <c r="BQ617" s="3441"/>
      <c r="BR617" s="3441"/>
    </row>
    <row r="618" spans="1:73" s="3470" customFormat="1" ht="12" hidden="1">
      <c r="A618" s="3470" t="s">
        <v>7985</v>
      </c>
      <c r="B618" s="3470" t="s">
        <v>7986</v>
      </c>
      <c r="C618" s="3470" t="s">
        <v>7987</v>
      </c>
      <c r="D618" s="3470" t="s">
        <v>7988</v>
      </c>
      <c r="E618" s="3470" t="s">
        <v>3558</v>
      </c>
      <c r="F618" s="3470" t="s">
        <v>4758</v>
      </c>
      <c r="H618" s="3470" t="s">
        <v>4759</v>
      </c>
      <c r="I618" s="3470" t="s">
        <v>4001</v>
      </c>
      <c r="J618" s="3470" t="s">
        <v>7613</v>
      </c>
      <c r="K618" s="3470" t="s">
        <v>4760</v>
      </c>
      <c r="L618" s="3470">
        <v>147.18</v>
      </c>
      <c r="M618" s="3470">
        <v>9</v>
      </c>
      <c r="N618" s="3470" t="s">
        <v>4003</v>
      </c>
      <c r="O618" s="3470">
        <v>127.33</v>
      </c>
      <c r="P618" s="3470" t="s">
        <v>3452</v>
      </c>
      <c r="Q618" s="3470">
        <v>740315.4</v>
      </c>
      <c r="R618" s="3470">
        <v>5030</v>
      </c>
      <c r="S618" s="3470">
        <v>73.290000000000006</v>
      </c>
      <c r="T618" s="3470">
        <v>732900</v>
      </c>
      <c r="U618" s="3470">
        <v>4980</v>
      </c>
      <c r="V618" s="3470">
        <v>0.1</v>
      </c>
      <c r="W618" s="3470">
        <v>65.959999999999994</v>
      </c>
      <c r="X618" s="3470">
        <v>659600</v>
      </c>
      <c r="Y618" s="3470">
        <v>2003</v>
      </c>
      <c r="Z618" s="3470">
        <v>8</v>
      </c>
      <c r="AA618" s="3470">
        <v>7</v>
      </c>
      <c r="AB618" s="3470">
        <v>3660</v>
      </c>
      <c r="AC618" s="3470" t="s">
        <v>4407</v>
      </c>
      <c r="AE618" s="3470" t="s">
        <v>3663</v>
      </c>
      <c r="AF618" s="3470" t="s">
        <v>4032</v>
      </c>
      <c r="AG618" s="3470" t="s">
        <v>3466</v>
      </c>
      <c r="AH618" s="3470" t="s">
        <v>3568</v>
      </c>
      <c r="AI618" s="3470" t="s">
        <v>5021</v>
      </c>
      <c r="AJ618" s="3470">
        <v>38107</v>
      </c>
      <c r="AK618" s="3470">
        <v>8</v>
      </c>
      <c r="AL618" s="3470">
        <v>67641700</v>
      </c>
      <c r="AN618" s="3470" t="s">
        <v>3695</v>
      </c>
      <c r="AO618" s="3470" t="s">
        <v>3568</v>
      </c>
      <c r="AP618" s="3470" t="s">
        <v>3476</v>
      </c>
      <c r="AQ618" s="3470" t="s">
        <v>3571</v>
      </c>
      <c r="AV618" s="3470" t="s">
        <v>3568</v>
      </c>
      <c r="AW618" s="3470" t="s">
        <v>3572</v>
      </c>
      <c r="AX618" s="3470" t="s">
        <v>2511</v>
      </c>
      <c r="AY618" s="3481" t="s">
        <v>7989</v>
      </c>
      <c r="AZ618" s="3470" t="s">
        <v>4760</v>
      </c>
      <c r="BA618" s="3470" t="s">
        <v>4763</v>
      </c>
      <c r="BB618" s="3481" t="s">
        <v>4764</v>
      </c>
      <c r="BC618" s="3470" t="s">
        <v>4765</v>
      </c>
      <c r="BD618" s="3482">
        <v>102607</v>
      </c>
      <c r="BE618" s="3470">
        <v>68156287</v>
      </c>
      <c r="BF618" s="3483">
        <v>2.8</v>
      </c>
      <c r="BG618" s="3478">
        <v>37834</v>
      </c>
      <c r="BI618" s="3470" t="s">
        <v>3476</v>
      </c>
      <c r="BJ618" s="3508">
        <v>37839</v>
      </c>
      <c r="BK618" s="3508"/>
      <c r="BL618" s="3470" t="s">
        <v>3670</v>
      </c>
      <c r="BP618" s="3441"/>
      <c r="BQ618" s="3441"/>
      <c r="BR618" s="3441"/>
    </row>
    <row r="619" spans="1:73" s="3470" customFormat="1" ht="12" hidden="1">
      <c r="A619" s="3470" t="s">
        <v>7990</v>
      </c>
      <c r="B619" s="3470" t="s">
        <v>7991</v>
      </c>
      <c r="C619" s="3470" t="s">
        <v>7992</v>
      </c>
      <c r="D619" s="3470">
        <v>13501165670</v>
      </c>
      <c r="E619" s="3470" t="s">
        <v>3558</v>
      </c>
      <c r="F619" s="3470" t="s">
        <v>4645</v>
      </c>
      <c r="H619" s="3470" t="s">
        <v>4646</v>
      </c>
      <c r="I619" s="3470" t="s">
        <v>7673</v>
      </c>
      <c r="J619" s="3470" t="s">
        <v>7993</v>
      </c>
      <c r="K619" s="3470" t="s">
        <v>4649</v>
      </c>
      <c r="L619" s="3470">
        <v>95.92</v>
      </c>
      <c r="M619" s="3470">
        <v>14</v>
      </c>
      <c r="N619" s="3470" t="s">
        <v>4030</v>
      </c>
      <c r="O619" s="3470">
        <v>75.61</v>
      </c>
      <c r="P619" s="3470" t="s">
        <v>3452</v>
      </c>
      <c r="Q619" s="3470">
        <v>774266.24</v>
      </c>
      <c r="R619" s="3470">
        <v>8072</v>
      </c>
      <c r="S619" s="3470">
        <v>76.680000000000007</v>
      </c>
      <c r="T619" s="3470">
        <v>766800</v>
      </c>
      <c r="U619" s="3470">
        <v>7995</v>
      </c>
      <c r="V619" s="3470">
        <v>0.1</v>
      </c>
      <c r="W619" s="3470">
        <v>69.010000000000005</v>
      </c>
      <c r="X619" s="3470">
        <v>690100</v>
      </c>
      <c r="Y619" s="3470">
        <v>2003</v>
      </c>
      <c r="Z619" s="3470">
        <v>8</v>
      </c>
      <c r="AA619" s="3470">
        <v>8</v>
      </c>
      <c r="AB619" s="3470">
        <v>3830</v>
      </c>
      <c r="AC619" s="3470" t="s">
        <v>3693</v>
      </c>
      <c r="AE619" s="3470" t="s">
        <v>3663</v>
      </c>
      <c r="AF619" s="3470" t="s">
        <v>3728</v>
      </c>
      <c r="AG619" s="3470" t="s">
        <v>3466</v>
      </c>
      <c r="AI619" s="3470" t="s">
        <v>5021</v>
      </c>
      <c r="AJ619" s="3470">
        <v>38199</v>
      </c>
      <c r="AK619" s="3470">
        <v>8</v>
      </c>
      <c r="AL619" s="3470">
        <v>67641700</v>
      </c>
      <c r="AN619" s="3470" t="s">
        <v>3695</v>
      </c>
      <c r="AP619" s="3470" t="s">
        <v>3476</v>
      </c>
      <c r="AQ619" s="3470" t="s">
        <v>3571</v>
      </c>
      <c r="AW619" s="3470" t="s">
        <v>3572</v>
      </c>
      <c r="AX619" s="3470" t="s">
        <v>3568</v>
      </c>
      <c r="AY619" s="3481" t="s">
        <v>7994</v>
      </c>
      <c r="AZ619" s="3470" t="s">
        <v>4654</v>
      </c>
      <c r="BA619" s="3470" t="s">
        <v>4688</v>
      </c>
      <c r="BB619" s="3481" t="s">
        <v>4689</v>
      </c>
      <c r="BC619" s="3470" t="s">
        <v>4656</v>
      </c>
      <c r="BD619" s="3482">
        <v>100037</v>
      </c>
      <c r="BE619" s="3470">
        <v>68347718</v>
      </c>
      <c r="BF619" s="3483">
        <v>2.8</v>
      </c>
      <c r="BG619" s="3478">
        <v>37822</v>
      </c>
      <c r="BH619" s="3470" t="s">
        <v>4681</v>
      </c>
      <c r="BI619" s="3470" t="s">
        <v>3476</v>
      </c>
      <c r="BJ619" s="3508">
        <v>37839</v>
      </c>
      <c r="BK619" s="3508"/>
      <c r="BL619" s="3470" t="s">
        <v>3670</v>
      </c>
      <c r="BP619" s="3441"/>
      <c r="BQ619" s="3441"/>
      <c r="BR619" s="3441"/>
    </row>
    <row r="620" spans="1:73" s="3470" customFormat="1" ht="12" hidden="1">
      <c r="A620" s="3470" t="s">
        <v>7995</v>
      </c>
      <c r="B620" s="3470" t="s">
        <v>7996</v>
      </c>
      <c r="C620" s="3470" t="s">
        <v>7997</v>
      </c>
      <c r="D620" s="3470" t="s">
        <v>7998</v>
      </c>
      <c r="E620" s="3470" t="s">
        <v>3558</v>
      </c>
      <c r="F620" s="3470" t="s">
        <v>4770</v>
      </c>
      <c r="H620" s="3470" t="s">
        <v>7881</v>
      </c>
      <c r="I620" s="3470" t="s">
        <v>4019</v>
      </c>
      <c r="J620" s="3470" t="s">
        <v>4002</v>
      </c>
      <c r="K620" s="3470" t="s">
        <v>4772</v>
      </c>
      <c r="L620" s="3470">
        <v>91.13</v>
      </c>
      <c r="M620" s="3470">
        <v>1</v>
      </c>
      <c r="N620" s="3470" t="s">
        <v>4030</v>
      </c>
      <c r="O620" s="3470">
        <v>76.45</v>
      </c>
      <c r="P620" s="3470" t="s">
        <v>3452</v>
      </c>
      <c r="Q620" s="3470">
        <v>368165.2</v>
      </c>
      <c r="R620" s="3470">
        <v>4040</v>
      </c>
      <c r="S620" s="3470">
        <v>36.43</v>
      </c>
      <c r="T620" s="3470">
        <v>364300</v>
      </c>
      <c r="U620" s="3470">
        <v>3998</v>
      </c>
      <c r="V620" s="3470">
        <v>0.1</v>
      </c>
      <c r="W620" s="3470">
        <v>32.78</v>
      </c>
      <c r="X620" s="3470">
        <v>327800</v>
      </c>
      <c r="Y620" s="3470">
        <v>2003</v>
      </c>
      <c r="Z620" s="3470">
        <v>8</v>
      </c>
      <c r="AA620" s="3470">
        <v>12</v>
      </c>
      <c r="AB620" s="3470">
        <v>1820</v>
      </c>
      <c r="AC620" s="3470" t="s">
        <v>3603</v>
      </c>
      <c r="AE620" s="3470" t="s">
        <v>3663</v>
      </c>
      <c r="AF620" s="3470" t="s">
        <v>5090</v>
      </c>
      <c r="AG620" s="3470" t="s">
        <v>3466</v>
      </c>
      <c r="AI620" s="3470" t="s">
        <v>7643</v>
      </c>
      <c r="AJ620" s="3470">
        <v>37886</v>
      </c>
      <c r="AK620" s="3470">
        <v>8</v>
      </c>
      <c r="AL620" s="3470">
        <v>67641700</v>
      </c>
      <c r="AN620" s="3470" t="s">
        <v>3739</v>
      </c>
      <c r="AO620" s="3470" t="s">
        <v>7999</v>
      </c>
      <c r="AP620" s="3470" t="s">
        <v>3476</v>
      </c>
      <c r="AQ620" s="3470" t="s">
        <v>3571</v>
      </c>
      <c r="AW620" s="3470" t="s">
        <v>3572</v>
      </c>
      <c r="AY620" s="3481" t="s">
        <v>8000</v>
      </c>
      <c r="AZ620" s="3470" t="s">
        <v>4772</v>
      </c>
      <c r="BA620" s="3470" t="s">
        <v>4775</v>
      </c>
      <c r="BB620" s="3481" t="s">
        <v>4776</v>
      </c>
      <c r="BC620" s="3470" t="s">
        <v>4777</v>
      </c>
      <c r="BD620" s="3482">
        <v>100083</v>
      </c>
      <c r="BE620" s="3470">
        <v>82355171</v>
      </c>
      <c r="BF620" s="3483">
        <v>2.7</v>
      </c>
      <c r="BG620" s="3478">
        <v>37824</v>
      </c>
      <c r="BH620" s="3470" t="s">
        <v>4681</v>
      </c>
      <c r="BI620" s="3470" t="s">
        <v>3476</v>
      </c>
      <c r="BJ620" s="3508">
        <v>37837</v>
      </c>
      <c r="BK620" s="3508"/>
      <c r="BL620" s="3470" t="s">
        <v>3670</v>
      </c>
      <c r="BP620" s="3441"/>
      <c r="BQ620" s="3441"/>
      <c r="BR620" s="3441"/>
    </row>
    <row r="621" spans="1:73" s="3441" customFormat="1" ht="12" hidden="1">
      <c r="A621" s="3485" t="s">
        <v>8001</v>
      </c>
      <c r="B621" s="3470" t="s">
        <v>8002</v>
      </c>
      <c r="C621" s="3481" t="s">
        <v>8003</v>
      </c>
      <c r="D621" s="3481">
        <v>13651030708</v>
      </c>
      <c r="E621" s="3470" t="s">
        <v>3558</v>
      </c>
      <c r="F621" s="3521" t="s">
        <v>3559</v>
      </c>
      <c r="G621" s="3470"/>
      <c r="H621" s="3470" t="s">
        <v>3560</v>
      </c>
      <c r="I621" s="3470" t="s">
        <v>4019</v>
      </c>
      <c r="J621" s="3481" t="s">
        <v>8004</v>
      </c>
      <c r="K621" s="3470" t="s">
        <v>7737</v>
      </c>
      <c r="L621" s="3470">
        <v>85.78</v>
      </c>
      <c r="M621" s="3470">
        <v>15</v>
      </c>
      <c r="N621" s="3470" t="s">
        <v>3692</v>
      </c>
      <c r="O621" s="3470">
        <v>69.5</v>
      </c>
      <c r="P621" s="3470" t="s">
        <v>3452</v>
      </c>
      <c r="Q621" s="3457">
        <v>423753.2</v>
      </c>
      <c r="R621" s="3470">
        <v>4940</v>
      </c>
      <c r="S621" s="3472">
        <v>41.94</v>
      </c>
      <c r="T621" s="3527">
        <v>419400</v>
      </c>
      <c r="U621" s="3470">
        <v>4890</v>
      </c>
      <c r="V621" s="3474">
        <v>0.1</v>
      </c>
      <c r="W621" s="3475">
        <v>37.74</v>
      </c>
      <c r="X621" s="3473">
        <v>377400</v>
      </c>
      <c r="Y621" s="3441">
        <v>2003</v>
      </c>
      <c r="Z621" s="3441">
        <v>9</v>
      </c>
      <c r="AA621" s="3441">
        <v>2</v>
      </c>
      <c r="AB621" s="3485">
        <v>2095</v>
      </c>
      <c r="AC621" s="3470" t="s">
        <v>4674</v>
      </c>
      <c r="AD621" s="3485"/>
      <c r="AE621" s="3441" t="s">
        <v>3663</v>
      </c>
      <c r="AF621" s="3470" t="s">
        <v>4200</v>
      </c>
      <c r="AG621" s="3522" t="s">
        <v>3466</v>
      </c>
      <c r="AH621" s="3485" t="s">
        <v>3568</v>
      </c>
      <c r="AI621" s="3470" t="s">
        <v>5021</v>
      </c>
      <c r="AJ621" s="3523">
        <v>37894</v>
      </c>
      <c r="AK621" s="3479">
        <v>9</v>
      </c>
      <c r="AL621" s="3441">
        <v>67641700</v>
      </c>
      <c r="AM621" s="3441" t="s">
        <v>3568</v>
      </c>
      <c r="AN621" s="3441" t="s">
        <v>3570</v>
      </c>
      <c r="AO621" s="3441" t="s">
        <v>3568</v>
      </c>
      <c r="AP621" s="3441" t="s">
        <v>3476</v>
      </c>
      <c r="AQ621" s="3441" t="s">
        <v>3571</v>
      </c>
      <c r="AW621" s="3441" t="s">
        <v>3572</v>
      </c>
      <c r="AY621" s="3524">
        <v>300334</v>
      </c>
      <c r="AZ621" s="3441" t="s">
        <v>7737</v>
      </c>
      <c r="BA621" s="3441" t="s">
        <v>8005</v>
      </c>
      <c r="BB621" s="3524" t="s">
        <v>8006</v>
      </c>
      <c r="BC621" s="3441" t="s">
        <v>3576</v>
      </c>
      <c r="BD621" s="3525">
        <v>100035</v>
      </c>
      <c r="BE621" s="3441">
        <v>84050010</v>
      </c>
      <c r="BF621" s="3526">
        <v>2.8</v>
      </c>
      <c r="BG621" s="3518">
        <v>37777</v>
      </c>
      <c r="BI621" s="3441" t="s">
        <v>8007</v>
      </c>
      <c r="BJ621" s="3484">
        <v>37839</v>
      </c>
      <c r="BK621" s="3518"/>
      <c r="BL621" s="3470" t="s">
        <v>3670</v>
      </c>
      <c r="BS621" s="3470"/>
      <c r="BT621" s="3470"/>
      <c r="BU621" s="3470"/>
    </row>
    <row r="622" spans="1:73" s="3470" customFormat="1" ht="12" hidden="1">
      <c r="A622" s="3470" t="s">
        <v>8008</v>
      </c>
      <c r="B622" s="3470" t="s">
        <v>8009</v>
      </c>
      <c r="C622" s="3470" t="s">
        <v>8010</v>
      </c>
      <c r="D622" s="3470">
        <v>13910293908</v>
      </c>
      <c r="E622" s="3470" t="s">
        <v>3558</v>
      </c>
      <c r="F622" s="3470" t="s">
        <v>7153</v>
      </c>
      <c r="G622" s="3470" t="s">
        <v>3568</v>
      </c>
      <c r="H622" s="3470" t="s">
        <v>7154</v>
      </c>
      <c r="I622" s="3470" t="s">
        <v>3735</v>
      </c>
      <c r="J622" s="3470" t="s">
        <v>3736</v>
      </c>
      <c r="K622" s="3470" t="s">
        <v>6117</v>
      </c>
      <c r="L622" s="3470">
        <v>124.03</v>
      </c>
      <c r="M622" s="3470">
        <v>3</v>
      </c>
      <c r="N622" s="3470" t="s">
        <v>4003</v>
      </c>
      <c r="O622" s="3470">
        <v>112.19</v>
      </c>
      <c r="P622" s="3470" t="s">
        <v>3452</v>
      </c>
      <c r="Q622" s="3470">
        <v>534136.43530000001</v>
      </c>
      <c r="R622" s="3470">
        <v>4306.51</v>
      </c>
      <c r="S622" s="3470">
        <v>52.84</v>
      </c>
      <c r="T622" s="3470">
        <v>528400</v>
      </c>
      <c r="U622" s="3470">
        <v>4261</v>
      </c>
      <c r="V622" s="3470">
        <v>0.1</v>
      </c>
      <c r="W622" s="3470">
        <v>47.55</v>
      </c>
      <c r="X622" s="3470">
        <v>475500</v>
      </c>
      <c r="Y622" s="3470">
        <v>2003</v>
      </c>
      <c r="Z622" s="3470">
        <v>8</v>
      </c>
      <c r="AA622" s="3470">
        <v>18</v>
      </c>
      <c r="AB622" s="3470">
        <v>2640</v>
      </c>
      <c r="AC622" s="3470" t="s">
        <v>4004</v>
      </c>
      <c r="AE622" s="3470" t="s">
        <v>3663</v>
      </c>
      <c r="AF622" s="3470" t="s">
        <v>7190</v>
      </c>
      <c r="AG622" s="3470" t="s">
        <v>3466</v>
      </c>
      <c r="AI622" s="3470" t="s">
        <v>5021</v>
      </c>
      <c r="AJ622" s="3470">
        <v>38108</v>
      </c>
      <c r="AK622" s="3470">
        <v>8</v>
      </c>
      <c r="AL622" s="3470">
        <v>67641700</v>
      </c>
      <c r="AN622" s="3470" t="s">
        <v>3680</v>
      </c>
      <c r="AO622" s="3470" t="s">
        <v>8011</v>
      </c>
      <c r="AP622" s="3470" t="s">
        <v>3476</v>
      </c>
      <c r="AQ622" s="3470" t="s">
        <v>3571</v>
      </c>
      <c r="AW622" s="3470" t="s">
        <v>3572</v>
      </c>
      <c r="AX622" s="3470" t="s">
        <v>3568</v>
      </c>
      <c r="AY622" s="3481">
        <v>299215</v>
      </c>
      <c r="AZ622" s="3470" t="s">
        <v>6117</v>
      </c>
      <c r="BA622" s="3470" t="s">
        <v>7157</v>
      </c>
      <c r="BB622" s="3481">
        <v>1102281326100</v>
      </c>
      <c r="BC622" s="3470" t="s">
        <v>7158</v>
      </c>
      <c r="BD622" s="3482">
        <v>100055</v>
      </c>
      <c r="BE622" s="3470">
        <v>82951881</v>
      </c>
      <c r="BF622" s="3483">
        <v>2.8</v>
      </c>
      <c r="BG622" s="3478">
        <v>37780</v>
      </c>
      <c r="BI622" s="3470" t="s">
        <v>3476</v>
      </c>
      <c r="BJ622" s="3508">
        <v>37844</v>
      </c>
      <c r="BK622" s="3508"/>
      <c r="BL622" s="3470" t="s">
        <v>3670</v>
      </c>
      <c r="BP622" s="3441"/>
      <c r="BQ622" s="3441"/>
      <c r="BR622" s="3441"/>
    </row>
    <row r="623" spans="1:73" s="3470" customFormat="1" ht="12" hidden="1">
      <c r="A623" s="3470" t="s">
        <v>8012</v>
      </c>
      <c r="B623" s="3470" t="s">
        <v>8013</v>
      </c>
      <c r="C623" s="3470" t="s">
        <v>8014</v>
      </c>
      <c r="D623" s="3470" t="s">
        <v>8015</v>
      </c>
      <c r="E623" s="3470" t="s">
        <v>3558</v>
      </c>
      <c r="F623" s="3470" t="s">
        <v>3559</v>
      </c>
      <c r="H623" s="3470" t="s">
        <v>3560</v>
      </c>
      <c r="I623" s="3470" t="s">
        <v>4309</v>
      </c>
      <c r="J623" s="3470" t="s">
        <v>7684</v>
      </c>
      <c r="K623" s="3470" t="s">
        <v>7829</v>
      </c>
      <c r="L623" s="3470">
        <v>71.52</v>
      </c>
      <c r="M623" s="3470">
        <v>10</v>
      </c>
      <c r="N623" s="3470" t="s">
        <v>3564</v>
      </c>
      <c r="O623" s="3470">
        <v>57.94</v>
      </c>
      <c r="P623" s="3470" t="s">
        <v>3452</v>
      </c>
      <c r="Q623" s="3470">
        <v>330422.40000000002</v>
      </c>
      <c r="R623" s="3470">
        <v>4620</v>
      </c>
      <c r="S623" s="3470">
        <v>32.71</v>
      </c>
      <c r="T623" s="3470">
        <v>327100</v>
      </c>
      <c r="U623" s="3470">
        <v>4574</v>
      </c>
      <c r="V623" s="3470">
        <v>0.1</v>
      </c>
      <c r="W623" s="3470">
        <v>29.43</v>
      </c>
      <c r="X623" s="3470">
        <v>294300</v>
      </c>
      <c r="Y623" s="3470">
        <v>2003</v>
      </c>
      <c r="Z623" s="3470">
        <v>8</v>
      </c>
      <c r="AA623" s="3470">
        <v>15</v>
      </c>
      <c r="AB623" s="3470">
        <v>1635</v>
      </c>
      <c r="AC623" s="3470" t="s">
        <v>3693</v>
      </c>
      <c r="AE623" s="3470" t="s">
        <v>3663</v>
      </c>
      <c r="AF623" s="3470" t="s">
        <v>4032</v>
      </c>
      <c r="AG623" s="3470" t="s">
        <v>3466</v>
      </c>
      <c r="AH623" s="3470" t="s">
        <v>3568</v>
      </c>
      <c r="AI623" s="3470" t="s">
        <v>5021</v>
      </c>
      <c r="AJ623" s="3470">
        <v>37894</v>
      </c>
      <c r="AK623" s="3470">
        <v>8</v>
      </c>
      <c r="AL623" s="3470">
        <v>67641700</v>
      </c>
      <c r="AM623" s="3470" t="s">
        <v>3568</v>
      </c>
      <c r="AN623" s="3470" t="s">
        <v>3739</v>
      </c>
      <c r="AO623" s="3470" t="s">
        <v>3568</v>
      </c>
      <c r="AP623" s="3470" t="s">
        <v>3476</v>
      </c>
      <c r="AQ623" s="3470" t="s">
        <v>3571</v>
      </c>
      <c r="AW623" s="3470" t="s">
        <v>3572</v>
      </c>
      <c r="AY623" s="3481" t="s">
        <v>8016</v>
      </c>
      <c r="AZ623" s="3470" t="s">
        <v>7829</v>
      </c>
      <c r="BA623" s="3470" t="s">
        <v>3574</v>
      </c>
      <c r="BB623" s="3481" t="s">
        <v>3575</v>
      </c>
      <c r="BC623" s="3470" t="s">
        <v>3576</v>
      </c>
      <c r="BD623" s="3482">
        <v>100037</v>
      </c>
      <c r="BE623" s="3470">
        <v>84050046</v>
      </c>
      <c r="BF623" s="3483">
        <v>2.8</v>
      </c>
      <c r="BG623" s="3478">
        <v>37694</v>
      </c>
      <c r="BH623" s="3470" t="s">
        <v>4753</v>
      </c>
      <c r="BI623" s="3470" t="s">
        <v>3476</v>
      </c>
      <c r="BJ623" s="3508">
        <v>37840</v>
      </c>
      <c r="BK623" s="3508">
        <v>37719</v>
      </c>
      <c r="BL623" s="3470" t="s">
        <v>3670</v>
      </c>
      <c r="BP623" s="3441"/>
      <c r="BQ623" s="3441"/>
      <c r="BR623" s="3441"/>
    </row>
    <row r="624" spans="1:73" s="3470" customFormat="1" ht="12" hidden="1">
      <c r="A624" s="3470" t="s">
        <v>8017</v>
      </c>
      <c r="B624" s="3470" t="s">
        <v>8018</v>
      </c>
      <c r="C624" s="3470" t="s">
        <v>8019</v>
      </c>
      <c r="D624" s="3470" t="s">
        <v>8020</v>
      </c>
      <c r="E624" s="3470" t="s">
        <v>3558</v>
      </c>
      <c r="F624" s="3470" t="s">
        <v>8021</v>
      </c>
      <c r="G624" s="3470" t="s">
        <v>3568</v>
      </c>
      <c r="H624" s="3470" t="s">
        <v>3560</v>
      </c>
      <c r="I624" s="3470" t="s">
        <v>4309</v>
      </c>
      <c r="J624" s="3470" t="s">
        <v>3980</v>
      </c>
      <c r="K624" s="3470" t="s">
        <v>8022</v>
      </c>
      <c r="L624" s="3470">
        <v>156.53</v>
      </c>
      <c r="M624" s="3470">
        <v>2</v>
      </c>
      <c r="N624" s="3470" t="s">
        <v>4003</v>
      </c>
      <c r="O624" s="3470">
        <v>139.78</v>
      </c>
      <c r="P624" s="3470" t="s">
        <v>3452</v>
      </c>
      <c r="Q624" s="3470">
        <v>907874</v>
      </c>
      <c r="R624" s="3470">
        <v>5800</v>
      </c>
      <c r="S624" s="3470">
        <v>89.92</v>
      </c>
      <c r="T624" s="3470">
        <v>899200</v>
      </c>
      <c r="U624" s="3470">
        <v>5745</v>
      </c>
      <c r="V624" s="3470">
        <v>0.05</v>
      </c>
      <c r="W624" s="3470">
        <v>85.42</v>
      </c>
      <c r="X624" s="3470">
        <v>854200</v>
      </c>
      <c r="Y624" s="3470">
        <v>2003</v>
      </c>
      <c r="Z624" s="3470">
        <v>8</v>
      </c>
      <c r="AA624" s="3470">
        <v>11</v>
      </c>
      <c r="AB624" s="3470">
        <v>4495</v>
      </c>
      <c r="AC624" s="3470" t="s">
        <v>5548</v>
      </c>
      <c r="AE624" s="3470" t="s">
        <v>3663</v>
      </c>
      <c r="AF624" s="3470" t="s">
        <v>3493</v>
      </c>
      <c r="AG624" s="3470" t="s">
        <v>3466</v>
      </c>
      <c r="AI624" s="3470" t="s">
        <v>5021</v>
      </c>
      <c r="AK624" s="3470">
        <v>8</v>
      </c>
      <c r="AL624" s="3470">
        <v>67641700</v>
      </c>
      <c r="AN624" s="3470" t="s">
        <v>3739</v>
      </c>
      <c r="AP624" s="3470" t="s">
        <v>3476</v>
      </c>
      <c r="AQ624" s="3470" t="s">
        <v>3571</v>
      </c>
      <c r="AW624" s="3470" t="s">
        <v>3572</v>
      </c>
      <c r="AX624" s="3470" t="s">
        <v>2511</v>
      </c>
      <c r="AY624" s="3481" t="s">
        <v>8023</v>
      </c>
      <c r="AZ624" s="3470" t="s">
        <v>8022</v>
      </c>
      <c r="BA624" s="3470" t="s">
        <v>6769</v>
      </c>
      <c r="BB624" s="3481" t="s">
        <v>8024</v>
      </c>
      <c r="BC624" s="3470" t="s">
        <v>8025</v>
      </c>
      <c r="BD624" s="3482">
        <v>100080</v>
      </c>
      <c r="BE624" s="3470">
        <v>82611170</v>
      </c>
      <c r="BF624" s="3483">
        <v>2.7</v>
      </c>
      <c r="BG624" s="3478">
        <v>37826</v>
      </c>
      <c r="BI624" s="3470" t="s">
        <v>3476</v>
      </c>
      <c r="BJ624" s="3508">
        <v>37840</v>
      </c>
      <c r="BK624" s="3508"/>
      <c r="BL624" s="3470" t="s">
        <v>3670</v>
      </c>
      <c r="BP624" s="3441"/>
      <c r="BQ624" s="3441"/>
      <c r="BR624" s="3441"/>
    </row>
    <row r="625" spans="1:70" s="3470" customFormat="1" ht="12" hidden="1">
      <c r="A625" s="3470" t="s">
        <v>8026</v>
      </c>
      <c r="B625" s="3470" t="s">
        <v>8027</v>
      </c>
      <c r="C625" s="3470" t="s">
        <v>8028</v>
      </c>
      <c r="D625" s="3470" t="s">
        <v>8029</v>
      </c>
      <c r="E625" s="3470" t="s">
        <v>3558</v>
      </c>
      <c r="F625" s="3470" t="s">
        <v>4669</v>
      </c>
      <c r="H625" s="3470" t="s">
        <v>8030</v>
      </c>
      <c r="I625" s="3470" t="s">
        <v>5066</v>
      </c>
      <c r="J625" s="3470" t="s">
        <v>4672</v>
      </c>
      <c r="K625" s="3470" t="s">
        <v>4673</v>
      </c>
      <c r="L625" s="3470">
        <v>53.71</v>
      </c>
      <c r="M625" s="3470">
        <v>7</v>
      </c>
      <c r="N625" s="3470" t="s">
        <v>3564</v>
      </c>
      <c r="O625" s="3470">
        <v>41.78</v>
      </c>
      <c r="P625" s="3470" t="s">
        <v>3452</v>
      </c>
      <c r="Q625" s="3470">
        <v>339983.91440000001</v>
      </c>
      <c r="R625" s="3470">
        <v>8137.48</v>
      </c>
      <c r="S625" s="3470">
        <v>33.71</v>
      </c>
      <c r="T625" s="3470">
        <v>337100</v>
      </c>
      <c r="U625" s="3470">
        <v>6278</v>
      </c>
      <c r="V625" s="3470">
        <v>0.1</v>
      </c>
      <c r="W625" s="3470">
        <v>30.33</v>
      </c>
      <c r="X625" s="3470">
        <v>303300</v>
      </c>
      <c r="Y625" s="3470">
        <v>2003</v>
      </c>
      <c r="Z625" s="3470">
        <v>8</v>
      </c>
      <c r="AA625" s="3470">
        <v>25</v>
      </c>
      <c r="AB625" s="3470">
        <v>1685</v>
      </c>
      <c r="AC625" s="3470" t="s">
        <v>3565</v>
      </c>
      <c r="AE625" s="3470" t="s">
        <v>3663</v>
      </c>
      <c r="AF625" s="3470" t="s">
        <v>4721</v>
      </c>
      <c r="AG625" s="3470" t="s">
        <v>3466</v>
      </c>
      <c r="AI625" s="3470" t="s">
        <v>5021</v>
      </c>
      <c r="AJ625" s="3470">
        <v>38347</v>
      </c>
      <c r="AK625" s="3470">
        <v>8</v>
      </c>
      <c r="AL625" s="3470">
        <v>67641700</v>
      </c>
      <c r="AN625" s="3470" t="s">
        <v>4699</v>
      </c>
      <c r="AO625" s="3470" t="s">
        <v>8031</v>
      </c>
      <c r="AP625" s="3470" t="s">
        <v>3476</v>
      </c>
      <c r="AQ625" s="3470" t="s">
        <v>3571</v>
      </c>
      <c r="AW625" s="3470" t="s">
        <v>3572</v>
      </c>
      <c r="AY625" s="3481" t="s">
        <v>8032</v>
      </c>
      <c r="AZ625" s="3470" t="s">
        <v>4677</v>
      </c>
      <c r="BA625" s="3470" t="s">
        <v>4678</v>
      </c>
      <c r="BB625" s="3481" t="s">
        <v>4679</v>
      </c>
      <c r="BC625" s="3470" t="s">
        <v>4680</v>
      </c>
      <c r="BD625" s="3482">
        <v>100089</v>
      </c>
      <c r="BE625" s="3470">
        <v>68719656</v>
      </c>
      <c r="BF625" s="3483">
        <v>2.8</v>
      </c>
      <c r="BG625" s="3478">
        <v>37807</v>
      </c>
      <c r="BH625" s="3470" t="s">
        <v>4681</v>
      </c>
      <c r="BI625" s="3470" t="s">
        <v>3476</v>
      </c>
      <c r="BJ625" s="3508">
        <v>37841</v>
      </c>
      <c r="BK625" s="3508"/>
      <c r="BL625" s="3470" t="s">
        <v>3670</v>
      </c>
      <c r="BP625" s="3441"/>
      <c r="BQ625" s="3441"/>
      <c r="BR625" s="3441"/>
    </row>
    <row r="626" spans="1:70" s="3470" customFormat="1" ht="12" hidden="1">
      <c r="A626" s="3470" t="s">
        <v>8033</v>
      </c>
      <c r="B626" s="3470" t="s">
        <v>8034</v>
      </c>
      <c r="C626" s="3470" t="s">
        <v>8035</v>
      </c>
      <c r="D626" s="3470" t="s">
        <v>8036</v>
      </c>
      <c r="E626" s="3470" t="s">
        <v>3558</v>
      </c>
      <c r="F626" s="3470" t="s">
        <v>4758</v>
      </c>
      <c r="H626" s="3470" t="s">
        <v>4759</v>
      </c>
      <c r="I626" s="3470" t="s">
        <v>4309</v>
      </c>
      <c r="J626" s="3470" t="s">
        <v>7684</v>
      </c>
      <c r="K626" s="3470" t="s">
        <v>4760</v>
      </c>
      <c r="L626" s="3470">
        <v>201.67</v>
      </c>
      <c r="M626" s="3470">
        <v>10</v>
      </c>
      <c r="N626" s="3470" t="s">
        <v>3982</v>
      </c>
      <c r="O626" s="3470">
        <v>174.47</v>
      </c>
      <c r="P626" s="3470" t="s">
        <v>3452</v>
      </c>
      <c r="Q626" s="3470">
        <v>1024483.6</v>
      </c>
      <c r="R626" s="3470">
        <v>5080</v>
      </c>
      <c r="S626" s="3470">
        <v>101.44</v>
      </c>
      <c r="T626" s="3470">
        <v>1014400</v>
      </c>
      <c r="U626" s="3470">
        <v>5030</v>
      </c>
      <c r="V626" s="3470">
        <v>0.1</v>
      </c>
      <c r="W626" s="3470">
        <v>91.29</v>
      </c>
      <c r="X626" s="3470">
        <v>912900</v>
      </c>
      <c r="Y626" s="3470">
        <v>2003</v>
      </c>
      <c r="Z626" s="3470">
        <v>8</v>
      </c>
      <c r="AA626" s="3470">
        <v>11</v>
      </c>
      <c r="AB626" s="3470">
        <v>5035</v>
      </c>
      <c r="AC626" s="3470" t="s">
        <v>4407</v>
      </c>
      <c r="AE626" s="3470" t="s">
        <v>3663</v>
      </c>
      <c r="AF626" s="3470" t="s">
        <v>4032</v>
      </c>
      <c r="AG626" s="3470" t="s">
        <v>3466</v>
      </c>
      <c r="AH626" s="3470" t="s">
        <v>3568</v>
      </c>
      <c r="AI626" s="3470" t="s">
        <v>5021</v>
      </c>
      <c r="AJ626" s="3470">
        <v>38107</v>
      </c>
      <c r="AK626" s="3470">
        <v>8</v>
      </c>
      <c r="AL626" s="3470">
        <v>67641700</v>
      </c>
      <c r="AN626" s="3470" t="s">
        <v>3739</v>
      </c>
      <c r="AO626" s="3470" t="s">
        <v>3568</v>
      </c>
      <c r="AP626" s="3470" t="s">
        <v>3476</v>
      </c>
      <c r="AQ626" s="3470" t="s">
        <v>3571</v>
      </c>
      <c r="AV626" s="3470" t="s">
        <v>3568</v>
      </c>
      <c r="AW626" s="3470" t="s">
        <v>3572</v>
      </c>
      <c r="AX626" s="3470" t="s">
        <v>2511</v>
      </c>
      <c r="AY626" s="3481" t="s">
        <v>8037</v>
      </c>
      <c r="AZ626" s="3470" t="s">
        <v>4760</v>
      </c>
      <c r="BA626" s="3470" t="s">
        <v>4763</v>
      </c>
      <c r="BB626" s="3481" t="s">
        <v>4764</v>
      </c>
      <c r="BC626" s="3470" t="s">
        <v>4765</v>
      </c>
      <c r="BD626" s="3482">
        <v>102607</v>
      </c>
      <c r="BE626" s="3470">
        <v>68156287</v>
      </c>
      <c r="BF626" s="3483">
        <v>2.8</v>
      </c>
      <c r="BG626" s="3478">
        <v>37835</v>
      </c>
      <c r="BI626" s="3470" t="s">
        <v>3476</v>
      </c>
      <c r="BJ626" s="3508">
        <v>37840</v>
      </c>
      <c r="BK626" s="3508"/>
      <c r="BL626" s="3470" t="s">
        <v>3670</v>
      </c>
      <c r="BP626" s="3441"/>
      <c r="BQ626" s="3441"/>
      <c r="BR626" s="3441"/>
    </row>
    <row r="627" spans="1:70" s="3470" customFormat="1" ht="12" hidden="1">
      <c r="A627" s="3470" t="s">
        <v>8038</v>
      </c>
      <c r="B627" s="3470" t="s">
        <v>8039</v>
      </c>
      <c r="C627" s="3470" t="s">
        <v>8040</v>
      </c>
      <c r="D627" s="3470">
        <v>13501066693</v>
      </c>
      <c r="E627" s="3470" t="s">
        <v>3558</v>
      </c>
      <c r="F627" s="3470" t="s">
        <v>4645</v>
      </c>
      <c r="H627" s="3470" t="s">
        <v>4646</v>
      </c>
      <c r="I627" s="3470" t="s">
        <v>4733</v>
      </c>
      <c r="J627" s="3470" t="s">
        <v>8041</v>
      </c>
      <c r="K627" s="3470" t="s">
        <v>4649</v>
      </c>
      <c r="L627" s="3470">
        <v>52.86</v>
      </c>
      <c r="M627" s="3470">
        <v>17</v>
      </c>
      <c r="N627" s="3470" t="s">
        <v>3564</v>
      </c>
      <c r="O627" s="3470">
        <v>41.67</v>
      </c>
      <c r="P627" s="3470" t="s">
        <v>3452</v>
      </c>
      <c r="Q627" s="3470">
        <v>409929.3</v>
      </c>
      <c r="R627" s="3470">
        <v>7755</v>
      </c>
      <c r="S627" s="3470">
        <v>40.69</v>
      </c>
      <c r="T627" s="3470">
        <v>406900</v>
      </c>
      <c r="U627" s="3470">
        <v>7699</v>
      </c>
      <c r="V627" s="3470">
        <v>0.1</v>
      </c>
      <c r="W627" s="3470">
        <v>36.619999999999997</v>
      </c>
      <c r="X627" s="3470">
        <v>366200</v>
      </c>
      <c r="Y627" s="3470">
        <v>2003</v>
      </c>
      <c r="Z627" s="3470">
        <v>8</v>
      </c>
      <c r="AA627" s="3470">
        <v>8</v>
      </c>
      <c r="AB627" s="3470">
        <v>2030</v>
      </c>
      <c r="AC627" s="3470" t="s">
        <v>7614</v>
      </c>
      <c r="AE627" s="3470" t="s">
        <v>3663</v>
      </c>
      <c r="AF627" s="3470" t="s">
        <v>3728</v>
      </c>
      <c r="AG627" s="3470" t="s">
        <v>3466</v>
      </c>
      <c r="AI627" s="3470" t="s">
        <v>5021</v>
      </c>
      <c r="AJ627" s="3470">
        <v>38199</v>
      </c>
      <c r="AK627" s="3470">
        <v>8</v>
      </c>
      <c r="AL627" s="3470">
        <v>67641700</v>
      </c>
      <c r="AN627" s="3470" t="s">
        <v>3695</v>
      </c>
      <c r="AP627" s="3470" t="s">
        <v>3476</v>
      </c>
      <c r="AQ627" s="3470" t="s">
        <v>3571</v>
      </c>
      <c r="AW627" s="3470" t="s">
        <v>3572</v>
      </c>
      <c r="AX627" s="3470" t="s">
        <v>3568</v>
      </c>
      <c r="AY627" s="3481" t="s">
        <v>8042</v>
      </c>
      <c r="AZ627" s="3470" t="s">
        <v>4654</v>
      </c>
      <c r="BA627" s="3470" t="s">
        <v>4688</v>
      </c>
      <c r="BB627" s="3481" t="s">
        <v>4689</v>
      </c>
      <c r="BC627" s="3470" t="s">
        <v>4656</v>
      </c>
      <c r="BD627" s="3482">
        <v>100037</v>
      </c>
      <c r="BE627" s="3470">
        <v>68347718</v>
      </c>
      <c r="BF627" s="3483">
        <v>2.8</v>
      </c>
      <c r="BG627" s="3478">
        <v>37808</v>
      </c>
      <c r="BH627" s="3470" t="s">
        <v>4681</v>
      </c>
      <c r="BI627" s="3470" t="s">
        <v>3476</v>
      </c>
      <c r="BJ627" s="3508">
        <v>37838</v>
      </c>
      <c r="BK627" s="3508"/>
      <c r="BL627" s="3470" t="s">
        <v>3670</v>
      </c>
      <c r="BP627" s="3441"/>
      <c r="BQ627" s="3441"/>
      <c r="BR627" s="3441"/>
    </row>
    <row r="628" spans="1:70" s="3470" customFormat="1" ht="12" hidden="1">
      <c r="A628" s="3470" t="s">
        <v>8043</v>
      </c>
      <c r="B628" s="3470" t="s">
        <v>8044</v>
      </c>
      <c r="C628" s="3470" t="s">
        <v>8045</v>
      </c>
      <c r="D628" s="3470" t="s">
        <v>8046</v>
      </c>
      <c r="E628" s="3470" t="s">
        <v>3558</v>
      </c>
      <c r="F628" s="3470" t="s">
        <v>3559</v>
      </c>
      <c r="H628" s="3470" t="s">
        <v>3560</v>
      </c>
      <c r="I628" s="3470" t="s">
        <v>4001</v>
      </c>
      <c r="J628" s="3470" t="s">
        <v>7613</v>
      </c>
      <c r="K628" s="3470" t="s">
        <v>7737</v>
      </c>
      <c r="L628" s="3470">
        <v>45.71</v>
      </c>
      <c r="M628" s="3470">
        <v>9</v>
      </c>
      <c r="N628" s="3470" t="s">
        <v>3692</v>
      </c>
      <c r="O628" s="3470">
        <v>37.03</v>
      </c>
      <c r="P628" s="3470" t="s">
        <v>3452</v>
      </c>
      <c r="Q628" s="3470">
        <v>212688.63</v>
      </c>
      <c r="R628" s="3470">
        <v>4653</v>
      </c>
      <c r="S628" s="3470">
        <v>21.06</v>
      </c>
      <c r="T628" s="3470">
        <v>210600</v>
      </c>
      <c r="U628" s="3470">
        <v>4608</v>
      </c>
      <c r="V628" s="3470">
        <v>0.1</v>
      </c>
      <c r="W628" s="3470">
        <v>18.95</v>
      </c>
      <c r="X628" s="3470">
        <v>189500</v>
      </c>
      <c r="Y628" s="3470">
        <v>2003</v>
      </c>
      <c r="Z628" s="3470">
        <v>8</v>
      </c>
      <c r="AA628" s="3470">
        <v>29</v>
      </c>
      <c r="AB628" s="3470">
        <v>1050</v>
      </c>
      <c r="AC628" s="3470" t="s">
        <v>3603</v>
      </c>
      <c r="AE628" s="3470" t="s">
        <v>3663</v>
      </c>
      <c r="AF628" s="3470" t="s">
        <v>4200</v>
      </c>
      <c r="AG628" s="3470" t="s">
        <v>3466</v>
      </c>
      <c r="AH628" s="3470" t="s">
        <v>3568</v>
      </c>
      <c r="AI628" s="3470" t="s">
        <v>5021</v>
      </c>
      <c r="AJ628" s="3470">
        <v>37894</v>
      </c>
      <c r="AK628" s="3470">
        <v>8</v>
      </c>
      <c r="AL628" s="3470">
        <v>67641700</v>
      </c>
      <c r="AM628" s="3470" t="s">
        <v>3568</v>
      </c>
      <c r="AN628" s="3470" t="s">
        <v>4699</v>
      </c>
      <c r="AO628" s="3470" t="s">
        <v>3568</v>
      </c>
      <c r="AP628" s="3470" t="s">
        <v>3476</v>
      </c>
      <c r="AQ628" s="3470" t="s">
        <v>3571</v>
      </c>
      <c r="AW628" s="3470" t="s">
        <v>3572</v>
      </c>
      <c r="AY628" s="3481" t="s">
        <v>8047</v>
      </c>
      <c r="AZ628" s="3470" t="s">
        <v>7737</v>
      </c>
      <c r="BA628" s="3470" t="s">
        <v>8005</v>
      </c>
      <c r="BB628" s="3481" t="s">
        <v>8006</v>
      </c>
      <c r="BC628" s="3470" t="s">
        <v>3576</v>
      </c>
      <c r="BD628" s="3482">
        <v>100037</v>
      </c>
      <c r="BE628" s="3470">
        <v>84050010</v>
      </c>
      <c r="BF628" s="3483">
        <v>2.8</v>
      </c>
      <c r="BG628" s="3478">
        <v>37699</v>
      </c>
      <c r="BH628" s="3470" t="s">
        <v>4753</v>
      </c>
      <c r="BI628" s="3470" t="s">
        <v>3476</v>
      </c>
      <c r="BJ628" s="3508">
        <v>37839</v>
      </c>
      <c r="BK628" s="3508">
        <v>37848</v>
      </c>
      <c r="BL628" s="3470" t="s">
        <v>3670</v>
      </c>
      <c r="BP628" s="3441"/>
      <c r="BQ628" s="3441"/>
      <c r="BR628" s="3441"/>
    </row>
    <row r="629" spans="1:70" s="3470" customFormat="1" ht="12" hidden="1">
      <c r="A629" s="3470" t="s">
        <v>8048</v>
      </c>
      <c r="B629" s="3470" t="s">
        <v>8049</v>
      </c>
      <c r="C629" s="3470" t="s">
        <v>8050</v>
      </c>
      <c r="D629" s="3470" t="s">
        <v>8051</v>
      </c>
      <c r="E629" s="3470" t="s">
        <v>3558</v>
      </c>
      <c r="F629" s="3470" t="s">
        <v>4693</v>
      </c>
      <c r="H629" s="3470" t="s">
        <v>4694</v>
      </c>
      <c r="I629" s="3470" t="s">
        <v>5088</v>
      </c>
      <c r="J629" s="3470" t="s">
        <v>8052</v>
      </c>
      <c r="K629" s="3470" t="s">
        <v>4697</v>
      </c>
      <c r="L629" s="3470">
        <v>37.75</v>
      </c>
      <c r="M629" s="3470">
        <v>5</v>
      </c>
      <c r="N629" s="3470" t="s">
        <v>3692</v>
      </c>
      <c r="O629" s="3470">
        <v>28.04</v>
      </c>
      <c r="P629" s="3470" t="s">
        <v>3452</v>
      </c>
      <c r="Q629" s="3470">
        <v>319818</v>
      </c>
      <c r="R629" s="3470">
        <v>8472</v>
      </c>
      <c r="S629" s="3470">
        <v>31.71</v>
      </c>
      <c r="T629" s="3470">
        <v>317100</v>
      </c>
      <c r="U629" s="3470">
        <v>8400</v>
      </c>
      <c r="V629" s="3470">
        <v>0.1</v>
      </c>
      <c r="W629" s="3470">
        <v>28.53</v>
      </c>
      <c r="X629" s="3470">
        <v>285300</v>
      </c>
      <c r="Y629" s="3470">
        <v>2003</v>
      </c>
      <c r="Z629" s="3470">
        <v>8</v>
      </c>
      <c r="AA629" s="3470">
        <v>11</v>
      </c>
      <c r="AB629" s="3470">
        <v>1585</v>
      </c>
      <c r="AC629" s="3470" t="s">
        <v>3565</v>
      </c>
      <c r="AE629" s="3470" t="s">
        <v>3663</v>
      </c>
      <c r="AF629" s="3470" t="s">
        <v>3694</v>
      </c>
      <c r="AG629" s="3470" t="s">
        <v>3466</v>
      </c>
      <c r="AH629" s="3470" t="s">
        <v>3463</v>
      </c>
      <c r="AI629" s="3470" t="s">
        <v>5021</v>
      </c>
      <c r="AJ629" s="3470">
        <v>38138</v>
      </c>
      <c r="AK629" s="3470">
        <v>8</v>
      </c>
      <c r="AL629" s="3470">
        <v>67641700</v>
      </c>
      <c r="AN629" s="3470" t="s">
        <v>3739</v>
      </c>
      <c r="AP629" s="3470" t="s">
        <v>3476</v>
      </c>
      <c r="AQ629" s="3470" t="s">
        <v>3571</v>
      </c>
      <c r="AV629" s="3470" t="s">
        <v>3568</v>
      </c>
      <c r="AW629" s="3470" t="s">
        <v>3572</v>
      </c>
      <c r="AX629" s="3470" t="s">
        <v>3568</v>
      </c>
      <c r="AY629" s="3481" t="s">
        <v>8053</v>
      </c>
      <c r="AZ629" s="3470" t="s">
        <v>4697</v>
      </c>
      <c r="BA629" s="3470" t="s">
        <v>4700</v>
      </c>
      <c r="BB629" s="3481" t="s">
        <v>4701</v>
      </c>
      <c r="BC629" s="3470" t="s">
        <v>4702</v>
      </c>
      <c r="BD629" s="3482">
        <v>100011</v>
      </c>
      <c r="BE629" s="3470">
        <v>62351476</v>
      </c>
      <c r="BF629" s="3483">
        <v>2.8</v>
      </c>
      <c r="BG629" s="3478">
        <v>37829</v>
      </c>
      <c r="BI629" s="3470" t="s">
        <v>3476</v>
      </c>
      <c r="BJ629" s="3508">
        <v>37840</v>
      </c>
      <c r="BK629" s="3508"/>
      <c r="BL629" s="3470" t="s">
        <v>3670</v>
      </c>
      <c r="BP629" s="3441"/>
      <c r="BQ629" s="3441"/>
      <c r="BR629" s="3441"/>
    </row>
    <row r="630" spans="1:70" s="3470" customFormat="1" ht="12" hidden="1">
      <c r="A630" s="3470" t="s">
        <v>8054</v>
      </c>
      <c r="B630" s="3470" t="s">
        <v>8055</v>
      </c>
      <c r="C630" s="3470" t="s">
        <v>8056</v>
      </c>
      <c r="D630" s="3470" t="s">
        <v>8057</v>
      </c>
      <c r="E630" s="3470" t="s">
        <v>3558</v>
      </c>
      <c r="F630" s="3470" t="s">
        <v>4693</v>
      </c>
      <c r="H630" s="3470" t="s">
        <v>4694</v>
      </c>
      <c r="I630" s="3470" t="s">
        <v>7851</v>
      </c>
      <c r="J630" s="3470" t="s">
        <v>8058</v>
      </c>
      <c r="K630" s="3470" t="s">
        <v>4697</v>
      </c>
      <c r="L630" s="3470">
        <v>37.979999999999997</v>
      </c>
      <c r="M630" s="3470">
        <v>8</v>
      </c>
      <c r="N630" s="3470" t="s">
        <v>3692</v>
      </c>
      <c r="O630" s="3470">
        <v>28.21</v>
      </c>
      <c r="P630" s="3470" t="s">
        <v>3452</v>
      </c>
      <c r="Q630" s="3470">
        <v>328640.94</v>
      </c>
      <c r="R630" s="3470">
        <v>8653</v>
      </c>
      <c r="S630" s="3470">
        <v>32.58</v>
      </c>
      <c r="T630" s="3470">
        <v>325800</v>
      </c>
      <c r="U630" s="3470">
        <v>8580</v>
      </c>
      <c r="V630" s="3470">
        <v>0.1</v>
      </c>
      <c r="W630" s="3470">
        <v>29.32</v>
      </c>
      <c r="X630" s="3470">
        <v>293200</v>
      </c>
      <c r="Y630" s="3470">
        <v>2003</v>
      </c>
      <c r="Z630" s="3470">
        <v>8</v>
      </c>
      <c r="AA630" s="3470">
        <v>11</v>
      </c>
      <c r="AB630" s="3470">
        <v>1625</v>
      </c>
      <c r="AC630" s="3470" t="s">
        <v>3565</v>
      </c>
      <c r="AE630" s="3470" t="s">
        <v>3663</v>
      </c>
      <c r="AF630" s="3470" t="s">
        <v>3694</v>
      </c>
      <c r="AG630" s="3470" t="s">
        <v>3466</v>
      </c>
      <c r="AH630" s="3470" t="s">
        <v>3463</v>
      </c>
      <c r="AI630" s="3470" t="s">
        <v>5021</v>
      </c>
      <c r="AJ630" s="3470">
        <v>38138</v>
      </c>
      <c r="AK630" s="3470">
        <v>8</v>
      </c>
      <c r="AL630" s="3470">
        <v>67641700</v>
      </c>
      <c r="AN630" s="3470" t="s">
        <v>3739</v>
      </c>
      <c r="AP630" s="3470" t="s">
        <v>3476</v>
      </c>
      <c r="AQ630" s="3470" t="s">
        <v>3571</v>
      </c>
      <c r="AV630" s="3470" t="s">
        <v>3568</v>
      </c>
      <c r="AW630" s="3470" t="s">
        <v>3572</v>
      </c>
      <c r="AX630" s="3470" t="s">
        <v>3568</v>
      </c>
      <c r="AY630" s="3481" t="s">
        <v>8059</v>
      </c>
      <c r="AZ630" s="3470" t="s">
        <v>4697</v>
      </c>
      <c r="BA630" s="3470" t="s">
        <v>4700</v>
      </c>
      <c r="BB630" s="3481" t="s">
        <v>4701</v>
      </c>
      <c r="BC630" s="3470" t="s">
        <v>4702</v>
      </c>
      <c r="BD630" s="3482">
        <v>100011</v>
      </c>
      <c r="BE630" s="3470">
        <v>62351476</v>
      </c>
      <c r="BF630" s="3483">
        <v>2.8</v>
      </c>
      <c r="BG630" s="3478">
        <v>37803</v>
      </c>
      <c r="BI630" s="3470" t="s">
        <v>3476</v>
      </c>
      <c r="BJ630" s="3508">
        <v>37840</v>
      </c>
      <c r="BK630" s="3508"/>
      <c r="BL630" s="3470" t="s">
        <v>3670</v>
      </c>
      <c r="BP630" s="3441"/>
      <c r="BQ630" s="3441"/>
      <c r="BR630" s="3441"/>
    </row>
    <row r="631" spans="1:70" s="3470" customFormat="1" ht="12" hidden="1">
      <c r="A631" s="3470" t="s">
        <v>8060</v>
      </c>
      <c r="B631" s="3470" t="s">
        <v>8061</v>
      </c>
      <c r="C631" s="3470" t="s">
        <v>8062</v>
      </c>
      <c r="D631" s="3470" t="s">
        <v>8063</v>
      </c>
      <c r="E631" s="3470" t="s">
        <v>3558</v>
      </c>
      <c r="F631" s="3470" t="s">
        <v>7803</v>
      </c>
      <c r="H631" s="3470" t="s">
        <v>4759</v>
      </c>
      <c r="I631" s="3470" t="s">
        <v>4019</v>
      </c>
      <c r="J631" s="3470" t="s">
        <v>3736</v>
      </c>
      <c r="K631" s="3470" t="s">
        <v>7804</v>
      </c>
      <c r="L631" s="3470">
        <v>84.17</v>
      </c>
      <c r="M631" s="3470">
        <v>3</v>
      </c>
      <c r="N631" s="3470" t="s">
        <v>4030</v>
      </c>
      <c r="O631" s="3470">
        <v>73.77</v>
      </c>
      <c r="P631" s="3470" t="s">
        <v>3452</v>
      </c>
      <c r="Q631" s="3470">
        <v>469512.45</v>
      </c>
      <c r="R631" s="3470">
        <v>4743</v>
      </c>
      <c r="S631" s="3470">
        <v>46.91</v>
      </c>
      <c r="T631" s="3470">
        <v>469100</v>
      </c>
      <c r="U631" s="3470">
        <v>4693</v>
      </c>
      <c r="V631" s="3470">
        <v>0.1</v>
      </c>
      <c r="W631" s="3470">
        <v>42.21</v>
      </c>
      <c r="X631" s="3470">
        <v>422100</v>
      </c>
      <c r="Y631" s="3470">
        <v>2003</v>
      </c>
      <c r="Z631" s="3470">
        <v>8</v>
      </c>
      <c r="AA631" s="3470">
        <v>11</v>
      </c>
      <c r="AB631" s="3470">
        <v>2345</v>
      </c>
      <c r="AC631" s="3470" t="s">
        <v>3693</v>
      </c>
      <c r="AE631" s="3470" t="s">
        <v>3663</v>
      </c>
      <c r="AF631" s="3470" t="s">
        <v>8064</v>
      </c>
      <c r="AG631" s="3470" t="s">
        <v>3466</v>
      </c>
      <c r="AI631" s="3470" t="s">
        <v>5021</v>
      </c>
      <c r="AJ631" s="3470">
        <v>38077</v>
      </c>
      <c r="AK631" s="3470">
        <v>8</v>
      </c>
      <c r="AL631" s="3470">
        <v>67641700</v>
      </c>
      <c r="AN631" s="3470" t="s">
        <v>3739</v>
      </c>
      <c r="AO631" s="3470" t="s">
        <v>3568</v>
      </c>
      <c r="AP631" s="3470" t="s">
        <v>3476</v>
      </c>
      <c r="AQ631" s="3470" t="s">
        <v>3571</v>
      </c>
      <c r="AW631" s="3470" t="s">
        <v>3572</v>
      </c>
      <c r="AX631" s="3470" t="s">
        <v>3568</v>
      </c>
      <c r="AY631" s="3481" t="s">
        <v>8065</v>
      </c>
      <c r="AZ631" s="3470" t="s">
        <v>7804</v>
      </c>
      <c r="BA631" s="3470" t="s">
        <v>7807</v>
      </c>
      <c r="BB631" s="3481">
        <v>1102281149818</v>
      </c>
      <c r="BC631" s="3470" t="s">
        <v>7808</v>
      </c>
      <c r="BD631" s="3482">
        <v>100044</v>
      </c>
      <c r="BE631" s="3470">
        <v>88018575</v>
      </c>
      <c r="BF631" s="3483">
        <v>2.7</v>
      </c>
      <c r="BG631" s="3478">
        <v>37814</v>
      </c>
      <c r="BI631" s="3470" t="s">
        <v>3476</v>
      </c>
      <c r="BJ631" s="3508">
        <v>37841</v>
      </c>
      <c r="BK631" s="3508"/>
      <c r="BL631" s="3470" t="s">
        <v>3670</v>
      </c>
      <c r="BP631" s="3441"/>
      <c r="BQ631" s="3441"/>
      <c r="BR631" s="3441"/>
    </row>
    <row r="632" spans="1:70" s="3470" customFormat="1" ht="12" hidden="1">
      <c r="A632" s="3470" t="s">
        <v>8066</v>
      </c>
      <c r="B632" s="3470" t="s">
        <v>8067</v>
      </c>
      <c r="C632" s="3470" t="s">
        <v>8068</v>
      </c>
      <c r="D632" s="3470" t="s">
        <v>8069</v>
      </c>
      <c r="E632" s="3470" t="s">
        <v>3558</v>
      </c>
      <c r="F632" s="3470" t="s">
        <v>7803</v>
      </c>
      <c r="H632" s="3470" t="s">
        <v>7661</v>
      </c>
      <c r="I632" s="3470" t="s">
        <v>4019</v>
      </c>
      <c r="J632" s="3470" t="s">
        <v>7678</v>
      </c>
      <c r="K632" s="3470" t="s">
        <v>7804</v>
      </c>
      <c r="L632" s="3470">
        <v>111.06</v>
      </c>
      <c r="M632" s="3470">
        <v>5</v>
      </c>
      <c r="N632" s="3470" t="s">
        <v>4003</v>
      </c>
      <c r="O632" s="3470">
        <v>98.9</v>
      </c>
      <c r="P632" s="3470" t="s">
        <v>3452</v>
      </c>
      <c r="Q632" s="3470">
        <v>486775.98</v>
      </c>
      <c r="R632" s="3470">
        <v>4383</v>
      </c>
      <c r="S632" s="3470">
        <v>48.13</v>
      </c>
      <c r="T632" s="3470">
        <v>481300</v>
      </c>
      <c r="U632" s="3470">
        <v>4334</v>
      </c>
      <c r="V632" s="3470">
        <v>0.1</v>
      </c>
      <c r="W632" s="3470">
        <v>43.31</v>
      </c>
      <c r="X632" s="3470">
        <v>433100</v>
      </c>
      <c r="Y632" s="3470">
        <v>2003</v>
      </c>
      <c r="Z632" s="3470">
        <v>8</v>
      </c>
      <c r="AA632" s="3470">
        <v>11</v>
      </c>
      <c r="AB632" s="3470">
        <v>3830</v>
      </c>
      <c r="AC632" s="3470" t="s">
        <v>3693</v>
      </c>
      <c r="AE632" s="3470" t="s">
        <v>3663</v>
      </c>
      <c r="AF632" s="3470" t="s">
        <v>8064</v>
      </c>
      <c r="AG632" s="3470" t="s">
        <v>3466</v>
      </c>
      <c r="AI632" s="3470" t="s">
        <v>5021</v>
      </c>
      <c r="AJ632" s="3470">
        <v>38077</v>
      </c>
      <c r="AK632" s="3470">
        <v>8</v>
      </c>
      <c r="AL632" s="3470">
        <v>67641700</v>
      </c>
      <c r="AN632" s="3470" t="s">
        <v>3739</v>
      </c>
      <c r="AO632" s="3470" t="s">
        <v>3568</v>
      </c>
      <c r="AP632" s="3470" t="s">
        <v>3476</v>
      </c>
      <c r="AQ632" s="3470" t="s">
        <v>3571</v>
      </c>
      <c r="AW632" s="3470" t="s">
        <v>3572</v>
      </c>
      <c r="AX632" s="3470" t="s">
        <v>3568</v>
      </c>
      <c r="AY632" s="3481" t="s">
        <v>8070</v>
      </c>
      <c r="AZ632" s="3470" t="s">
        <v>7804</v>
      </c>
      <c r="BA632" s="3470" t="s">
        <v>7807</v>
      </c>
      <c r="BB632" s="3481">
        <v>1102281149818</v>
      </c>
      <c r="BC632" s="3470" t="s">
        <v>7808</v>
      </c>
      <c r="BD632" s="3482">
        <v>100044</v>
      </c>
      <c r="BE632" s="3470">
        <v>88018575</v>
      </c>
      <c r="BF632" s="3483">
        <v>2.7</v>
      </c>
      <c r="BG632" s="3478">
        <v>37824</v>
      </c>
      <c r="BI632" s="3470" t="s">
        <v>3476</v>
      </c>
      <c r="BJ632" s="3508">
        <v>37841</v>
      </c>
      <c r="BK632" s="3508"/>
      <c r="BL632" s="3470" t="s">
        <v>3670</v>
      </c>
      <c r="BP632" s="3441"/>
      <c r="BQ632" s="3441"/>
      <c r="BR632" s="3441"/>
    </row>
    <row r="633" spans="1:70" s="3470" customFormat="1" ht="12" hidden="1">
      <c r="A633" s="3470" t="s">
        <v>8071</v>
      </c>
      <c r="B633" s="3470" t="s">
        <v>8072</v>
      </c>
      <c r="C633" s="3470" t="s">
        <v>8073</v>
      </c>
      <c r="D633" s="3470">
        <v>13910172780</v>
      </c>
      <c r="E633" s="3470" t="s">
        <v>3558</v>
      </c>
      <c r="F633" s="3470" t="s">
        <v>7652</v>
      </c>
      <c r="H633" s="3470" t="s">
        <v>7772</v>
      </c>
      <c r="I633" s="3470" t="s">
        <v>7834</v>
      </c>
      <c r="J633" s="3470" t="s">
        <v>8074</v>
      </c>
      <c r="K633" s="3470" t="s">
        <v>7653</v>
      </c>
      <c r="L633" s="3470">
        <v>85.74</v>
      </c>
      <c r="M633" s="3470">
        <v>18</v>
      </c>
      <c r="N633" s="3470" t="s">
        <v>5032</v>
      </c>
      <c r="O633" s="3470">
        <v>67.81</v>
      </c>
      <c r="P633" s="3470" t="s">
        <v>3452</v>
      </c>
      <c r="Q633" s="3470">
        <v>405550.2</v>
      </c>
      <c r="R633" s="3470">
        <v>4730</v>
      </c>
      <c r="S633" s="3470">
        <v>40.119999999999997</v>
      </c>
      <c r="T633" s="3470">
        <v>401200</v>
      </c>
      <c r="U633" s="3470">
        <v>4680</v>
      </c>
      <c r="V633" s="3470">
        <v>0.1</v>
      </c>
      <c r="W633" s="3470">
        <v>36.1</v>
      </c>
      <c r="X633" s="3470">
        <v>361000</v>
      </c>
      <c r="Y633" s="3470">
        <v>2003</v>
      </c>
      <c r="Z633" s="3470">
        <v>8</v>
      </c>
      <c r="AA633" s="3470">
        <v>11</v>
      </c>
      <c r="AB633" s="3470">
        <v>2030</v>
      </c>
      <c r="AC633" s="3470" t="s">
        <v>3603</v>
      </c>
      <c r="AE633" s="3470" t="s">
        <v>3663</v>
      </c>
      <c r="AF633" s="3470" t="s">
        <v>3567</v>
      </c>
      <c r="AG633" s="3470" t="s">
        <v>3466</v>
      </c>
      <c r="AH633" s="3470" t="s">
        <v>3568</v>
      </c>
      <c r="AI633" s="3470" t="s">
        <v>5021</v>
      </c>
      <c r="AJ633" s="3470">
        <v>38077</v>
      </c>
      <c r="AK633" s="3470">
        <v>8</v>
      </c>
      <c r="AL633" s="3470">
        <v>67641700</v>
      </c>
      <c r="AN633" s="3470" t="s">
        <v>3739</v>
      </c>
      <c r="AP633" s="3470" t="s">
        <v>3476</v>
      </c>
      <c r="AQ633" s="3470" t="s">
        <v>3571</v>
      </c>
      <c r="AV633" s="3470" t="s">
        <v>3568</v>
      </c>
      <c r="AW633" s="3470" t="s">
        <v>3572</v>
      </c>
      <c r="AY633" s="3481" t="s">
        <v>8075</v>
      </c>
      <c r="AZ633" s="3470" t="s">
        <v>7653</v>
      </c>
      <c r="BA633" s="3470" t="s">
        <v>7655</v>
      </c>
      <c r="BB633" s="3481" t="s">
        <v>7656</v>
      </c>
      <c r="BC633" s="3470" t="s">
        <v>7657</v>
      </c>
      <c r="BD633" s="3482">
        <v>100025</v>
      </c>
      <c r="BE633" s="3470">
        <v>62908858</v>
      </c>
      <c r="BF633" s="3483">
        <v>2.7</v>
      </c>
      <c r="BG633" s="3478">
        <v>37822</v>
      </c>
      <c r="BH633" s="3470" t="s">
        <v>4681</v>
      </c>
      <c r="BI633" s="3470" t="s">
        <v>3476</v>
      </c>
      <c r="BJ633" s="3508">
        <v>37840</v>
      </c>
      <c r="BK633" s="3508"/>
      <c r="BL633" s="3470" t="s">
        <v>3670</v>
      </c>
      <c r="BP633" s="3441"/>
      <c r="BQ633" s="3441"/>
      <c r="BR633" s="3441"/>
    </row>
    <row r="634" spans="1:70" s="3470" customFormat="1" ht="12" hidden="1">
      <c r="A634" s="3470" t="s">
        <v>8076</v>
      </c>
      <c r="B634" s="3470" t="s">
        <v>8077</v>
      </c>
      <c r="C634" s="3470" t="s">
        <v>8078</v>
      </c>
      <c r="D634" s="3470">
        <v>13601183375</v>
      </c>
      <c r="E634" s="3470" t="s">
        <v>3558</v>
      </c>
      <c r="F634" s="3470" t="s">
        <v>3559</v>
      </c>
      <c r="H634" s="3470" t="s">
        <v>3560</v>
      </c>
      <c r="I634" s="3470" t="s">
        <v>4019</v>
      </c>
      <c r="J634" s="3470" t="s">
        <v>7524</v>
      </c>
      <c r="K634" s="3470" t="s">
        <v>7737</v>
      </c>
      <c r="L634" s="3470">
        <v>85.78</v>
      </c>
      <c r="M634" s="3470">
        <v>15</v>
      </c>
      <c r="N634" s="3470" t="s">
        <v>4030</v>
      </c>
      <c r="O634" s="3470">
        <v>69.5</v>
      </c>
      <c r="P634" s="3470" t="s">
        <v>3452</v>
      </c>
      <c r="Q634" s="3470">
        <v>313055.82559999998</v>
      </c>
      <c r="R634" s="3470">
        <v>3649.52</v>
      </c>
      <c r="S634" s="3470">
        <v>42.28</v>
      </c>
      <c r="T634" s="3470">
        <v>422800</v>
      </c>
      <c r="U634" s="3470">
        <v>4930</v>
      </c>
      <c r="V634" s="3470">
        <v>0.1</v>
      </c>
      <c r="W634" s="3470">
        <v>38.049999999999997</v>
      </c>
      <c r="X634" s="3470">
        <v>266500</v>
      </c>
      <c r="Y634" s="3470">
        <v>2003</v>
      </c>
      <c r="Z634" s="3470">
        <v>8</v>
      </c>
      <c r="AA634" s="3470">
        <v>26</v>
      </c>
      <c r="AB634" s="3470">
        <v>2110</v>
      </c>
      <c r="AC634" s="3470" t="s">
        <v>3693</v>
      </c>
      <c r="AE634" s="3470" t="s">
        <v>3663</v>
      </c>
      <c r="AF634" s="3470" t="s">
        <v>4200</v>
      </c>
      <c r="AG634" s="3470" t="s">
        <v>3466</v>
      </c>
      <c r="AH634" s="3470" t="s">
        <v>3568</v>
      </c>
      <c r="AI634" s="3470" t="s">
        <v>5021</v>
      </c>
      <c r="AJ634" s="3470">
        <v>37894</v>
      </c>
      <c r="AK634" s="3470" t="s">
        <v>4687</v>
      </c>
      <c r="AL634" s="3470">
        <v>67641700</v>
      </c>
      <c r="AM634" s="3470" t="s">
        <v>3568</v>
      </c>
      <c r="AN634" s="3470" t="s">
        <v>4699</v>
      </c>
      <c r="AO634" s="3470" t="s">
        <v>3568</v>
      </c>
      <c r="AP634" s="3470" t="s">
        <v>3476</v>
      </c>
      <c r="AQ634" s="3470" t="s">
        <v>3571</v>
      </c>
      <c r="AW634" s="3470" t="s">
        <v>3572</v>
      </c>
      <c r="AY634" s="3481" t="s">
        <v>8079</v>
      </c>
      <c r="AZ634" s="3470" t="s">
        <v>7737</v>
      </c>
      <c r="BA634" s="3470" t="s">
        <v>8005</v>
      </c>
      <c r="BB634" s="3481" t="s">
        <v>8006</v>
      </c>
      <c r="BC634" s="3470" t="s">
        <v>3576</v>
      </c>
      <c r="BD634" s="3482">
        <v>100035</v>
      </c>
      <c r="BE634" s="3470">
        <v>84050010</v>
      </c>
      <c r="BF634" s="3483">
        <v>2.8</v>
      </c>
      <c r="BG634" s="3478">
        <v>37790</v>
      </c>
      <c r="BI634" s="3470" t="s">
        <v>8007</v>
      </c>
      <c r="BJ634" s="3508">
        <v>37841</v>
      </c>
      <c r="BK634" s="3508">
        <v>37838</v>
      </c>
      <c r="BL634" s="3470" t="s">
        <v>3670</v>
      </c>
      <c r="BP634" s="3441"/>
      <c r="BQ634" s="3441"/>
      <c r="BR634" s="3441"/>
    </row>
    <row r="635" spans="1:70" s="3470" customFormat="1" ht="12" hidden="1">
      <c r="A635" s="3470" t="s">
        <v>8080</v>
      </c>
      <c r="B635" s="3470" t="s">
        <v>8081</v>
      </c>
      <c r="C635" s="3470" t="s">
        <v>8082</v>
      </c>
      <c r="D635" s="3470" t="s">
        <v>8083</v>
      </c>
      <c r="E635" s="3470" t="s">
        <v>3558</v>
      </c>
      <c r="F635" s="3470" t="s">
        <v>4758</v>
      </c>
      <c r="H635" s="3470" t="s">
        <v>3979</v>
      </c>
      <c r="I635" s="3470" t="s">
        <v>3561</v>
      </c>
      <c r="J635" s="3470" t="s">
        <v>7662</v>
      </c>
      <c r="K635" s="3470" t="s">
        <v>4760</v>
      </c>
      <c r="L635" s="3470">
        <v>125.07</v>
      </c>
      <c r="M635" s="3470">
        <v>7</v>
      </c>
      <c r="N635" s="3470" t="s">
        <v>3738</v>
      </c>
      <c r="O635" s="3470">
        <v>108.7</v>
      </c>
      <c r="P635" s="3470" t="s">
        <v>3452</v>
      </c>
      <c r="Q635" s="3470">
        <v>616595.1</v>
      </c>
      <c r="R635" s="3470">
        <v>4930</v>
      </c>
      <c r="S635" s="3470">
        <v>61.03</v>
      </c>
      <c r="T635" s="3470">
        <v>610300</v>
      </c>
      <c r="U635" s="3470">
        <v>4880</v>
      </c>
      <c r="V635" s="3470">
        <v>0.1</v>
      </c>
      <c r="W635" s="3470">
        <v>54.92</v>
      </c>
      <c r="X635" s="3470">
        <v>549200</v>
      </c>
      <c r="Y635" s="3470">
        <v>2003</v>
      </c>
      <c r="Z635" s="3470">
        <v>8</v>
      </c>
      <c r="AA635" s="3470">
        <v>18</v>
      </c>
      <c r="AB635" s="3470">
        <v>3050</v>
      </c>
      <c r="AC635" s="3470" t="s">
        <v>3565</v>
      </c>
      <c r="AE635" s="3470" t="s">
        <v>3663</v>
      </c>
      <c r="AF635" s="3470" t="s">
        <v>3728</v>
      </c>
      <c r="AG635" s="3470" t="s">
        <v>3466</v>
      </c>
      <c r="AH635" s="3470" t="s">
        <v>3568</v>
      </c>
      <c r="AI635" s="3470" t="s">
        <v>5021</v>
      </c>
      <c r="AJ635" s="3470">
        <v>38107</v>
      </c>
      <c r="AK635" s="3470">
        <v>8</v>
      </c>
      <c r="AL635" s="3470">
        <v>67641700</v>
      </c>
      <c r="AN635" s="3470" t="s">
        <v>3680</v>
      </c>
      <c r="AO635" s="3470" t="s">
        <v>8084</v>
      </c>
      <c r="AP635" s="3470" t="s">
        <v>3476</v>
      </c>
      <c r="AQ635" s="3470" t="s">
        <v>3571</v>
      </c>
      <c r="AV635" s="3470" t="s">
        <v>3568</v>
      </c>
      <c r="AW635" s="3470" t="s">
        <v>3572</v>
      </c>
      <c r="AX635" s="3470" t="s">
        <v>2511</v>
      </c>
      <c r="AY635" s="3481" t="s">
        <v>8085</v>
      </c>
      <c r="AZ635" s="3470" t="s">
        <v>4760</v>
      </c>
      <c r="BA635" s="3470" t="s">
        <v>4763</v>
      </c>
      <c r="BB635" s="3481" t="s">
        <v>4764</v>
      </c>
      <c r="BC635" s="3470" t="s">
        <v>4765</v>
      </c>
      <c r="BD635" s="3482">
        <v>102607</v>
      </c>
      <c r="BE635" s="3470">
        <v>68156287</v>
      </c>
      <c r="BF635" s="3483">
        <v>2.8</v>
      </c>
      <c r="BG635" s="3478">
        <v>37827</v>
      </c>
      <c r="BI635" s="3470" t="s">
        <v>3476</v>
      </c>
      <c r="BJ635" s="3508">
        <v>37847</v>
      </c>
      <c r="BK635" s="3508"/>
      <c r="BL635" s="3470" t="s">
        <v>3670</v>
      </c>
      <c r="BP635" s="3441"/>
      <c r="BQ635" s="3441"/>
      <c r="BR635" s="3441"/>
    </row>
    <row r="636" spans="1:70" s="3470" customFormat="1" ht="12" hidden="1">
      <c r="A636" s="3470" t="s">
        <v>8086</v>
      </c>
      <c r="B636" s="3470" t="s">
        <v>8087</v>
      </c>
      <c r="C636" s="3470" t="s">
        <v>8088</v>
      </c>
      <c r="D636" s="3470" t="s">
        <v>8089</v>
      </c>
      <c r="E636" s="3470" t="s">
        <v>3558</v>
      </c>
      <c r="F636" s="3470" t="s">
        <v>7803</v>
      </c>
      <c r="H636" s="3470" t="s">
        <v>4168</v>
      </c>
      <c r="I636" s="3470" t="s">
        <v>4019</v>
      </c>
      <c r="J636" s="3470" t="s">
        <v>4028</v>
      </c>
      <c r="K636" s="3470" t="s">
        <v>7804</v>
      </c>
      <c r="L636" s="3470">
        <v>83.86</v>
      </c>
      <c r="M636" s="3470">
        <v>6</v>
      </c>
      <c r="N636" s="3470" t="s">
        <v>4030</v>
      </c>
      <c r="O636" s="3470">
        <v>73.180000000000007</v>
      </c>
      <c r="P636" s="3470" t="s">
        <v>3452</v>
      </c>
      <c r="Q636" s="3470">
        <v>365713.46</v>
      </c>
      <c r="R636" s="3470">
        <v>4361</v>
      </c>
      <c r="S636" s="3470">
        <v>36.21</v>
      </c>
      <c r="T636" s="3470">
        <v>362100</v>
      </c>
      <c r="U636" s="3470">
        <v>4318</v>
      </c>
      <c r="V636" s="3470">
        <v>0.1</v>
      </c>
      <c r="W636" s="3470">
        <v>32.58</v>
      </c>
      <c r="X636" s="3470">
        <v>325800</v>
      </c>
      <c r="Y636" s="3470">
        <v>2003</v>
      </c>
      <c r="Z636" s="3470">
        <v>8</v>
      </c>
      <c r="AA636" s="3470">
        <v>12</v>
      </c>
      <c r="AB636" s="3470">
        <v>1810</v>
      </c>
      <c r="AC636" s="3470" t="s">
        <v>3693</v>
      </c>
      <c r="AE636" s="3470" t="s">
        <v>3663</v>
      </c>
      <c r="AF636" s="3470" t="s">
        <v>8064</v>
      </c>
      <c r="AG636" s="3470" t="s">
        <v>3466</v>
      </c>
      <c r="AI636" s="3470" t="s">
        <v>5021</v>
      </c>
      <c r="AJ636" s="3470">
        <v>38077</v>
      </c>
      <c r="AK636" s="3470">
        <v>8</v>
      </c>
      <c r="AL636" s="3470">
        <v>67641700</v>
      </c>
      <c r="AN636" s="3470" t="s">
        <v>3739</v>
      </c>
      <c r="AO636" s="3470" t="s">
        <v>3568</v>
      </c>
      <c r="AP636" s="3470" t="s">
        <v>3476</v>
      </c>
      <c r="AQ636" s="3470" t="s">
        <v>3571</v>
      </c>
      <c r="AW636" s="3470" t="s">
        <v>3572</v>
      </c>
      <c r="AX636" s="3470" t="s">
        <v>3568</v>
      </c>
      <c r="AY636" s="3481" t="s">
        <v>8090</v>
      </c>
      <c r="AZ636" s="3470" t="s">
        <v>7804</v>
      </c>
      <c r="BA636" s="3470" t="s">
        <v>7807</v>
      </c>
      <c r="BB636" s="3481">
        <v>1102281149818</v>
      </c>
      <c r="BC636" s="3470" t="s">
        <v>7808</v>
      </c>
      <c r="BD636" s="3482">
        <v>100044</v>
      </c>
      <c r="BE636" s="3470">
        <v>88018575</v>
      </c>
      <c r="BF636" s="3483">
        <v>2.7</v>
      </c>
      <c r="BG636" s="3478">
        <v>37814</v>
      </c>
      <c r="BI636" s="3470" t="s">
        <v>3476</v>
      </c>
      <c r="BJ636" s="3508">
        <v>37841</v>
      </c>
      <c r="BK636" s="3508"/>
      <c r="BL636" s="3470" t="s">
        <v>3670</v>
      </c>
      <c r="BP636" s="3441"/>
      <c r="BQ636" s="3441"/>
      <c r="BR636" s="3441"/>
    </row>
    <row r="637" spans="1:70" s="3470" customFormat="1" ht="12" hidden="1">
      <c r="A637" s="3470" t="s">
        <v>8091</v>
      </c>
      <c r="B637" s="3470" t="s">
        <v>8092</v>
      </c>
      <c r="C637" s="3470" t="s">
        <v>8093</v>
      </c>
      <c r="D637" s="3470">
        <v>13301156176</v>
      </c>
      <c r="E637" s="3470" t="s">
        <v>3558</v>
      </c>
      <c r="F637" s="3470" t="s">
        <v>8094</v>
      </c>
      <c r="H637" s="3470" t="s">
        <v>8095</v>
      </c>
      <c r="I637" s="3470" t="s">
        <v>4309</v>
      </c>
      <c r="J637" s="3470" t="s">
        <v>8096</v>
      </c>
      <c r="K637" s="3470" t="s">
        <v>8097</v>
      </c>
      <c r="L637" s="3470">
        <v>101.63</v>
      </c>
      <c r="M637" s="3470">
        <v>15</v>
      </c>
      <c r="N637" s="3470" t="s">
        <v>4030</v>
      </c>
      <c r="O637" s="3470">
        <v>84.17</v>
      </c>
      <c r="P637" s="3470" t="s">
        <v>3452</v>
      </c>
      <c r="Q637" s="3470">
        <v>504074.63699999993</v>
      </c>
      <c r="R637" s="3470">
        <v>4959.8999999999996</v>
      </c>
      <c r="S637" s="3470">
        <v>49.88</v>
      </c>
      <c r="T637" s="3470">
        <v>498800</v>
      </c>
      <c r="U637" s="3470">
        <v>4908</v>
      </c>
      <c r="V637" s="3470">
        <v>0.05</v>
      </c>
      <c r="W637" s="3470">
        <v>47.38</v>
      </c>
      <c r="X637" s="3470">
        <v>473800</v>
      </c>
      <c r="Y637" s="3470">
        <v>2003</v>
      </c>
      <c r="Z637" s="3470">
        <v>8</v>
      </c>
      <c r="AA637" s="3470">
        <v>13</v>
      </c>
      <c r="AB637" s="3470">
        <v>2490</v>
      </c>
      <c r="AC637" s="3470" t="s">
        <v>8098</v>
      </c>
      <c r="AE637" s="3470" t="s">
        <v>3663</v>
      </c>
      <c r="AF637" s="3470" t="s">
        <v>3493</v>
      </c>
      <c r="AG637" s="3470" t="s">
        <v>3466</v>
      </c>
      <c r="AI637" s="3470" t="s">
        <v>5021</v>
      </c>
      <c r="AJ637" s="3470">
        <v>37790</v>
      </c>
      <c r="AK637" s="3470">
        <v>8</v>
      </c>
      <c r="AL637" s="3470">
        <v>67641700</v>
      </c>
      <c r="AN637" s="3470" t="s">
        <v>3695</v>
      </c>
      <c r="AP637" s="3470" t="s">
        <v>7805</v>
      </c>
      <c r="AQ637" s="3470" t="s">
        <v>3571</v>
      </c>
      <c r="AV637" s="3470" t="s">
        <v>3568</v>
      </c>
      <c r="AW637" s="3470" t="s">
        <v>3572</v>
      </c>
      <c r="AX637" s="3470" t="s">
        <v>2511</v>
      </c>
      <c r="AY637" s="3481" t="s">
        <v>8099</v>
      </c>
      <c r="AZ637" s="3470" t="s">
        <v>8097</v>
      </c>
      <c r="BA637" s="3470" t="s">
        <v>8100</v>
      </c>
      <c r="BB637" s="3481" t="s">
        <v>8101</v>
      </c>
      <c r="BC637" s="3470" t="s">
        <v>8102</v>
      </c>
      <c r="BD637" s="3482">
        <v>100010</v>
      </c>
      <c r="BE637" s="3470">
        <v>65233356</v>
      </c>
      <c r="BF637" s="3483">
        <v>2.7</v>
      </c>
      <c r="BG637" s="3478">
        <v>37835</v>
      </c>
      <c r="BI637" s="3470" t="s">
        <v>7805</v>
      </c>
      <c r="BJ637" s="3508">
        <v>37844</v>
      </c>
      <c r="BK637" s="3508"/>
      <c r="BL637" s="3470" t="s">
        <v>3670</v>
      </c>
      <c r="BP637" s="3441"/>
      <c r="BQ637" s="3441"/>
      <c r="BR637" s="3441"/>
    </row>
    <row r="638" spans="1:70" s="3470" customFormat="1" ht="12" hidden="1">
      <c r="A638" s="3470" t="s">
        <v>8103</v>
      </c>
      <c r="B638" s="3470" t="s">
        <v>8104</v>
      </c>
      <c r="C638" s="3470" t="s">
        <v>8105</v>
      </c>
      <c r="D638" s="3470">
        <v>13681035510</v>
      </c>
      <c r="E638" s="3470" t="s">
        <v>3558</v>
      </c>
      <c r="F638" s="3470" t="s">
        <v>7652</v>
      </c>
      <c r="H638" s="3470" t="s">
        <v>4168</v>
      </c>
      <c r="I638" s="3470" t="s">
        <v>4309</v>
      </c>
      <c r="J638" s="3470" t="s">
        <v>4984</v>
      </c>
      <c r="K638" s="3470" t="s">
        <v>7653</v>
      </c>
      <c r="L638" s="3470">
        <v>104.38</v>
      </c>
      <c r="M638" s="3470">
        <v>4</v>
      </c>
      <c r="N638" s="3470" t="s">
        <v>3480</v>
      </c>
      <c r="O638" s="3470">
        <v>92.85</v>
      </c>
      <c r="P638" s="3470" t="s">
        <v>3452</v>
      </c>
      <c r="Q638" s="3470">
        <v>561042.5</v>
      </c>
      <c r="R638" s="3470">
        <v>5375</v>
      </c>
      <c r="S638" s="3470">
        <v>55.57</v>
      </c>
      <c r="T638" s="3470">
        <v>555700</v>
      </c>
      <c r="U638" s="3470">
        <v>5324</v>
      </c>
      <c r="V638" s="3470">
        <v>0.1</v>
      </c>
      <c r="W638" s="3470">
        <v>50.01</v>
      </c>
      <c r="X638" s="3470">
        <v>500100</v>
      </c>
      <c r="Y638" s="3470">
        <v>2003</v>
      </c>
      <c r="Z638" s="3470">
        <v>8</v>
      </c>
      <c r="AA638" s="3470">
        <v>13</v>
      </c>
      <c r="AB638" s="3470">
        <v>2775</v>
      </c>
      <c r="AC638" s="3470" t="s">
        <v>3565</v>
      </c>
      <c r="AE638" s="3470" t="s">
        <v>3663</v>
      </c>
      <c r="AF638" s="3470" t="s">
        <v>3728</v>
      </c>
      <c r="AG638" s="3470" t="s">
        <v>3466</v>
      </c>
      <c r="AH638" s="3470" t="s">
        <v>3568</v>
      </c>
      <c r="AI638" s="3470" t="s">
        <v>5021</v>
      </c>
      <c r="AJ638" s="3470">
        <v>37986</v>
      </c>
      <c r="AK638" s="3470">
        <v>8</v>
      </c>
      <c r="AL638" s="3470">
        <v>67641700</v>
      </c>
      <c r="AN638" s="3470" t="s">
        <v>3739</v>
      </c>
      <c r="AP638" s="3470" t="s">
        <v>3476</v>
      </c>
      <c r="AQ638" s="3470" t="s">
        <v>3571</v>
      </c>
      <c r="AV638" s="3470" t="s">
        <v>3568</v>
      </c>
      <c r="AW638" s="3470" t="s">
        <v>3572</v>
      </c>
      <c r="AY638" s="3481" t="s">
        <v>8106</v>
      </c>
      <c r="AZ638" s="3470" t="s">
        <v>7653</v>
      </c>
      <c r="BA638" s="3470" t="s">
        <v>7655</v>
      </c>
      <c r="BB638" s="3481" t="s">
        <v>7656</v>
      </c>
      <c r="BC638" s="3470" t="s">
        <v>7657</v>
      </c>
      <c r="BD638" s="3482">
        <v>100025</v>
      </c>
      <c r="BE638" s="3470">
        <v>62908858</v>
      </c>
      <c r="BF638" s="3483">
        <v>2.7</v>
      </c>
      <c r="BG638" s="3478">
        <v>37821</v>
      </c>
      <c r="BH638" s="3470" t="s">
        <v>4681</v>
      </c>
      <c r="BI638" s="3470" t="s">
        <v>3476</v>
      </c>
      <c r="BJ638" s="3508">
        <v>37841</v>
      </c>
      <c r="BK638" s="3508"/>
      <c r="BL638" s="3470" t="s">
        <v>3670</v>
      </c>
      <c r="BP638" s="3441"/>
      <c r="BQ638" s="3441"/>
      <c r="BR638" s="3441"/>
    </row>
    <row r="639" spans="1:70" s="3470" customFormat="1" ht="12" hidden="1">
      <c r="A639" s="3470" t="s">
        <v>8107</v>
      </c>
      <c r="B639" s="3470" t="s">
        <v>8108</v>
      </c>
      <c r="C639" s="3470" t="s">
        <v>8109</v>
      </c>
      <c r="D639" s="3470" t="s">
        <v>8110</v>
      </c>
      <c r="E639" s="3470" t="s">
        <v>3558</v>
      </c>
      <c r="F639" s="3470" t="s">
        <v>4758</v>
      </c>
      <c r="H639" s="3470" t="s">
        <v>3979</v>
      </c>
      <c r="I639" s="3470" t="s">
        <v>3561</v>
      </c>
      <c r="J639" s="3470" t="s">
        <v>5629</v>
      </c>
      <c r="K639" s="3470" t="s">
        <v>4760</v>
      </c>
      <c r="L639" s="3470">
        <v>125.07</v>
      </c>
      <c r="M639" s="3470">
        <v>2</v>
      </c>
      <c r="N639" s="3470" t="s">
        <v>3738</v>
      </c>
      <c r="O639" s="3470">
        <v>108.7</v>
      </c>
      <c r="P639" s="3470" t="s">
        <v>3452</v>
      </c>
      <c r="Q639" s="3470">
        <v>573621.04799999995</v>
      </c>
      <c r="R639" s="3470">
        <v>4586.3999999999996</v>
      </c>
      <c r="S639" s="3470">
        <v>56.73</v>
      </c>
      <c r="T639" s="3470">
        <v>567300</v>
      </c>
      <c r="U639" s="3470">
        <v>4536</v>
      </c>
      <c r="V639" s="3470">
        <v>0.1</v>
      </c>
      <c r="W639" s="3470">
        <v>51.05</v>
      </c>
      <c r="X639" s="3470">
        <v>510500</v>
      </c>
      <c r="Y639" s="3470">
        <v>2003</v>
      </c>
      <c r="Z639" s="3470">
        <v>8</v>
      </c>
      <c r="AA639" s="3470">
        <v>13</v>
      </c>
      <c r="AB639" s="3470">
        <v>2835</v>
      </c>
      <c r="AC639" s="3470" t="s">
        <v>8111</v>
      </c>
      <c r="AE639" s="3470" t="s">
        <v>3663</v>
      </c>
      <c r="AF639" s="3470" t="s">
        <v>4032</v>
      </c>
      <c r="AG639" s="3470" t="s">
        <v>3466</v>
      </c>
      <c r="AH639" s="3470" t="s">
        <v>3568</v>
      </c>
      <c r="AI639" s="3470" t="s">
        <v>5021</v>
      </c>
      <c r="AJ639" s="3470">
        <v>38107</v>
      </c>
      <c r="AK639" s="3470">
        <v>8</v>
      </c>
      <c r="AL639" s="3470">
        <v>67641700</v>
      </c>
      <c r="AN639" s="3470" t="s">
        <v>3739</v>
      </c>
      <c r="AO639" s="3470" t="s">
        <v>3568</v>
      </c>
      <c r="AP639" s="3470" t="s">
        <v>3476</v>
      </c>
      <c r="AQ639" s="3470" t="s">
        <v>3571</v>
      </c>
      <c r="AV639" s="3470" t="s">
        <v>3568</v>
      </c>
      <c r="AW639" s="3470" t="s">
        <v>3572</v>
      </c>
      <c r="AX639" s="3470" t="s">
        <v>2511</v>
      </c>
      <c r="AY639" s="3481" t="s">
        <v>8112</v>
      </c>
      <c r="AZ639" s="3470" t="s">
        <v>4760</v>
      </c>
      <c r="BA639" s="3470" t="s">
        <v>4763</v>
      </c>
      <c r="BB639" s="3481" t="s">
        <v>4764</v>
      </c>
      <c r="BC639" s="3470" t="s">
        <v>4765</v>
      </c>
      <c r="BD639" s="3482">
        <v>102607</v>
      </c>
      <c r="BE639" s="3470">
        <v>68156287</v>
      </c>
      <c r="BF639" s="3483">
        <v>2.8</v>
      </c>
      <c r="BG639" s="3478">
        <v>37839</v>
      </c>
      <c r="BI639" s="3470" t="s">
        <v>3476</v>
      </c>
      <c r="BJ639" s="3508">
        <v>37845</v>
      </c>
      <c r="BK639" s="3508"/>
      <c r="BL639" s="3470" t="s">
        <v>3670</v>
      </c>
      <c r="BP639" s="3441"/>
      <c r="BQ639" s="3441"/>
      <c r="BR639" s="3441"/>
    </row>
    <row r="640" spans="1:70" s="3470" customFormat="1" ht="12" hidden="1">
      <c r="A640" s="3470" t="s">
        <v>8113</v>
      </c>
      <c r="B640" s="3470" t="s">
        <v>8114</v>
      </c>
      <c r="C640" s="3470" t="s">
        <v>8115</v>
      </c>
      <c r="D640" s="3470" t="s">
        <v>8116</v>
      </c>
      <c r="E640" s="3470" t="s">
        <v>3558</v>
      </c>
      <c r="F640" s="3470" t="s">
        <v>7803</v>
      </c>
      <c r="H640" s="3470" t="s">
        <v>4759</v>
      </c>
      <c r="I640" s="3470" t="s">
        <v>4001</v>
      </c>
      <c r="J640" s="3470" t="s">
        <v>4028</v>
      </c>
      <c r="K640" s="3470" t="s">
        <v>7804</v>
      </c>
      <c r="L640" s="3470">
        <v>85.44</v>
      </c>
      <c r="M640" s="3470">
        <v>6</v>
      </c>
      <c r="N640" s="3470" t="s">
        <v>4030</v>
      </c>
      <c r="O640" s="3470">
        <v>74.88</v>
      </c>
      <c r="P640" s="3470" t="s">
        <v>3452</v>
      </c>
      <c r="Q640" s="3470">
        <v>379011.84000000003</v>
      </c>
      <c r="R640" s="3470">
        <v>4436</v>
      </c>
      <c r="S640" s="3470">
        <v>37.47</v>
      </c>
      <c r="T640" s="3470">
        <v>374700</v>
      </c>
      <c r="U640" s="3470">
        <v>4386</v>
      </c>
      <c r="V640" s="3470">
        <v>0.1</v>
      </c>
      <c r="W640" s="3470">
        <v>33.72</v>
      </c>
      <c r="X640" s="3470">
        <v>337200</v>
      </c>
      <c r="Y640" s="3470">
        <v>2003</v>
      </c>
      <c r="Z640" s="3470">
        <v>8</v>
      </c>
      <c r="AA640" s="3470">
        <v>14</v>
      </c>
      <c r="AB640" s="3470">
        <v>1870</v>
      </c>
      <c r="AC640" s="3470" t="s">
        <v>3693</v>
      </c>
      <c r="AE640" s="3470" t="s">
        <v>3663</v>
      </c>
      <c r="AF640" s="3470" t="s">
        <v>8064</v>
      </c>
      <c r="AG640" s="3470" t="s">
        <v>3466</v>
      </c>
      <c r="AI640" s="3470" t="s">
        <v>5021</v>
      </c>
      <c r="AJ640" s="3470">
        <v>38077</v>
      </c>
      <c r="AK640" s="3470">
        <v>8</v>
      </c>
      <c r="AL640" s="3470">
        <v>67641700</v>
      </c>
      <c r="AN640" s="3470" t="s">
        <v>3739</v>
      </c>
      <c r="AO640" s="3470" t="s">
        <v>3568</v>
      </c>
      <c r="AP640" s="3470" t="s">
        <v>3476</v>
      </c>
      <c r="AQ640" s="3470" t="s">
        <v>3571</v>
      </c>
      <c r="AW640" s="3470" t="s">
        <v>3572</v>
      </c>
      <c r="AX640" s="3470" t="s">
        <v>3568</v>
      </c>
      <c r="AY640" s="3481" t="s">
        <v>8117</v>
      </c>
      <c r="AZ640" s="3470" t="s">
        <v>7804</v>
      </c>
      <c r="BA640" s="3470" t="s">
        <v>7807</v>
      </c>
      <c r="BB640" s="3481">
        <v>1102281149818</v>
      </c>
      <c r="BC640" s="3470" t="s">
        <v>7808</v>
      </c>
      <c r="BD640" s="3482">
        <v>100044</v>
      </c>
      <c r="BE640" s="3470">
        <v>88018575</v>
      </c>
      <c r="BF640" s="3483">
        <v>2.7</v>
      </c>
      <c r="BG640" s="3478">
        <v>37824</v>
      </c>
      <c r="BI640" s="3470" t="s">
        <v>3476</v>
      </c>
      <c r="BJ640" s="3508">
        <v>37845</v>
      </c>
      <c r="BK640" s="3508"/>
      <c r="BL640" s="3470" t="s">
        <v>3670</v>
      </c>
      <c r="BP640" s="3441"/>
      <c r="BQ640" s="3441"/>
      <c r="BR640" s="3441"/>
    </row>
    <row r="641" spans="1:73" s="3470" customFormat="1" ht="12" hidden="1">
      <c r="A641" s="3470" t="s">
        <v>8118</v>
      </c>
      <c r="B641" s="3470" t="s">
        <v>8119</v>
      </c>
      <c r="C641" s="3470" t="s">
        <v>8120</v>
      </c>
      <c r="D641" s="3470" t="s">
        <v>8121</v>
      </c>
      <c r="E641" s="3470" t="s">
        <v>3558</v>
      </c>
      <c r="F641" s="3470" t="s">
        <v>8122</v>
      </c>
      <c r="G641" s="3470" t="s">
        <v>8123</v>
      </c>
      <c r="H641" s="3470" t="s">
        <v>8124</v>
      </c>
      <c r="I641" s="3470" t="s">
        <v>8125</v>
      </c>
      <c r="J641" s="3470" t="s">
        <v>7420</v>
      </c>
      <c r="K641" s="3470" t="s">
        <v>5620</v>
      </c>
      <c r="L641" s="3470">
        <v>104.44</v>
      </c>
      <c r="M641" s="3470">
        <v>7</v>
      </c>
      <c r="N641" s="3470" t="s">
        <v>4030</v>
      </c>
      <c r="O641" s="3470">
        <v>85.76</v>
      </c>
      <c r="P641" s="3470" t="s">
        <v>3452</v>
      </c>
      <c r="Q641" s="3470">
        <v>751797.76280000003</v>
      </c>
      <c r="R641" s="3470">
        <v>7198.37</v>
      </c>
      <c r="S641" s="3470">
        <v>74.540000000000006</v>
      </c>
      <c r="T641" s="3470">
        <v>745400</v>
      </c>
      <c r="U641" s="3470">
        <v>7138</v>
      </c>
      <c r="V641" s="3470">
        <v>0.1</v>
      </c>
      <c r="W641" s="3470">
        <v>67.08</v>
      </c>
      <c r="X641" s="3470">
        <v>670800</v>
      </c>
      <c r="Y641" s="3470">
        <v>2003</v>
      </c>
      <c r="Z641" s="3470">
        <v>8</v>
      </c>
      <c r="AA641" s="3470">
        <v>20</v>
      </c>
      <c r="AB641" s="3470">
        <v>3725</v>
      </c>
      <c r="AC641" s="3470" t="s">
        <v>3693</v>
      </c>
      <c r="AE641" s="3470" t="s">
        <v>3663</v>
      </c>
      <c r="AF641" s="3470" t="s">
        <v>4736</v>
      </c>
      <c r="AG641" s="3470" t="s">
        <v>3466</v>
      </c>
      <c r="AI641" s="3470" t="s">
        <v>8126</v>
      </c>
      <c r="AJ641" s="3470">
        <v>38017</v>
      </c>
      <c r="AK641" s="3470">
        <v>8</v>
      </c>
      <c r="AL641" s="3470">
        <v>67641700</v>
      </c>
      <c r="AN641" s="3470" t="s">
        <v>3739</v>
      </c>
      <c r="AP641" s="3470" t="s">
        <v>8127</v>
      </c>
      <c r="AQ641" s="3470" t="s">
        <v>3571</v>
      </c>
      <c r="AR641" s="3470">
        <v>2003</v>
      </c>
      <c r="AS641" s="3470">
        <v>8</v>
      </c>
      <c r="AT641" s="3470">
        <v>20</v>
      </c>
      <c r="AW641" s="3470" t="s">
        <v>3572</v>
      </c>
      <c r="AX641" s="3470" t="s">
        <v>2511</v>
      </c>
      <c r="AY641" s="3481" t="s">
        <v>8128</v>
      </c>
      <c r="AZ641" s="3470" t="s">
        <v>5620</v>
      </c>
      <c r="BA641" s="3470" t="s">
        <v>5623</v>
      </c>
      <c r="BB641" s="3481">
        <v>1100001502073</v>
      </c>
      <c r="BC641" s="3470" t="s">
        <v>5624</v>
      </c>
      <c r="BD641" s="3482">
        <v>100011</v>
      </c>
      <c r="BE641" s="3470">
        <v>64262674</v>
      </c>
      <c r="BF641" s="3483">
        <v>2.85</v>
      </c>
      <c r="BG641" s="3478">
        <v>37761</v>
      </c>
      <c r="BI641" s="3470" t="s">
        <v>8127</v>
      </c>
      <c r="BJ641" s="3508">
        <v>37846</v>
      </c>
      <c r="BK641" s="3508"/>
      <c r="BL641" s="3470" t="s">
        <v>3670</v>
      </c>
      <c r="BP641" s="3441"/>
      <c r="BQ641" s="3441"/>
      <c r="BR641" s="3441"/>
    </row>
    <row r="642" spans="1:73" s="3470" customFormat="1" ht="12" hidden="1">
      <c r="A642" s="3470" t="s">
        <v>8129</v>
      </c>
      <c r="B642" s="3470" t="s">
        <v>8130</v>
      </c>
      <c r="C642" s="3470" t="s">
        <v>8131</v>
      </c>
      <c r="D642" s="3470">
        <v>13301371418</v>
      </c>
      <c r="E642" s="3470" t="s">
        <v>3558</v>
      </c>
      <c r="F642" s="3470" t="s">
        <v>7153</v>
      </c>
      <c r="G642" s="3470" t="s">
        <v>3568</v>
      </c>
      <c r="H642" s="3470" t="s">
        <v>4112</v>
      </c>
      <c r="I642" s="3470" t="s">
        <v>3561</v>
      </c>
      <c r="J642" s="3470" t="s">
        <v>5019</v>
      </c>
      <c r="K642" s="3470" t="s">
        <v>6117</v>
      </c>
      <c r="L642" s="3470">
        <v>125.32</v>
      </c>
      <c r="M642" s="3470">
        <v>1</v>
      </c>
      <c r="N642" s="3470" t="s">
        <v>4003</v>
      </c>
      <c r="O642" s="3470">
        <v>114.24</v>
      </c>
      <c r="P642" s="3470" t="s">
        <v>3452</v>
      </c>
      <c r="Q642" s="3470">
        <v>507546</v>
      </c>
      <c r="R642" s="3470">
        <v>4050</v>
      </c>
      <c r="S642" s="3470">
        <v>50.19</v>
      </c>
      <c r="T642" s="3470">
        <v>501900</v>
      </c>
      <c r="U642" s="3470">
        <v>4005</v>
      </c>
      <c r="V642" s="3470">
        <v>0.1</v>
      </c>
      <c r="W642" s="3470">
        <v>45.17</v>
      </c>
      <c r="X642" s="3470">
        <v>451700</v>
      </c>
      <c r="Y642" s="3470">
        <v>2003</v>
      </c>
      <c r="Z642" s="3470">
        <v>8</v>
      </c>
      <c r="AA642" s="3470">
        <v>28</v>
      </c>
      <c r="AB642" s="3470">
        <v>2505</v>
      </c>
      <c r="AC642" s="3470" t="s">
        <v>3565</v>
      </c>
      <c r="AE642" s="3470" t="s">
        <v>3663</v>
      </c>
      <c r="AF642" s="3470" t="s">
        <v>4721</v>
      </c>
      <c r="AG642" s="3470" t="s">
        <v>3466</v>
      </c>
      <c r="AI642" s="3470" t="s">
        <v>5021</v>
      </c>
      <c r="AJ642" s="3470">
        <v>38108</v>
      </c>
      <c r="AK642" s="3470">
        <v>8</v>
      </c>
      <c r="AL642" s="3470">
        <v>67641700</v>
      </c>
      <c r="AN642" s="3470" t="s">
        <v>4699</v>
      </c>
      <c r="AO642" s="3470" t="s">
        <v>8132</v>
      </c>
      <c r="AP642" s="3470" t="s">
        <v>3476</v>
      </c>
      <c r="AQ642" s="3470" t="s">
        <v>3571</v>
      </c>
      <c r="AW642" s="3470" t="s">
        <v>3572</v>
      </c>
      <c r="AX642" s="3470" t="s">
        <v>3568</v>
      </c>
      <c r="AY642" s="3481">
        <v>299287</v>
      </c>
      <c r="AZ642" s="3470" t="s">
        <v>6117</v>
      </c>
      <c r="BA642" s="3470" t="s">
        <v>7157</v>
      </c>
      <c r="BB642" s="3481">
        <v>1102281326100</v>
      </c>
      <c r="BC642" s="3470" t="s">
        <v>7158</v>
      </c>
      <c r="BD642" s="3482">
        <v>100055</v>
      </c>
      <c r="BE642" s="3470">
        <v>82951881</v>
      </c>
      <c r="BF642" s="3483">
        <v>2.8</v>
      </c>
      <c r="BG642" s="3478">
        <v>37859</v>
      </c>
      <c r="BI642" s="3470" t="s">
        <v>3476</v>
      </c>
      <c r="BJ642" s="3508">
        <v>37859</v>
      </c>
      <c r="BK642" s="3508"/>
      <c r="BL642" s="3470" t="s">
        <v>3670</v>
      </c>
      <c r="BP642" s="3441"/>
      <c r="BQ642" s="3441"/>
      <c r="BR642" s="3441"/>
    </row>
    <row r="643" spans="1:73" s="3470" customFormat="1" ht="12" hidden="1">
      <c r="A643" s="3470" t="s">
        <v>8133</v>
      </c>
      <c r="B643" s="3470" t="s">
        <v>8134</v>
      </c>
      <c r="C643" s="3470" t="s">
        <v>8135</v>
      </c>
      <c r="D643" s="3470">
        <v>13651325511</v>
      </c>
      <c r="E643" s="3470" t="s">
        <v>3558</v>
      </c>
      <c r="F643" s="3470" t="s">
        <v>7153</v>
      </c>
      <c r="G643" s="3470" t="s">
        <v>3568</v>
      </c>
      <c r="H643" s="3470" t="s">
        <v>7162</v>
      </c>
      <c r="I643" s="3470" t="s">
        <v>3735</v>
      </c>
      <c r="J643" s="3470" t="s">
        <v>7944</v>
      </c>
      <c r="K643" s="3470" t="s">
        <v>6117</v>
      </c>
      <c r="L643" s="3470">
        <v>114.33</v>
      </c>
      <c r="M643" s="3470">
        <v>9</v>
      </c>
      <c r="N643" s="3470" t="s">
        <v>4003</v>
      </c>
      <c r="O643" s="3470">
        <v>96.96</v>
      </c>
      <c r="P643" s="3470" t="s">
        <v>3452</v>
      </c>
      <c r="Q643" s="3470">
        <v>450460.2</v>
      </c>
      <c r="R643" s="3470">
        <v>3940</v>
      </c>
      <c r="S643" s="3470">
        <v>44.53</v>
      </c>
      <c r="T643" s="3470">
        <v>445300</v>
      </c>
      <c r="U643" s="3470">
        <v>3895</v>
      </c>
      <c r="V643" s="3470">
        <v>0.1</v>
      </c>
      <c r="W643" s="3470">
        <v>40.07</v>
      </c>
      <c r="X643" s="3470">
        <v>400700</v>
      </c>
      <c r="Y643" s="3470">
        <v>2003</v>
      </c>
      <c r="Z643" s="3470">
        <v>9</v>
      </c>
      <c r="AA643" s="3470">
        <v>1</v>
      </c>
      <c r="AB643" s="3470">
        <v>2225</v>
      </c>
      <c r="AC643" s="3470" t="s">
        <v>3565</v>
      </c>
      <c r="AE643" s="3470" t="s">
        <v>3663</v>
      </c>
      <c r="AF643" s="3470" t="s">
        <v>4721</v>
      </c>
      <c r="AG643" s="3470" t="s">
        <v>3466</v>
      </c>
      <c r="AI643" s="3470" t="s">
        <v>5021</v>
      </c>
      <c r="AJ643" s="3470">
        <v>38108</v>
      </c>
      <c r="AK643" s="3470">
        <v>9</v>
      </c>
      <c r="AL643" s="3470">
        <v>67641700</v>
      </c>
      <c r="AN643" s="3470" t="s">
        <v>3570</v>
      </c>
      <c r="AO643" s="3470" t="s">
        <v>8136</v>
      </c>
      <c r="AP643" s="3470" t="s">
        <v>3476</v>
      </c>
      <c r="AQ643" s="3470" t="s">
        <v>3571</v>
      </c>
      <c r="AW643" s="3470" t="s">
        <v>3572</v>
      </c>
      <c r="AX643" s="3470" t="s">
        <v>3568</v>
      </c>
      <c r="AY643" s="3481">
        <v>299352</v>
      </c>
      <c r="AZ643" s="3470" t="s">
        <v>6117</v>
      </c>
      <c r="BA643" s="3470" t="s">
        <v>7157</v>
      </c>
      <c r="BB643" s="3481">
        <v>1102281326100</v>
      </c>
      <c r="BC643" s="3470" t="s">
        <v>7158</v>
      </c>
      <c r="BD643" s="3482">
        <v>100055</v>
      </c>
      <c r="BE643" s="3470">
        <v>82951881</v>
      </c>
      <c r="BF643" s="3483">
        <v>2.8</v>
      </c>
      <c r="BG643" s="3478">
        <v>37843</v>
      </c>
      <c r="BI643" s="3470" t="s">
        <v>3476</v>
      </c>
      <c r="BJ643" s="3508">
        <v>37858</v>
      </c>
      <c r="BK643" s="3508"/>
      <c r="BL643" s="3470" t="s">
        <v>3670</v>
      </c>
      <c r="BP643" s="3441"/>
      <c r="BQ643" s="3441"/>
      <c r="BR643" s="3441"/>
    </row>
    <row r="644" spans="1:73" s="3470" customFormat="1" ht="12" hidden="1">
      <c r="A644" s="3470" t="s">
        <v>8137</v>
      </c>
      <c r="B644" s="3470" t="s">
        <v>8138</v>
      </c>
      <c r="C644" s="3470" t="s">
        <v>8139</v>
      </c>
      <c r="D644" s="3470">
        <v>13601080623</v>
      </c>
      <c r="E644" s="3470" t="s">
        <v>3558</v>
      </c>
      <c r="F644" s="3470" t="s">
        <v>7153</v>
      </c>
      <c r="G644" s="3470" t="s">
        <v>3568</v>
      </c>
      <c r="H644" s="3470" t="s">
        <v>7376</v>
      </c>
      <c r="I644" s="3470" t="s">
        <v>3735</v>
      </c>
      <c r="J644" s="3470" t="s">
        <v>5629</v>
      </c>
      <c r="K644" s="3470" t="s">
        <v>6117</v>
      </c>
      <c r="L644" s="3470">
        <v>124.03</v>
      </c>
      <c r="M644" s="3470">
        <v>2</v>
      </c>
      <c r="N644" s="3470" t="s">
        <v>4003</v>
      </c>
      <c r="O644" s="3470">
        <v>112.19</v>
      </c>
      <c r="P644" s="3470" t="s">
        <v>3452</v>
      </c>
      <c r="Q644" s="3470">
        <v>506042.4</v>
      </c>
      <c r="R644" s="3470">
        <v>4080</v>
      </c>
      <c r="S644" s="3470">
        <v>50.04</v>
      </c>
      <c r="T644" s="3470">
        <v>500400</v>
      </c>
      <c r="U644" s="3470">
        <v>4035</v>
      </c>
      <c r="V644" s="3470">
        <v>0.1</v>
      </c>
      <c r="W644" s="3470">
        <v>45.03</v>
      </c>
      <c r="X644" s="3470">
        <v>450300</v>
      </c>
      <c r="Y644" s="3470">
        <v>2003</v>
      </c>
      <c r="Z644" s="3470">
        <v>9</v>
      </c>
      <c r="AA644" s="3470">
        <v>1</v>
      </c>
      <c r="AB644" s="3470">
        <v>2500</v>
      </c>
      <c r="AC644" s="3470" t="s">
        <v>8140</v>
      </c>
      <c r="AE644" s="3470" t="s">
        <v>3663</v>
      </c>
      <c r="AF644" s="3470" t="s">
        <v>4721</v>
      </c>
      <c r="AG644" s="3470" t="s">
        <v>3466</v>
      </c>
      <c r="AI644" s="3470" t="s">
        <v>5021</v>
      </c>
      <c r="AJ644" s="3470">
        <v>38108</v>
      </c>
      <c r="AK644" s="3470">
        <v>9</v>
      </c>
      <c r="AL644" s="3470">
        <v>67641700</v>
      </c>
      <c r="AN644" s="3470" t="s">
        <v>3570</v>
      </c>
      <c r="AO644" s="3470" t="s">
        <v>8141</v>
      </c>
      <c r="AP644" s="3470" t="s">
        <v>3476</v>
      </c>
      <c r="AQ644" s="3470" t="s">
        <v>3571</v>
      </c>
      <c r="AW644" s="3470" t="s">
        <v>3572</v>
      </c>
      <c r="AX644" s="3470" t="s">
        <v>3568</v>
      </c>
      <c r="AY644" s="3481">
        <v>299354</v>
      </c>
      <c r="AZ644" s="3470" t="s">
        <v>6117</v>
      </c>
      <c r="BA644" s="3470" t="s">
        <v>7157</v>
      </c>
      <c r="BB644" s="3481">
        <v>1102281326100</v>
      </c>
      <c r="BC644" s="3470" t="s">
        <v>7158</v>
      </c>
      <c r="BD644" s="3482">
        <v>100055</v>
      </c>
      <c r="BE644" s="3470">
        <v>82951881</v>
      </c>
      <c r="BF644" s="3483">
        <v>2.8</v>
      </c>
      <c r="BG644" s="3478">
        <v>37842</v>
      </c>
      <c r="BI644" s="3470" t="s">
        <v>3476</v>
      </c>
      <c r="BJ644" s="3508">
        <v>37858</v>
      </c>
      <c r="BK644" s="3508"/>
      <c r="BL644" s="3470" t="s">
        <v>3670</v>
      </c>
      <c r="BP644" s="3441"/>
      <c r="BQ644" s="3441"/>
      <c r="BR644" s="3441"/>
    </row>
    <row r="645" spans="1:73" s="3470" customFormat="1" ht="12" hidden="1">
      <c r="A645" s="3470" t="s">
        <v>8142</v>
      </c>
      <c r="B645" s="3470" t="s">
        <v>8143</v>
      </c>
      <c r="C645" s="3470" t="s">
        <v>8144</v>
      </c>
      <c r="D645" s="3470" t="s">
        <v>8145</v>
      </c>
      <c r="E645" s="3470" t="s">
        <v>3558</v>
      </c>
      <c r="F645" s="3470" t="s">
        <v>3951</v>
      </c>
      <c r="H645" s="3470" t="s">
        <v>4759</v>
      </c>
      <c r="I645" s="3470" t="s">
        <v>7857</v>
      </c>
      <c r="J645" s="3470" t="s">
        <v>8146</v>
      </c>
      <c r="K645" s="3470" t="s">
        <v>3955</v>
      </c>
      <c r="L645" s="3470">
        <v>111.57</v>
      </c>
      <c r="M645" s="3470">
        <v>4</v>
      </c>
      <c r="N645" s="3470" t="s">
        <v>4189</v>
      </c>
      <c r="O645" s="3470">
        <v>100.17</v>
      </c>
      <c r="P645" s="3470" t="s">
        <v>3452</v>
      </c>
      <c r="Q645" s="3470">
        <v>492023.7</v>
      </c>
      <c r="R645" s="3470">
        <v>4410</v>
      </c>
      <c r="S645" s="3470">
        <v>48.64</v>
      </c>
      <c r="T645" s="3470">
        <v>486400</v>
      </c>
      <c r="U645" s="3470">
        <v>4360</v>
      </c>
      <c r="V645" s="3470">
        <v>0.05</v>
      </c>
      <c r="W645" s="3470">
        <v>46.2</v>
      </c>
      <c r="X645" s="3470">
        <v>462000</v>
      </c>
      <c r="Y645" s="3470">
        <v>2003</v>
      </c>
      <c r="Z645" s="3470">
        <v>8</v>
      </c>
      <c r="AA645" s="3470">
        <v>14</v>
      </c>
      <c r="AB645" s="3470">
        <v>2430</v>
      </c>
      <c r="AC645" s="3470" t="s">
        <v>3603</v>
      </c>
      <c r="AE645" s="3470" t="s">
        <v>3663</v>
      </c>
      <c r="AF645" s="3470" t="s">
        <v>3493</v>
      </c>
      <c r="AG645" s="3470" t="s">
        <v>3466</v>
      </c>
      <c r="AI645" s="3470" t="s">
        <v>5021</v>
      </c>
      <c r="AJ645" s="3470">
        <v>37894</v>
      </c>
      <c r="AK645" s="3470">
        <v>8</v>
      </c>
      <c r="AL645" s="3470" t="s">
        <v>3957</v>
      </c>
      <c r="AN645" s="3470" t="s">
        <v>3739</v>
      </c>
      <c r="AP645" s="3470" t="s">
        <v>4880</v>
      </c>
      <c r="AQ645" s="3470" t="s">
        <v>3571</v>
      </c>
      <c r="AV645" s="3470" t="s">
        <v>3568</v>
      </c>
      <c r="AW645" s="3470" t="s">
        <v>3572</v>
      </c>
      <c r="AX645" s="3470" t="s">
        <v>2511</v>
      </c>
      <c r="AY645" s="3481" t="s">
        <v>8147</v>
      </c>
      <c r="AZ645" s="3470" t="s">
        <v>3955</v>
      </c>
      <c r="BA645" s="3470" t="s">
        <v>3959</v>
      </c>
      <c r="BB645" s="3481" t="s">
        <v>3960</v>
      </c>
      <c r="BC645" s="3470" t="s">
        <v>3961</v>
      </c>
      <c r="BD645" s="3482">
        <v>102100</v>
      </c>
      <c r="BE645" s="3470">
        <v>62998398</v>
      </c>
      <c r="BF645" s="3483">
        <v>2.8</v>
      </c>
      <c r="BG645" s="3478">
        <v>37835</v>
      </c>
      <c r="BI645" s="3470" t="s">
        <v>4880</v>
      </c>
      <c r="BJ645" s="3508">
        <v>37845</v>
      </c>
      <c r="BK645" s="3508"/>
      <c r="BL645" s="3470" t="s">
        <v>3670</v>
      </c>
      <c r="BP645" s="3441"/>
      <c r="BQ645" s="3441"/>
      <c r="BR645" s="3441"/>
    </row>
    <row r="646" spans="1:73" s="3470" customFormat="1" ht="12" hidden="1">
      <c r="A646" s="3470" t="s">
        <v>8148</v>
      </c>
      <c r="B646" s="3470" t="s">
        <v>8149</v>
      </c>
      <c r="C646" s="3470" t="s">
        <v>8150</v>
      </c>
      <c r="D646" s="3470" t="s">
        <v>8151</v>
      </c>
      <c r="E646" s="3470" t="s">
        <v>3558</v>
      </c>
      <c r="F646" s="3470" t="s">
        <v>8152</v>
      </c>
      <c r="H646" s="3470" t="s">
        <v>8153</v>
      </c>
      <c r="I646" s="3470" t="s">
        <v>4001</v>
      </c>
      <c r="J646" s="3470" t="s">
        <v>5629</v>
      </c>
      <c r="K646" s="3470" t="s">
        <v>8154</v>
      </c>
      <c r="L646" s="3470">
        <v>159.18</v>
      </c>
      <c r="M646" s="3470">
        <v>2</v>
      </c>
      <c r="N646" s="3470" t="s">
        <v>5547</v>
      </c>
      <c r="O646" s="3470">
        <v>147.51</v>
      </c>
      <c r="P646" s="3470" t="s">
        <v>3452</v>
      </c>
      <c r="Q646" s="3470">
        <v>907326</v>
      </c>
      <c r="R646" s="3470">
        <v>5700</v>
      </c>
      <c r="S646" s="3470">
        <v>90.09</v>
      </c>
      <c r="T646" s="3470">
        <v>900900</v>
      </c>
      <c r="U646" s="3470">
        <v>5660</v>
      </c>
      <c r="V646" s="3470">
        <v>0.05</v>
      </c>
      <c r="W646" s="3470">
        <v>85.58</v>
      </c>
      <c r="X646" s="3470">
        <v>855800</v>
      </c>
      <c r="Y646" s="3470">
        <v>2003</v>
      </c>
      <c r="Z646" s="3470">
        <v>8</v>
      </c>
      <c r="AA646" s="3470">
        <v>18</v>
      </c>
      <c r="AB646" s="3470">
        <v>4500</v>
      </c>
      <c r="AC646" s="3470" t="s">
        <v>3565</v>
      </c>
      <c r="AE646" s="3470" t="s">
        <v>3663</v>
      </c>
      <c r="AF646" s="3470" t="s">
        <v>3493</v>
      </c>
      <c r="AG646" s="3470" t="s">
        <v>3466</v>
      </c>
      <c r="AI646" s="3470" t="s">
        <v>5021</v>
      </c>
      <c r="AJ646" s="3470">
        <v>37859</v>
      </c>
      <c r="AK646" s="3470">
        <v>8</v>
      </c>
      <c r="AL646" s="3470">
        <v>67641700</v>
      </c>
      <c r="AN646" s="3470" t="s">
        <v>3680</v>
      </c>
      <c r="AO646" s="3470" t="s">
        <v>3568</v>
      </c>
      <c r="AP646" s="3470" t="s">
        <v>3476</v>
      </c>
      <c r="AQ646" s="3470" t="s">
        <v>3571</v>
      </c>
      <c r="AU646" s="3470" t="s">
        <v>3568</v>
      </c>
      <c r="AV646" s="3470" t="s">
        <v>3568</v>
      </c>
      <c r="AW646" s="3470" t="s">
        <v>3572</v>
      </c>
      <c r="AY646" s="3481" t="s">
        <v>8155</v>
      </c>
      <c r="AZ646" s="3470" t="s">
        <v>8154</v>
      </c>
      <c r="BA646" s="3470" t="s">
        <v>8156</v>
      </c>
      <c r="BB646" s="3481">
        <v>1100001176135</v>
      </c>
      <c r="BC646" s="3470" t="s">
        <v>8157</v>
      </c>
      <c r="BD646" s="3482">
        <v>100037</v>
      </c>
      <c r="BE646" s="3470">
        <v>68044940</v>
      </c>
      <c r="BF646" s="3483">
        <v>2.9</v>
      </c>
      <c r="BG646" s="3478">
        <v>37828</v>
      </c>
      <c r="BH646" s="3470" t="s">
        <v>4753</v>
      </c>
      <c r="BI646" s="3470" t="s">
        <v>3476</v>
      </c>
      <c r="BJ646" s="3508">
        <v>37844</v>
      </c>
      <c r="BK646" s="3508"/>
      <c r="BL646" s="3470" t="s">
        <v>3670</v>
      </c>
      <c r="BP646" s="3441"/>
      <c r="BQ646" s="3441"/>
      <c r="BR646" s="3441"/>
    </row>
    <row r="647" spans="1:73" s="3470" customFormat="1" ht="12" hidden="1">
      <c r="A647" s="3470" t="s">
        <v>8158</v>
      </c>
      <c r="B647" s="3470" t="s">
        <v>8159</v>
      </c>
      <c r="C647" s="3470" t="s">
        <v>8160</v>
      </c>
      <c r="D647" s="3470" t="s">
        <v>8161</v>
      </c>
      <c r="E647" s="3470" t="s">
        <v>3558</v>
      </c>
      <c r="F647" s="3470" t="s">
        <v>4770</v>
      </c>
      <c r="H647" s="3470" t="s">
        <v>7458</v>
      </c>
      <c r="I647" s="3470" t="s">
        <v>4019</v>
      </c>
      <c r="J647" s="3470" t="s">
        <v>5480</v>
      </c>
      <c r="K647" s="3470" t="s">
        <v>4772</v>
      </c>
      <c r="L647" s="3470">
        <v>66.930000000000007</v>
      </c>
      <c r="M647" s="3470">
        <v>9</v>
      </c>
      <c r="N647" s="3470" t="s">
        <v>3564</v>
      </c>
      <c r="O647" s="3470">
        <v>54.45</v>
      </c>
      <c r="P647" s="3470" t="s">
        <v>3452</v>
      </c>
      <c r="Q647" s="3470">
        <v>251656.8</v>
      </c>
      <c r="R647" s="3470">
        <v>3760</v>
      </c>
      <c r="S647" s="3470">
        <v>24.85</v>
      </c>
      <c r="T647" s="3470">
        <v>248500</v>
      </c>
      <c r="U647" s="3470">
        <v>3714</v>
      </c>
      <c r="V647" s="3470">
        <v>0.1</v>
      </c>
      <c r="W647" s="3470">
        <v>22.36</v>
      </c>
      <c r="X647" s="3470">
        <v>223600</v>
      </c>
      <c r="Y647" s="3470">
        <v>2003</v>
      </c>
      <c r="Z647" s="3470">
        <v>8</v>
      </c>
      <c r="AA647" s="3470">
        <v>14</v>
      </c>
      <c r="AB647" s="3470">
        <v>1240</v>
      </c>
      <c r="AC647" s="3470" t="s">
        <v>3565</v>
      </c>
      <c r="AE647" s="3470" t="s">
        <v>3663</v>
      </c>
      <c r="AF647" s="3470" t="s">
        <v>5090</v>
      </c>
      <c r="AG647" s="3470" t="s">
        <v>3466</v>
      </c>
      <c r="AI647" s="3470" t="s">
        <v>7643</v>
      </c>
      <c r="AJ647" s="3470">
        <v>37886</v>
      </c>
      <c r="AK647" s="3470">
        <v>8</v>
      </c>
      <c r="AL647" s="3470">
        <v>67641700</v>
      </c>
      <c r="AN647" s="3470" t="s">
        <v>3739</v>
      </c>
      <c r="AO647" s="3470" t="s">
        <v>3568</v>
      </c>
      <c r="AP647" s="3470" t="s">
        <v>3476</v>
      </c>
      <c r="AQ647" s="3470" t="s">
        <v>3571</v>
      </c>
      <c r="AW647" s="3470" t="s">
        <v>3572</v>
      </c>
      <c r="AY647" s="3481" t="s">
        <v>8162</v>
      </c>
      <c r="AZ647" s="3470" t="s">
        <v>4772</v>
      </c>
      <c r="BA647" s="3470" t="s">
        <v>4775</v>
      </c>
      <c r="BB647" s="3481" t="s">
        <v>4776</v>
      </c>
      <c r="BC647" s="3470" t="s">
        <v>4777</v>
      </c>
      <c r="BD647" s="3482">
        <v>100083</v>
      </c>
      <c r="BE647" s="3470">
        <v>82355171</v>
      </c>
      <c r="BF647" s="3483">
        <v>2.7</v>
      </c>
      <c r="BG647" s="3478">
        <v>37824</v>
      </c>
      <c r="BH647" s="3470" t="s">
        <v>4681</v>
      </c>
      <c r="BI647" s="3470" t="s">
        <v>3476</v>
      </c>
      <c r="BJ647" s="3508">
        <v>37841</v>
      </c>
      <c r="BK647" s="3508"/>
      <c r="BL647" s="3470" t="s">
        <v>3670</v>
      </c>
      <c r="BP647" s="3441"/>
      <c r="BQ647" s="3441"/>
      <c r="BR647" s="3441"/>
    </row>
    <row r="648" spans="1:73" s="3470" customFormat="1" ht="12" hidden="1">
      <c r="A648" s="3470" t="s">
        <v>8163</v>
      </c>
      <c r="B648" s="3470" t="s">
        <v>8164</v>
      </c>
      <c r="C648" s="3470" t="s">
        <v>8165</v>
      </c>
      <c r="D648" s="3470">
        <v>13661036455</v>
      </c>
      <c r="E648" s="3470" t="s">
        <v>3558</v>
      </c>
      <c r="F648" s="3470" t="s">
        <v>7863</v>
      </c>
      <c r="H648" s="3470" t="s">
        <v>7661</v>
      </c>
      <c r="I648" s="3470" t="s">
        <v>4309</v>
      </c>
      <c r="J648" s="3470" t="s">
        <v>7697</v>
      </c>
      <c r="K648" s="3470" t="s">
        <v>7864</v>
      </c>
      <c r="L648" s="3470">
        <v>116.81</v>
      </c>
      <c r="M648" s="3470">
        <v>4</v>
      </c>
      <c r="N648" s="3470" t="s">
        <v>5032</v>
      </c>
      <c r="O648" s="3470">
        <v>96.3</v>
      </c>
      <c r="P648" s="3470" t="s">
        <v>3452</v>
      </c>
      <c r="Q648" s="3470">
        <v>656472.19999999995</v>
      </c>
      <c r="R648" s="3470">
        <v>5620</v>
      </c>
      <c r="S648" s="3470">
        <v>65.03</v>
      </c>
      <c r="T648" s="3470">
        <v>650300</v>
      </c>
      <c r="U648" s="3470">
        <v>5568</v>
      </c>
      <c r="V648" s="3470">
        <v>0.1</v>
      </c>
      <c r="W648" s="3470">
        <v>58.52</v>
      </c>
      <c r="X648" s="3470">
        <v>585200</v>
      </c>
      <c r="Y648" s="3470">
        <v>2003</v>
      </c>
      <c r="Z648" s="3470">
        <v>8</v>
      </c>
      <c r="AA648" s="3470">
        <v>14</v>
      </c>
      <c r="AB648" s="3470">
        <v>3250</v>
      </c>
      <c r="AC648" s="3470" t="s">
        <v>3565</v>
      </c>
      <c r="AE648" s="3470" t="s">
        <v>3663</v>
      </c>
      <c r="AF648" s="3470" t="s">
        <v>4200</v>
      </c>
      <c r="AG648" s="3470" t="s">
        <v>3466</v>
      </c>
      <c r="AH648" s="3470" t="s">
        <v>3568</v>
      </c>
      <c r="AI648" s="3470" t="s">
        <v>5021</v>
      </c>
      <c r="AJ648" s="3470">
        <v>37955</v>
      </c>
      <c r="AK648" s="3470">
        <v>8</v>
      </c>
      <c r="AL648" s="3470">
        <v>67641700</v>
      </c>
      <c r="AN648" s="3470" t="s">
        <v>3739</v>
      </c>
      <c r="AP648" s="3470" t="s">
        <v>3476</v>
      </c>
      <c r="AQ648" s="3470" t="s">
        <v>3571</v>
      </c>
      <c r="AU648" s="3470" t="s">
        <v>3568</v>
      </c>
      <c r="AW648" s="3470" t="s">
        <v>3572</v>
      </c>
      <c r="AY648" s="3481">
        <v>271363</v>
      </c>
      <c r="AZ648" s="3470" t="s">
        <v>7864</v>
      </c>
      <c r="BA648" s="3470" t="s">
        <v>7865</v>
      </c>
      <c r="BB648" s="3481" t="s">
        <v>7866</v>
      </c>
      <c r="BC648" s="3470" t="s">
        <v>7867</v>
      </c>
      <c r="BD648" s="3482">
        <v>100085</v>
      </c>
      <c r="BE648" s="3470">
        <v>62976699</v>
      </c>
      <c r="BF648" s="3483">
        <v>2.7</v>
      </c>
      <c r="BG648" s="3478">
        <v>37793</v>
      </c>
      <c r="BH648" s="3470" t="s">
        <v>7648</v>
      </c>
      <c r="BI648" s="3470" t="s">
        <v>3476</v>
      </c>
      <c r="BJ648" s="3508">
        <v>37845</v>
      </c>
      <c r="BK648" s="3508"/>
      <c r="BL648" s="3470" t="s">
        <v>3670</v>
      </c>
      <c r="BP648" s="3441"/>
      <c r="BQ648" s="3441"/>
      <c r="BR648" s="3441"/>
    </row>
    <row r="649" spans="1:73" s="3470" customFormat="1" ht="12" hidden="1">
      <c r="A649" s="3470" t="s">
        <v>8166</v>
      </c>
      <c r="B649" s="3470" t="s">
        <v>8167</v>
      </c>
      <c r="C649" s="3470" t="s">
        <v>8168</v>
      </c>
      <c r="D649" s="3470">
        <v>13701352260</v>
      </c>
      <c r="E649" s="3470" t="s">
        <v>3558</v>
      </c>
      <c r="F649" s="3470" t="s">
        <v>4645</v>
      </c>
      <c r="H649" s="3470" t="s">
        <v>4684</v>
      </c>
      <c r="I649" s="3470" t="s">
        <v>4027</v>
      </c>
      <c r="J649" s="3470" t="s">
        <v>4028</v>
      </c>
      <c r="K649" s="3470" t="s">
        <v>4649</v>
      </c>
      <c r="L649" s="3470">
        <v>54.5</v>
      </c>
      <c r="M649" s="3470">
        <v>6</v>
      </c>
      <c r="N649" s="3470" t="s">
        <v>3692</v>
      </c>
      <c r="O649" s="3470">
        <v>42.96</v>
      </c>
      <c r="P649" s="3470" t="s">
        <v>3452</v>
      </c>
      <c r="Q649" s="3470">
        <v>407769</v>
      </c>
      <c r="R649" s="3470">
        <v>7482</v>
      </c>
      <c r="S649" s="3470">
        <v>40.43</v>
      </c>
      <c r="T649" s="3470">
        <v>404300</v>
      </c>
      <c r="U649" s="3470">
        <v>7420</v>
      </c>
      <c r="V649" s="3470">
        <v>0.1</v>
      </c>
      <c r="W649" s="3470">
        <v>36.380000000000003</v>
      </c>
      <c r="X649" s="3470">
        <v>363800</v>
      </c>
      <c r="Y649" s="3470">
        <v>2003</v>
      </c>
      <c r="Z649" s="3470">
        <v>8</v>
      </c>
      <c r="AA649" s="3470">
        <v>14</v>
      </c>
      <c r="AB649" s="3470">
        <v>2020</v>
      </c>
      <c r="AC649" s="3470" t="s">
        <v>3565</v>
      </c>
      <c r="AE649" s="3470" t="s">
        <v>3663</v>
      </c>
      <c r="AF649" s="3470" t="s">
        <v>3728</v>
      </c>
      <c r="AG649" s="3470" t="s">
        <v>3466</v>
      </c>
      <c r="AI649" s="3470" t="s">
        <v>5021</v>
      </c>
      <c r="AJ649" s="3470">
        <v>38199</v>
      </c>
      <c r="AK649" s="3470">
        <v>8</v>
      </c>
      <c r="AL649" s="3470">
        <v>67641700</v>
      </c>
      <c r="AN649" s="3470" t="s">
        <v>3739</v>
      </c>
      <c r="AP649" s="3470" t="s">
        <v>3476</v>
      </c>
      <c r="AQ649" s="3470" t="s">
        <v>3571</v>
      </c>
      <c r="AW649" s="3470" t="s">
        <v>3572</v>
      </c>
      <c r="AX649" s="3470" t="s">
        <v>3568</v>
      </c>
      <c r="AY649" s="3481" t="s">
        <v>8169</v>
      </c>
      <c r="AZ649" s="3470" t="s">
        <v>4654</v>
      </c>
      <c r="BA649" s="3470" t="s">
        <v>4688</v>
      </c>
      <c r="BB649" s="3481" t="s">
        <v>4689</v>
      </c>
      <c r="BC649" s="3470" t="s">
        <v>4656</v>
      </c>
      <c r="BD649" s="3482">
        <v>100037</v>
      </c>
      <c r="BE649" s="3470">
        <v>68347718</v>
      </c>
      <c r="BF649" s="3483">
        <v>2.8</v>
      </c>
      <c r="BG649" s="3478">
        <v>37834</v>
      </c>
      <c r="BH649" s="3470" t="s">
        <v>4681</v>
      </c>
      <c r="BI649" s="3470" t="s">
        <v>3476</v>
      </c>
      <c r="BJ649" s="3508">
        <v>37846</v>
      </c>
      <c r="BK649" s="3508"/>
      <c r="BL649" s="3470" t="s">
        <v>3670</v>
      </c>
      <c r="BP649" s="3441"/>
      <c r="BQ649" s="3441"/>
      <c r="BR649" s="3441"/>
    </row>
    <row r="650" spans="1:73" s="3470" customFormat="1" ht="12" hidden="1">
      <c r="A650" s="3470" t="s">
        <v>8170</v>
      </c>
      <c r="B650" s="3470" t="s">
        <v>8171</v>
      </c>
      <c r="C650" s="3470" t="s">
        <v>8172</v>
      </c>
      <c r="D650" s="3470" t="s">
        <v>8173</v>
      </c>
      <c r="E650" s="3470" t="s">
        <v>3558</v>
      </c>
      <c r="F650" s="3470" t="s">
        <v>8174</v>
      </c>
      <c r="H650" s="3470" t="s">
        <v>8175</v>
      </c>
      <c r="J650" s="3470" t="s">
        <v>8176</v>
      </c>
      <c r="K650" s="3470" t="s">
        <v>8171</v>
      </c>
      <c r="L650" s="3470">
        <v>71.989999999999995</v>
      </c>
      <c r="M650" s="3470">
        <v>8</v>
      </c>
      <c r="N650" s="3470" t="s">
        <v>4030</v>
      </c>
      <c r="P650" s="3470" t="s">
        <v>3452</v>
      </c>
      <c r="Q650" s="3470">
        <v>461023.96</v>
      </c>
      <c r="R650" s="3470">
        <v>6404</v>
      </c>
      <c r="S650" s="3470">
        <v>44.26</v>
      </c>
      <c r="T650" s="3470">
        <v>442600</v>
      </c>
      <c r="U650" s="3470">
        <v>6149</v>
      </c>
      <c r="V650" s="3470">
        <v>0.05</v>
      </c>
      <c r="W650" s="3470">
        <v>42.04</v>
      </c>
      <c r="X650" s="3470">
        <v>420400</v>
      </c>
      <c r="Y650" s="3470">
        <v>2003</v>
      </c>
      <c r="Z650" s="3470">
        <v>8</v>
      </c>
      <c r="AA650" s="3470">
        <v>19</v>
      </c>
      <c r="AB650" s="3470">
        <v>2210</v>
      </c>
      <c r="AC650" s="3470" t="s">
        <v>3565</v>
      </c>
      <c r="AE650" s="3470" t="s">
        <v>3569</v>
      </c>
      <c r="AF650" s="3470" t="s">
        <v>3493</v>
      </c>
      <c r="AG650" s="3470" t="s">
        <v>3466</v>
      </c>
      <c r="AI650" s="3470" t="s">
        <v>3569</v>
      </c>
      <c r="AK650" s="3470" t="s">
        <v>4687</v>
      </c>
      <c r="AL650" s="3470">
        <v>82253557</v>
      </c>
      <c r="AP650" s="3470" t="s">
        <v>3569</v>
      </c>
      <c r="AQ650" s="3470" t="s">
        <v>3571</v>
      </c>
      <c r="AW650" s="3470" t="s">
        <v>5825</v>
      </c>
      <c r="AY650" s="3481"/>
      <c r="BB650" s="3481"/>
      <c r="BD650" s="3482"/>
      <c r="BF650" s="3483"/>
      <c r="BG650" s="3478">
        <v>37826</v>
      </c>
      <c r="BI650" s="3470" t="s">
        <v>3569</v>
      </c>
      <c r="BJ650" s="3508">
        <v>37846</v>
      </c>
      <c r="BK650" s="3508"/>
      <c r="BM650" s="3470" t="s">
        <v>3396</v>
      </c>
      <c r="BN650" s="3470" t="s">
        <v>5825</v>
      </c>
      <c r="BO650" s="3470" t="s">
        <v>7621</v>
      </c>
      <c r="BP650" s="3441"/>
      <c r="BQ650" s="3441"/>
      <c r="BR650" s="3441"/>
    </row>
    <row r="651" spans="1:73" s="3470" customFormat="1" ht="12" hidden="1">
      <c r="A651" s="3470" t="s">
        <v>8177</v>
      </c>
      <c r="B651" s="3470" t="s">
        <v>8178</v>
      </c>
      <c r="C651" s="3470" t="s">
        <v>8179</v>
      </c>
      <c r="D651" s="3470" t="s">
        <v>8180</v>
      </c>
      <c r="E651" s="3470" t="s">
        <v>3558</v>
      </c>
      <c r="F651" s="3470" t="s">
        <v>7803</v>
      </c>
      <c r="H651" s="3470" t="s">
        <v>4759</v>
      </c>
      <c r="I651" s="3470" t="s">
        <v>4001</v>
      </c>
      <c r="J651" s="3470" t="s">
        <v>4878</v>
      </c>
      <c r="K651" s="3470" t="s">
        <v>7804</v>
      </c>
      <c r="L651" s="3470">
        <v>65.13</v>
      </c>
      <c r="M651" s="3470">
        <v>6</v>
      </c>
      <c r="N651" s="3470" t="s">
        <v>3564</v>
      </c>
      <c r="O651" s="3470">
        <v>57.08</v>
      </c>
      <c r="P651" s="3470" t="s">
        <v>3452</v>
      </c>
      <c r="Q651" s="3470">
        <v>289242.33</v>
      </c>
      <c r="R651" s="3470">
        <v>4441</v>
      </c>
      <c r="S651" s="3470">
        <v>28.6</v>
      </c>
      <c r="T651" s="3470">
        <v>286000</v>
      </c>
      <c r="U651" s="3470">
        <v>4392</v>
      </c>
      <c r="V651" s="3470">
        <v>0.1</v>
      </c>
      <c r="W651" s="3470">
        <v>25.74</v>
      </c>
      <c r="X651" s="3470">
        <v>257400</v>
      </c>
      <c r="Y651" s="3470">
        <v>2003</v>
      </c>
      <c r="Z651" s="3470">
        <v>8</v>
      </c>
      <c r="AA651" s="3470">
        <v>14</v>
      </c>
      <c r="AB651" s="3470">
        <v>1430</v>
      </c>
      <c r="AC651" s="3470" t="s">
        <v>3693</v>
      </c>
      <c r="AE651" s="3470" t="s">
        <v>3663</v>
      </c>
      <c r="AF651" s="3470" t="s">
        <v>7190</v>
      </c>
      <c r="AG651" s="3470" t="s">
        <v>3466</v>
      </c>
      <c r="AI651" s="3470" t="s">
        <v>5021</v>
      </c>
      <c r="AJ651" s="3470">
        <v>38077</v>
      </c>
      <c r="AK651" s="3470">
        <v>8</v>
      </c>
      <c r="AL651" s="3470">
        <v>67641700</v>
      </c>
      <c r="AN651" s="3470" t="s">
        <v>3695</v>
      </c>
      <c r="AO651" s="3470" t="s">
        <v>3568</v>
      </c>
      <c r="AP651" s="3470" t="s">
        <v>7805</v>
      </c>
      <c r="AQ651" s="3470" t="s">
        <v>3571</v>
      </c>
      <c r="AW651" s="3470" t="s">
        <v>3572</v>
      </c>
      <c r="AX651" s="3470" t="s">
        <v>3568</v>
      </c>
      <c r="AY651" s="3481" t="s">
        <v>8181</v>
      </c>
      <c r="AZ651" s="3470" t="s">
        <v>7804</v>
      </c>
      <c r="BA651" s="3470" t="s">
        <v>7807</v>
      </c>
      <c r="BB651" s="3481">
        <v>1102281149818</v>
      </c>
      <c r="BC651" s="3470" t="s">
        <v>7808</v>
      </c>
      <c r="BD651" s="3482">
        <v>100044</v>
      </c>
      <c r="BE651" s="3470">
        <v>88018575</v>
      </c>
      <c r="BF651" s="3483">
        <v>2.7</v>
      </c>
      <c r="BG651" s="3478">
        <v>37814</v>
      </c>
      <c r="BH651" s="3470" t="s">
        <v>4681</v>
      </c>
      <c r="BI651" s="3470" t="s">
        <v>7805</v>
      </c>
      <c r="BJ651" s="3508">
        <v>37847</v>
      </c>
      <c r="BK651" s="3508"/>
      <c r="BL651" s="3470" t="s">
        <v>3670</v>
      </c>
      <c r="BP651" s="3441"/>
      <c r="BQ651" s="3441"/>
      <c r="BR651" s="3441"/>
    </row>
    <row r="652" spans="1:73" s="3470" customFormat="1" ht="12" hidden="1">
      <c r="A652" s="3470" t="s">
        <v>8182</v>
      </c>
      <c r="B652" s="3470" t="s">
        <v>8183</v>
      </c>
      <c r="C652" s="3470" t="s">
        <v>8184</v>
      </c>
      <c r="D652" s="3470">
        <v>62949960</v>
      </c>
      <c r="E652" s="3470" t="s">
        <v>3558</v>
      </c>
      <c r="F652" s="3470" t="s">
        <v>7652</v>
      </c>
      <c r="H652" s="3470" t="s">
        <v>7772</v>
      </c>
      <c r="I652" s="3470" t="s">
        <v>7943</v>
      </c>
      <c r="J652" s="3470" t="s">
        <v>8185</v>
      </c>
      <c r="K652" s="3470" t="s">
        <v>7653</v>
      </c>
      <c r="L652" s="3470">
        <v>104.4</v>
      </c>
      <c r="M652" s="3470">
        <v>9</v>
      </c>
      <c r="N652" s="3470" t="s">
        <v>4189</v>
      </c>
      <c r="O652" s="3470">
        <v>82.57</v>
      </c>
      <c r="P652" s="3470" t="s">
        <v>3452</v>
      </c>
      <c r="Q652" s="3470">
        <v>469800</v>
      </c>
      <c r="R652" s="3470">
        <v>4500</v>
      </c>
      <c r="S652" s="3470">
        <v>46.45</v>
      </c>
      <c r="T652" s="3470">
        <v>464500</v>
      </c>
      <c r="U652" s="3470">
        <v>4450</v>
      </c>
      <c r="V652" s="3470">
        <v>0.1</v>
      </c>
      <c r="W652" s="3470">
        <v>41.8</v>
      </c>
      <c r="X652" s="3470">
        <v>418000</v>
      </c>
      <c r="Y652" s="3470">
        <v>2003</v>
      </c>
      <c r="Z652" s="3470">
        <v>8</v>
      </c>
      <c r="AA652" s="3470">
        <v>14</v>
      </c>
      <c r="AB652" s="3470">
        <v>2320</v>
      </c>
      <c r="AC652" s="3470" t="s">
        <v>7525</v>
      </c>
      <c r="AE652" s="3470" t="s">
        <v>3663</v>
      </c>
      <c r="AF652" s="3470" t="s">
        <v>3728</v>
      </c>
      <c r="AG652" s="3470" t="s">
        <v>3466</v>
      </c>
      <c r="AI652" s="3470" t="s">
        <v>5021</v>
      </c>
      <c r="AJ652" s="3470">
        <v>38077</v>
      </c>
      <c r="AK652" s="3470">
        <v>8</v>
      </c>
      <c r="AL652" s="3470">
        <v>67641700</v>
      </c>
      <c r="AN652" s="3470" t="s">
        <v>3695</v>
      </c>
      <c r="AP652" s="3470" t="s">
        <v>7805</v>
      </c>
      <c r="AQ652" s="3470" t="s">
        <v>3571</v>
      </c>
      <c r="AV652" s="3470" t="s">
        <v>3568</v>
      </c>
      <c r="AW652" s="3470" t="s">
        <v>3572</v>
      </c>
      <c r="AY652" s="3481" t="s">
        <v>8186</v>
      </c>
      <c r="AZ652" s="3470" t="s">
        <v>7653</v>
      </c>
      <c r="BA652" s="3470" t="s">
        <v>8187</v>
      </c>
      <c r="BB652" s="3481" t="s">
        <v>8188</v>
      </c>
      <c r="BC652" s="3470" t="s">
        <v>7657</v>
      </c>
      <c r="BD652" s="3482">
        <v>100025</v>
      </c>
      <c r="BE652" s="3470">
        <v>62908858</v>
      </c>
      <c r="BF652" s="3483">
        <v>2.8</v>
      </c>
      <c r="BG652" s="3478">
        <v>37825</v>
      </c>
      <c r="BH652" s="3470" t="s">
        <v>4681</v>
      </c>
      <c r="BI652" s="3470" t="s">
        <v>7805</v>
      </c>
      <c r="BJ652" s="3508">
        <v>37845</v>
      </c>
      <c r="BK652" s="3508"/>
      <c r="BL652" s="3470" t="s">
        <v>3670</v>
      </c>
      <c r="BP652" s="3441"/>
      <c r="BQ652" s="3441"/>
      <c r="BR652" s="3441"/>
    </row>
    <row r="653" spans="1:73" s="3441" customFormat="1" ht="12" hidden="1">
      <c r="A653" s="3485" t="s">
        <v>8189</v>
      </c>
      <c r="B653" s="3470" t="s">
        <v>8190</v>
      </c>
      <c r="C653" s="3481" t="s">
        <v>8191</v>
      </c>
      <c r="D653" s="3481">
        <v>64635778</v>
      </c>
      <c r="E653" s="3470" t="s">
        <v>3558</v>
      </c>
      <c r="F653" s="3521" t="s">
        <v>7153</v>
      </c>
      <c r="G653" s="3470" t="s">
        <v>3568</v>
      </c>
      <c r="H653" s="3470" t="s">
        <v>7162</v>
      </c>
      <c r="I653" s="3470" t="s">
        <v>4001</v>
      </c>
      <c r="J653" s="3481" t="s">
        <v>7678</v>
      </c>
      <c r="K653" s="3470" t="s">
        <v>6117</v>
      </c>
      <c r="L653" s="3470">
        <v>98.22</v>
      </c>
      <c r="M653" s="3470">
        <v>5</v>
      </c>
      <c r="N653" s="3470" t="s">
        <v>5032</v>
      </c>
      <c r="O653" s="3470">
        <v>83.29</v>
      </c>
      <c r="P653" s="3470" t="s">
        <v>3452</v>
      </c>
      <c r="Q653" s="3457">
        <v>387007.42619999999</v>
      </c>
      <c r="R653" s="3470">
        <v>3940.21</v>
      </c>
      <c r="S653" s="3472">
        <v>38.22</v>
      </c>
      <c r="T653" s="3527">
        <v>382200</v>
      </c>
      <c r="U653" s="3470">
        <v>3892</v>
      </c>
      <c r="V653" s="3474">
        <v>0.1</v>
      </c>
      <c r="W653" s="3475">
        <v>34.39</v>
      </c>
      <c r="X653" s="3473">
        <v>343900</v>
      </c>
      <c r="Y653" s="3441">
        <v>2003</v>
      </c>
      <c r="Z653" s="3441">
        <v>9</v>
      </c>
      <c r="AA653" s="3441">
        <v>2</v>
      </c>
      <c r="AB653" s="3485">
        <v>1910</v>
      </c>
      <c r="AC653" s="3470" t="s">
        <v>5548</v>
      </c>
      <c r="AD653" s="3485"/>
      <c r="AE653" s="3441" t="s">
        <v>3663</v>
      </c>
      <c r="AF653" s="3470" t="s">
        <v>4721</v>
      </c>
      <c r="AG653" s="3522" t="s">
        <v>3466</v>
      </c>
      <c r="AH653" s="3485"/>
      <c r="AI653" s="3470" t="s">
        <v>5021</v>
      </c>
      <c r="AJ653" s="3523">
        <v>38108</v>
      </c>
      <c r="AK653" s="3479">
        <v>9</v>
      </c>
      <c r="AL653" s="3441">
        <v>67641700</v>
      </c>
      <c r="AN653" s="3441" t="s">
        <v>3570</v>
      </c>
      <c r="AO653" s="3441" t="s">
        <v>8192</v>
      </c>
      <c r="AP653" s="3441" t="s">
        <v>3476</v>
      </c>
      <c r="AQ653" s="3441" t="s">
        <v>3571</v>
      </c>
      <c r="AW653" s="3441" t="s">
        <v>3572</v>
      </c>
      <c r="AX653" s="3441" t="s">
        <v>3568</v>
      </c>
      <c r="AY653" s="3524">
        <v>299297</v>
      </c>
      <c r="AZ653" s="3441" t="s">
        <v>6117</v>
      </c>
      <c r="BA653" s="3441" t="s">
        <v>7157</v>
      </c>
      <c r="BB653" s="3524">
        <v>1102281326100</v>
      </c>
      <c r="BC653" s="3441" t="s">
        <v>7158</v>
      </c>
      <c r="BD653" s="3525">
        <v>100055</v>
      </c>
      <c r="BE653" s="3441">
        <v>82951881</v>
      </c>
      <c r="BF653" s="3526">
        <v>2.8</v>
      </c>
      <c r="BG653" s="3518">
        <v>37820</v>
      </c>
      <c r="BI653" s="3441" t="s">
        <v>3476</v>
      </c>
      <c r="BJ653" s="3484">
        <v>37862</v>
      </c>
      <c r="BK653" s="3518"/>
      <c r="BL653" s="3470" t="s">
        <v>3670</v>
      </c>
      <c r="BS653" s="3470"/>
      <c r="BT653" s="3470"/>
      <c r="BU653" s="3470"/>
    </row>
    <row r="654" spans="1:73" s="3470" customFormat="1" ht="12" hidden="1">
      <c r="A654" s="3470" t="s">
        <v>8193</v>
      </c>
      <c r="B654" s="3470" t="s">
        <v>8194</v>
      </c>
      <c r="C654" s="3470" t="s">
        <v>8195</v>
      </c>
      <c r="D654" s="3470">
        <v>13051526862</v>
      </c>
      <c r="E654" s="3470" t="s">
        <v>3558</v>
      </c>
      <c r="F654" s="3470" t="s">
        <v>7771</v>
      </c>
      <c r="H654" s="3470" t="s">
        <v>7772</v>
      </c>
      <c r="I654" s="3470" t="s">
        <v>4309</v>
      </c>
      <c r="J654" s="3470" t="s">
        <v>8196</v>
      </c>
      <c r="K654" s="3470" t="s">
        <v>6548</v>
      </c>
      <c r="L654" s="3470">
        <v>83.93</v>
      </c>
      <c r="M654" s="3470">
        <v>7</v>
      </c>
      <c r="N654" s="3470" t="s">
        <v>4030</v>
      </c>
      <c r="O654" s="3470">
        <v>71.77</v>
      </c>
      <c r="P654" s="3470" t="s">
        <v>3452</v>
      </c>
      <c r="Q654" s="3470">
        <v>410434.48600000003</v>
      </c>
      <c r="R654" s="3470">
        <v>4890.2</v>
      </c>
      <c r="S654" s="3470">
        <v>40.619999999999997</v>
      </c>
      <c r="T654" s="3470">
        <v>406200</v>
      </c>
      <c r="U654" s="3470">
        <v>4840</v>
      </c>
      <c r="V654" s="3470">
        <v>0.1</v>
      </c>
      <c r="W654" s="3470">
        <v>36.549999999999997</v>
      </c>
      <c r="X654" s="3470">
        <v>365500</v>
      </c>
      <c r="Y654" s="3470">
        <v>2003</v>
      </c>
      <c r="Z654" s="3470">
        <v>8</v>
      </c>
      <c r="AA654" s="3470">
        <v>15</v>
      </c>
      <c r="AB654" s="3470">
        <v>2030</v>
      </c>
      <c r="AC654" s="3470" t="s">
        <v>5548</v>
      </c>
      <c r="AE654" s="3470" t="s">
        <v>3663</v>
      </c>
      <c r="AF654" s="3470" t="s">
        <v>3728</v>
      </c>
      <c r="AG654" s="3470" t="s">
        <v>3466</v>
      </c>
      <c r="AH654" s="3470" t="s">
        <v>3568</v>
      </c>
      <c r="AI654" s="3470" t="s">
        <v>5021</v>
      </c>
      <c r="AJ654" s="3470">
        <v>38077</v>
      </c>
      <c r="AK654" s="3470">
        <v>8</v>
      </c>
      <c r="AL654" s="3470">
        <v>67641700</v>
      </c>
      <c r="AN654" s="3470" t="s">
        <v>3739</v>
      </c>
      <c r="AP654" s="3470" t="s">
        <v>3476</v>
      </c>
      <c r="AQ654" s="3470" t="s">
        <v>3571</v>
      </c>
      <c r="AU654" s="3470" t="s">
        <v>3568</v>
      </c>
      <c r="AW654" s="3470" t="s">
        <v>3572</v>
      </c>
      <c r="AY654" s="3481">
        <v>534281</v>
      </c>
      <c r="AZ654" s="3470" t="s">
        <v>6548</v>
      </c>
      <c r="BA654" s="3470" t="s">
        <v>7774</v>
      </c>
      <c r="BB654" s="3481" t="s">
        <v>7775</v>
      </c>
      <c r="BC654" s="3470" t="s">
        <v>7776</v>
      </c>
      <c r="BD654" s="3482">
        <v>100085</v>
      </c>
      <c r="BE654" s="3470">
        <v>84976161</v>
      </c>
      <c r="BF654" s="3483">
        <v>2.7</v>
      </c>
      <c r="BG654" s="3478">
        <v>37827</v>
      </c>
      <c r="BH654" s="3470" t="s">
        <v>7648</v>
      </c>
      <c r="BI654" s="3470" t="s">
        <v>3476</v>
      </c>
      <c r="BJ654" s="3508">
        <v>37847</v>
      </c>
      <c r="BK654" s="3508"/>
      <c r="BL654" s="3470" t="s">
        <v>3670</v>
      </c>
      <c r="BP654" s="3441"/>
      <c r="BQ654" s="3441"/>
      <c r="BR654" s="3441"/>
    </row>
    <row r="655" spans="1:73" s="3470" customFormat="1" ht="12" hidden="1">
      <c r="A655" s="3470" t="s">
        <v>8197</v>
      </c>
      <c r="B655" s="3470" t="s">
        <v>8198</v>
      </c>
      <c r="C655" s="3470" t="s">
        <v>8199</v>
      </c>
      <c r="D655" s="3470">
        <v>13901346670</v>
      </c>
      <c r="E655" s="3470" t="s">
        <v>3558</v>
      </c>
      <c r="F655" s="3470" t="s">
        <v>4645</v>
      </c>
      <c r="H655" s="3470" t="s">
        <v>4684</v>
      </c>
      <c r="I655" s="3470" t="s">
        <v>7922</v>
      </c>
      <c r="J655" s="3470" t="s">
        <v>8200</v>
      </c>
      <c r="K655" s="3470" t="s">
        <v>4649</v>
      </c>
      <c r="L655" s="3470">
        <v>92.49</v>
      </c>
      <c r="M655" s="3470">
        <v>13</v>
      </c>
      <c r="N655" s="3470" t="s">
        <v>5032</v>
      </c>
      <c r="O655" s="3470">
        <v>72.91</v>
      </c>
      <c r="P655" s="3470" t="s">
        <v>3452</v>
      </c>
      <c r="Q655" s="3470">
        <v>699686.85</v>
      </c>
      <c r="R655" s="3470">
        <v>7565</v>
      </c>
      <c r="S655" s="3470">
        <v>69.239999999999995</v>
      </c>
      <c r="T655" s="3470">
        <v>692400</v>
      </c>
      <c r="U655" s="3470">
        <v>7487</v>
      </c>
      <c r="V655" s="3470">
        <v>0.1</v>
      </c>
      <c r="W655" s="3470">
        <v>62.31</v>
      </c>
      <c r="X655" s="3470">
        <v>623100</v>
      </c>
      <c r="Y655" s="3470">
        <v>2003</v>
      </c>
      <c r="Z655" s="3470">
        <v>8</v>
      </c>
      <c r="AA655" s="3470">
        <v>18</v>
      </c>
      <c r="AB655" s="3470">
        <v>3460</v>
      </c>
      <c r="AC655" s="3470" t="s">
        <v>3693</v>
      </c>
      <c r="AE655" s="3470" t="s">
        <v>3663</v>
      </c>
      <c r="AF655" s="3470" t="s">
        <v>3728</v>
      </c>
      <c r="AG655" s="3470" t="s">
        <v>3466</v>
      </c>
      <c r="AI655" s="3470" t="s">
        <v>5021</v>
      </c>
      <c r="AJ655" s="3470">
        <v>38199</v>
      </c>
      <c r="AK655" s="3470">
        <v>8</v>
      </c>
      <c r="AL655" s="3470">
        <v>67641700</v>
      </c>
      <c r="AN655" s="3470" t="s">
        <v>3680</v>
      </c>
      <c r="AP655" s="3470" t="s">
        <v>3476</v>
      </c>
      <c r="AQ655" s="3470" t="s">
        <v>3571</v>
      </c>
      <c r="AW655" s="3470" t="s">
        <v>3572</v>
      </c>
      <c r="AX655" s="3470" t="s">
        <v>3568</v>
      </c>
      <c r="AY655" s="3481" t="s">
        <v>8201</v>
      </c>
      <c r="AZ655" s="3470" t="s">
        <v>4654</v>
      </c>
      <c r="BA655" s="3470" t="s">
        <v>4688</v>
      </c>
      <c r="BB655" s="3481" t="s">
        <v>4689</v>
      </c>
      <c r="BC655" s="3470" t="s">
        <v>4656</v>
      </c>
      <c r="BD655" s="3482">
        <v>100037</v>
      </c>
      <c r="BE655" s="3470">
        <v>68347718</v>
      </c>
      <c r="BF655" s="3483">
        <v>2.8</v>
      </c>
      <c r="BG655" s="3478">
        <v>37835</v>
      </c>
      <c r="BH655" s="3470" t="s">
        <v>4681</v>
      </c>
      <c r="BI655" s="3470" t="s">
        <v>3476</v>
      </c>
      <c r="BJ655" s="3508">
        <v>37847</v>
      </c>
      <c r="BK655" s="3508"/>
      <c r="BL655" s="3470" t="s">
        <v>3670</v>
      </c>
      <c r="BP655" s="3441"/>
      <c r="BQ655" s="3441"/>
      <c r="BR655" s="3441"/>
    </row>
    <row r="656" spans="1:73" s="3470" customFormat="1" ht="12" hidden="1">
      <c r="A656" s="3470" t="s">
        <v>8202</v>
      </c>
      <c r="B656" s="3470" t="s">
        <v>8203</v>
      </c>
      <c r="C656" s="3470" t="s">
        <v>8204</v>
      </c>
      <c r="D656" s="3470">
        <v>13611252204</v>
      </c>
      <c r="E656" s="3470" t="s">
        <v>3558</v>
      </c>
      <c r="F656" s="3470" t="s">
        <v>7652</v>
      </c>
      <c r="H656" s="3470" t="s">
        <v>7772</v>
      </c>
      <c r="I656" s="3470" t="s">
        <v>4733</v>
      </c>
      <c r="J656" s="3470" t="s">
        <v>8205</v>
      </c>
      <c r="K656" s="3470" t="s">
        <v>7653</v>
      </c>
      <c r="L656" s="3470">
        <v>85.74</v>
      </c>
      <c r="M656" s="3470">
        <v>17</v>
      </c>
      <c r="N656" s="3470" t="s">
        <v>4030</v>
      </c>
      <c r="O656" s="3470">
        <v>67.81</v>
      </c>
      <c r="P656" s="3470" t="s">
        <v>3452</v>
      </c>
      <c r="Q656" s="3470">
        <v>405550.2</v>
      </c>
      <c r="R656" s="3470">
        <v>4730</v>
      </c>
      <c r="S656" s="3470">
        <v>40.14</v>
      </c>
      <c r="T656" s="3470">
        <v>401400</v>
      </c>
      <c r="U656" s="3470">
        <v>4682</v>
      </c>
      <c r="V656" s="3470">
        <v>0.1</v>
      </c>
      <c r="W656" s="3470">
        <v>36.119999999999997</v>
      </c>
      <c r="X656" s="3470">
        <v>361200</v>
      </c>
      <c r="Y656" s="3470">
        <v>2003</v>
      </c>
      <c r="Z656" s="3470">
        <v>8</v>
      </c>
      <c r="AA656" s="3470">
        <v>18</v>
      </c>
      <c r="AB656" s="3470">
        <v>2005</v>
      </c>
      <c r="AC656" s="3470" t="s">
        <v>3565</v>
      </c>
      <c r="AE656" s="3470" t="s">
        <v>3663</v>
      </c>
      <c r="AF656" s="3470" t="s">
        <v>7668</v>
      </c>
      <c r="AG656" s="3470" t="s">
        <v>3466</v>
      </c>
      <c r="AH656" s="3470" t="s">
        <v>3568</v>
      </c>
      <c r="AI656" s="3470" t="s">
        <v>5021</v>
      </c>
      <c r="AJ656" s="3470">
        <v>38077</v>
      </c>
      <c r="AK656" s="3470">
        <v>8</v>
      </c>
      <c r="AL656" s="3470">
        <v>67641700</v>
      </c>
      <c r="AN656" s="3470" t="s">
        <v>3680</v>
      </c>
      <c r="AP656" s="3470" t="s">
        <v>3476</v>
      </c>
      <c r="AQ656" s="3470" t="s">
        <v>3571</v>
      </c>
      <c r="AV656" s="3470" t="s">
        <v>3568</v>
      </c>
      <c r="AW656" s="3470" t="s">
        <v>3572</v>
      </c>
      <c r="AY656" s="3481" t="s">
        <v>8206</v>
      </c>
      <c r="AZ656" s="3470" t="s">
        <v>7653</v>
      </c>
      <c r="BA656" s="3470" t="s">
        <v>7655</v>
      </c>
      <c r="BB656" s="3481" t="s">
        <v>7656</v>
      </c>
      <c r="BC656" s="3470" t="s">
        <v>7657</v>
      </c>
      <c r="BD656" s="3482">
        <v>100025</v>
      </c>
      <c r="BE656" s="3470">
        <v>62908858</v>
      </c>
      <c r="BF656" s="3483">
        <v>2.7</v>
      </c>
      <c r="BG656" s="3478">
        <v>37836</v>
      </c>
      <c r="BH656" s="3470" t="s">
        <v>4681</v>
      </c>
      <c r="BI656" s="3470" t="s">
        <v>3476</v>
      </c>
      <c r="BJ656" s="3508">
        <v>37847</v>
      </c>
      <c r="BK656" s="3508"/>
      <c r="BL656" s="3470" t="s">
        <v>3670</v>
      </c>
      <c r="BP656" s="3441"/>
      <c r="BQ656" s="3441"/>
      <c r="BR656" s="3441"/>
    </row>
    <row r="657" spans="1:70" s="3470" customFormat="1" ht="12" hidden="1">
      <c r="A657" s="3470" t="s">
        <v>8207</v>
      </c>
      <c r="B657" s="3470" t="s">
        <v>8208</v>
      </c>
      <c r="C657" s="3470" t="s">
        <v>8209</v>
      </c>
      <c r="D657" s="3470" t="s">
        <v>8210</v>
      </c>
      <c r="E657" s="3470" t="s">
        <v>3558</v>
      </c>
      <c r="F657" s="3470" t="s">
        <v>8122</v>
      </c>
      <c r="G657" s="3470" t="s">
        <v>8123</v>
      </c>
      <c r="H657" s="3470" t="s">
        <v>8211</v>
      </c>
      <c r="I657" s="3470" t="s">
        <v>4309</v>
      </c>
      <c r="J657" s="3470" t="s">
        <v>4878</v>
      </c>
      <c r="K657" s="3470" t="s">
        <v>5620</v>
      </c>
      <c r="L657" s="3470">
        <v>89.38</v>
      </c>
      <c r="M657" s="3470">
        <v>5</v>
      </c>
      <c r="N657" s="3470" t="s">
        <v>4030</v>
      </c>
      <c r="O657" s="3470">
        <v>72.959999999999994</v>
      </c>
      <c r="P657" s="3470" t="s">
        <v>3452</v>
      </c>
      <c r="Q657" s="3470">
        <v>628494.23979999998</v>
      </c>
      <c r="R657" s="3470">
        <v>7031.71</v>
      </c>
      <c r="S657" s="3470">
        <v>62.31</v>
      </c>
      <c r="T657" s="3470">
        <v>623100</v>
      </c>
      <c r="U657" s="3470">
        <v>6972</v>
      </c>
      <c r="V657" s="3470">
        <v>0.1</v>
      </c>
      <c r="W657" s="3470">
        <v>56.07</v>
      </c>
      <c r="X657" s="3470">
        <v>560700</v>
      </c>
      <c r="Y657" s="3470">
        <v>2003</v>
      </c>
      <c r="Z657" s="3470">
        <v>8</v>
      </c>
      <c r="AA657" s="3470">
        <v>20</v>
      </c>
      <c r="AB657" s="3470">
        <v>3115</v>
      </c>
      <c r="AC657" s="3470" t="s">
        <v>3693</v>
      </c>
      <c r="AE657" s="3470" t="s">
        <v>3663</v>
      </c>
      <c r="AF657" s="3470" t="s">
        <v>3728</v>
      </c>
      <c r="AG657" s="3470" t="s">
        <v>3466</v>
      </c>
      <c r="AI657" s="3470" t="s">
        <v>8126</v>
      </c>
      <c r="AJ657" s="3470">
        <v>38017</v>
      </c>
      <c r="AK657" s="3470">
        <v>8</v>
      </c>
      <c r="AL657" s="3470">
        <v>67641700</v>
      </c>
      <c r="AN657" s="3470" t="s">
        <v>3739</v>
      </c>
      <c r="AP657" s="3470" t="s">
        <v>8127</v>
      </c>
      <c r="AQ657" s="3470" t="s">
        <v>3571</v>
      </c>
      <c r="AR657" s="3470">
        <v>2003</v>
      </c>
      <c r="AS657" s="3470">
        <v>8</v>
      </c>
      <c r="AT657" s="3470">
        <v>20</v>
      </c>
      <c r="AW657" s="3470" t="s">
        <v>3572</v>
      </c>
      <c r="AX657" s="3470" t="s">
        <v>2511</v>
      </c>
      <c r="AY657" s="3481" t="s">
        <v>8212</v>
      </c>
      <c r="AZ657" s="3470" t="s">
        <v>5620</v>
      </c>
      <c r="BA657" s="3470" t="s">
        <v>5623</v>
      </c>
      <c r="BB657" s="3481">
        <v>1100001502073</v>
      </c>
      <c r="BC657" s="3470" t="s">
        <v>5624</v>
      </c>
      <c r="BD657" s="3482">
        <v>100011</v>
      </c>
      <c r="BE657" s="3470">
        <v>64262674</v>
      </c>
      <c r="BF657" s="3483">
        <v>2.85</v>
      </c>
      <c r="BG657" s="3478">
        <v>37730</v>
      </c>
      <c r="BI657" s="3470" t="s">
        <v>8127</v>
      </c>
      <c r="BJ657" s="3508">
        <v>37848</v>
      </c>
      <c r="BK657" s="3508"/>
      <c r="BL657" s="3470" t="s">
        <v>3670</v>
      </c>
      <c r="BP657" s="3441"/>
      <c r="BQ657" s="3441"/>
      <c r="BR657" s="3441"/>
    </row>
    <row r="658" spans="1:70" s="3470" customFormat="1" ht="12" hidden="1">
      <c r="A658" s="3470" t="s">
        <v>8213</v>
      </c>
      <c r="B658" s="3470" t="s">
        <v>8214</v>
      </c>
      <c r="C658" s="3470">
        <v>110108621114543</v>
      </c>
      <c r="D658" s="3470">
        <v>13801108822</v>
      </c>
      <c r="E658" s="3470" t="s">
        <v>3558</v>
      </c>
      <c r="F658" s="3470" t="s">
        <v>8094</v>
      </c>
      <c r="H658" s="3470" t="s">
        <v>7724</v>
      </c>
      <c r="I658" s="3470" t="s">
        <v>3735</v>
      </c>
      <c r="J658" s="3470" t="s">
        <v>5563</v>
      </c>
      <c r="K658" s="3470" t="s">
        <v>8097</v>
      </c>
      <c r="L658" s="3470">
        <v>141.34</v>
      </c>
      <c r="M658" s="3470">
        <v>7</v>
      </c>
      <c r="N658" s="3470" t="s">
        <v>5547</v>
      </c>
      <c r="O658" s="3470">
        <v>120.85</v>
      </c>
      <c r="P658" s="3470" t="s">
        <v>3452</v>
      </c>
      <c r="Q658" s="3470">
        <v>671647.68</v>
      </c>
      <c r="R658" s="3470">
        <v>4752</v>
      </c>
      <c r="S658" s="3470">
        <v>66.48</v>
      </c>
      <c r="T658" s="3470">
        <v>664800</v>
      </c>
      <c r="U658" s="3470">
        <v>4704</v>
      </c>
      <c r="V658" s="3470">
        <v>0.05</v>
      </c>
      <c r="W658" s="3470">
        <v>63.15</v>
      </c>
      <c r="X658" s="3470">
        <v>631500</v>
      </c>
      <c r="Y658" s="3470">
        <v>2003</v>
      </c>
      <c r="Z658" s="3470">
        <v>8</v>
      </c>
      <c r="AA658" s="3470">
        <v>18</v>
      </c>
      <c r="AB658" s="3470">
        <v>3320</v>
      </c>
      <c r="AC658" s="3470" t="s">
        <v>7631</v>
      </c>
      <c r="AE658" s="3470" t="s">
        <v>3663</v>
      </c>
      <c r="AF658" s="3470" t="s">
        <v>3493</v>
      </c>
      <c r="AG658" s="3470" t="s">
        <v>3466</v>
      </c>
      <c r="AI658" s="3470" t="s">
        <v>5021</v>
      </c>
      <c r="AJ658" s="3470">
        <v>37790</v>
      </c>
      <c r="AK658" s="3470">
        <v>8</v>
      </c>
      <c r="AL658" s="3470">
        <v>67641700</v>
      </c>
      <c r="AN658" s="3470" t="s">
        <v>3680</v>
      </c>
      <c r="AP658" s="3470" t="s">
        <v>3476</v>
      </c>
      <c r="AQ658" s="3470" t="s">
        <v>3571</v>
      </c>
      <c r="AV658" s="3470" t="s">
        <v>3568</v>
      </c>
      <c r="AW658" s="3470" t="s">
        <v>3572</v>
      </c>
      <c r="AX658" s="3470" t="s">
        <v>2511</v>
      </c>
      <c r="AY658" s="3481">
        <v>145473</v>
      </c>
      <c r="AZ658" s="3470" t="s">
        <v>8097</v>
      </c>
      <c r="BA658" s="3470" t="s">
        <v>8100</v>
      </c>
      <c r="BB658" s="3481" t="s">
        <v>8101</v>
      </c>
      <c r="BC658" s="3470" t="s">
        <v>8102</v>
      </c>
      <c r="BD658" s="3482">
        <v>100010</v>
      </c>
      <c r="BE658" s="3470">
        <v>65233356</v>
      </c>
      <c r="BF658" s="3483">
        <v>2.7</v>
      </c>
      <c r="BG658" s="3478">
        <v>37844</v>
      </c>
      <c r="BI658" s="3470" t="s">
        <v>3476</v>
      </c>
      <c r="BJ658" s="3508">
        <v>37847</v>
      </c>
      <c r="BK658" s="3508"/>
      <c r="BL658" s="3470" t="s">
        <v>3670</v>
      </c>
      <c r="BP658" s="3441"/>
      <c r="BQ658" s="3441"/>
      <c r="BR658" s="3441"/>
    </row>
    <row r="659" spans="1:70" s="3470" customFormat="1" ht="12" hidden="1">
      <c r="A659" s="3470" t="s">
        <v>8215</v>
      </c>
      <c r="B659" s="3470" t="s">
        <v>5612</v>
      </c>
      <c r="C659" s="3470">
        <v>110108691107273</v>
      </c>
      <c r="D659" s="3470">
        <v>13601150334</v>
      </c>
      <c r="E659" s="3470" t="s">
        <v>3558</v>
      </c>
      <c r="F659" s="3470" t="s">
        <v>8216</v>
      </c>
      <c r="K659" s="3470" t="s">
        <v>5612</v>
      </c>
      <c r="L659" s="3470">
        <v>93.1</v>
      </c>
      <c r="M659" s="3470" t="s">
        <v>8217</v>
      </c>
      <c r="N659" s="3470" t="s">
        <v>4030</v>
      </c>
      <c r="P659" s="3470" t="s">
        <v>3452</v>
      </c>
      <c r="Q659" s="3470">
        <v>489985.3</v>
      </c>
      <c r="R659" s="3470">
        <v>5263</v>
      </c>
      <c r="S659" s="3470">
        <v>48.41</v>
      </c>
      <c r="T659" s="3470">
        <v>484100</v>
      </c>
      <c r="U659" s="3470">
        <v>5200</v>
      </c>
      <c r="V659" s="3470">
        <v>0.05</v>
      </c>
      <c r="W659" s="3470">
        <v>45.98</v>
      </c>
      <c r="X659" s="3470">
        <v>459800</v>
      </c>
      <c r="Y659" s="3470">
        <v>2003</v>
      </c>
      <c r="Z659" s="3470">
        <v>8</v>
      </c>
      <c r="AA659" s="3470">
        <v>19</v>
      </c>
      <c r="AB659" s="3470">
        <v>2420</v>
      </c>
      <c r="AC659" s="3470" t="s">
        <v>3565</v>
      </c>
      <c r="AE659" s="3470" t="s">
        <v>3569</v>
      </c>
      <c r="AF659" s="3470" t="s">
        <v>3493</v>
      </c>
      <c r="AG659" s="3470" t="s">
        <v>3466</v>
      </c>
      <c r="AI659" s="3470" t="s">
        <v>3569</v>
      </c>
      <c r="AK659" s="3470" t="s">
        <v>4687</v>
      </c>
      <c r="AL659" s="3470">
        <v>82253557</v>
      </c>
      <c r="AP659" s="3470" t="s">
        <v>3569</v>
      </c>
      <c r="AQ659" s="3470" t="s">
        <v>3571</v>
      </c>
      <c r="AW659" s="3470" t="s">
        <v>5825</v>
      </c>
      <c r="AY659" s="3481"/>
      <c r="BB659" s="3481"/>
      <c r="BD659" s="3482"/>
      <c r="BF659" s="3483"/>
      <c r="BG659" s="3478"/>
      <c r="BI659" s="3470" t="s">
        <v>3569</v>
      </c>
      <c r="BJ659" s="3508">
        <v>37848</v>
      </c>
      <c r="BK659" s="3508"/>
      <c r="BM659" s="3470" t="s">
        <v>3396</v>
      </c>
      <c r="BN659" s="3470" t="s">
        <v>5825</v>
      </c>
      <c r="BO659" s="3470" t="s">
        <v>7621</v>
      </c>
      <c r="BP659" s="3441"/>
      <c r="BQ659" s="3441"/>
      <c r="BR659" s="3441"/>
    </row>
    <row r="660" spans="1:70" s="3470" customFormat="1" ht="12" hidden="1">
      <c r="A660" s="3470" t="s">
        <v>8218</v>
      </c>
      <c r="B660" s="3470" t="s">
        <v>8219</v>
      </c>
      <c r="C660" s="3470" t="s">
        <v>8220</v>
      </c>
      <c r="D660" s="3470">
        <v>13901377002</v>
      </c>
      <c r="E660" s="3470" t="s">
        <v>3558</v>
      </c>
      <c r="F660" s="3470" t="s">
        <v>4645</v>
      </c>
      <c r="H660" s="3470" t="s">
        <v>4646</v>
      </c>
      <c r="I660" s="3470" t="s">
        <v>7851</v>
      </c>
      <c r="J660" s="3470" t="s">
        <v>8221</v>
      </c>
      <c r="K660" s="3470" t="s">
        <v>4649</v>
      </c>
      <c r="L660" s="3470">
        <v>109.8</v>
      </c>
      <c r="M660" s="3470">
        <v>8</v>
      </c>
      <c r="N660" s="3470" t="s">
        <v>3738</v>
      </c>
      <c r="O660" s="3470">
        <v>86.55</v>
      </c>
      <c r="P660" s="3470" t="s">
        <v>3452</v>
      </c>
      <c r="Q660" s="3470">
        <v>814935.6</v>
      </c>
      <c r="R660" s="3470">
        <v>7422</v>
      </c>
      <c r="S660" s="3470">
        <v>80.739999999999995</v>
      </c>
      <c r="T660" s="3470">
        <v>807400</v>
      </c>
      <c r="U660" s="3470">
        <v>7354</v>
      </c>
      <c r="V660" s="3470">
        <v>0.1</v>
      </c>
      <c r="W660" s="3470">
        <v>72.66</v>
      </c>
      <c r="X660" s="3470">
        <v>726600</v>
      </c>
      <c r="Y660" s="3470">
        <v>2003</v>
      </c>
      <c r="Z660" s="3470">
        <v>8</v>
      </c>
      <c r="AA660" s="3470">
        <v>18</v>
      </c>
      <c r="AB660" s="3470">
        <v>4035</v>
      </c>
      <c r="AC660" s="3470" t="s">
        <v>7887</v>
      </c>
      <c r="AE660" s="3470" t="s">
        <v>3663</v>
      </c>
      <c r="AF660" s="3470" t="s">
        <v>3728</v>
      </c>
      <c r="AG660" s="3470" t="s">
        <v>3466</v>
      </c>
      <c r="AI660" s="3470" t="s">
        <v>5021</v>
      </c>
      <c r="AJ660" s="3470">
        <v>38199</v>
      </c>
      <c r="AK660" s="3470">
        <v>8</v>
      </c>
      <c r="AL660" s="3470">
        <v>67641700</v>
      </c>
      <c r="AN660" s="3470" t="s">
        <v>3680</v>
      </c>
      <c r="AP660" s="3470" t="s">
        <v>3476</v>
      </c>
      <c r="AQ660" s="3470" t="s">
        <v>3571</v>
      </c>
      <c r="AW660" s="3470" t="s">
        <v>3572</v>
      </c>
      <c r="AX660" s="3470" t="s">
        <v>3568</v>
      </c>
      <c r="AY660" s="3481" t="s">
        <v>8222</v>
      </c>
      <c r="AZ660" s="3470" t="s">
        <v>4654</v>
      </c>
      <c r="BA660" s="3470" t="s">
        <v>4688</v>
      </c>
      <c r="BB660" s="3481" t="s">
        <v>4689</v>
      </c>
      <c r="BC660" s="3470" t="s">
        <v>4656</v>
      </c>
      <c r="BD660" s="3482">
        <v>100037</v>
      </c>
      <c r="BE660" s="3470">
        <v>68347718</v>
      </c>
      <c r="BF660" s="3483">
        <v>2.8</v>
      </c>
      <c r="BG660" s="3478">
        <v>37822</v>
      </c>
      <c r="BH660" s="3470" t="s">
        <v>4681</v>
      </c>
      <c r="BI660" s="3470" t="s">
        <v>3476</v>
      </c>
      <c r="BJ660" s="3508">
        <v>37848</v>
      </c>
      <c r="BK660" s="3508"/>
      <c r="BL660" s="3470" t="s">
        <v>3670</v>
      </c>
      <c r="BP660" s="3441"/>
      <c r="BQ660" s="3441"/>
      <c r="BR660" s="3441"/>
    </row>
    <row r="661" spans="1:70" s="3470" customFormat="1" ht="12" hidden="1">
      <c r="A661" s="3470" t="s">
        <v>8223</v>
      </c>
      <c r="B661" s="3470" t="s">
        <v>8224</v>
      </c>
      <c r="C661" s="3470" t="s">
        <v>8225</v>
      </c>
      <c r="D661" s="3470" t="s">
        <v>8226</v>
      </c>
      <c r="E661" s="3470" t="s">
        <v>3558</v>
      </c>
      <c r="F661" s="3470" t="s">
        <v>3559</v>
      </c>
      <c r="H661" s="3470" t="s">
        <v>3560</v>
      </c>
      <c r="I661" s="3470" t="s">
        <v>3561</v>
      </c>
      <c r="J661" s="3470" t="s">
        <v>5003</v>
      </c>
      <c r="K661" s="3470" t="s">
        <v>7737</v>
      </c>
      <c r="L661" s="3470">
        <v>122.75</v>
      </c>
      <c r="M661" s="3470">
        <v>6</v>
      </c>
      <c r="N661" s="3470" t="s">
        <v>3738</v>
      </c>
      <c r="O661" s="3470">
        <v>99.45</v>
      </c>
      <c r="P661" s="3470" t="s">
        <v>3452</v>
      </c>
      <c r="Q661" s="3470">
        <v>568289.53749999998</v>
      </c>
      <c r="R661" s="3470">
        <v>4629.6499999999996</v>
      </c>
      <c r="S661" s="3470">
        <v>56.21</v>
      </c>
      <c r="T661" s="3470">
        <v>562100</v>
      </c>
      <c r="U661" s="3470">
        <v>4580</v>
      </c>
      <c r="V661" s="3470">
        <v>0.1</v>
      </c>
      <c r="W661" s="3470">
        <v>50.58</v>
      </c>
      <c r="X661" s="3470">
        <v>505800</v>
      </c>
      <c r="Y661" s="3470">
        <v>2003</v>
      </c>
      <c r="Z661" s="3470">
        <v>8</v>
      </c>
      <c r="AA661" s="3470">
        <v>19</v>
      </c>
      <c r="AB661" s="3470">
        <v>2810</v>
      </c>
      <c r="AC661" s="3470" t="s">
        <v>4004</v>
      </c>
      <c r="AE661" s="3470" t="s">
        <v>3663</v>
      </c>
      <c r="AF661" s="3470" t="s">
        <v>4200</v>
      </c>
      <c r="AG661" s="3470" t="s">
        <v>3466</v>
      </c>
      <c r="AH661" s="3470" t="s">
        <v>3568</v>
      </c>
      <c r="AI661" s="3470" t="s">
        <v>5021</v>
      </c>
      <c r="AJ661" s="3470">
        <v>37894</v>
      </c>
      <c r="AK661" s="3470">
        <v>8</v>
      </c>
      <c r="AL661" s="3470">
        <v>67641700</v>
      </c>
      <c r="AM661" s="3470" t="s">
        <v>3568</v>
      </c>
      <c r="AN661" s="3470" t="s">
        <v>3680</v>
      </c>
      <c r="AO661" s="3470" t="s">
        <v>3568</v>
      </c>
      <c r="AP661" s="3470" t="s">
        <v>3476</v>
      </c>
      <c r="AQ661" s="3470" t="s">
        <v>3571</v>
      </c>
      <c r="AW661" s="3470" t="s">
        <v>3572</v>
      </c>
      <c r="AY661" s="3481" t="s">
        <v>8227</v>
      </c>
      <c r="AZ661" s="3470" t="s">
        <v>7737</v>
      </c>
      <c r="BA661" s="3470" t="s">
        <v>8005</v>
      </c>
      <c r="BB661" s="3481" t="s">
        <v>8006</v>
      </c>
      <c r="BC661" s="3470" t="s">
        <v>3576</v>
      </c>
      <c r="BD661" s="3482">
        <v>100037</v>
      </c>
      <c r="BE661" s="3470">
        <v>84050010</v>
      </c>
      <c r="BF661" s="3483">
        <v>2.8</v>
      </c>
      <c r="BG661" s="3478">
        <v>37829</v>
      </c>
      <c r="BH661" s="3470" t="s">
        <v>4753</v>
      </c>
      <c r="BI661" s="3470" t="s">
        <v>3476</v>
      </c>
      <c r="BJ661" s="3508">
        <v>37848</v>
      </c>
      <c r="BK661" s="3508">
        <v>37846</v>
      </c>
      <c r="BL661" s="3470" t="s">
        <v>3670</v>
      </c>
      <c r="BP661" s="3441"/>
      <c r="BQ661" s="3441"/>
      <c r="BR661" s="3441"/>
    </row>
    <row r="662" spans="1:70" s="3470" customFormat="1" ht="12" hidden="1">
      <c r="A662" s="3470" t="s">
        <v>8228</v>
      </c>
      <c r="B662" s="3470" t="s">
        <v>8229</v>
      </c>
      <c r="C662" s="3470" t="s">
        <v>8230</v>
      </c>
      <c r="D662" s="3470" t="s">
        <v>8231</v>
      </c>
      <c r="E662" s="3470" t="s">
        <v>3558</v>
      </c>
      <c r="F662" s="3470" t="s">
        <v>3559</v>
      </c>
      <c r="H662" s="3470" t="s">
        <v>3560</v>
      </c>
      <c r="I662" s="3470" t="s">
        <v>4019</v>
      </c>
      <c r="J662" s="3470" t="s">
        <v>8232</v>
      </c>
      <c r="K662" s="3470" t="s">
        <v>7737</v>
      </c>
      <c r="L662" s="3470">
        <v>85.78</v>
      </c>
      <c r="M662" s="3470">
        <v>17</v>
      </c>
      <c r="N662" s="3470" t="s">
        <v>4030</v>
      </c>
      <c r="O662" s="3470">
        <v>69.5</v>
      </c>
      <c r="P662" s="3470" t="s">
        <v>3452</v>
      </c>
      <c r="Q662" s="3470">
        <v>430555.554</v>
      </c>
      <c r="R662" s="3470">
        <v>5019.3</v>
      </c>
      <c r="S662" s="3470">
        <v>42.63</v>
      </c>
      <c r="T662" s="3470">
        <v>426300</v>
      </c>
      <c r="U662" s="3470">
        <v>4970</v>
      </c>
      <c r="V662" s="3470">
        <v>0.1</v>
      </c>
      <c r="W662" s="3470">
        <v>38.36</v>
      </c>
      <c r="X662" s="3470">
        <v>383600</v>
      </c>
      <c r="Y662" s="3470">
        <v>2003</v>
      </c>
      <c r="Z662" s="3470">
        <v>8</v>
      </c>
      <c r="AA662" s="3470">
        <v>19</v>
      </c>
      <c r="AB662" s="3470">
        <v>2130</v>
      </c>
      <c r="AC662" s="3470" t="s">
        <v>3693</v>
      </c>
      <c r="AE662" s="3470" t="s">
        <v>3663</v>
      </c>
      <c r="AF662" s="3470" t="s">
        <v>4200</v>
      </c>
      <c r="AG662" s="3470" t="s">
        <v>3466</v>
      </c>
      <c r="AH662" s="3470" t="s">
        <v>3568</v>
      </c>
      <c r="AI662" s="3470" t="s">
        <v>5021</v>
      </c>
      <c r="AJ662" s="3470">
        <v>37894</v>
      </c>
      <c r="AK662" s="3470">
        <v>8</v>
      </c>
      <c r="AL662" s="3470">
        <v>67641700</v>
      </c>
      <c r="AM662" s="3470" t="s">
        <v>3568</v>
      </c>
      <c r="AN662" s="3470" t="s">
        <v>3680</v>
      </c>
      <c r="AO662" s="3470" t="s">
        <v>3568</v>
      </c>
      <c r="AP662" s="3470" t="s">
        <v>3476</v>
      </c>
      <c r="AQ662" s="3470" t="s">
        <v>3571</v>
      </c>
      <c r="AW662" s="3470" t="s">
        <v>3572</v>
      </c>
      <c r="AY662" s="3481" t="s">
        <v>8233</v>
      </c>
      <c r="AZ662" s="3470" t="s">
        <v>7737</v>
      </c>
      <c r="BA662" s="3470" t="s">
        <v>8005</v>
      </c>
      <c r="BB662" s="3481" t="s">
        <v>8006</v>
      </c>
      <c r="BC662" s="3470" t="s">
        <v>3576</v>
      </c>
      <c r="BD662" s="3482">
        <v>100037</v>
      </c>
      <c r="BE662" s="3470">
        <v>84050010</v>
      </c>
      <c r="BF662" s="3483">
        <v>2.8</v>
      </c>
      <c r="BG662" s="3478">
        <v>37820</v>
      </c>
      <c r="BH662" s="3470" t="s">
        <v>4753</v>
      </c>
      <c r="BI662" s="3470" t="s">
        <v>3476</v>
      </c>
      <c r="BJ662" s="3508">
        <v>37851</v>
      </c>
      <c r="BK662" s="3508">
        <v>37838</v>
      </c>
      <c r="BL662" s="3470" t="s">
        <v>3670</v>
      </c>
      <c r="BP662" s="3441"/>
      <c r="BQ662" s="3441"/>
      <c r="BR662" s="3441"/>
    </row>
    <row r="663" spans="1:70" s="3470" customFormat="1" ht="12" hidden="1">
      <c r="A663" s="3470" t="s">
        <v>8234</v>
      </c>
      <c r="B663" s="3470" t="s">
        <v>8235</v>
      </c>
      <c r="C663" s="3470" t="s">
        <v>8236</v>
      </c>
      <c r="D663" s="3470">
        <v>13701141784</v>
      </c>
      <c r="E663" s="3470" t="s">
        <v>3558</v>
      </c>
      <c r="F663" s="3470" t="s">
        <v>4645</v>
      </c>
      <c r="H663" s="3470" t="s">
        <v>4684</v>
      </c>
      <c r="I663" s="3470" t="s">
        <v>7840</v>
      </c>
      <c r="J663" s="3470" t="s">
        <v>8237</v>
      </c>
      <c r="K663" s="3470" t="s">
        <v>4649</v>
      </c>
      <c r="L663" s="3470">
        <v>92.49</v>
      </c>
      <c r="M663" s="3470">
        <v>19</v>
      </c>
      <c r="N663" s="3470" t="s">
        <v>4030</v>
      </c>
      <c r="O663" s="3470">
        <v>72.91</v>
      </c>
      <c r="P663" s="3470" t="s">
        <v>3452</v>
      </c>
      <c r="Q663" s="3470">
        <v>711433.08</v>
      </c>
      <c r="R663" s="3470">
        <v>7692</v>
      </c>
      <c r="S663" s="3470">
        <v>70.56</v>
      </c>
      <c r="T663" s="3470">
        <v>705600</v>
      </c>
      <c r="U663" s="3470">
        <v>7630</v>
      </c>
      <c r="V663" s="3470">
        <v>0.1</v>
      </c>
      <c r="W663" s="3470">
        <v>63.5</v>
      </c>
      <c r="X663" s="3470">
        <v>635000</v>
      </c>
      <c r="Y663" s="3470">
        <v>2003</v>
      </c>
      <c r="Z663" s="3470">
        <v>8</v>
      </c>
      <c r="AA663" s="3470">
        <v>19</v>
      </c>
      <c r="AB663" s="3470">
        <v>3525</v>
      </c>
      <c r="AC663" s="3470" t="s">
        <v>3693</v>
      </c>
      <c r="AE663" s="3470" t="s">
        <v>3663</v>
      </c>
      <c r="AF663" s="3470" t="s">
        <v>3728</v>
      </c>
      <c r="AG663" s="3470" t="s">
        <v>3466</v>
      </c>
      <c r="AI663" s="3470" t="s">
        <v>5021</v>
      </c>
      <c r="AJ663" s="3470">
        <v>38199</v>
      </c>
      <c r="AK663" s="3470">
        <v>8</v>
      </c>
      <c r="AL663" s="3470">
        <v>67641700</v>
      </c>
      <c r="AN663" s="3470" t="s">
        <v>3680</v>
      </c>
      <c r="AP663" s="3470" t="s">
        <v>3476</v>
      </c>
      <c r="AQ663" s="3470" t="s">
        <v>3571</v>
      </c>
      <c r="AW663" s="3470" t="s">
        <v>3572</v>
      </c>
      <c r="AX663" s="3470" t="s">
        <v>3568</v>
      </c>
      <c r="AY663" s="3481" t="s">
        <v>8238</v>
      </c>
      <c r="AZ663" s="3470" t="s">
        <v>4654</v>
      </c>
      <c r="BA663" s="3470" t="s">
        <v>4688</v>
      </c>
      <c r="BB663" s="3481" t="s">
        <v>4689</v>
      </c>
      <c r="BC663" s="3470" t="s">
        <v>4656</v>
      </c>
      <c r="BD663" s="3482">
        <v>100037</v>
      </c>
      <c r="BE663" s="3470">
        <v>68347718</v>
      </c>
      <c r="BF663" s="3483">
        <v>2.8</v>
      </c>
      <c r="BG663" s="3478">
        <v>37839</v>
      </c>
      <c r="BH663" s="3470" t="s">
        <v>4681</v>
      </c>
      <c r="BI663" s="3470" t="s">
        <v>3476</v>
      </c>
      <c r="BJ663" s="3508">
        <v>37851</v>
      </c>
      <c r="BK663" s="3508"/>
      <c r="BL663" s="3470" t="s">
        <v>3670</v>
      </c>
      <c r="BP663" s="3441"/>
      <c r="BQ663" s="3441"/>
      <c r="BR663" s="3441"/>
    </row>
    <row r="664" spans="1:70" s="3470" customFormat="1" ht="12" hidden="1">
      <c r="A664" s="3470" t="s">
        <v>8239</v>
      </c>
      <c r="B664" s="3470" t="s">
        <v>8240</v>
      </c>
      <c r="C664" s="3470" t="s">
        <v>8241</v>
      </c>
      <c r="D664" s="3470">
        <v>13801052380</v>
      </c>
      <c r="E664" s="3470" t="s">
        <v>3558</v>
      </c>
      <c r="F664" s="3470" t="s">
        <v>8242</v>
      </c>
      <c r="H664" s="3470" t="s">
        <v>8243</v>
      </c>
      <c r="I664" s="3470" t="s">
        <v>4671</v>
      </c>
      <c r="J664" s="3470" t="s">
        <v>8244</v>
      </c>
      <c r="K664" s="3470" t="s">
        <v>5876</v>
      </c>
      <c r="L664" s="3470">
        <v>111.86</v>
      </c>
      <c r="M664" s="3470">
        <v>10</v>
      </c>
      <c r="N664" s="3470" t="s">
        <v>4030</v>
      </c>
      <c r="O664" s="3470">
        <v>90.35</v>
      </c>
      <c r="P664" s="3470" t="s">
        <v>3452</v>
      </c>
      <c r="Q664" s="3470">
        <v>683576.46</v>
      </c>
      <c r="R664" s="3470">
        <v>6111</v>
      </c>
      <c r="S664" s="3470">
        <v>67.67</v>
      </c>
      <c r="T664" s="3470">
        <v>676700</v>
      </c>
      <c r="U664" s="3470">
        <v>6050</v>
      </c>
      <c r="V664" s="3470">
        <v>0.1</v>
      </c>
      <c r="W664" s="3470">
        <v>60.9</v>
      </c>
      <c r="X664" s="3470">
        <v>609000</v>
      </c>
      <c r="Y664" s="3470">
        <v>2003</v>
      </c>
      <c r="Z664" s="3470">
        <v>8</v>
      </c>
      <c r="AA664" s="3470">
        <v>19</v>
      </c>
      <c r="AB664" s="3470">
        <v>3380</v>
      </c>
      <c r="AC664" s="3470" t="s">
        <v>8245</v>
      </c>
      <c r="AE664" s="3470" t="s">
        <v>3663</v>
      </c>
      <c r="AF664" s="3470" t="s">
        <v>4200</v>
      </c>
      <c r="AG664" s="3470" t="s">
        <v>3466</v>
      </c>
      <c r="AI664" s="3470" t="s">
        <v>5021</v>
      </c>
      <c r="AJ664" s="3470">
        <v>37924</v>
      </c>
      <c r="AK664" s="3470">
        <v>8</v>
      </c>
      <c r="AL664" s="3470">
        <v>67641700</v>
      </c>
      <c r="AN664" s="3470" t="s">
        <v>3680</v>
      </c>
      <c r="AP664" s="3470" t="s">
        <v>3476</v>
      </c>
      <c r="AQ664" s="3470" t="s">
        <v>3571</v>
      </c>
      <c r="AV664" s="3470" t="s">
        <v>3568</v>
      </c>
      <c r="AW664" s="3470" t="s">
        <v>3572</v>
      </c>
      <c r="AX664" s="3470" t="s">
        <v>3568</v>
      </c>
      <c r="AY664" s="3481">
        <v>285895</v>
      </c>
      <c r="AZ664" s="3470" t="s">
        <v>5876</v>
      </c>
      <c r="BA664" s="3470" t="s">
        <v>5877</v>
      </c>
      <c r="BB664" s="3481" t="s">
        <v>5878</v>
      </c>
      <c r="BC664" s="3470" t="s">
        <v>5879</v>
      </c>
      <c r="BD664" s="3482">
        <v>100036</v>
      </c>
      <c r="BE664" s="3470">
        <v>68213297</v>
      </c>
      <c r="BF664" s="3483">
        <v>2.7</v>
      </c>
      <c r="BG664" s="3478">
        <v>37835</v>
      </c>
      <c r="BI664" s="3470" t="s">
        <v>3476</v>
      </c>
      <c r="BJ664" s="3508">
        <v>37851</v>
      </c>
      <c r="BK664" s="3508"/>
      <c r="BL664" s="3470" t="s">
        <v>3670</v>
      </c>
      <c r="BP664" s="3441"/>
      <c r="BQ664" s="3441"/>
      <c r="BR664" s="3441"/>
    </row>
    <row r="665" spans="1:70" s="3470" customFormat="1" ht="12" hidden="1">
      <c r="A665" s="3470" t="s">
        <v>8246</v>
      </c>
      <c r="B665" s="3470" t="s">
        <v>8247</v>
      </c>
      <c r="C665" s="3470" t="s">
        <v>8248</v>
      </c>
      <c r="D665" s="3470">
        <v>13681354988</v>
      </c>
      <c r="E665" s="3470" t="s">
        <v>3558</v>
      </c>
      <c r="F665" s="3470" t="s">
        <v>4600</v>
      </c>
      <c r="H665" s="3470" t="s">
        <v>8249</v>
      </c>
      <c r="I665" s="3470" t="s">
        <v>8125</v>
      </c>
      <c r="J665" s="3470" t="s">
        <v>8250</v>
      </c>
      <c r="K665" s="3470" t="s">
        <v>5004</v>
      </c>
      <c r="L665" s="3470">
        <v>66.83</v>
      </c>
      <c r="M665" s="3470">
        <v>1</v>
      </c>
      <c r="N665" s="3470" t="s">
        <v>4030</v>
      </c>
      <c r="O665" s="3470">
        <v>61.37</v>
      </c>
      <c r="P665" s="3470" t="s">
        <v>3452</v>
      </c>
      <c r="Q665" s="3470">
        <v>190467.5049</v>
      </c>
      <c r="R665" s="3470">
        <v>2850.03</v>
      </c>
      <c r="S665" s="3470">
        <v>21.25</v>
      </c>
      <c r="T665" s="3470">
        <v>212500</v>
      </c>
      <c r="U665" s="3470">
        <v>3180</v>
      </c>
      <c r="V665" s="3470">
        <v>0.1</v>
      </c>
      <c r="W665" s="3470">
        <v>19.12</v>
      </c>
      <c r="X665" s="3470">
        <v>191200</v>
      </c>
      <c r="Y665" s="3470">
        <v>2003</v>
      </c>
      <c r="Z665" s="3470">
        <v>8</v>
      </c>
      <c r="AA665" s="3470">
        <v>20</v>
      </c>
      <c r="AB665" s="3470">
        <v>950</v>
      </c>
      <c r="AC665" s="3470" t="s">
        <v>7679</v>
      </c>
      <c r="AE665" s="3470" t="s">
        <v>3663</v>
      </c>
      <c r="AF665" s="3470" t="s">
        <v>3493</v>
      </c>
      <c r="AG665" s="3470" t="s">
        <v>3466</v>
      </c>
      <c r="AI665" s="3470" t="s">
        <v>5021</v>
      </c>
      <c r="AK665" s="3470">
        <v>8</v>
      </c>
      <c r="AL665" s="3470">
        <v>67641700</v>
      </c>
      <c r="AN665" s="3470" t="s">
        <v>3739</v>
      </c>
      <c r="AP665" s="3470" t="s">
        <v>3679</v>
      </c>
      <c r="AQ665" s="3470" t="s">
        <v>3571</v>
      </c>
      <c r="AW665" s="3470" t="s">
        <v>8251</v>
      </c>
      <c r="AY665" s="3481"/>
      <c r="AZ665" s="3470" t="s">
        <v>8252</v>
      </c>
      <c r="BA665" s="3470" t="s">
        <v>8253</v>
      </c>
      <c r="BB665" s="3481" t="s">
        <v>6638</v>
      </c>
      <c r="BD665" s="3482">
        <v>100034</v>
      </c>
      <c r="BE665" s="3470">
        <v>66511210</v>
      </c>
      <c r="BF665" s="3483"/>
      <c r="BG665" s="3478">
        <v>37690</v>
      </c>
      <c r="BH665" s="3470" t="s">
        <v>8254</v>
      </c>
      <c r="BI665" s="3470" t="s">
        <v>8007</v>
      </c>
      <c r="BJ665" s="3508">
        <v>37847</v>
      </c>
      <c r="BK665" s="3508"/>
      <c r="BL665" s="3470" t="s">
        <v>8255</v>
      </c>
      <c r="BP665" s="3441"/>
      <c r="BQ665" s="3441"/>
      <c r="BR665" s="3441"/>
    </row>
    <row r="666" spans="1:70" s="3470" customFormat="1" ht="12" hidden="1">
      <c r="A666" s="3470" t="s">
        <v>8256</v>
      </c>
      <c r="B666" s="3470" t="s">
        <v>8257</v>
      </c>
      <c r="C666" s="3470" t="s">
        <v>8258</v>
      </c>
      <c r="D666" s="3470">
        <v>68636562</v>
      </c>
      <c r="E666" s="3470" t="s">
        <v>3558</v>
      </c>
      <c r="F666" s="3470" t="s">
        <v>4600</v>
      </c>
      <c r="H666" s="3470" t="s">
        <v>8249</v>
      </c>
      <c r="I666" s="3470" t="s">
        <v>7690</v>
      </c>
      <c r="J666" s="3470" t="s">
        <v>8259</v>
      </c>
      <c r="K666" s="3470" t="s">
        <v>5004</v>
      </c>
      <c r="L666" s="3470">
        <v>66.83</v>
      </c>
      <c r="M666" s="3470">
        <v>5</v>
      </c>
      <c r="N666" s="3470" t="s">
        <v>4030</v>
      </c>
      <c r="O666" s="3470">
        <v>61.37</v>
      </c>
      <c r="P666" s="3470" t="s">
        <v>3452</v>
      </c>
      <c r="Q666" s="3470">
        <v>190467.5049</v>
      </c>
      <c r="R666" s="3470">
        <v>2850.03</v>
      </c>
      <c r="S666" s="3470">
        <v>21.65</v>
      </c>
      <c r="T666" s="3470">
        <v>216500</v>
      </c>
      <c r="U666" s="3470">
        <v>3240</v>
      </c>
      <c r="V666" s="3470">
        <v>0.1</v>
      </c>
      <c r="W666" s="3470">
        <v>19.48</v>
      </c>
      <c r="X666" s="3470">
        <v>194800</v>
      </c>
      <c r="Y666" s="3470">
        <v>2003</v>
      </c>
      <c r="Z666" s="3470">
        <v>8</v>
      </c>
      <c r="AA666" s="3470">
        <v>20</v>
      </c>
      <c r="AB666" s="3470">
        <v>950</v>
      </c>
      <c r="AC666" s="3470" t="s">
        <v>7679</v>
      </c>
      <c r="AE666" s="3470" t="s">
        <v>3663</v>
      </c>
      <c r="AF666" s="3470" t="s">
        <v>3493</v>
      </c>
      <c r="AG666" s="3470" t="s">
        <v>3466</v>
      </c>
      <c r="AI666" s="3470" t="s">
        <v>5021</v>
      </c>
      <c r="AK666" s="3470">
        <v>8</v>
      </c>
      <c r="AL666" s="3470">
        <v>67641700</v>
      </c>
      <c r="AN666" s="3470" t="s">
        <v>3739</v>
      </c>
      <c r="AP666" s="3470" t="s">
        <v>3679</v>
      </c>
      <c r="AQ666" s="3470" t="s">
        <v>3571</v>
      </c>
      <c r="AW666" s="3470" t="s">
        <v>8251</v>
      </c>
      <c r="AY666" s="3481"/>
      <c r="AZ666" s="3470" t="s">
        <v>8252</v>
      </c>
      <c r="BA666" s="3470" t="s">
        <v>8253</v>
      </c>
      <c r="BB666" s="3481" t="s">
        <v>6638</v>
      </c>
      <c r="BD666" s="3482">
        <v>100034</v>
      </c>
      <c r="BE666" s="3470">
        <v>66511210</v>
      </c>
      <c r="BF666" s="3483"/>
      <c r="BG666" s="3478">
        <v>37690</v>
      </c>
      <c r="BH666" s="3470" t="s">
        <v>8254</v>
      </c>
      <c r="BI666" s="3470" t="s">
        <v>8007</v>
      </c>
      <c r="BJ666" s="3508">
        <v>37847</v>
      </c>
      <c r="BK666" s="3508"/>
      <c r="BL666" s="3470" t="s">
        <v>8255</v>
      </c>
      <c r="BP666" s="3441"/>
      <c r="BQ666" s="3441"/>
      <c r="BR666" s="3441"/>
    </row>
    <row r="667" spans="1:70" s="3470" customFormat="1" ht="12" hidden="1">
      <c r="A667" s="3470" t="s">
        <v>8260</v>
      </c>
      <c r="B667" s="3470" t="s">
        <v>8261</v>
      </c>
      <c r="C667" s="3470" t="s">
        <v>8262</v>
      </c>
      <c r="D667" s="3470">
        <v>68663520</v>
      </c>
      <c r="E667" s="3470" t="s">
        <v>3558</v>
      </c>
      <c r="F667" s="3470" t="s">
        <v>4600</v>
      </c>
      <c r="H667" s="3470" t="s">
        <v>8249</v>
      </c>
      <c r="I667" s="3470" t="s">
        <v>8125</v>
      </c>
      <c r="J667" s="3470" t="s">
        <v>8263</v>
      </c>
      <c r="K667" s="3470" t="s">
        <v>5004</v>
      </c>
      <c r="L667" s="3470">
        <v>67.569999999999993</v>
      </c>
      <c r="M667" s="3470">
        <v>2</v>
      </c>
      <c r="N667" s="3470" t="s">
        <v>4030</v>
      </c>
      <c r="O667" s="3470">
        <v>62.05</v>
      </c>
      <c r="P667" s="3470" t="s">
        <v>3452</v>
      </c>
      <c r="Q667" s="3470">
        <v>192576.52710000001</v>
      </c>
      <c r="R667" s="3470">
        <v>2850.03</v>
      </c>
      <c r="S667" s="3470">
        <v>21.68</v>
      </c>
      <c r="T667" s="3470">
        <v>216800</v>
      </c>
      <c r="U667" s="3470">
        <v>3210</v>
      </c>
      <c r="V667" s="3470">
        <v>0.1</v>
      </c>
      <c r="W667" s="3470">
        <v>19.510000000000002</v>
      </c>
      <c r="X667" s="3470">
        <v>195100</v>
      </c>
      <c r="Y667" s="3470">
        <v>2003</v>
      </c>
      <c r="Z667" s="3470">
        <v>8</v>
      </c>
      <c r="AA667" s="3470">
        <v>20</v>
      </c>
      <c r="AB667" s="3470">
        <v>960</v>
      </c>
      <c r="AC667" s="3470" t="s">
        <v>7679</v>
      </c>
      <c r="AE667" s="3470" t="s">
        <v>3663</v>
      </c>
      <c r="AF667" s="3470" t="s">
        <v>3493</v>
      </c>
      <c r="AG667" s="3470" t="s">
        <v>3466</v>
      </c>
      <c r="AI667" s="3470" t="s">
        <v>5021</v>
      </c>
      <c r="AK667" s="3470">
        <v>8</v>
      </c>
      <c r="AL667" s="3470">
        <v>67641700</v>
      </c>
      <c r="AN667" s="3470" t="s">
        <v>3739</v>
      </c>
      <c r="AP667" s="3470" t="s">
        <v>3679</v>
      </c>
      <c r="AQ667" s="3470" t="s">
        <v>3571</v>
      </c>
      <c r="AW667" s="3470" t="s">
        <v>8251</v>
      </c>
      <c r="AY667" s="3481"/>
      <c r="AZ667" s="3470" t="s">
        <v>8252</v>
      </c>
      <c r="BA667" s="3470" t="s">
        <v>8253</v>
      </c>
      <c r="BB667" s="3481" t="s">
        <v>6638</v>
      </c>
      <c r="BD667" s="3482">
        <v>100034</v>
      </c>
      <c r="BE667" s="3470">
        <v>66511210</v>
      </c>
      <c r="BF667" s="3483"/>
      <c r="BG667" s="3478">
        <v>37690</v>
      </c>
      <c r="BH667" s="3470" t="s">
        <v>8254</v>
      </c>
      <c r="BI667" s="3470" t="s">
        <v>8007</v>
      </c>
      <c r="BJ667" s="3508">
        <v>37847</v>
      </c>
      <c r="BK667" s="3508"/>
      <c r="BL667" s="3470" t="s">
        <v>8255</v>
      </c>
      <c r="BP667" s="3441"/>
      <c r="BQ667" s="3441"/>
      <c r="BR667" s="3441"/>
    </row>
    <row r="668" spans="1:70" s="3470" customFormat="1" ht="12" hidden="1">
      <c r="A668" s="3470" t="s">
        <v>8264</v>
      </c>
      <c r="B668" s="3470" t="s">
        <v>8265</v>
      </c>
      <c r="C668" s="3470" t="s">
        <v>8266</v>
      </c>
      <c r="D668" s="3470">
        <v>68659684</v>
      </c>
      <c r="E668" s="3470" t="s">
        <v>3558</v>
      </c>
      <c r="F668" s="3470" t="s">
        <v>4600</v>
      </c>
      <c r="H668" s="3470" t="s">
        <v>8249</v>
      </c>
      <c r="I668" s="3470" t="s">
        <v>3735</v>
      </c>
      <c r="J668" s="3470" t="s">
        <v>8263</v>
      </c>
      <c r="K668" s="3470" t="s">
        <v>5004</v>
      </c>
      <c r="L668" s="3470">
        <v>69.180000000000007</v>
      </c>
      <c r="M668" s="3470">
        <v>2</v>
      </c>
      <c r="N668" s="3470" t="s">
        <v>4030</v>
      </c>
      <c r="O668" s="3470">
        <v>63.53</v>
      </c>
      <c r="P668" s="3470" t="s">
        <v>3452</v>
      </c>
      <c r="Q668" s="3470">
        <v>197165.07540000003</v>
      </c>
      <c r="R668" s="3470">
        <v>2850.03</v>
      </c>
      <c r="S668" s="3470">
        <v>22.27</v>
      </c>
      <c r="T668" s="3470">
        <v>222700</v>
      </c>
      <c r="U668" s="3470">
        <v>3220</v>
      </c>
      <c r="V668" s="3470">
        <v>0.1</v>
      </c>
      <c r="W668" s="3470">
        <v>20.04</v>
      </c>
      <c r="X668" s="3470">
        <v>200400</v>
      </c>
      <c r="Y668" s="3470">
        <v>2003</v>
      </c>
      <c r="Z668" s="3470">
        <v>8</v>
      </c>
      <c r="AA668" s="3470">
        <v>20</v>
      </c>
      <c r="AB668" s="3470">
        <v>985</v>
      </c>
      <c r="AC668" s="3470" t="s">
        <v>7679</v>
      </c>
      <c r="AE668" s="3470" t="s">
        <v>3663</v>
      </c>
      <c r="AF668" s="3470" t="s">
        <v>3493</v>
      </c>
      <c r="AG668" s="3470" t="s">
        <v>3466</v>
      </c>
      <c r="AI668" s="3470" t="s">
        <v>5021</v>
      </c>
      <c r="AK668" s="3470">
        <v>8</v>
      </c>
      <c r="AL668" s="3470">
        <v>67641700</v>
      </c>
      <c r="AN668" s="3470" t="s">
        <v>3739</v>
      </c>
      <c r="AP668" s="3470" t="s">
        <v>3679</v>
      </c>
      <c r="AQ668" s="3470" t="s">
        <v>3571</v>
      </c>
      <c r="AW668" s="3470" t="s">
        <v>8251</v>
      </c>
      <c r="AY668" s="3481"/>
      <c r="AZ668" s="3470" t="s">
        <v>8252</v>
      </c>
      <c r="BA668" s="3470" t="s">
        <v>8253</v>
      </c>
      <c r="BB668" s="3481" t="s">
        <v>6638</v>
      </c>
      <c r="BD668" s="3482">
        <v>100034</v>
      </c>
      <c r="BE668" s="3470">
        <v>66511210</v>
      </c>
      <c r="BF668" s="3483"/>
      <c r="BG668" s="3478">
        <v>37690</v>
      </c>
      <c r="BH668" s="3470" t="s">
        <v>8254</v>
      </c>
      <c r="BI668" s="3470" t="s">
        <v>8007</v>
      </c>
      <c r="BJ668" s="3508">
        <v>37847</v>
      </c>
      <c r="BK668" s="3508"/>
      <c r="BL668" s="3470" t="s">
        <v>8255</v>
      </c>
      <c r="BP668" s="3441"/>
      <c r="BQ668" s="3441"/>
      <c r="BR668" s="3441"/>
    </row>
    <row r="669" spans="1:70" s="3470" customFormat="1" ht="12" hidden="1">
      <c r="A669" s="3470" t="s">
        <v>8267</v>
      </c>
      <c r="B669" s="3470" t="s">
        <v>8268</v>
      </c>
      <c r="C669" s="3470" t="s">
        <v>8269</v>
      </c>
      <c r="D669" s="3470">
        <v>68238258</v>
      </c>
      <c r="E669" s="3470" t="s">
        <v>3558</v>
      </c>
      <c r="F669" s="3470" t="s">
        <v>4600</v>
      </c>
      <c r="H669" s="3470" t="s">
        <v>8249</v>
      </c>
      <c r="I669" s="3470" t="s">
        <v>7690</v>
      </c>
      <c r="J669" s="3470" t="s">
        <v>8270</v>
      </c>
      <c r="K669" s="3470" t="s">
        <v>5004</v>
      </c>
      <c r="L669" s="3470">
        <v>112.45</v>
      </c>
      <c r="M669" s="3470">
        <v>6</v>
      </c>
      <c r="N669" s="3470" t="s">
        <v>8271</v>
      </c>
      <c r="O669" s="3470">
        <v>103.26</v>
      </c>
      <c r="P669" s="3470" t="s">
        <v>4879</v>
      </c>
      <c r="Q669" s="3470">
        <v>320485.87350000005</v>
      </c>
      <c r="R669" s="3470">
        <v>2850.03</v>
      </c>
      <c r="S669" s="3470">
        <v>35.64</v>
      </c>
      <c r="T669" s="3470">
        <v>356400</v>
      </c>
      <c r="U669" s="3470">
        <v>3170</v>
      </c>
      <c r="V669" s="3470">
        <v>0.1</v>
      </c>
      <c r="W669" s="3470">
        <v>32.07</v>
      </c>
      <c r="X669" s="3470">
        <v>320700</v>
      </c>
      <c r="Y669" s="3470">
        <v>2003</v>
      </c>
      <c r="Z669" s="3470">
        <v>8</v>
      </c>
      <c r="AA669" s="3470">
        <v>20</v>
      </c>
      <c r="AB669" s="3470">
        <v>1600</v>
      </c>
      <c r="AC669" s="3470" t="s">
        <v>7679</v>
      </c>
      <c r="AE669" s="3470" t="s">
        <v>3663</v>
      </c>
      <c r="AF669" s="3470" t="s">
        <v>3493</v>
      </c>
      <c r="AG669" s="3470" t="s">
        <v>3466</v>
      </c>
      <c r="AI669" s="3470" t="s">
        <v>5021</v>
      </c>
      <c r="AK669" s="3470">
        <v>8</v>
      </c>
      <c r="AL669" s="3470">
        <v>67641700</v>
      </c>
      <c r="AN669" s="3470" t="s">
        <v>3739</v>
      </c>
      <c r="AP669" s="3470" t="s">
        <v>3679</v>
      </c>
      <c r="AQ669" s="3470" t="s">
        <v>3571</v>
      </c>
      <c r="AW669" s="3470" t="s">
        <v>8251</v>
      </c>
      <c r="AY669" s="3481"/>
      <c r="AZ669" s="3470" t="s">
        <v>8252</v>
      </c>
      <c r="BA669" s="3470" t="s">
        <v>8253</v>
      </c>
      <c r="BB669" s="3481" t="s">
        <v>6638</v>
      </c>
      <c r="BD669" s="3482">
        <v>100034</v>
      </c>
      <c r="BE669" s="3470">
        <v>66511210</v>
      </c>
      <c r="BF669" s="3483"/>
      <c r="BG669" s="3478">
        <v>37690</v>
      </c>
      <c r="BH669" s="3470" t="s">
        <v>8254</v>
      </c>
      <c r="BI669" s="3470" t="s">
        <v>8007</v>
      </c>
      <c r="BJ669" s="3508">
        <v>37847</v>
      </c>
      <c r="BK669" s="3508"/>
      <c r="BL669" s="3470" t="s">
        <v>8255</v>
      </c>
      <c r="BP669" s="3441"/>
      <c r="BQ669" s="3441"/>
      <c r="BR669" s="3441"/>
    </row>
    <row r="670" spans="1:70" s="3470" customFormat="1" ht="12" hidden="1">
      <c r="A670" s="3470" t="s">
        <v>8272</v>
      </c>
      <c r="B670" s="3470" t="s">
        <v>8273</v>
      </c>
      <c r="C670" s="3470" t="s">
        <v>8274</v>
      </c>
      <c r="D670" s="3470">
        <v>51885165</v>
      </c>
      <c r="E670" s="3470" t="s">
        <v>3558</v>
      </c>
      <c r="F670" s="3470" t="s">
        <v>4600</v>
      </c>
      <c r="H670" s="3470" t="s">
        <v>8249</v>
      </c>
      <c r="I670" s="3470" t="s">
        <v>7690</v>
      </c>
      <c r="J670" s="3470" t="s">
        <v>8275</v>
      </c>
      <c r="K670" s="3470" t="s">
        <v>5004</v>
      </c>
      <c r="L670" s="3470">
        <v>67.569999999999993</v>
      </c>
      <c r="M670" s="3470">
        <v>3</v>
      </c>
      <c r="N670" s="3470" t="s">
        <v>4030</v>
      </c>
      <c r="O670" s="3470">
        <v>62.05</v>
      </c>
      <c r="P670" s="3470" t="s">
        <v>3452</v>
      </c>
      <c r="Q670" s="3470">
        <v>192576.52710000001</v>
      </c>
      <c r="R670" s="3470">
        <v>2850.03</v>
      </c>
      <c r="S670" s="3470">
        <v>22.09</v>
      </c>
      <c r="T670" s="3470">
        <v>220900</v>
      </c>
      <c r="U670" s="3470">
        <v>3270</v>
      </c>
      <c r="V670" s="3470">
        <v>0.1</v>
      </c>
      <c r="W670" s="3470">
        <v>19.88</v>
      </c>
      <c r="X670" s="3470">
        <v>198800</v>
      </c>
      <c r="Y670" s="3470">
        <v>2003</v>
      </c>
      <c r="Z670" s="3470">
        <v>8</v>
      </c>
      <c r="AA670" s="3470">
        <v>20</v>
      </c>
      <c r="AB670" s="3470">
        <v>960</v>
      </c>
      <c r="AC670" s="3470" t="s">
        <v>7679</v>
      </c>
      <c r="AE670" s="3470" t="s">
        <v>3663</v>
      </c>
      <c r="AF670" s="3470" t="s">
        <v>3493</v>
      </c>
      <c r="AG670" s="3470" t="s">
        <v>3466</v>
      </c>
      <c r="AI670" s="3470" t="s">
        <v>5021</v>
      </c>
      <c r="AK670" s="3470">
        <v>8</v>
      </c>
      <c r="AL670" s="3470">
        <v>67641700</v>
      </c>
      <c r="AN670" s="3470" t="s">
        <v>3739</v>
      </c>
      <c r="AP670" s="3470" t="s">
        <v>3679</v>
      </c>
      <c r="AQ670" s="3470" t="s">
        <v>3571</v>
      </c>
      <c r="AW670" s="3470" t="s">
        <v>8251</v>
      </c>
      <c r="AY670" s="3481"/>
      <c r="AZ670" s="3470" t="s">
        <v>8252</v>
      </c>
      <c r="BA670" s="3470" t="s">
        <v>8253</v>
      </c>
      <c r="BB670" s="3481" t="s">
        <v>6638</v>
      </c>
      <c r="BD670" s="3482">
        <v>100034</v>
      </c>
      <c r="BE670" s="3470">
        <v>66511210</v>
      </c>
      <c r="BF670" s="3483"/>
      <c r="BG670" s="3478">
        <v>37690</v>
      </c>
      <c r="BH670" s="3470" t="s">
        <v>8254</v>
      </c>
      <c r="BI670" s="3470" t="s">
        <v>8007</v>
      </c>
      <c r="BJ670" s="3508">
        <v>37847</v>
      </c>
      <c r="BK670" s="3508"/>
      <c r="BL670" s="3470" t="s">
        <v>8255</v>
      </c>
      <c r="BP670" s="3441"/>
      <c r="BQ670" s="3441"/>
      <c r="BR670" s="3441"/>
    </row>
    <row r="671" spans="1:70" s="3470" customFormat="1" ht="12" hidden="1">
      <c r="A671" s="3470" t="s">
        <v>8276</v>
      </c>
      <c r="B671" s="3470" t="s">
        <v>8277</v>
      </c>
      <c r="C671" s="3470" t="s">
        <v>8278</v>
      </c>
      <c r="D671" s="3470">
        <v>13641012786</v>
      </c>
      <c r="E671" s="3470" t="s">
        <v>3558</v>
      </c>
      <c r="F671" s="3470" t="s">
        <v>4600</v>
      </c>
      <c r="H671" s="3470" t="s">
        <v>8249</v>
      </c>
      <c r="I671" s="3470" t="s">
        <v>4877</v>
      </c>
      <c r="J671" s="3470" t="s">
        <v>8279</v>
      </c>
      <c r="K671" s="3470" t="s">
        <v>5004</v>
      </c>
      <c r="L671" s="3470">
        <v>72.91</v>
      </c>
      <c r="M671" s="3470">
        <v>3</v>
      </c>
      <c r="N671" s="3470" t="s">
        <v>4030</v>
      </c>
      <c r="O671" s="3470">
        <v>66.95</v>
      </c>
      <c r="P671" s="3470" t="s">
        <v>3452</v>
      </c>
      <c r="Q671" s="3470">
        <v>207795.68729999999</v>
      </c>
      <c r="R671" s="3470">
        <v>2850.03</v>
      </c>
      <c r="S671" s="3470">
        <v>23.18</v>
      </c>
      <c r="T671" s="3470">
        <v>231800</v>
      </c>
      <c r="U671" s="3470">
        <v>3180</v>
      </c>
      <c r="V671" s="3470">
        <v>0.1</v>
      </c>
      <c r="W671" s="3470">
        <v>20.86</v>
      </c>
      <c r="X671" s="3470">
        <v>208600</v>
      </c>
      <c r="Y671" s="3470">
        <v>2003</v>
      </c>
      <c r="Z671" s="3470">
        <v>8</v>
      </c>
      <c r="AA671" s="3470">
        <v>20</v>
      </c>
      <c r="AB671" s="3470">
        <v>1035</v>
      </c>
      <c r="AC671" s="3470" t="s">
        <v>7679</v>
      </c>
      <c r="AE671" s="3470" t="s">
        <v>3663</v>
      </c>
      <c r="AF671" s="3470" t="s">
        <v>3493</v>
      </c>
      <c r="AG671" s="3470" t="s">
        <v>3466</v>
      </c>
      <c r="AI671" s="3470" t="s">
        <v>5021</v>
      </c>
      <c r="AK671" s="3470">
        <v>8</v>
      </c>
      <c r="AL671" s="3470">
        <v>67641700</v>
      </c>
      <c r="AN671" s="3470" t="s">
        <v>3739</v>
      </c>
      <c r="AP671" s="3470" t="s">
        <v>3679</v>
      </c>
      <c r="AQ671" s="3470" t="s">
        <v>3571</v>
      </c>
      <c r="AW671" s="3470" t="s">
        <v>8251</v>
      </c>
      <c r="AY671" s="3481"/>
      <c r="AZ671" s="3470" t="s">
        <v>8252</v>
      </c>
      <c r="BA671" s="3470" t="s">
        <v>8253</v>
      </c>
      <c r="BB671" s="3481" t="s">
        <v>6638</v>
      </c>
      <c r="BD671" s="3482">
        <v>100034</v>
      </c>
      <c r="BE671" s="3470">
        <v>66511210</v>
      </c>
      <c r="BF671" s="3483"/>
      <c r="BG671" s="3478">
        <v>37690</v>
      </c>
      <c r="BH671" s="3470" t="s">
        <v>8254</v>
      </c>
      <c r="BI671" s="3470" t="s">
        <v>8007</v>
      </c>
      <c r="BJ671" s="3508">
        <v>37847</v>
      </c>
      <c r="BK671" s="3508"/>
      <c r="BL671" s="3470" t="s">
        <v>8255</v>
      </c>
      <c r="BP671" s="3441"/>
      <c r="BQ671" s="3441"/>
      <c r="BR671" s="3441"/>
    </row>
    <row r="672" spans="1:70" s="3470" customFormat="1" ht="12" hidden="1">
      <c r="A672" s="3470" t="s">
        <v>8280</v>
      </c>
      <c r="B672" s="3470" t="s">
        <v>8281</v>
      </c>
      <c r="C672" s="3470" t="s">
        <v>8282</v>
      </c>
      <c r="D672" s="3470">
        <v>13651021862</v>
      </c>
      <c r="E672" s="3470" t="s">
        <v>3558</v>
      </c>
      <c r="F672" s="3470" t="s">
        <v>4600</v>
      </c>
      <c r="H672" s="3470" t="s">
        <v>8249</v>
      </c>
      <c r="I672" s="3470" t="s">
        <v>4019</v>
      </c>
      <c r="J672" s="3470" t="s">
        <v>8283</v>
      </c>
      <c r="K672" s="3470" t="s">
        <v>5004</v>
      </c>
      <c r="L672" s="3470">
        <v>67.569999999999993</v>
      </c>
      <c r="M672" s="3470">
        <v>2</v>
      </c>
      <c r="N672" s="3470" t="s">
        <v>4030</v>
      </c>
      <c r="O672" s="3470">
        <v>62.05</v>
      </c>
      <c r="P672" s="3470" t="s">
        <v>3452</v>
      </c>
      <c r="Q672" s="3470">
        <v>192576.52710000001</v>
      </c>
      <c r="R672" s="3470">
        <v>2850.03</v>
      </c>
      <c r="S672" s="3470">
        <v>22.02</v>
      </c>
      <c r="T672" s="3470">
        <v>220200</v>
      </c>
      <c r="U672" s="3470">
        <v>3260</v>
      </c>
      <c r="V672" s="3470">
        <v>0.1</v>
      </c>
      <c r="W672" s="3470">
        <v>19.809999999999999</v>
      </c>
      <c r="X672" s="3470">
        <v>198100</v>
      </c>
      <c r="Y672" s="3470">
        <v>2003</v>
      </c>
      <c r="Z672" s="3470">
        <v>8</v>
      </c>
      <c r="AA672" s="3470">
        <v>20</v>
      </c>
      <c r="AB672" s="3470">
        <v>960</v>
      </c>
      <c r="AC672" s="3470" t="s">
        <v>7679</v>
      </c>
      <c r="AE672" s="3470" t="s">
        <v>3663</v>
      </c>
      <c r="AF672" s="3470" t="s">
        <v>3493</v>
      </c>
      <c r="AG672" s="3470" t="s">
        <v>3466</v>
      </c>
      <c r="AI672" s="3470" t="s">
        <v>5021</v>
      </c>
      <c r="AK672" s="3470">
        <v>8</v>
      </c>
      <c r="AL672" s="3470">
        <v>67641700</v>
      </c>
      <c r="AN672" s="3470" t="s">
        <v>3739</v>
      </c>
      <c r="AP672" s="3470" t="s">
        <v>3679</v>
      </c>
      <c r="AQ672" s="3470" t="s">
        <v>3571</v>
      </c>
      <c r="AW672" s="3470" t="s">
        <v>8251</v>
      </c>
      <c r="AY672" s="3481"/>
      <c r="AZ672" s="3470" t="s">
        <v>8252</v>
      </c>
      <c r="BA672" s="3470" t="s">
        <v>8253</v>
      </c>
      <c r="BB672" s="3481" t="s">
        <v>6638</v>
      </c>
      <c r="BD672" s="3482">
        <v>100034</v>
      </c>
      <c r="BE672" s="3470">
        <v>66511210</v>
      </c>
      <c r="BF672" s="3483"/>
      <c r="BG672" s="3478">
        <v>37690</v>
      </c>
      <c r="BH672" s="3470" t="s">
        <v>8254</v>
      </c>
      <c r="BI672" s="3470" t="s">
        <v>8007</v>
      </c>
      <c r="BJ672" s="3508">
        <v>37847</v>
      </c>
      <c r="BK672" s="3508"/>
      <c r="BL672" s="3470" t="s">
        <v>8255</v>
      </c>
      <c r="BP672" s="3441"/>
      <c r="BQ672" s="3441"/>
      <c r="BR672" s="3441"/>
    </row>
    <row r="673" spans="1:70" s="3470" customFormat="1" ht="12" hidden="1">
      <c r="A673" s="3470" t="s">
        <v>8284</v>
      </c>
      <c r="B673" s="3470" t="s">
        <v>8285</v>
      </c>
      <c r="C673" s="3470" t="s">
        <v>8286</v>
      </c>
      <c r="D673" s="3470">
        <v>68231575</v>
      </c>
      <c r="E673" s="3470" t="s">
        <v>3558</v>
      </c>
      <c r="F673" s="3470" t="s">
        <v>4600</v>
      </c>
      <c r="H673" s="3470" t="s">
        <v>8249</v>
      </c>
      <c r="I673" s="3470" t="s">
        <v>3561</v>
      </c>
      <c r="J673" s="3470" t="s">
        <v>8287</v>
      </c>
      <c r="K673" s="3470" t="s">
        <v>5004</v>
      </c>
      <c r="L673" s="3470">
        <v>112.45</v>
      </c>
      <c r="M673" s="3470">
        <v>6</v>
      </c>
      <c r="N673" s="3470" t="s">
        <v>8271</v>
      </c>
      <c r="O673" s="3470">
        <v>103.26</v>
      </c>
      <c r="P673" s="3470" t="s">
        <v>4879</v>
      </c>
      <c r="Q673" s="3470">
        <v>320485.87350000005</v>
      </c>
      <c r="R673" s="3470">
        <v>2850.03</v>
      </c>
      <c r="S673" s="3470">
        <v>35.64</v>
      </c>
      <c r="T673" s="3470">
        <v>356400</v>
      </c>
      <c r="U673" s="3470">
        <v>3170</v>
      </c>
      <c r="V673" s="3470">
        <v>0.1</v>
      </c>
      <c r="W673" s="3470">
        <v>32.07</v>
      </c>
      <c r="X673" s="3470">
        <v>320700</v>
      </c>
      <c r="Y673" s="3470">
        <v>2003</v>
      </c>
      <c r="Z673" s="3470">
        <v>8</v>
      </c>
      <c r="AA673" s="3470">
        <v>20</v>
      </c>
      <c r="AB673" s="3470">
        <v>1600</v>
      </c>
      <c r="AC673" s="3470" t="s">
        <v>7679</v>
      </c>
      <c r="AE673" s="3470" t="s">
        <v>3663</v>
      </c>
      <c r="AF673" s="3470" t="s">
        <v>3493</v>
      </c>
      <c r="AG673" s="3470" t="s">
        <v>3466</v>
      </c>
      <c r="AI673" s="3470" t="s">
        <v>5021</v>
      </c>
      <c r="AK673" s="3470">
        <v>8</v>
      </c>
      <c r="AL673" s="3470">
        <v>67641700</v>
      </c>
      <c r="AN673" s="3470" t="s">
        <v>3739</v>
      </c>
      <c r="AP673" s="3470" t="s">
        <v>3679</v>
      </c>
      <c r="AQ673" s="3470" t="s">
        <v>3571</v>
      </c>
      <c r="AW673" s="3470" t="s">
        <v>8251</v>
      </c>
      <c r="AY673" s="3481"/>
      <c r="AZ673" s="3470" t="s">
        <v>8252</v>
      </c>
      <c r="BA673" s="3470" t="s">
        <v>8253</v>
      </c>
      <c r="BB673" s="3481" t="s">
        <v>6638</v>
      </c>
      <c r="BD673" s="3482">
        <v>100034</v>
      </c>
      <c r="BE673" s="3470">
        <v>66511210</v>
      </c>
      <c r="BF673" s="3483"/>
      <c r="BG673" s="3478">
        <v>37690</v>
      </c>
      <c r="BH673" s="3470" t="s">
        <v>8254</v>
      </c>
      <c r="BI673" s="3470" t="s">
        <v>8007</v>
      </c>
      <c r="BJ673" s="3508">
        <v>37847</v>
      </c>
      <c r="BK673" s="3508"/>
      <c r="BL673" s="3470" t="s">
        <v>8255</v>
      </c>
      <c r="BP673" s="3441"/>
      <c r="BQ673" s="3441"/>
      <c r="BR673" s="3441"/>
    </row>
    <row r="674" spans="1:70" s="3470" customFormat="1" ht="12" hidden="1">
      <c r="A674" s="3470" t="s">
        <v>8288</v>
      </c>
      <c r="B674" s="3470" t="s">
        <v>8289</v>
      </c>
      <c r="C674" s="3470" t="s">
        <v>8290</v>
      </c>
      <c r="D674" s="3470">
        <v>68688620</v>
      </c>
      <c r="E674" s="3470" t="s">
        <v>3558</v>
      </c>
      <c r="F674" s="3470" t="s">
        <v>4600</v>
      </c>
      <c r="H674" s="3470" t="s">
        <v>8249</v>
      </c>
      <c r="I674" s="3470" t="s">
        <v>4019</v>
      </c>
      <c r="J674" s="3470" t="s">
        <v>8291</v>
      </c>
      <c r="K674" s="3470" t="s">
        <v>5004</v>
      </c>
      <c r="L674" s="3470">
        <v>66.83</v>
      </c>
      <c r="M674" s="3470">
        <v>3</v>
      </c>
      <c r="N674" s="3470" t="s">
        <v>4030</v>
      </c>
      <c r="O674" s="3470">
        <v>61.37</v>
      </c>
      <c r="P674" s="3470" t="s">
        <v>3452</v>
      </c>
      <c r="Q674" s="3470">
        <v>190467.5049</v>
      </c>
      <c r="R674" s="3470">
        <v>2850.03</v>
      </c>
      <c r="S674" s="3470">
        <v>21.98</v>
      </c>
      <c r="T674" s="3470">
        <v>219800</v>
      </c>
      <c r="U674" s="3470">
        <v>3290</v>
      </c>
      <c r="V674" s="3470">
        <v>0.1</v>
      </c>
      <c r="W674" s="3470">
        <v>19.78</v>
      </c>
      <c r="X674" s="3470">
        <v>197800</v>
      </c>
      <c r="Y674" s="3470">
        <v>2003</v>
      </c>
      <c r="Z674" s="3470">
        <v>8</v>
      </c>
      <c r="AA674" s="3470">
        <v>20</v>
      </c>
      <c r="AB674" s="3470">
        <v>950</v>
      </c>
      <c r="AC674" s="3470" t="s">
        <v>7679</v>
      </c>
      <c r="AE674" s="3470" t="s">
        <v>3663</v>
      </c>
      <c r="AF674" s="3470" t="s">
        <v>3493</v>
      </c>
      <c r="AG674" s="3470" t="s">
        <v>3466</v>
      </c>
      <c r="AI674" s="3470" t="s">
        <v>5021</v>
      </c>
      <c r="AK674" s="3470">
        <v>8</v>
      </c>
      <c r="AL674" s="3470">
        <v>67641700</v>
      </c>
      <c r="AN674" s="3470" t="s">
        <v>3739</v>
      </c>
      <c r="AP674" s="3470" t="s">
        <v>3679</v>
      </c>
      <c r="AQ674" s="3470" t="s">
        <v>3571</v>
      </c>
      <c r="AW674" s="3470" t="s">
        <v>8251</v>
      </c>
      <c r="AY674" s="3481"/>
      <c r="AZ674" s="3470" t="s">
        <v>8252</v>
      </c>
      <c r="BA674" s="3470" t="s">
        <v>8253</v>
      </c>
      <c r="BB674" s="3481" t="s">
        <v>6638</v>
      </c>
      <c r="BD674" s="3482">
        <v>100034</v>
      </c>
      <c r="BE674" s="3470">
        <v>66511210</v>
      </c>
      <c r="BF674" s="3483"/>
      <c r="BG674" s="3478">
        <v>37690</v>
      </c>
      <c r="BH674" s="3470" t="s">
        <v>8254</v>
      </c>
      <c r="BI674" s="3470" t="s">
        <v>8007</v>
      </c>
      <c r="BJ674" s="3508">
        <v>37847</v>
      </c>
      <c r="BK674" s="3508"/>
      <c r="BL674" s="3470" t="s">
        <v>8255</v>
      </c>
      <c r="BP674" s="3441"/>
      <c r="BQ674" s="3441"/>
      <c r="BR674" s="3441"/>
    </row>
    <row r="675" spans="1:70" s="3470" customFormat="1" ht="12" hidden="1">
      <c r="A675" s="3470" t="s">
        <v>8292</v>
      </c>
      <c r="B675" s="3470" t="s">
        <v>8293</v>
      </c>
      <c r="C675" s="3470" t="s">
        <v>8294</v>
      </c>
      <c r="D675" s="3470">
        <v>68661949</v>
      </c>
      <c r="E675" s="3470" t="s">
        <v>3558</v>
      </c>
      <c r="F675" s="3470" t="s">
        <v>4600</v>
      </c>
      <c r="H675" s="3470" t="s">
        <v>8249</v>
      </c>
      <c r="I675" s="3470" t="s">
        <v>4019</v>
      </c>
      <c r="J675" s="3470" t="s">
        <v>8275</v>
      </c>
      <c r="K675" s="3470" t="s">
        <v>5004</v>
      </c>
      <c r="L675" s="3470">
        <v>67.569999999999993</v>
      </c>
      <c r="M675" s="3470">
        <v>3</v>
      </c>
      <c r="N675" s="3470" t="s">
        <v>4030</v>
      </c>
      <c r="O675" s="3470">
        <v>62.05</v>
      </c>
      <c r="P675" s="3470" t="s">
        <v>3452</v>
      </c>
      <c r="Q675" s="3470">
        <v>192576.52710000001</v>
      </c>
      <c r="R675" s="3470">
        <v>2850.03</v>
      </c>
      <c r="S675" s="3470">
        <v>22.23</v>
      </c>
      <c r="T675" s="3470">
        <v>222300</v>
      </c>
      <c r="U675" s="3470">
        <v>3290</v>
      </c>
      <c r="V675" s="3470">
        <v>0.1</v>
      </c>
      <c r="W675" s="3470">
        <v>20</v>
      </c>
      <c r="X675" s="3470">
        <v>200000</v>
      </c>
      <c r="Y675" s="3470">
        <v>2003</v>
      </c>
      <c r="Z675" s="3470">
        <v>8</v>
      </c>
      <c r="AA675" s="3470">
        <v>20</v>
      </c>
      <c r="AB675" s="3470">
        <v>960</v>
      </c>
      <c r="AC675" s="3470" t="s">
        <v>7679</v>
      </c>
      <c r="AE675" s="3470" t="s">
        <v>3663</v>
      </c>
      <c r="AF675" s="3470" t="s">
        <v>3493</v>
      </c>
      <c r="AG675" s="3470" t="s">
        <v>3466</v>
      </c>
      <c r="AI675" s="3470" t="s">
        <v>5021</v>
      </c>
      <c r="AK675" s="3470">
        <v>8</v>
      </c>
      <c r="AL675" s="3470">
        <v>67641700</v>
      </c>
      <c r="AN675" s="3470" t="s">
        <v>3739</v>
      </c>
      <c r="AP675" s="3470" t="s">
        <v>3679</v>
      </c>
      <c r="AQ675" s="3470" t="s">
        <v>3571</v>
      </c>
      <c r="AW675" s="3470" t="s">
        <v>8251</v>
      </c>
      <c r="AY675" s="3481"/>
      <c r="AZ675" s="3470" t="s">
        <v>8252</v>
      </c>
      <c r="BA675" s="3470" t="s">
        <v>8253</v>
      </c>
      <c r="BB675" s="3481" t="s">
        <v>6638</v>
      </c>
      <c r="BD675" s="3482">
        <v>100034</v>
      </c>
      <c r="BE675" s="3470">
        <v>66511210</v>
      </c>
      <c r="BF675" s="3483"/>
      <c r="BG675" s="3478">
        <v>37690</v>
      </c>
      <c r="BH675" s="3470" t="s">
        <v>8254</v>
      </c>
      <c r="BI675" s="3470" t="s">
        <v>8007</v>
      </c>
      <c r="BJ675" s="3508">
        <v>37847</v>
      </c>
      <c r="BK675" s="3508"/>
      <c r="BL675" s="3470" t="s">
        <v>8255</v>
      </c>
      <c r="BP675" s="3441"/>
      <c r="BQ675" s="3441"/>
      <c r="BR675" s="3441"/>
    </row>
    <row r="676" spans="1:70" s="3470" customFormat="1" ht="12" hidden="1">
      <c r="A676" s="3470" t="s">
        <v>8295</v>
      </c>
      <c r="B676" s="3470" t="s">
        <v>8296</v>
      </c>
      <c r="C676" s="3470" t="s">
        <v>8297</v>
      </c>
      <c r="D676" s="3470">
        <v>13681068124</v>
      </c>
      <c r="E676" s="3470" t="s">
        <v>3558</v>
      </c>
      <c r="F676" s="3470" t="s">
        <v>4600</v>
      </c>
      <c r="H676" s="3470" t="s">
        <v>8249</v>
      </c>
      <c r="I676" s="3470" t="s">
        <v>4019</v>
      </c>
      <c r="J676" s="3470" t="s">
        <v>8259</v>
      </c>
      <c r="K676" s="3470" t="s">
        <v>5004</v>
      </c>
      <c r="L676" s="3470">
        <v>66.83</v>
      </c>
      <c r="M676" s="3470">
        <v>5</v>
      </c>
      <c r="N676" s="3470" t="s">
        <v>4030</v>
      </c>
      <c r="O676" s="3470">
        <v>61.37</v>
      </c>
      <c r="P676" s="3470" t="s">
        <v>3452</v>
      </c>
      <c r="Q676" s="3470">
        <v>190467.5049</v>
      </c>
      <c r="R676" s="3470">
        <v>2850.03</v>
      </c>
      <c r="S676" s="3470">
        <v>21.78</v>
      </c>
      <c r="T676" s="3470">
        <v>217800</v>
      </c>
      <c r="U676" s="3470">
        <v>3260</v>
      </c>
      <c r="V676" s="3470">
        <v>0.1</v>
      </c>
      <c r="W676" s="3470">
        <v>19.600000000000001</v>
      </c>
      <c r="X676" s="3470">
        <v>196000</v>
      </c>
      <c r="Y676" s="3470">
        <v>2003</v>
      </c>
      <c r="Z676" s="3470">
        <v>8</v>
      </c>
      <c r="AA676" s="3470">
        <v>20</v>
      </c>
      <c r="AB676" s="3470">
        <v>950</v>
      </c>
      <c r="AC676" s="3470" t="s">
        <v>7679</v>
      </c>
      <c r="AE676" s="3470" t="s">
        <v>3663</v>
      </c>
      <c r="AF676" s="3470" t="s">
        <v>3493</v>
      </c>
      <c r="AG676" s="3470" t="s">
        <v>3466</v>
      </c>
      <c r="AI676" s="3470" t="s">
        <v>5021</v>
      </c>
      <c r="AK676" s="3470">
        <v>8</v>
      </c>
      <c r="AL676" s="3470">
        <v>67641700</v>
      </c>
      <c r="AN676" s="3470" t="s">
        <v>3739</v>
      </c>
      <c r="AP676" s="3470" t="s">
        <v>3679</v>
      </c>
      <c r="AQ676" s="3470" t="s">
        <v>3571</v>
      </c>
      <c r="AW676" s="3470" t="s">
        <v>8251</v>
      </c>
      <c r="AY676" s="3481"/>
      <c r="AZ676" s="3470" t="s">
        <v>8252</v>
      </c>
      <c r="BA676" s="3470" t="s">
        <v>8253</v>
      </c>
      <c r="BB676" s="3481" t="s">
        <v>6638</v>
      </c>
      <c r="BD676" s="3482">
        <v>100034</v>
      </c>
      <c r="BE676" s="3470">
        <v>66511210</v>
      </c>
      <c r="BF676" s="3483"/>
      <c r="BG676" s="3478">
        <v>37690</v>
      </c>
      <c r="BH676" s="3470" t="s">
        <v>8254</v>
      </c>
      <c r="BI676" s="3470" t="s">
        <v>8007</v>
      </c>
      <c r="BJ676" s="3508">
        <v>37847</v>
      </c>
      <c r="BK676" s="3508"/>
      <c r="BL676" s="3470" t="s">
        <v>8255</v>
      </c>
      <c r="BP676" s="3441"/>
      <c r="BQ676" s="3441"/>
      <c r="BR676" s="3441"/>
    </row>
    <row r="677" spans="1:70" s="3470" customFormat="1" ht="12" hidden="1">
      <c r="A677" s="3470" t="s">
        <v>8298</v>
      </c>
      <c r="B677" s="3470" t="s">
        <v>8299</v>
      </c>
      <c r="C677" s="3470" t="s">
        <v>8300</v>
      </c>
      <c r="D677" s="3470">
        <v>68659773</v>
      </c>
      <c r="E677" s="3470" t="s">
        <v>3558</v>
      </c>
      <c r="F677" s="3470" t="s">
        <v>4600</v>
      </c>
      <c r="H677" s="3470" t="s">
        <v>8249</v>
      </c>
      <c r="I677" s="3470" t="s">
        <v>7857</v>
      </c>
      <c r="J677" s="3470" t="s">
        <v>8301</v>
      </c>
      <c r="K677" s="3470" t="s">
        <v>5004</v>
      </c>
      <c r="L677" s="3470">
        <v>73.5</v>
      </c>
      <c r="M677" s="3470">
        <v>4</v>
      </c>
      <c r="N677" s="3470" t="s">
        <v>4030</v>
      </c>
      <c r="O677" s="3470">
        <v>67.489999999999995</v>
      </c>
      <c r="P677" s="3470" t="s">
        <v>3452</v>
      </c>
      <c r="Q677" s="3470">
        <v>209477.20500000002</v>
      </c>
      <c r="R677" s="3470">
        <v>2850.03</v>
      </c>
      <c r="S677" s="3470">
        <v>23.66</v>
      </c>
      <c r="T677" s="3470">
        <v>236600</v>
      </c>
      <c r="U677" s="3470">
        <v>3220</v>
      </c>
      <c r="V677" s="3470">
        <v>0.1</v>
      </c>
      <c r="W677" s="3470">
        <v>21.29</v>
      </c>
      <c r="X677" s="3470">
        <v>212900</v>
      </c>
      <c r="Y677" s="3470">
        <v>2003</v>
      </c>
      <c r="Z677" s="3470">
        <v>8</v>
      </c>
      <c r="AA677" s="3470">
        <v>20</v>
      </c>
      <c r="AB677" s="3470">
        <v>1045</v>
      </c>
      <c r="AC677" s="3470" t="s">
        <v>7679</v>
      </c>
      <c r="AE677" s="3470" t="s">
        <v>3663</v>
      </c>
      <c r="AF677" s="3470" t="s">
        <v>3493</v>
      </c>
      <c r="AG677" s="3470" t="s">
        <v>3466</v>
      </c>
      <c r="AI677" s="3470" t="s">
        <v>5021</v>
      </c>
      <c r="AK677" s="3470">
        <v>8</v>
      </c>
      <c r="AL677" s="3470">
        <v>67641700</v>
      </c>
      <c r="AN677" s="3470" t="s">
        <v>3739</v>
      </c>
      <c r="AP677" s="3470" t="s">
        <v>3679</v>
      </c>
      <c r="AQ677" s="3470" t="s">
        <v>3571</v>
      </c>
      <c r="AW677" s="3470" t="s">
        <v>8251</v>
      </c>
      <c r="AY677" s="3481"/>
      <c r="AZ677" s="3470" t="s">
        <v>8252</v>
      </c>
      <c r="BA677" s="3470" t="s">
        <v>8253</v>
      </c>
      <c r="BB677" s="3481" t="s">
        <v>6638</v>
      </c>
      <c r="BD677" s="3482">
        <v>100034</v>
      </c>
      <c r="BE677" s="3470">
        <v>66511210</v>
      </c>
      <c r="BF677" s="3483"/>
      <c r="BG677" s="3478">
        <v>37690</v>
      </c>
      <c r="BH677" s="3470" t="s">
        <v>8254</v>
      </c>
      <c r="BI677" s="3470" t="s">
        <v>8007</v>
      </c>
      <c r="BJ677" s="3508">
        <v>37847</v>
      </c>
      <c r="BK677" s="3508"/>
      <c r="BL677" s="3470" t="s">
        <v>8255</v>
      </c>
      <c r="BP677" s="3441"/>
      <c r="BQ677" s="3441"/>
      <c r="BR677" s="3441"/>
    </row>
    <row r="678" spans="1:70" s="3470" customFormat="1" ht="12" hidden="1">
      <c r="A678" s="3470" t="s">
        <v>8302</v>
      </c>
      <c r="B678" s="3470" t="s">
        <v>8303</v>
      </c>
      <c r="C678" s="3470" t="s">
        <v>8304</v>
      </c>
      <c r="D678" s="3470">
        <v>68681398</v>
      </c>
      <c r="E678" s="3470" t="s">
        <v>3558</v>
      </c>
      <c r="F678" s="3470" t="s">
        <v>4600</v>
      </c>
      <c r="H678" s="3470" t="s">
        <v>8249</v>
      </c>
      <c r="I678" s="3470" t="s">
        <v>3735</v>
      </c>
      <c r="J678" s="3470" t="s">
        <v>8305</v>
      </c>
      <c r="K678" s="3470" t="s">
        <v>5004</v>
      </c>
      <c r="L678" s="3470">
        <v>67.569999999999993</v>
      </c>
      <c r="M678" s="3470">
        <v>4</v>
      </c>
      <c r="N678" s="3470" t="s">
        <v>4030</v>
      </c>
      <c r="O678" s="3470">
        <v>62.05</v>
      </c>
      <c r="P678" s="3470" t="s">
        <v>3452</v>
      </c>
      <c r="Q678" s="3470">
        <v>192576.52710000001</v>
      </c>
      <c r="R678" s="3470">
        <v>2850.03</v>
      </c>
      <c r="S678" s="3470">
        <v>22.16</v>
      </c>
      <c r="T678" s="3470">
        <v>221600</v>
      </c>
      <c r="U678" s="3470">
        <v>3280</v>
      </c>
      <c r="V678" s="3470">
        <v>0.1</v>
      </c>
      <c r="W678" s="3470">
        <v>19.940000000000001</v>
      </c>
      <c r="X678" s="3470">
        <v>199400</v>
      </c>
      <c r="Y678" s="3470">
        <v>2003</v>
      </c>
      <c r="Z678" s="3470">
        <v>8</v>
      </c>
      <c r="AA678" s="3470">
        <v>20</v>
      </c>
      <c r="AB678" s="3470">
        <v>960</v>
      </c>
      <c r="AC678" s="3470" t="s">
        <v>7679</v>
      </c>
      <c r="AE678" s="3470" t="s">
        <v>3663</v>
      </c>
      <c r="AF678" s="3470" t="s">
        <v>3493</v>
      </c>
      <c r="AG678" s="3470" t="s">
        <v>3466</v>
      </c>
      <c r="AI678" s="3470" t="s">
        <v>5021</v>
      </c>
      <c r="AK678" s="3470">
        <v>8</v>
      </c>
      <c r="AL678" s="3470">
        <v>67641700</v>
      </c>
      <c r="AN678" s="3470" t="s">
        <v>3739</v>
      </c>
      <c r="AP678" s="3470" t="s">
        <v>3679</v>
      </c>
      <c r="AQ678" s="3470" t="s">
        <v>3571</v>
      </c>
      <c r="AW678" s="3470" t="s">
        <v>8251</v>
      </c>
      <c r="AY678" s="3481"/>
      <c r="AZ678" s="3470" t="s">
        <v>8252</v>
      </c>
      <c r="BA678" s="3470" t="s">
        <v>8253</v>
      </c>
      <c r="BB678" s="3481" t="s">
        <v>6638</v>
      </c>
      <c r="BD678" s="3482">
        <v>100034</v>
      </c>
      <c r="BE678" s="3470">
        <v>66511210</v>
      </c>
      <c r="BF678" s="3483"/>
      <c r="BG678" s="3478">
        <v>37690</v>
      </c>
      <c r="BH678" s="3470" t="s">
        <v>8254</v>
      </c>
      <c r="BI678" s="3470" t="s">
        <v>8007</v>
      </c>
      <c r="BJ678" s="3508">
        <v>37847</v>
      </c>
      <c r="BK678" s="3508"/>
      <c r="BL678" s="3470" t="s">
        <v>8255</v>
      </c>
      <c r="BP678" s="3441"/>
      <c r="BQ678" s="3441"/>
      <c r="BR678" s="3441"/>
    </row>
    <row r="679" spans="1:70" s="3470" customFormat="1" ht="12" hidden="1">
      <c r="A679" s="3470" t="s">
        <v>8306</v>
      </c>
      <c r="B679" s="3470" t="s">
        <v>8307</v>
      </c>
      <c r="C679" s="3470" t="s">
        <v>8308</v>
      </c>
      <c r="E679" s="3470" t="s">
        <v>3558</v>
      </c>
      <c r="F679" s="3470" t="s">
        <v>4600</v>
      </c>
      <c r="H679" s="3470" t="s">
        <v>8249</v>
      </c>
      <c r="I679" s="3470" t="s">
        <v>4019</v>
      </c>
      <c r="J679" s="3470" t="s">
        <v>8305</v>
      </c>
      <c r="K679" s="3470" t="s">
        <v>5004</v>
      </c>
      <c r="L679" s="3470">
        <v>67.569999999999993</v>
      </c>
      <c r="M679" s="3470">
        <v>4</v>
      </c>
      <c r="N679" s="3470" t="s">
        <v>4030</v>
      </c>
      <c r="O679" s="3470">
        <v>62.05</v>
      </c>
      <c r="P679" s="3470" t="s">
        <v>3452</v>
      </c>
      <c r="Q679" s="3470">
        <v>192576.52710000001</v>
      </c>
      <c r="R679" s="3470">
        <v>2850.03</v>
      </c>
      <c r="S679" s="3470">
        <v>22.16</v>
      </c>
      <c r="T679" s="3470">
        <v>221600</v>
      </c>
      <c r="U679" s="3470">
        <v>3280</v>
      </c>
      <c r="V679" s="3470">
        <v>0.1</v>
      </c>
      <c r="W679" s="3470">
        <v>19.940000000000001</v>
      </c>
      <c r="X679" s="3470">
        <v>199400</v>
      </c>
      <c r="Y679" s="3470">
        <v>2003</v>
      </c>
      <c r="Z679" s="3470">
        <v>8</v>
      </c>
      <c r="AA679" s="3470">
        <v>20</v>
      </c>
      <c r="AB679" s="3470">
        <v>960</v>
      </c>
      <c r="AC679" s="3470" t="s">
        <v>7679</v>
      </c>
      <c r="AE679" s="3470" t="s">
        <v>3663</v>
      </c>
      <c r="AF679" s="3470" t="s">
        <v>3493</v>
      </c>
      <c r="AG679" s="3470" t="s">
        <v>3466</v>
      </c>
      <c r="AI679" s="3470" t="s">
        <v>5021</v>
      </c>
      <c r="AK679" s="3470">
        <v>8</v>
      </c>
      <c r="AL679" s="3470">
        <v>67641700</v>
      </c>
      <c r="AN679" s="3470" t="s">
        <v>3739</v>
      </c>
      <c r="AP679" s="3470" t="s">
        <v>3679</v>
      </c>
      <c r="AQ679" s="3470" t="s">
        <v>3571</v>
      </c>
      <c r="AW679" s="3470" t="s">
        <v>8251</v>
      </c>
      <c r="AY679" s="3481"/>
      <c r="AZ679" s="3470" t="s">
        <v>8252</v>
      </c>
      <c r="BA679" s="3470" t="s">
        <v>8253</v>
      </c>
      <c r="BB679" s="3481" t="s">
        <v>6638</v>
      </c>
      <c r="BD679" s="3482">
        <v>100034</v>
      </c>
      <c r="BE679" s="3470">
        <v>66511210</v>
      </c>
      <c r="BF679" s="3483"/>
      <c r="BG679" s="3478">
        <v>37690</v>
      </c>
      <c r="BH679" s="3470" t="s">
        <v>8309</v>
      </c>
      <c r="BI679" s="3470" t="s">
        <v>8007</v>
      </c>
      <c r="BJ679" s="3508">
        <v>37847</v>
      </c>
      <c r="BK679" s="3508"/>
      <c r="BL679" s="3470" t="s">
        <v>8255</v>
      </c>
      <c r="BP679" s="3441"/>
      <c r="BQ679" s="3441"/>
      <c r="BR679" s="3441"/>
    </row>
    <row r="680" spans="1:70" s="3470" customFormat="1" ht="12" hidden="1">
      <c r="A680" s="3470" t="s">
        <v>8310</v>
      </c>
      <c r="B680" s="3470" t="s">
        <v>8311</v>
      </c>
      <c r="C680" s="3470" t="s">
        <v>8312</v>
      </c>
      <c r="D680" s="3470">
        <v>68636520</v>
      </c>
      <c r="E680" s="3470" t="s">
        <v>3558</v>
      </c>
      <c r="F680" s="3470" t="s">
        <v>4600</v>
      </c>
      <c r="H680" s="3470" t="s">
        <v>8249</v>
      </c>
      <c r="I680" s="3470" t="s">
        <v>7690</v>
      </c>
      <c r="J680" s="3470" t="s">
        <v>8313</v>
      </c>
      <c r="K680" s="3470" t="s">
        <v>5004</v>
      </c>
      <c r="L680" s="3470">
        <v>67.569999999999993</v>
      </c>
      <c r="M680" s="3470">
        <v>5</v>
      </c>
      <c r="N680" s="3470" t="s">
        <v>4030</v>
      </c>
      <c r="O680" s="3470">
        <v>62.05</v>
      </c>
      <c r="P680" s="3470" t="s">
        <v>3452</v>
      </c>
      <c r="Q680" s="3470">
        <v>192576.52710000001</v>
      </c>
      <c r="R680" s="3470">
        <v>2850.03</v>
      </c>
      <c r="S680" s="3470">
        <v>21.89</v>
      </c>
      <c r="T680" s="3470">
        <v>218900</v>
      </c>
      <c r="U680" s="3470">
        <v>3240</v>
      </c>
      <c r="V680" s="3470">
        <v>0.1</v>
      </c>
      <c r="W680" s="3470">
        <v>19.7</v>
      </c>
      <c r="X680" s="3470">
        <v>197000</v>
      </c>
      <c r="Y680" s="3470">
        <v>2003</v>
      </c>
      <c r="Z680" s="3470">
        <v>8</v>
      </c>
      <c r="AA680" s="3470">
        <v>20</v>
      </c>
      <c r="AB680" s="3470">
        <v>960</v>
      </c>
      <c r="AC680" s="3470" t="s">
        <v>7679</v>
      </c>
      <c r="AE680" s="3470" t="s">
        <v>3663</v>
      </c>
      <c r="AF680" s="3470" t="s">
        <v>3493</v>
      </c>
      <c r="AG680" s="3470" t="s">
        <v>3466</v>
      </c>
      <c r="AI680" s="3470" t="s">
        <v>5021</v>
      </c>
      <c r="AK680" s="3470">
        <v>8</v>
      </c>
      <c r="AL680" s="3470">
        <v>67641700</v>
      </c>
      <c r="AN680" s="3470" t="s">
        <v>3739</v>
      </c>
      <c r="AP680" s="3470" t="s">
        <v>3679</v>
      </c>
      <c r="AQ680" s="3470" t="s">
        <v>3571</v>
      </c>
      <c r="AW680" s="3470" t="s">
        <v>8251</v>
      </c>
      <c r="AY680" s="3481"/>
      <c r="AZ680" s="3470" t="s">
        <v>8252</v>
      </c>
      <c r="BA680" s="3470" t="s">
        <v>8253</v>
      </c>
      <c r="BB680" s="3481" t="s">
        <v>6638</v>
      </c>
      <c r="BD680" s="3482">
        <v>100034</v>
      </c>
      <c r="BE680" s="3470">
        <v>66511210</v>
      </c>
      <c r="BF680" s="3483"/>
      <c r="BG680" s="3478">
        <v>37690</v>
      </c>
      <c r="BH680" s="3470" t="s">
        <v>8254</v>
      </c>
      <c r="BI680" s="3470" t="s">
        <v>8007</v>
      </c>
      <c r="BJ680" s="3508">
        <v>37847</v>
      </c>
      <c r="BK680" s="3508"/>
      <c r="BL680" s="3470" t="s">
        <v>8255</v>
      </c>
      <c r="BP680" s="3441"/>
      <c r="BQ680" s="3441"/>
      <c r="BR680" s="3441"/>
    </row>
    <row r="681" spans="1:70" s="3470" customFormat="1" ht="12" hidden="1">
      <c r="A681" s="3470" t="s">
        <v>8314</v>
      </c>
      <c r="B681" s="3470" t="s">
        <v>8315</v>
      </c>
      <c r="C681" s="3470" t="s">
        <v>8316</v>
      </c>
      <c r="D681" s="3470">
        <v>68659983</v>
      </c>
      <c r="E681" s="3470" t="s">
        <v>3558</v>
      </c>
      <c r="F681" s="3470" t="s">
        <v>4600</v>
      </c>
      <c r="H681" s="3470" t="s">
        <v>8249</v>
      </c>
      <c r="I681" s="3470" t="s">
        <v>4877</v>
      </c>
      <c r="J681" s="3470" t="s">
        <v>8291</v>
      </c>
      <c r="K681" s="3470" t="s">
        <v>5004</v>
      </c>
      <c r="L681" s="3470">
        <v>67.680000000000007</v>
      </c>
      <c r="M681" s="3470">
        <v>3</v>
      </c>
      <c r="N681" s="3470" t="s">
        <v>4030</v>
      </c>
      <c r="O681" s="3470">
        <v>62.15</v>
      </c>
      <c r="P681" s="3470" t="s">
        <v>3452</v>
      </c>
      <c r="Q681" s="3470">
        <v>192890.03040000005</v>
      </c>
      <c r="R681" s="3470">
        <v>2850.03</v>
      </c>
      <c r="S681" s="3470">
        <v>21.11</v>
      </c>
      <c r="T681" s="3470">
        <v>211100</v>
      </c>
      <c r="U681" s="3470">
        <v>3120</v>
      </c>
      <c r="V681" s="3470">
        <v>0.1</v>
      </c>
      <c r="W681" s="3470">
        <v>18.989999999999998</v>
      </c>
      <c r="X681" s="3470">
        <v>189900</v>
      </c>
      <c r="Y681" s="3470">
        <v>2003</v>
      </c>
      <c r="Z681" s="3470">
        <v>8</v>
      </c>
      <c r="AA681" s="3470">
        <v>20</v>
      </c>
      <c r="AB681" s="3470">
        <v>960</v>
      </c>
      <c r="AC681" s="3470" t="s">
        <v>7679</v>
      </c>
      <c r="AE681" s="3470" t="s">
        <v>3663</v>
      </c>
      <c r="AF681" s="3470" t="s">
        <v>3493</v>
      </c>
      <c r="AG681" s="3470" t="s">
        <v>3466</v>
      </c>
      <c r="AI681" s="3470" t="s">
        <v>5021</v>
      </c>
      <c r="AK681" s="3470">
        <v>8</v>
      </c>
      <c r="AL681" s="3470">
        <v>67641700</v>
      </c>
      <c r="AN681" s="3470" t="s">
        <v>3739</v>
      </c>
      <c r="AP681" s="3470" t="s">
        <v>3679</v>
      </c>
      <c r="AQ681" s="3470" t="s">
        <v>3571</v>
      </c>
      <c r="AW681" s="3470" t="s">
        <v>8251</v>
      </c>
      <c r="AY681" s="3481"/>
      <c r="AZ681" s="3470" t="s">
        <v>8252</v>
      </c>
      <c r="BA681" s="3470" t="s">
        <v>8253</v>
      </c>
      <c r="BB681" s="3481" t="s">
        <v>6638</v>
      </c>
      <c r="BD681" s="3482">
        <v>100034</v>
      </c>
      <c r="BE681" s="3470">
        <v>66511210</v>
      </c>
      <c r="BF681" s="3483"/>
      <c r="BG681" s="3478">
        <v>37690</v>
      </c>
      <c r="BH681" s="3470" t="s">
        <v>8254</v>
      </c>
      <c r="BI681" s="3470" t="s">
        <v>8007</v>
      </c>
      <c r="BJ681" s="3508">
        <v>37847</v>
      </c>
      <c r="BK681" s="3508"/>
      <c r="BL681" s="3470" t="s">
        <v>8255</v>
      </c>
      <c r="BP681" s="3441"/>
      <c r="BQ681" s="3441"/>
      <c r="BR681" s="3441"/>
    </row>
    <row r="682" spans="1:70" s="3470" customFormat="1" ht="12" hidden="1">
      <c r="A682" s="3470" t="s">
        <v>8317</v>
      </c>
      <c r="B682" s="3470" t="s">
        <v>8318</v>
      </c>
      <c r="C682" s="3470" t="s">
        <v>8319</v>
      </c>
      <c r="D682" s="3470">
        <v>68630916</v>
      </c>
      <c r="E682" s="3470" t="s">
        <v>3558</v>
      </c>
      <c r="F682" s="3470" t="s">
        <v>4600</v>
      </c>
      <c r="H682" s="3470" t="s">
        <v>8249</v>
      </c>
      <c r="I682" s="3470" t="s">
        <v>4309</v>
      </c>
      <c r="J682" s="3470" t="s">
        <v>8320</v>
      </c>
      <c r="K682" s="3470" t="s">
        <v>5004</v>
      </c>
      <c r="L682" s="3470">
        <v>69.180000000000007</v>
      </c>
      <c r="M682" s="3470">
        <v>4</v>
      </c>
      <c r="N682" s="3470" t="s">
        <v>4030</v>
      </c>
      <c r="O682" s="3470">
        <v>63.53</v>
      </c>
      <c r="P682" s="3470" t="s">
        <v>3452</v>
      </c>
      <c r="Q682" s="3470">
        <v>197165.07540000003</v>
      </c>
      <c r="R682" s="3470">
        <v>2850.03</v>
      </c>
      <c r="S682" s="3470">
        <v>22.41</v>
      </c>
      <c r="T682" s="3470">
        <v>224100</v>
      </c>
      <c r="U682" s="3470">
        <v>3240</v>
      </c>
      <c r="V682" s="3470">
        <v>0.1</v>
      </c>
      <c r="W682" s="3470">
        <v>20.16</v>
      </c>
      <c r="X682" s="3470">
        <v>201600</v>
      </c>
      <c r="Y682" s="3470">
        <v>2003</v>
      </c>
      <c r="Z682" s="3470">
        <v>8</v>
      </c>
      <c r="AA682" s="3470">
        <v>20</v>
      </c>
      <c r="AB682" s="3470">
        <v>985</v>
      </c>
      <c r="AC682" s="3470" t="s">
        <v>7679</v>
      </c>
      <c r="AE682" s="3470" t="s">
        <v>3663</v>
      </c>
      <c r="AF682" s="3470" t="s">
        <v>3493</v>
      </c>
      <c r="AG682" s="3470" t="s">
        <v>3466</v>
      </c>
      <c r="AI682" s="3470" t="s">
        <v>5021</v>
      </c>
      <c r="AK682" s="3470">
        <v>8</v>
      </c>
      <c r="AL682" s="3470">
        <v>67641700</v>
      </c>
      <c r="AN682" s="3470" t="s">
        <v>3739</v>
      </c>
      <c r="AP682" s="3470" t="s">
        <v>3679</v>
      </c>
      <c r="AQ682" s="3470" t="s">
        <v>3571</v>
      </c>
      <c r="AW682" s="3470" t="s">
        <v>8251</v>
      </c>
      <c r="AY682" s="3481"/>
      <c r="AZ682" s="3470" t="s">
        <v>8252</v>
      </c>
      <c r="BA682" s="3470" t="s">
        <v>8253</v>
      </c>
      <c r="BB682" s="3481" t="s">
        <v>6638</v>
      </c>
      <c r="BD682" s="3482">
        <v>100034</v>
      </c>
      <c r="BE682" s="3470">
        <v>66511210</v>
      </c>
      <c r="BF682" s="3483"/>
      <c r="BG682" s="3478">
        <v>37690</v>
      </c>
      <c r="BH682" s="3470" t="s">
        <v>8254</v>
      </c>
      <c r="BI682" s="3470" t="s">
        <v>8007</v>
      </c>
      <c r="BJ682" s="3508">
        <v>37847</v>
      </c>
      <c r="BK682" s="3508"/>
      <c r="BL682" s="3470" t="s">
        <v>8255</v>
      </c>
      <c r="BP682" s="3441"/>
      <c r="BQ682" s="3441"/>
      <c r="BR682" s="3441"/>
    </row>
    <row r="683" spans="1:70" s="3470" customFormat="1" ht="12" hidden="1">
      <c r="A683" s="3470" t="s">
        <v>8321</v>
      </c>
      <c r="B683" s="3470" t="s">
        <v>8322</v>
      </c>
      <c r="C683" s="3470" t="s">
        <v>8323</v>
      </c>
      <c r="D683" s="3470">
        <v>68631673</v>
      </c>
      <c r="E683" s="3470" t="s">
        <v>3558</v>
      </c>
      <c r="F683" s="3470" t="s">
        <v>4600</v>
      </c>
      <c r="H683" s="3470" t="s">
        <v>8249</v>
      </c>
      <c r="I683" s="3470" t="s">
        <v>4877</v>
      </c>
      <c r="J683" s="3470" t="s">
        <v>8259</v>
      </c>
      <c r="K683" s="3470" t="s">
        <v>5004</v>
      </c>
      <c r="L683" s="3470">
        <v>67.680000000000007</v>
      </c>
      <c r="M683" s="3470">
        <v>5</v>
      </c>
      <c r="N683" s="3470" t="s">
        <v>4030</v>
      </c>
      <c r="O683" s="3470">
        <v>62.15</v>
      </c>
      <c r="P683" s="3470" t="s">
        <v>3452</v>
      </c>
      <c r="Q683" s="3470">
        <v>192890.03040000005</v>
      </c>
      <c r="R683" s="3470">
        <v>2850.03</v>
      </c>
      <c r="S683" s="3470">
        <v>20.91</v>
      </c>
      <c r="T683" s="3470">
        <v>209100</v>
      </c>
      <c r="U683" s="3470">
        <v>3090</v>
      </c>
      <c r="V683" s="3470">
        <v>0.1</v>
      </c>
      <c r="W683" s="3470">
        <v>18.809999999999999</v>
      </c>
      <c r="X683" s="3470">
        <v>188100</v>
      </c>
      <c r="Y683" s="3470">
        <v>2003</v>
      </c>
      <c r="Z683" s="3470">
        <v>8</v>
      </c>
      <c r="AA683" s="3470">
        <v>20</v>
      </c>
      <c r="AB683" s="3470">
        <v>960</v>
      </c>
      <c r="AC683" s="3470" t="s">
        <v>7679</v>
      </c>
      <c r="AE683" s="3470" t="s">
        <v>3663</v>
      </c>
      <c r="AF683" s="3470" t="s">
        <v>3493</v>
      </c>
      <c r="AG683" s="3470" t="s">
        <v>3466</v>
      </c>
      <c r="AI683" s="3470" t="s">
        <v>5021</v>
      </c>
      <c r="AK683" s="3470">
        <v>8</v>
      </c>
      <c r="AL683" s="3470">
        <v>67641700</v>
      </c>
      <c r="AN683" s="3470" t="s">
        <v>3739</v>
      </c>
      <c r="AP683" s="3470" t="s">
        <v>3679</v>
      </c>
      <c r="AQ683" s="3470" t="s">
        <v>3571</v>
      </c>
      <c r="AW683" s="3470" t="s">
        <v>8251</v>
      </c>
      <c r="AY683" s="3481"/>
      <c r="AZ683" s="3470" t="s">
        <v>8252</v>
      </c>
      <c r="BA683" s="3470" t="s">
        <v>8253</v>
      </c>
      <c r="BB683" s="3481" t="s">
        <v>6638</v>
      </c>
      <c r="BD683" s="3482">
        <v>100034</v>
      </c>
      <c r="BE683" s="3470">
        <v>66511210</v>
      </c>
      <c r="BF683" s="3483"/>
      <c r="BG683" s="3478">
        <v>37690</v>
      </c>
      <c r="BH683" s="3470" t="s">
        <v>8254</v>
      </c>
      <c r="BI683" s="3470" t="s">
        <v>8007</v>
      </c>
      <c r="BJ683" s="3508">
        <v>37847</v>
      </c>
      <c r="BK683" s="3508"/>
      <c r="BL683" s="3470" t="s">
        <v>8255</v>
      </c>
      <c r="BP683" s="3441"/>
      <c r="BQ683" s="3441"/>
      <c r="BR683" s="3441"/>
    </row>
    <row r="684" spans="1:70" s="3470" customFormat="1" ht="12" hidden="1">
      <c r="A684" s="3470" t="s">
        <v>8324</v>
      </c>
      <c r="B684" s="3470" t="s">
        <v>8325</v>
      </c>
      <c r="C684" s="3470" t="s">
        <v>8326</v>
      </c>
      <c r="D684" s="3470">
        <v>68638191</v>
      </c>
      <c r="E684" s="3470" t="s">
        <v>3558</v>
      </c>
      <c r="F684" s="3470" t="s">
        <v>4600</v>
      </c>
      <c r="H684" s="3470" t="s">
        <v>8249</v>
      </c>
      <c r="I684" s="3470" t="s">
        <v>7857</v>
      </c>
      <c r="J684" s="3470" t="s">
        <v>8259</v>
      </c>
      <c r="K684" s="3470" t="s">
        <v>5004</v>
      </c>
      <c r="L684" s="3470">
        <v>73.5</v>
      </c>
      <c r="M684" s="3470">
        <v>5</v>
      </c>
      <c r="N684" s="3470" t="s">
        <v>4030</v>
      </c>
      <c r="O684" s="3470">
        <v>67.489999999999995</v>
      </c>
      <c r="P684" s="3470" t="s">
        <v>3452</v>
      </c>
      <c r="Q684" s="3470">
        <v>209477.20500000002</v>
      </c>
      <c r="R684" s="3470">
        <v>2850.03</v>
      </c>
      <c r="S684" s="3470">
        <v>23.52</v>
      </c>
      <c r="T684" s="3470">
        <v>235200</v>
      </c>
      <c r="U684" s="3470">
        <v>3200</v>
      </c>
      <c r="V684" s="3470">
        <v>0.1</v>
      </c>
      <c r="W684" s="3470">
        <v>21.16</v>
      </c>
      <c r="X684" s="3470">
        <v>211600</v>
      </c>
      <c r="Y684" s="3470">
        <v>2003</v>
      </c>
      <c r="Z684" s="3470">
        <v>8</v>
      </c>
      <c r="AA684" s="3470">
        <v>20</v>
      </c>
      <c r="AB684" s="3470">
        <v>1045</v>
      </c>
      <c r="AC684" s="3470" t="s">
        <v>7679</v>
      </c>
      <c r="AE684" s="3470" t="s">
        <v>3663</v>
      </c>
      <c r="AF684" s="3470" t="s">
        <v>3493</v>
      </c>
      <c r="AG684" s="3470" t="s">
        <v>3466</v>
      </c>
      <c r="AI684" s="3470" t="s">
        <v>5021</v>
      </c>
      <c r="AK684" s="3470">
        <v>8</v>
      </c>
      <c r="AL684" s="3470">
        <v>67641700</v>
      </c>
      <c r="AN684" s="3470" t="s">
        <v>3739</v>
      </c>
      <c r="AP684" s="3470" t="s">
        <v>3679</v>
      </c>
      <c r="AQ684" s="3470" t="s">
        <v>3571</v>
      </c>
      <c r="AW684" s="3470" t="s">
        <v>8251</v>
      </c>
      <c r="AY684" s="3481"/>
      <c r="AZ684" s="3470" t="s">
        <v>8252</v>
      </c>
      <c r="BA684" s="3470" t="s">
        <v>8253</v>
      </c>
      <c r="BB684" s="3481" t="s">
        <v>6638</v>
      </c>
      <c r="BD684" s="3482">
        <v>100034</v>
      </c>
      <c r="BE684" s="3470">
        <v>66511210</v>
      </c>
      <c r="BF684" s="3483"/>
      <c r="BG684" s="3478">
        <v>37690</v>
      </c>
      <c r="BH684" s="3470" t="s">
        <v>8254</v>
      </c>
      <c r="BI684" s="3470" t="s">
        <v>8007</v>
      </c>
      <c r="BJ684" s="3508">
        <v>37847</v>
      </c>
      <c r="BK684" s="3508"/>
      <c r="BL684" s="3470" t="s">
        <v>8255</v>
      </c>
      <c r="BP684" s="3441"/>
      <c r="BQ684" s="3441"/>
      <c r="BR684" s="3441"/>
    </row>
    <row r="685" spans="1:70" s="3470" customFormat="1" ht="12" hidden="1">
      <c r="A685" s="3470" t="s">
        <v>8327</v>
      </c>
      <c r="B685" s="3470" t="s">
        <v>8328</v>
      </c>
      <c r="C685" s="3470" t="s">
        <v>8329</v>
      </c>
      <c r="D685" s="3470">
        <v>68667732</v>
      </c>
      <c r="E685" s="3470" t="s">
        <v>3558</v>
      </c>
      <c r="F685" s="3470" t="s">
        <v>4600</v>
      </c>
      <c r="H685" s="3470" t="s">
        <v>8249</v>
      </c>
      <c r="I685" s="3470" t="s">
        <v>4019</v>
      </c>
      <c r="J685" s="3470" t="s">
        <v>8313</v>
      </c>
      <c r="K685" s="3470" t="s">
        <v>5004</v>
      </c>
      <c r="L685" s="3470">
        <v>67.569999999999993</v>
      </c>
      <c r="M685" s="3470">
        <v>5</v>
      </c>
      <c r="N685" s="3470" t="s">
        <v>4030</v>
      </c>
      <c r="O685" s="3470">
        <v>62.05</v>
      </c>
      <c r="P685" s="3470" t="s">
        <v>3452</v>
      </c>
      <c r="Q685" s="3470">
        <v>192576.52710000001</v>
      </c>
      <c r="R685" s="3470">
        <v>2850.03</v>
      </c>
      <c r="S685" s="3470">
        <v>22.02</v>
      </c>
      <c r="T685" s="3470">
        <v>220200</v>
      </c>
      <c r="U685" s="3470">
        <v>3260</v>
      </c>
      <c r="V685" s="3470">
        <v>0.1</v>
      </c>
      <c r="W685" s="3470">
        <v>19.809999999999999</v>
      </c>
      <c r="X685" s="3470">
        <v>198100</v>
      </c>
      <c r="Y685" s="3470">
        <v>2003</v>
      </c>
      <c r="Z685" s="3470">
        <v>8</v>
      </c>
      <c r="AA685" s="3470">
        <v>20</v>
      </c>
      <c r="AB685" s="3470">
        <v>960</v>
      </c>
      <c r="AC685" s="3470" t="s">
        <v>7679</v>
      </c>
      <c r="AE685" s="3470" t="s">
        <v>3663</v>
      </c>
      <c r="AF685" s="3470" t="s">
        <v>3493</v>
      </c>
      <c r="AG685" s="3470" t="s">
        <v>3466</v>
      </c>
      <c r="AI685" s="3470" t="s">
        <v>5021</v>
      </c>
      <c r="AK685" s="3470">
        <v>8</v>
      </c>
      <c r="AL685" s="3470">
        <v>67641700</v>
      </c>
      <c r="AN685" s="3470" t="s">
        <v>3739</v>
      </c>
      <c r="AP685" s="3470" t="s">
        <v>3679</v>
      </c>
      <c r="AQ685" s="3470" t="s">
        <v>3571</v>
      </c>
      <c r="AW685" s="3470" t="s">
        <v>8251</v>
      </c>
      <c r="AY685" s="3481"/>
      <c r="AZ685" s="3470" t="s">
        <v>8252</v>
      </c>
      <c r="BA685" s="3470" t="s">
        <v>8253</v>
      </c>
      <c r="BB685" s="3481" t="s">
        <v>6638</v>
      </c>
      <c r="BD685" s="3482">
        <v>100034</v>
      </c>
      <c r="BE685" s="3470">
        <v>66511210</v>
      </c>
      <c r="BF685" s="3483"/>
      <c r="BG685" s="3478">
        <v>37690</v>
      </c>
      <c r="BH685" s="3470" t="s">
        <v>8254</v>
      </c>
      <c r="BI685" s="3470" t="s">
        <v>8007</v>
      </c>
      <c r="BJ685" s="3508">
        <v>37847</v>
      </c>
      <c r="BK685" s="3508"/>
      <c r="BL685" s="3470" t="s">
        <v>8255</v>
      </c>
      <c r="BP685" s="3441"/>
      <c r="BQ685" s="3441"/>
      <c r="BR685" s="3441"/>
    </row>
    <row r="686" spans="1:70" s="3470" customFormat="1" ht="12" hidden="1">
      <c r="A686" s="3470" t="s">
        <v>8330</v>
      </c>
      <c r="B686" s="3470" t="s">
        <v>8331</v>
      </c>
      <c r="C686" s="3470" t="s">
        <v>8332</v>
      </c>
      <c r="D686" s="3470">
        <v>68637635</v>
      </c>
      <c r="E686" s="3470" t="s">
        <v>3558</v>
      </c>
      <c r="F686" s="3470" t="s">
        <v>4600</v>
      </c>
      <c r="H686" s="3470" t="s">
        <v>8249</v>
      </c>
      <c r="I686" s="3470" t="s">
        <v>3735</v>
      </c>
      <c r="J686" s="3470" t="s">
        <v>8291</v>
      </c>
      <c r="K686" s="3470" t="s">
        <v>5004</v>
      </c>
      <c r="L686" s="3470">
        <v>66.83</v>
      </c>
      <c r="M686" s="3470">
        <v>3</v>
      </c>
      <c r="N686" s="3470" t="s">
        <v>4030</v>
      </c>
      <c r="O686" s="3470">
        <v>61.37</v>
      </c>
      <c r="P686" s="3470" t="s">
        <v>3452</v>
      </c>
      <c r="Q686" s="3470">
        <v>190467.5049</v>
      </c>
      <c r="R686" s="3470">
        <v>2850.03</v>
      </c>
      <c r="S686" s="3470">
        <v>21.98</v>
      </c>
      <c r="T686" s="3470">
        <v>219800</v>
      </c>
      <c r="U686" s="3470">
        <v>3290</v>
      </c>
      <c r="V686" s="3470">
        <v>0.1</v>
      </c>
      <c r="W686" s="3470">
        <v>19.78</v>
      </c>
      <c r="X686" s="3470">
        <v>197800</v>
      </c>
      <c r="Y686" s="3470">
        <v>2003</v>
      </c>
      <c r="Z686" s="3470">
        <v>8</v>
      </c>
      <c r="AA686" s="3470">
        <v>20</v>
      </c>
      <c r="AB686" s="3470">
        <v>950</v>
      </c>
      <c r="AC686" s="3470" t="s">
        <v>7679</v>
      </c>
      <c r="AE686" s="3470" t="s">
        <v>3663</v>
      </c>
      <c r="AF686" s="3470" t="s">
        <v>3493</v>
      </c>
      <c r="AG686" s="3470" t="s">
        <v>3466</v>
      </c>
      <c r="AI686" s="3470" t="s">
        <v>5021</v>
      </c>
      <c r="AK686" s="3470">
        <v>8</v>
      </c>
      <c r="AL686" s="3470">
        <v>67641700</v>
      </c>
      <c r="AN686" s="3470" t="s">
        <v>3739</v>
      </c>
      <c r="AP686" s="3470" t="s">
        <v>3679</v>
      </c>
      <c r="AQ686" s="3470" t="s">
        <v>3571</v>
      </c>
      <c r="AW686" s="3470" t="s">
        <v>8251</v>
      </c>
      <c r="AY686" s="3481"/>
      <c r="AZ686" s="3470" t="s">
        <v>8252</v>
      </c>
      <c r="BA686" s="3470" t="s">
        <v>8253</v>
      </c>
      <c r="BB686" s="3481" t="s">
        <v>6638</v>
      </c>
      <c r="BD686" s="3482">
        <v>100034</v>
      </c>
      <c r="BE686" s="3470">
        <v>66511210</v>
      </c>
      <c r="BF686" s="3483"/>
      <c r="BG686" s="3478">
        <v>37690</v>
      </c>
      <c r="BH686" s="3470" t="s">
        <v>8254</v>
      </c>
      <c r="BI686" s="3470" t="s">
        <v>8007</v>
      </c>
      <c r="BJ686" s="3508">
        <v>37847</v>
      </c>
      <c r="BK686" s="3508"/>
      <c r="BL686" s="3470" t="s">
        <v>8255</v>
      </c>
      <c r="BP686" s="3441"/>
      <c r="BQ686" s="3441"/>
      <c r="BR686" s="3441"/>
    </row>
    <row r="687" spans="1:70" s="3470" customFormat="1" ht="12" hidden="1">
      <c r="A687" s="3470" t="s">
        <v>8333</v>
      </c>
      <c r="B687" s="3470" t="s">
        <v>8334</v>
      </c>
      <c r="C687" s="3470" t="s">
        <v>8335</v>
      </c>
      <c r="D687" s="3470">
        <v>13910122408</v>
      </c>
      <c r="E687" s="3470" t="s">
        <v>3558</v>
      </c>
      <c r="F687" s="3470" t="s">
        <v>4600</v>
      </c>
      <c r="H687" s="3470" t="s">
        <v>8249</v>
      </c>
      <c r="I687" s="3470" t="s">
        <v>8125</v>
      </c>
      <c r="J687" s="3470" t="s">
        <v>8287</v>
      </c>
      <c r="K687" s="3470" t="s">
        <v>5004</v>
      </c>
      <c r="L687" s="3470">
        <v>112.45</v>
      </c>
      <c r="M687" s="3470">
        <v>6</v>
      </c>
      <c r="N687" s="3470" t="s">
        <v>8271</v>
      </c>
      <c r="O687" s="3470">
        <v>103.26</v>
      </c>
      <c r="P687" s="3470" t="s">
        <v>4879</v>
      </c>
      <c r="Q687" s="3470">
        <v>320485.87350000005</v>
      </c>
      <c r="R687" s="3470">
        <v>2850.03</v>
      </c>
      <c r="S687" s="3470">
        <v>35.299999999999997</v>
      </c>
      <c r="T687" s="3470">
        <v>353000</v>
      </c>
      <c r="U687" s="3470">
        <v>3140</v>
      </c>
      <c r="V687" s="3470">
        <v>0.1</v>
      </c>
      <c r="W687" s="3470">
        <v>31.77</v>
      </c>
      <c r="X687" s="3470">
        <v>317700</v>
      </c>
      <c r="Y687" s="3470">
        <v>2003</v>
      </c>
      <c r="Z687" s="3470">
        <v>8</v>
      </c>
      <c r="AA687" s="3470">
        <v>20</v>
      </c>
      <c r="AB687" s="3470">
        <v>1600</v>
      </c>
      <c r="AC687" s="3470" t="s">
        <v>7679</v>
      </c>
      <c r="AE687" s="3470" t="s">
        <v>3663</v>
      </c>
      <c r="AF687" s="3470" t="s">
        <v>3493</v>
      </c>
      <c r="AG687" s="3470" t="s">
        <v>3466</v>
      </c>
      <c r="AI687" s="3470" t="s">
        <v>5021</v>
      </c>
      <c r="AK687" s="3470">
        <v>8</v>
      </c>
      <c r="AL687" s="3470">
        <v>67641700</v>
      </c>
      <c r="AN687" s="3470" t="s">
        <v>3739</v>
      </c>
      <c r="AP687" s="3470" t="s">
        <v>3679</v>
      </c>
      <c r="AQ687" s="3470" t="s">
        <v>3571</v>
      </c>
      <c r="AW687" s="3470" t="s">
        <v>8251</v>
      </c>
      <c r="AY687" s="3481"/>
      <c r="AZ687" s="3470" t="s">
        <v>8252</v>
      </c>
      <c r="BA687" s="3470" t="s">
        <v>8253</v>
      </c>
      <c r="BB687" s="3481" t="s">
        <v>6638</v>
      </c>
      <c r="BD687" s="3482">
        <v>100034</v>
      </c>
      <c r="BE687" s="3470">
        <v>66511210</v>
      </c>
      <c r="BF687" s="3483"/>
      <c r="BG687" s="3478">
        <v>37690</v>
      </c>
      <c r="BH687" s="3470" t="s">
        <v>8254</v>
      </c>
      <c r="BI687" s="3470" t="s">
        <v>8007</v>
      </c>
      <c r="BJ687" s="3508">
        <v>37847</v>
      </c>
      <c r="BK687" s="3508"/>
      <c r="BL687" s="3470" t="s">
        <v>8255</v>
      </c>
      <c r="BP687" s="3441"/>
      <c r="BQ687" s="3441"/>
      <c r="BR687" s="3441"/>
    </row>
    <row r="688" spans="1:70" s="3470" customFormat="1" ht="12" hidden="1">
      <c r="A688" s="3470" t="s">
        <v>8336</v>
      </c>
      <c r="B688" s="3470" t="s">
        <v>8337</v>
      </c>
      <c r="C688" s="3470" t="s">
        <v>8338</v>
      </c>
      <c r="D688" s="3470">
        <v>68662766</v>
      </c>
      <c r="E688" s="3470" t="s">
        <v>3558</v>
      </c>
      <c r="F688" s="3470" t="s">
        <v>4600</v>
      </c>
      <c r="H688" s="3470" t="s">
        <v>8249</v>
      </c>
      <c r="I688" s="3470" t="s">
        <v>4001</v>
      </c>
      <c r="J688" s="3470" t="s">
        <v>8305</v>
      </c>
      <c r="K688" s="3470" t="s">
        <v>5004</v>
      </c>
      <c r="L688" s="3470">
        <v>67.569999999999993</v>
      </c>
      <c r="M688" s="3470">
        <v>4</v>
      </c>
      <c r="N688" s="3470" t="s">
        <v>4030</v>
      </c>
      <c r="O688" s="3470">
        <v>62.05</v>
      </c>
      <c r="P688" s="3470" t="s">
        <v>3452</v>
      </c>
      <c r="Q688" s="3470">
        <v>192576.52710000001</v>
      </c>
      <c r="R688" s="3470">
        <v>2850.03</v>
      </c>
      <c r="S688" s="3470">
        <v>22.16</v>
      </c>
      <c r="T688" s="3470">
        <v>221600</v>
      </c>
      <c r="U688" s="3470">
        <v>3280</v>
      </c>
      <c r="V688" s="3470">
        <v>0.1</v>
      </c>
      <c r="W688" s="3470">
        <v>19.940000000000001</v>
      </c>
      <c r="X688" s="3470">
        <v>199400</v>
      </c>
      <c r="Y688" s="3470">
        <v>2003</v>
      </c>
      <c r="Z688" s="3470">
        <v>8</v>
      </c>
      <c r="AA688" s="3470">
        <v>20</v>
      </c>
      <c r="AB688" s="3470">
        <v>960</v>
      </c>
      <c r="AC688" s="3470" t="s">
        <v>7679</v>
      </c>
      <c r="AE688" s="3470" t="s">
        <v>3663</v>
      </c>
      <c r="AF688" s="3470" t="s">
        <v>3493</v>
      </c>
      <c r="AG688" s="3470" t="s">
        <v>3466</v>
      </c>
      <c r="AI688" s="3470" t="s">
        <v>5021</v>
      </c>
      <c r="AK688" s="3470">
        <v>8</v>
      </c>
      <c r="AL688" s="3470">
        <v>67641700</v>
      </c>
      <c r="AN688" s="3470" t="s">
        <v>3739</v>
      </c>
      <c r="AP688" s="3470" t="s">
        <v>3679</v>
      </c>
      <c r="AQ688" s="3470" t="s">
        <v>3571</v>
      </c>
      <c r="AW688" s="3470" t="s">
        <v>8251</v>
      </c>
      <c r="AY688" s="3481"/>
      <c r="AZ688" s="3470" t="s">
        <v>8252</v>
      </c>
      <c r="BA688" s="3470" t="s">
        <v>8253</v>
      </c>
      <c r="BB688" s="3481" t="s">
        <v>6638</v>
      </c>
      <c r="BD688" s="3482">
        <v>100034</v>
      </c>
      <c r="BE688" s="3470">
        <v>66511210</v>
      </c>
      <c r="BF688" s="3483"/>
      <c r="BG688" s="3478">
        <v>37690</v>
      </c>
      <c r="BH688" s="3470" t="s">
        <v>8254</v>
      </c>
      <c r="BI688" s="3470" t="s">
        <v>8007</v>
      </c>
      <c r="BJ688" s="3508">
        <v>37847</v>
      </c>
      <c r="BK688" s="3508"/>
      <c r="BL688" s="3470" t="s">
        <v>8255</v>
      </c>
      <c r="BP688" s="3441"/>
      <c r="BQ688" s="3441"/>
      <c r="BR688" s="3441"/>
    </row>
    <row r="689" spans="1:70" s="3470" customFormat="1" ht="12" hidden="1">
      <c r="A689" s="3470" t="s">
        <v>8339</v>
      </c>
      <c r="B689" s="3470" t="s">
        <v>8340</v>
      </c>
      <c r="C689" s="3470" t="s">
        <v>8341</v>
      </c>
      <c r="D689" s="3470">
        <v>68634039</v>
      </c>
      <c r="E689" s="3470" t="s">
        <v>3558</v>
      </c>
      <c r="F689" s="3470" t="s">
        <v>4600</v>
      </c>
      <c r="H689" s="3470" t="s">
        <v>8249</v>
      </c>
      <c r="I689" s="3470" t="s">
        <v>4309</v>
      </c>
      <c r="J689" s="3470" t="s">
        <v>8275</v>
      </c>
      <c r="K689" s="3470" t="s">
        <v>5004</v>
      </c>
      <c r="L689" s="3470">
        <v>67.569999999999993</v>
      </c>
      <c r="M689" s="3470">
        <v>3</v>
      </c>
      <c r="N689" s="3470" t="s">
        <v>4030</v>
      </c>
      <c r="O689" s="3470">
        <v>62.05</v>
      </c>
      <c r="P689" s="3470" t="s">
        <v>3452</v>
      </c>
      <c r="Q689" s="3470">
        <v>192576.52710000001</v>
      </c>
      <c r="R689" s="3470">
        <v>2850.03</v>
      </c>
      <c r="S689" s="3470">
        <v>22.23</v>
      </c>
      <c r="T689" s="3470">
        <v>222300</v>
      </c>
      <c r="U689" s="3470">
        <v>3290</v>
      </c>
      <c r="V689" s="3470">
        <v>0.1</v>
      </c>
      <c r="W689" s="3470">
        <v>20</v>
      </c>
      <c r="X689" s="3470">
        <v>200000</v>
      </c>
      <c r="Y689" s="3470">
        <v>2003</v>
      </c>
      <c r="Z689" s="3470">
        <v>8</v>
      </c>
      <c r="AA689" s="3470">
        <v>20</v>
      </c>
      <c r="AB689" s="3470">
        <v>960</v>
      </c>
      <c r="AC689" s="3470" t="s">
        <v>7679</v>
      </c>
      <c r="AE689" s="3470" t="s">
        <v>3663</v>
      </c>
      <c r="AF689" s="3470" t="s">
        <v>3493</v>
      </c>
      <c r="AG689" s="3470" t="s">
        <v>3466</v>
      </c>
      <c r="AI689" s="3470" t="s">
        <v>5021</v>
      </c>
      <c r="AK689" s="3470">
        <v>8</v>
      </c>
      <c r="AL689" s="3470">
        <v>67641700</v>
      </c>
      <c r="AN689" s="3470" t="s">
        <v>3739</v>
      </c>
      <c r="AP689" s="3470" t="s">
        <v>3679</v>
      </c>
      <c r="AQ689" s="3470" t="s">
        <v>3571</v>
      </c>
      <c r="AW689" s="3470" t="s">
        <v>8251</v>
      </c>
      <c r="AY689" s="3481"/>
      <c r="AZ689" s="3470" t="s">
        <v>8252</v>
      </c>
      <c r="BA689" s="3470" t="s">
        <v>8253</v>
      </c>
      <c r="BB689" s="3481" t="s">
        <v>6638</v>
      </c>
      <c r="BD689" s="3482">
        <v>100034</v>
      </c>
      <c r="BE689" s="3470">
        <v>66511210</v>
      </c>
      <c r="BF689" s="3483"/>
      <c r="BG689" s="3478">
        <v>37690</v>
      </c>
      <c r="BH689" s="3470" t="s">
        <v>8254</v>
      </c>
      <c r="BI689" s="3470" t="s">
        <v>8007</v>
      </c>
      <c r="BJ689" s="3508">
        <v>37847</v>
      </c>
      <c r="BK689" s="3508"/>
      <c r="BL689" s="3470" t="s">
        <v>8255</v>
      </c>
      <c r="BP689" s="3441"/>
      <c r="BQ689" s="3441"/>
      <c r="BR689" s="3441"/>
    </row>
    <row r="690" spans="1:70" s="3470" customFormat="1" ht="12" hidden="1">
      <c r="A690" s="3470" t="s">
        <v>8342</v>
      </c>
      <c r="B690" s="3470" t="s">
        <v>8343</v>
      </c>
      <c r="C690" s="3470" t="s">
        <v>8344</v>
      </c>
      <c r="D690" s="3470">
        <v>68662611</v>
      </c>
      <c r="E690" s="3470" t="s">
        <v>3558</v>
      </c>
      <c r="F690" s="3470" t="s">
        <v>4600</v>
      </c>
      <c r="H690" s="3470" t="s">
        <v>8249</v>
      </c>
      <c r="I690" s="3470" t="s">
        <v>4309</v>
      </c>
      <c r="J690" s="3470" t="s">
        <v>8283</v>
      </c>
      <c r="K690" s="3470" t="s">
        <v>5004</v>
      </c>
      <c r="L690" s="3470">
        <v>67.569999999999993</v>
      </c>
      <c r="M690" s="3470">
        <v>2</v>
      </c>
      <c r="N690" s="3470" t="s">
        <v>4030</v>
      </c>
      <c r="O690" s="3470">
        <v>62.05</v>
      </c>
      <c r="P690" s="3470" t="s">
        <v>3452</v>
      </c>
      <c r="Q690" s="3470">
        <v>192576.52710000001</v>
      </c>
      <c r="R690" s="3470">
        <v>2850.03</v>
      </c>
      <c r="S690" s="3470">
        <v>22.02</v>
      </c>
      <c r="T690" s="3470">
        <v>220200</v>
      </c>
      <c r="U690" s="3470">
        <v>3260</v>
      </c>
      <c r="V690" s="3470">
        <v>0.1</v>
      </c>
      <c r="W690" s="3470">
        <v>19.809999999999999</v>
      </c>
      <c r="X690" s="3470">
        <v>198100</v>
      </c>
      <c r="Y690" s="3470">
        <v>2003</v>
      </c>
      <c r="Z690" s="3470">
        <v>8</v>
      </c>
      <c r="AA690" s="3470">
        <v>20</v>
      </c>
      <c r="AB690" s="3470">
        <v>960</v>
      </c>
      <c r="AC690" s="3470" t="s">
        <v>7679</v>
      </c>
      <c r="AE690" s="3470" t="s">
        <v>3663</v>
      </c>
      <c r="AF690" s="3470" t="s">
        <v>3493</v>
      </c>
      <c r="AG690" s="3470" t="s">
        <v>3466</v>
      </c>
      <c r="AI690" s="3470" t="s">
        <v>5021</v>
      </c>
      <c r="AK690" s="3470">
        <v>8</v>
      </c>
      <c r="AL690" s="3470">
        <v>67641700</v>
      </c>
      <c r="AN690" s="3470" t="s">
        <v>3739</v>
      </c>
      <c r="AP690" s="3470" t="s">
        <v>3679</v>
      </c>
      <c r="AQ690" s="3470" t="s">
        <v>3571</v>
      </c>
      <c r="AW690" s="3470" t="s">
        <v>8251</v>
      </c>
      <c r="AY690" s="3481"/>
      <c r="AZ690" s="3470" t="s">
        <v>8252</v>
      </c>
      <c r="BA690" s="3470" t="s">
        <v>8253</v>
      </c>
      <c r="BB690" s="3481" t="s">
        <v>6638</v>
      </c>
      <c r="BD690" s="3482">
        <v>100034</v>
      </c>
      <c r="BE690" s="3470">
        <v>66511210</v>
      </c>
      <c r="BF690" s="3483"/>
      <c r="BG690" s="3478">
        <v>37690</v>
      </c>
      <c r="BH690" s="3470" t="s">
        <v>8254</v>
      </c>
      <c r="BI690" s="3470" t="s">
        <v>8007</v>
      </c>
      <c r="BJ690" s="3508">
        <v>37847</v>
      </c>
      <c r="BK690" s="3508"/>
      <c r="BL690" s="3470" t="s">
        <v>8255</v>
      </c>
      <c r="BP690" s="3441"/>
      <c r="BQ690" s="3441"/>
      <c r="BR690" s="3441"/>
    </row>
    <row r="691" spans="1:70" s="3470" customFormat="1" ht="12" hidden="1">
      <c r="A691" s="3470" t="s">
        <v>8345</v>
      </c>
      <c r="B691" s="3470" t="s">
        <v>8346</v>
      </c>
      <c r="C691" s="3470" t="s">
        <v>8347</v>
      </c>
      <c r="D691" s="3470">
        <v>68659381</v>
      </c>
      <c r="E691" s="3470" t="s">
        <v>3558</v>
      </c>
      <c r="F691" s="3470" t="s">
        <v>4600</v>
      </c>
      <c r="H691" s="3470" t="s">
        <v>8249</v>
      </c>
      <c r="I691" s="3470" t="s">
        <v>3735</v>
      </c>
      <c r="J691" s="3470" t="s">
        <v>8250</v>
      </c>
      <c r="K691" s="3470" t="s">
        <v>5004</v>
      </c>
      <c r="L691" s="3470">
        <v>66.83</v>
      </c>
      <c r="M691" s="3470">
        <v>1</v>
      </c>
      <c r="N691" s="3470" t="s">
        <v>4030</v>
      </c>
      <c r="O691" s="3470">
        <v>61.37</v>
      </c>
      <c r="P691" s="3470" t="s">
        <v>3452</v>
      </c>
      <c r="Q691" s="3470">
        <v>190467.5049</v>
      </c>
      <c r="R691" s="3470">
        <v>2850.03</v>
      </c>
      <c r="S691" s="3470">
        <v>21.65</v>
      </c>
      <c r="T691" s="3470">
        <v>216500</v>
      </c>
      <c r="U691" s="3470">
        <v>3240</v>
      </c>
      <c r="V691" s="3470">
        <v>0.1</v>
      </c>
      <c r="W691" s="3470">
        <v>19.48</v>
      </c>
      <c r="X691" s="3470">
        <v>194800</v>
      </c>
      <c r="Y691" s="3470">
        <v>2003</v>
      </c>
      <c r="Z691" s="3470">
        <v>8</v>
      </c>
      <c r="AA691" s="3470">
        <v>20</v>
      </c>
      <c r="AB691" s="3470">
        <v>950</v>
      </c>
      <c r="AC691" s="3470" t="s">
        <v>7679</v>
      </c>
      <c r="AE691" s="3470" t="s">
        <v>3663</v>
      </c>
      <c r="AF691" s="3470" t="s">
        <v>3493</v>
      </c>
      <c r="AG691" s="3470" t="s">
        <v>3466</v>
      </c>
      <c r="AI691" s="3470" t="s">
        <v>5021</v>
      </c>
      <c r="AK691" s="3470">
        <v>8</v>
      </c>
      <c r="AL691" s="3470">
        <v>67641700</v>
      </c>
      <c r="AN691" s="3470" t="s">
        <v>3739</v>
      </c>
      <c r="AP691" s="3470" t="s">
        <v>3679</v>
      </c>
      <c r="AQ691" s="3470" t="s">
        <v>3571</v>
      </c>
      <c r="AW691" s="3470" t="s">
        <v>8251</v>
      </c>
      <c r="AY691" s="3481"/>
      <c r="AZ691" s="3470" t="s">
        <v>8252</v>
      </c>
      <c r="BA691" s="3470" t="s">
        <v>8253</v>
      </c>
      <c r="BB691" s="3481" t="s">
        <v>6638</v>
      </c>
      <c r="BD691" s="3482">
        <v>100034</v>
      </c>
      <c r="BE691" s="3470">
        <v>66511210</v>
      </c>
      <c r="BF691" s="3483"/>
      <c r="BG691" s="3478">
        <v>37690</v>
      </c>
      <c r="BH691" s="3470" t="s">
        <v>8254</v>
      </c>
      <c r="BI691" s="3470" t="s">
        <v>8007</v>
      </c>
      <c r="BJ691" s="3508">
        <v>37847</v>
      </c>
      <c r="BK691" s="3508"/>
      <c r="BL691" s="3470" t="s">
        <v>8255</v>
      </c>
      <c r="BP691" s="3441"/>
      <c r="BQ691" s="3441"/>
      <c r="BR691" s="3441"/>
    </row>
    <row r="692" spans="1:70" s="3470" customFormat="1" ht="12" hidden="1">
      <c r="A692" s="3470" t="s">
        <v>8348</v>
      </c>
      <c r="B692" s="3470" t="s">
        <v>8349</v>
      </c>
      <c r="C692" s="3470" t="s">
        <v>8350</v>
      </c>
      <c r="D692" s="3470">
        <v>68639588</v>
      </c>
      <c r="E692" s="3470" t="s">
        <v>3558</v>
      </c>
      <c r="F692" s="3470" t="s">
        <v>4600</v>
      </c>
      <c r="H692" s="3470" t="s">
        <v>8249</v>
      </c>
      <c r="I692" s="3470" t="s">
        <v>7690</v>
      </c>
      <c r="J692" s="3470" t="s">
        <v>8250</v>
      </c>
      <c r="K692" s="3470" t="s">
        <v>5004</v>
      </c>
      <c r="L692" s="3470">
        <v>66.83</v>
      </c>
      <c r="M692" s="3470">
        <v>1</v>
      </c>
      <c r="N692" s="3470" t="s">
        <v>4030</v>
      </c>
      <c r="O692" s="3470">
        <v>61.37</v>
      </c>
      <c r="P692" s="3470" t="s">
        <v>3452</v>
      </c>
      <c r="Q692" s="3470">
        <v>190467.5049</v>
      </c>
      <c r="R692" s="3470">
        <v>2850.03</v>
      </c>
      <c r="S692" s="3470">
        <v>21.51</v>
      </c>
      <c r="T692" s="3470">
        <v>215100</v>
      </c>
      <c r="U692" s="3470">
        <v>3220</v>
      </c>
      <c r="V692" s="3470">
        <v>0.1</v>
      </c>
      <c r="W692" s="3470">
        <v>19.350000000000001</v>
      </c>
      <c r="X692" s="3470">
        <v>193500</v>
      </c>
      <c r="Y692" s="3470">
        <v>2003</v>
      </c>
      <c r="Z692" s="3470">
        <v>8</v>
      </c>
      <c r="AA692" s="3470">
        <v>20</v>
      </c>
      <c r="AB692" s="3470">
        <v>950</v>
      </c>
      <c r="AC692" s="3470" t="s">
        <v>7679</v>
      </c>
      <c r="AE692" s="3470" t="s">
        <v>3663</v>
      </c>
      <c r="AF692" s="3470" t="s">
        <v>3493</v>
      </c>
      <c r="AG692" s="3470" t="s">
        <v>3466</v>
      </c>
      <c r="AI692" s="3470" t="s">
        <v>5021</v>
      </c>
      <c r="AK692" s="3470">
        <v>8</v>
      </c>
      <c r="AL692" s="3470">
        <v>67641700</v>
      </c>
      <c r="AN692" s="3470" t="s">
        <v>3739</v>
      </c>
      <c r="AP692" s="3470" t="s">
        <v>3679</v>
      </c>
      <c r="AQ692" s="3470" t="s">
        <v>3571</v>
      </c>
      <c r="AW692" s="3470" t="s">
        <v>8251</v>
      </c>
      <c r="AY692" s="3481"/>
      <c r="AZ692" s="3470" t="s">
        <v>8252</v>
      </c>
      <c r="BA692" s="3470" t="s">
        <v>8253</v>
      </c>
      <c r="BB692" s="3481" t="s">
        <v>6638</v>
      </c>
      <c r="BD692" s="3482">
        <v>100034</v>
      </c>
      <c r="BE692" s="3470">
        <v>66511210</v>
      </c>
      <c r="BF692" s="3483"/>
      <c r="BG692" s="3478">
        <v>37690</v>
      </c>
      <c r="BH692" s="3470" t="s">
        <v>8254</v>
      </c>
      <c r="BI692" s="3470" t="s">
        <v>8007</v>
      </c>
      <c r="BJ692" s="3508">
        <v>37847</v>
      </c>
      <c r="BK692" s="3508"/>
      <c r="BL692" s="3470" t="s">
        <v>8255</v>
      </c>
      <c r="BP692" s="3441"/>
      <c r="BQ692" s="3441"/>
      <c r="BR692" s="3441"/>
    </row>
    <row r="693" spans="1:70" s="3470" customFormat="1" ht="12" hidden="1">
      <c r="A693" s="3470" t="s">
        <v>8351</v>
      </c>
      <c r="B693" s="3470" t="s">
        <v>8352</v>
      </c>
      <c r="C693" s="3470" t="s">
        <v>8353</v>
      </c>
      <c r="D693" s="3470">
        <v>13661005931</v>
      </c>
      <c r="E693" s="3470" t="s">
        <v>3558</v>
      </c>
      <c r="F693" s="3470" t="s">
        <v>4600</v>
      </c>
      <c r="H693" s="3470" t="s">
        <v>8249</v>
      </c>
      <c r="I693" s="3470" t="s">
        <v>4001</v>
      </c>
      <c r="J693" s="3470" t="s">
        <v>8313</v>
      </c>
      <c r="K693" s="3470" t="s">
        <v>5004</v>
      </c>
      <c r="L693" s="3470">
        <v>67.569999999999993</v>
      </c>
      <c r="M693" s="3470">
        <v>5</v>
      </c>
      <c r="N693" s="3470" t="s">
        <v>4030</v>
      </c>
      <c r="O693" s="3470">
        <v>62.05</v>
      </c>
      <c r="P693" s="3470" t="s">
        <v>3452</v>
      </c>
      <c r="Q693" s="3470">
        <v>192576.52710000001</v>
      </c>
      <c r="R693" s="3470">
        <v>2850.03</v>
      </c>
      <c r="S693" s="3470">
        <v>22.02</v>
      </c>
      <c r="T693" s="3470">
        <v>220200</v>
      </c>
      <c r="U693" s="3470">
        <v>3260</v>
      </c>
      <c r="V693" s="3470">
        <v>0.1</v>
      </c>
      <c r="W693" s="3470">
        <v>19.809999999999999</v>
      </c>
      <c r="X693" s="3470">
        <v>198100</v>
      </c>
      <c r="Y693" s="3470">
        <v>2003</v>
      </c>
      <c r="Z693" s="3470">
        <v>8</v>
      </c>
      <c r="AA693" s="3470">
        <v>20</v>
      </c>
      <c r="AB693" s="3470">
        <v>960</v>
      </c>
      <c r="AC693" s="3470" t="s">
        <v>7679</v>
      </c>
      <c r="AE693" s="3470" t="s">
        <v>3663</v>
      </c>
      <c r="AF693" s="3470" t="s">
        <v>3493</v>
      </c>
      <c r="AG693" s="3470" t="s">
        <v>3466</v>
      </c>
      <c r="AI693" s="3470" t="s">
        <v>5021</v>
      </c>
      <c r="AK693" s="3470">
        <v>8</v>
      </c>
      <c r="AL693" s="3470">
        <v>67641700</v>
      </c>
      <c r="AN693" s="3470" t="s">
        <v>3739</v>
      </c>
      <c r="AP693" s="3470" t="s">
        <v>3679</v>
      </c>
      <c r="AQ693" s="3470" t="s">
        <v>3571</v>
      </c>
      <c r="AW693" s="3470" t="s">
        <v>8251</v>
      </c>
      <c r="AY693" s="3481"/>
      <c r="AZ693" s="3470" t="s">
        <v>8252</v>
      </c>
      <c r="BA693" s="3470" t="s">
        <v>8253</v>
      </c>
      <c r="BB693" s="3481" t="s">
        <v>6638</v>
      </c>
      <c r="BD693" s="3482">
        <v>100034</v>
      </c>
      <c r="BE693" s="3470">
        <v>66511210</v>
      </c>
      <c r="BF693" s="3483"/>
      <c r="BG693" s="3478">
        <v>37690</v>
      </c>
      <c r="BH693" s="3470" t="s">
        <v>8254</v>
      </c>
      <c r="BI693" s="3470" t="s">
        <v>8007</v>
      </c>
      <c r="BJ693" s="3508">
        <v>37847</v>
      </c>
      <c r="BK693" s="3508"/>
      <c r="BL693" s="3470" t="s">
        <v>8255</v>
      </c>
      <c r="BP693" s="3441"/>
      <c r="BQ693" s="3441"/>
      <c r="BR693" s="3441"/>
    </row>
    <row r="694" spans="1:70" s="3470" customFormat="1" ht="12" hidden="1">
      <c r="A694" s="3470" t="s">
        <v>8354</v>
      </c>
      <c r="B694" s="3470" t="s">
        <v>8355</v>
      </c>
      <c r="C694" s="3470" t="s">
        <v>8356</v>
      </c>
      <c r="D694" s="3470">
        <v>13161938113</v>
      </c>
      <c r="E694" s="3470" t="s">
        <v>3558</v>
      </c>
      <c r="F694" s="3470" t="s">
        <v>4600</v>
      </c>
      <c r="H694" s="3470" t="s">
        <v>8249</v>
      </c>
      <c r="I694" s="3470" t="s">
        <v>7857</v>
      </c>
      <c r="J694" s="3470" t="s">
        <v>8275</v>
      </c>
      <c r="K694" s="3470" t="s">
        <v>5004</v>
      </c>
      <c r="L694" s="3470">
        <v>72.91</v>
      </c>
      <c r="M694" s="3470">
        <v>3</v>
      </c>
      <c r="N694" s="3470" t="s">
        <v>4030</v>
      </c>
      <c r="O694" s="3470">
        <v>66.95</v>
      </c>
      <c r="P694" s="3470" t="s">
        <v>3452</v>
      </c>
      <c r="Q694" s="3470">
        <v>207795.68729999999</v>
      </c>
      <c r="R694" s="3470">
        <v>2850.03</v>
      </c>
      <c r="S694" s="3470">
        <v>23.76</v>
      </c>
      <c r="T694" s="3470">
        <v>237600</v>
      </c>
      <c r="U694" s="3470">
        <v>3260</v>
      </c>
      <c r="V694" s="3470">
        <v>0.1</v>
      </c>
      <c r="W694" s="3470">
        <v>21.38</v>
      </c>
      <c r="X694" s="3470">
        <v>213800</v>
      </c>
      <c r="Y694" s="3470">
        <v>2003</v>
      </c>
      <c r="Z694" s="3470">
        <v>8</v>
      </c>
      <c r="AA694" s="3470">
        <v>20</v>
      </c>
      <c r="AB694" s="3470">
        <v>1035</v>
      </c>
      <c r="AC694" s="3470" t="s">
        <v>7679</v>
      </c>
      <c r="AE694" s="3470" t="s">
        <v>3663</v>
      </c>
      <c r="AF694" s="3470" t="s">
        <v>3493</v>
      </c>
      <c r="AG694" s="3470" t="s">
        <v>3466</v>
      </c>
      <c r="AI694" s="3470" t="s">
        <v>5021</v>
      </c>
      <c r="AK694" s="3470">
        <v>8</v>
      </c>
      <c r="AL694" s="3470">
        <v>67641700</v>
      </c>
      <c r="AN694" s="3470" t="s">
        <v>3739</v>
      </c>
      <c r="AP694" s="3470" t="s">
        <v>3679</v>
      </c>
      <c r="AQ694" s="3470" t="s">
        <v>3571</v>
      </c>
      <c r="AW694" s="3470" t="s">
        <v>8251</v>
      </c>
      <c r="AY694" s="3481"/>
      <c r="AZ694" s="3470" t="s">
        <v>8252</v>
      </c>
      <c r="BA694" s="3470" t="s">
        <v>8253</v>
      </c>
      <c r="BB694" s="3481" t="s">
        <v>6638</v>
      </c>
      <c r="BD694" s="3482">
        <v>100034</v>
      </c>
      <c r="BE694" s="3470">
        <v>66511210</v>
      </c>
      <c r="BF694" s="3483"/>
      <c r="BG694" s="3478">
        <v>37690</v>
      </c>
      <c r="BH694" s="3470" t="s">
        <v>8254</v>
      </c>
      <c r="BI694" s="3470" t="s">
        <v>8007</v>
      </c>
      <c r="BJ694" s="3508">
        <v>37847</v>
      </c>
      <c r="BK694" s="3508"/>
      <c r="BL694" s="3470" t="s">
        <v>8255</v>
      </c>
      <c r="BP694" s="3441"/>
      <c r="BQ694" s="3441"/>
      <c r="BR694" s="3441"/>
    </row>
    <row r="695" spans="1:70" s="3470" customFormat="1" ht="12" hidden="1">
      <c r="A695" s="3470" t="s">
        <v>8357</v>
      </c>
      <c r="B695" s="3470" t="s">
        <v>8358</v>
      </c>
      <c r="C695" s="3470" t="s">
        <v>8359</v>
      </c>
      <c r="D695" s="3470">
        <v>68637002</v>
      </c>
      <c r="E695" s="3470" t="s">
        <v>3558</v>
      </c>
      <c r="F695" s="3470" t="s">
        <v>4600</v>
      </c>
      <c r="H695" s="3470" t="s">
        <v>8249</v>
      </c>
      <c r="I695" s="3470" t="s">
        <v>4309</v>
      </c>
      <c r="J695" s="3470" t="s">
        <v>8313</v>
      </c>
      <c r="K695" s="3470" t="s">
        <v>5004</v>
      </c>
      <c r="L695" s="3470">
        <v>67.569999999999993</v>
      </c>
      <c r="M695" s="3470">
        <v>5</v>
      </c>
      <c r="N695" s="3470" t="s">
        <v>4030</v>
      </c>
      <c r="O695" s="3470">
        <v>62.05</v>
      </c>
      <c r="P695" s="3470" t="s">
        <v>3452</v>
      </c>
      <c r="Q695" s="3470">
        <v>192576.52710000001</v>
      </c>
      <c r="R695" s="3470">
        <v>2850.03</v>
      </c>
      <c r="S695" s="3470">
        <v>22.02</v>
      </c>
      <c r="T695" s="3470">
        <v>220200</v>
      </c>
      <c r="U695" s="3470">
        <v>3260</v>
      </c>
      <c r="V695" s="3470">
        <v>0.1</v>
      </c>
      <c r="W695" s="3470">
        <v>19.809999999999999</v>
      </c>
      <c r="X695" s="3470">
        <v>198100</v>
      </c>
      <c r="Y695" s="3470">
        <v>2003</v>
      </c>
      <c r="Z695" s="3470">
        <v>8</v>
      </c>
      <c r="AA695" s="3470">
        <v>20</v>
      </c>
      <c r="AB695" s="3470">
        <v>960</v>
      </c>
      <c r="AC695" s="3470" t="s">
        <v>7679</v>
      </c>
      <c r="AE695" s="3470" t="s">
        <v>3663</v>
      </c>
      <c r="AF695" s="3470" t="s">
        <v>3493</v>
      </c>
      <c r="AG695" s="3470" t="s">
        <v>3466</v>
      </c>
      <c r="AI695" s="3470" t="s">
        <v>5021</v>
      </c>
      <c r="AK695" s="3470">
        <v>8</v>
      </c>
      <c r="AL695" s="3470">
        <v>67641700</v>
      </c>
      <c r="AN695" s="3470" t="s">
        <v>3739</v>
      </c>
      <c r="AP695" s="3470" t="s">
        <v>3679</v>
      </c>
      <c r="AQ695" s="3470" t="s">
        <v>3571</v>
      </c>
      <c r="AW695" s="3470" t="s">
        <v>8251</v>
      </c>
      <c r="AY695" s="3481"/>
      <c r="AZ695" s="3470" t="s">
        <v>8252</v>
      </c>
      <c r="BA695" s="3470" t="s">
        <v>8253</v>
      </c>
      <c r="BB695" s="3481" t="s">
        <v>6638</v>
      </c>
      <c r="BD695" s="3482">
        <v>100034</v>
      </c>
      <c r="BE695" s="3470">
        <v>66511210</v>
      </c>
      <c r="BF695" s="3483"/>
      <c r="BG695" s="3478">
        <v>37690</v>
      </c>
      <c r="BH695" s="3470" t="s">
        <v>8254</v>
      </c>
      <c r="BI695" s="3470" t="s">
        <v>8007</v>
      </c>
      <c r="BJ695" s="3508">
        <v>37847</v>
      </c>
      <c r="BK695" s="3508"/>
      <c r="BL695" s="3470" t="s">
        <v>8255</v>
      </c>
      <c r="BP695" s="3441"/>
      <c r="BQ695" s="3441"/>
      <c r="BR695" s="3441"/>
    </row>
    <row r="696" spans="1:70" s="3470" customFormat="1" ht="12" hidden="1">
      <c r="A696" s="3470" t="s">
        <v>8360</v>
      </c>
      <c r="B696" s="3470" t="s">
        <v>8361</v>
      </c>
      <c r="C696" s="3470" t="s">
        <v>8362</v>
      </c>
      <c r="D696" s="3470">
        <v>13611348433</v>
      </c>
      <c r="E696" s="3470" t="s">
        <v>3558</v>
      </c>
      <c r="F696" s="3470" t="s">
        <v>4600</v>
      </c>
      <c r="H696" s="3470" t="s">
        <v>8249</v>
      </c>
      <c r="I696" s="3470" t="s">
        <v>4309</v>
      </c>
      <c r="J696" s="3470" t="s">
        <v>8301</v>
      </c>
      <c r="K696" s="3470" t="s">
        <v>5004</v>
      </c>
      <c r="L696" s="3470">
        <v>66.83</v>
      </c>
      <c r="M696" s="3470">
        <v>4</v>
      </c>
      <c r="N696" s="3470" t="s">
        <v>4030</v>
      </c>
      <c r="O696" s="3470">
        <v>61.37</v>
      </c>
      <c r="P696" s="3470" t="s">
        <v>3452</v>
      </c>
      <c r="Q696" s="3470">
        <v>190467.5049</v>
      </c>
      <c r="R696" s="3470">
        <v>2850.03</v>
      </c>
      <c r="S696" s="3470">
        <v>21.92</v>
      </c>
      <c r="T696" s="3470">
        <v>219200</v>
      </c>
      <c r="U696" s="3470">
        <v>3280</v>
      </c>
      <c r="V696" s="3470">
        <v>0.1</v>
      </c>
      <c r="W696" s="3470">
        <v>19.72</v>
      </c>
      <c r="X696" s="3470">
        <v>197200</v>
      </c>
      <c r="Y696" s="3470">
        <v>2003</v>
      </c>
      <c r="Z696" s="3470">
        <v>8</v>
      </c>
      <c r="AA696" s="3470">
        <v>20</v>
      </c>
      <c r="AB696" s="3470">
        <v>950</v>
      </c>
      <c r="AC696" s="3470" t="s">
        <v>7679</v>
      </c>
      <c r="AE696" s="3470" t="s">
        <v>3663</v>
      </c>
      <c r="AF696" s="3470" t="s">
        <v>3493</v>
      </c>
      <c r="AG696" s="3470" t="s">
        <v>3466</v>
      </c>
      <c r="AI696" s="3470" t="s">
        <v>5021</v>
      </c>
      <c r="AK696" s="3470">
        <v>8</v>
      </c>
      <c r="AL696" s="3470">
        <v>67641700</v>
      </c>
      <c r="AN696" s="3470" t="s">
        <v>3739</v>
      </c>
      <c r="AP696" s="3470" t="s">
        <v>3679</v>
      </c>
      <c r="AQ696" s="3470" t="s">
        <v>3571</v>
      </c>
      <c r="AW696" s="3470" t="s">
        <v>8251</v>
      </c>
      <c r="AY696" s="3481"/>
      <c r="AZ696" s="3470" t="s">
        <v>8252</v>
      </c>
      <c r="BA696" s="3470" t="s">
        <v>8253</v>
      </c>
      <c r="BB696" s="3481" t="s">
        <v>6638</v>
      </c>
      <c r="BD696" s="3482">
        <v>100034</v>
      </c>
      <c r="BE696" s="3470">
        <v>66511210</v>
      </c>
      <c r="BF696" s="3483"/>
      <c r="BG696" s="3478">
        <v>37690</v>
      </c>
      <c r="BH696" s="3470" t="s">
        <v>8254</v>
      </c>
      <c r="BI696" s="3470" t="s">
        <v>8007</v>
      </c>
      <c r="BJ696" s="3508">
        <v>37847</v>
      </c>
      <c r="BK696" s="3508"/>
      <c r="BL696" s="3470" t="s">
        <v>8255</v>
      </c>
      <c r="BP696" s="3441"/>
      <c r="BQ696" s="3441"/>
      <c r="BR696" s="3441"/>
    </row>
    <row r="697" spans="1:70" s="3470" customFormat="1" ht="12" hidden="1">
      <c r="A697" s="3470" t="s">
        <v>8363</v>
      </c>
      <c r="B697" s="3470" t="s">
        <v>8364</v>
      </c>
      <c r="C697" s="3470" t="s">
        <v>8365</v>
      </c>
      <c r="D697" s="3470">
        <v>13691071784</v>
      </c>
      <c r="E697" s="3470" t="s">
        <v>3558</v>
      </c>
      <c r="F697" s="3470" t="s">
        <v>4600</v>
      </c>
      <c r="H697" s="3470" t="s">
        <v>8249</v>
      </c>
      <c r="I697" s="3470" t="s">
        <v>3561</v>
      </c>
      <c r="J697" s="3470" t="s">
        <v>8301</v>
      </c>
      <c r="K697" s="3470" t="s">
        <v>5004</v>
      </c>
      <c r="L697" s="3470">
        <v>73.5</v>
      </c>
      <c r="M697" s="3470">
        <v>4</v>
      </c>
      <c r="N697" s="3470" t="s">
        <v>4030</v>
      </c>
      <c r="O697" s="3470">
        <v>67.489999999999995</v>
      </c>
      <c r="P697" s="3470" t="s">
        <v>3452</v>
      </c>
      <c r="Q697" s="3470">
        <v>209477.20500000002</v>
      </c>
      <c r="R697" s="3470">
        <v>2850.03</v>
      </c>
      <c r="S697" s="3470">
        <v>23.96</v>
      </c>
      <c r="T697" s="3470">
        <v>239600</v>
      </c>
      <c r="U697" s="3470">
        <v>3260</v>
      </c>
      <c r="V697" s="3470">
        <v>0.1</v>
      </c>
      <c r="W697" s="3470">
        <v>21.56</v>
      </c>
      <c r="X697" s="3470">
        <v>215600</v>
      </c>
      <c r="Y697" s="3470">
        <v>2003</v>
      </c>
      <c r="Z697" s="3470">
        <v>8</v>
      </c>
      <c r="AA697" s="3470">
        <v>20</v>
      </c>
      <c r="AB697" s="3470">
        <v>1045</v>
      </c>
      <c r="AC697" s="3470" t="s">
        <v>7679</v>
      </c>
      <c r="AE697" s="3470" t="s">
        <v>3663</v>
      </c>
      <c r="AF697" s="3470" t="s">
        <v>3493</v>
      </c>
      <c r="AG697" s="3470" t="s">
        <v>3466</v>
      </c>
      <c r="AI697" s="3470" t="s">
        <v>5021</v>
      </c>
      <c r="AK697" s="3470">
        <v>8</v>
      </c>
      <c r="AL697" s="3470">
        <v>67641700</v>
      </c>
      <c r="AN697" s="3470" t="s">
        <v>3739</v>
      </c>
      <c r="AP697" s="3470" t="s">
        <v>3679</v>
      </c>
      <c r="AQ697" s="3470" t="s">
        <v>3571</v>
      </c>
      <c r="AW697" s="3470" t="s">
        <v>8251</v>
      </c>
      <c r="AY697" s="3481"/>
      <c r="AZ697" s="3470" t="s">
        <v>8252</v>
      </c>
      <c r="BA697" s="3470" t="s">
        <v>8253</v>
      </c>
      <c r="BB697" s="3481" t="s">
        <v>6638</v>
      </c>
      <c r="BD697" s="3482">
        <v>100034</v>
      </c>
      <c r="BE697" s="3470">
        <v>66511210</v>
      </c>
      <c r="BF697" s="3483"/>
      <c r="BG697" s="3478">
        <v>37690</v>
      </c>
      <c r="BH697" s="3470" t="s">
        <v>8254</v>
      </c>
      <c r="BI697" s="3470" t="s">
        <v>8007</v>
      </c>
      <c r="BJ697" s="3508">
        <v>37847</v>
      </c>
      <c r="BK697" s="3508"/>
      <c r="BL697" s="3470" t="s">
        <v>8255</v>
      </c>
      <c r="BP697" s="3441"/>
      <c r="BQ697" s="3441"/>
      <c r="BR697" s="3441"/>
    </row>
    <row r="698" spans="1:70" s="3470" customFormat="1" ht="12" hidden="1">
      <c r="A698" s="3470" t="s">
        <v>8366</v>
      </c>
      <c r="B698" s="3470" t="s">
        <v>8367</v>
      </c>
      <c r="C698" s="3470" t="s">
        <v>8368</v>
      </c>
      <c r="D698" s="3470">
        <v>13911373852</v>
      </c>
      <c r="E698" s="3470" t="s">
        <v>3558</v>
      </c>
      <c r="F698" s="3470" t="s">
        <v>4600</v>
      </c>
      <c r="H698" s="3470" t="s">
        <v>8249</v>
      </c>
      <c r="I698" s="3470" t="s">
        <v>7690</v>
      </c>
      <c r="J698" s="3470" t="s">
        <v>8301</v>
      </c>
      <c r="K698" s="3470" t="s">
        <v>5004</v>
      </c>
      <c r="L698" s="3470">
        <v>66.83</v>
      </c>
      <c r="M698" s="3470">
        <v>4</v>
      </c>
      <c r="N698" s="3470" t="s">
        <v>4030</v>
      </c>
      <c r="O698" s="3470">
        <v>61.37</v>
      </c>
      <c r="P698" s="3470" t="s">
        <v>3452</v>
      </c>
      <c r="Q698" s="3470">
        <v>190467.5049</v>
      </c>
      <c r="R698" s="3470">
        <v>2850.03</v>
      </c>
      <c r="S698" s="3470">
        <v>21.78</v>
      </c>
      <c r="T698" s="3470">
        <v>217800</v>
      </c>
      <c r="U698" s="3470">
        <v>3260</v>
      </c>
      <c r="V698" s="3470">
        <v>0.1</v>
      </c>
      <c r="W698" s="3470">
        <v>19.600000000000001</v>
      </c>
      <c r="X698" s="3470">
        <v>196000</v>
      </c>
      <c r="Y698" s="3470">
        <v>2003</v>
      </c>
      <c r="Z698" s="3470">
        <v>8</v>
      </c>
      <c r="AA698" s="3470">
        <v>20</v>
      </c>
      <c r="AB698" s="3470">
        <v>950</v>
      </c>
      <c r="AC698" s="3470" t="s">
        <v>7679</v>
      </c>
      <c r="AE698" s="3470" t="s">
        <v>3663</v>
      </c>
      <c r="AF698" s="3470" t="s">
        <v>3493</v>
      </c>
      <c r="AG698" s="3470" t="s">
        <v>3466</v>
      </c>
      <c r="AI698" s="3470" t="s">
        <v>5021</v>
      </c>
      <c r="AK698" s="3470">
        <v>8</v>
      </c>
      <c r="AL698" s="3470">
        <v>67641700</v>
      </c>
      <c r="AN698" s="3470" t="s">
        <v>3739</v>
      </c>
      <c r="AP698" s="3470" t="s">
        <v>3679</v>
      </c>
      <c r="AQ698" s="3470" t="s">
        <v>3571</v>
      </c>
      <c r="AW698" s="3470" t="s">
        <v>8251</v>
      </c>
      <c r="AY698" s="3481"/>
      <c r="AZ698" s="3470" t="s">
        <v>8252</v>
      </c>
      <c r="BA698" s="3470" t="s">
        <v>8253</v>
      </c>
      <c r="BB698" s="3481" t="s">
        <v>6638</v>
      </c>
      <c r="BD698" s="3482">
        <v>100034</v>
      </c>
      <c r="BE698" s="3470">
        <v>66511210</v>
      </c>
      <c r="BF698" s="3483"/>
      <c r="BG698" s="3478">
        <v>37690</v>
      </c>
      <c r="BH698" s="3470" t="s">
        <v>8254</v>
      </c>
      <c r="BI698" s="3470" t="s">
        <v>8007</v>
      </c>
      <c r="BJ698" s="3508">
        <v>37847</v>
      </c>
      <c r="BK698" s="3508"/>
      <c r="BL698" s="3470" t="s">
        <v>8255</v>
      </c>
      <c r="BP698" s="3441"/>
      <c r="BQ698" s="3441"/>
      <c r="BR698" s="3441"/>
    </row>
    <row r="699" spans="1:70" s="3470" customFormat="1" ht="12" hidden="1">
      <c r="A699" s="3470" t="s">
        <v>8369</v>
      </c>
      <c r="B699" s="3470" t="s">
        <v>8370</v>
      </c>
      <c r="C699" s="3470" t="s">
        <v>8371</v>
      </c>
      <c r="D699" s="3470">
        <v>13301225627</v>
      </c>
      <c r="E699" s="3470" t="s">
        <v>3558</v>
      </c>
      <c r="F699" s="3470" t="s">
        <v>4600</v>
      </c>
      <c r="H699" s="3470" t="s">
        <v>8249</v>
      </c>
      <c r="I699" s="3470" t="s">
        <v>8372</v>
      </c>
      <c r="J699" s="3470" t="s">
        <v>8373</v>
      </c>
      <c r="K699" s="3470" t="s">
        <v>5004</v>
      </c>
      <c r="L699" s="3470">
        <v>69.180000000000007</v>
      </c>
      <c r="M699" s="3470">
        <v>1</v>
      </c>
      <c r="N699" s="3470" t="s">
        <v>4030</v>
      </c>
      <c r="O699" s="3470">
        <v>63.53</v>
      </c>
      <c r="P699" s="3470" t="s">
        <v>3452</v>
      </c>
      <c r="Q699" s="3470">
        <v>197165.07540000003</v>
      </c>
      <c r="R699" s="3470">
        <v>2850.03</v>
      </c>
      <c r="S699" s="3470">
        <v>22.13</v>
      </c>
      <c r="T699" s="3470">
        <v>221300</v>
      </c>
      <c r="U699" s="3470">
        <v>3200</v>
      </c>
      <c r="V699" s="3470">
        <v>0.1</v>
      </c>
      <c r="W699" s="3470">
        <v>19.91</v>
      </c>
      <c r="X699" s="3470">
        <v>199100</v>
      </c>
      <c r="Y699" s="3470">
        <v>2003</v>
      </c>
      <c r="Z699" s="3470">
        <v>8</v>
      </c>
      <c r="AA699" s="3470">
        <v>20</v>
      </c>
      <c r="AB699" s="3470">
        <v>985</v>
      </c>
      <c r="AC699" s="3470" t="s">
        <v>7679</v>
      </c>
      <c r="AE699" s="3470" t="s">
        <v>3663</v>
      </c>
      <c r="AF699" s="3470" t="s">
        <v>3493</v>
      </c>
      <c r="AG699" s="3470" t="s">
        <v>3466</v>
      </c>
      <c r="AI699" s="3470" t="s">
        <v>5021</v>
      </c>
      <c r="AK699" s="3470">
        <v>8</v>
      </c>
      <c r="AL699" s="3470">
        <v>67641700</v>
      </c>
      <c r="AN699" s="3470" t="s">
        <v>3739</v>
      </c>
      <c r="AP699" s="3470" t="s">
        <v>3679</v>
      </c>
      <c r="AQ699" s="3470" t="s">
        <v>3571</v>
      </c>
      <c r="AW699" s="3470" t="s">
        <v>8251</v>
      </c>
      <c r="AY699" s="3481"/>
      <c r="AZ699" s="3470" t="s">
        <v>8252</v>
      </c>
      <c r="BA699" s="3470" t="s">
        <v>8253</v>
      </c>
      <c r="BB699" s="3481" t="s">
        <v>6638</v>
      </c>
      <c r="BD699" s="3482">
        <v>100034</v>
      </c>
      <c r="BE699" s="3470">
        <v>66511210</v>
      </c>
      <c r="BF699" s="3483"/>
      <c r="BG699" s="3478">
        <v>37690</v>
      </c>
      <c r="BH699" s="3470" t="s">
        <v>8254</v>
      </c>
      <c r="BI699" s="3470" t="s">
        <v>8007</v>
      </c>
      <c r="BJ699" s="3508">
        <v>37847</v>
      </c>
      <c r="BK699" s="3508"/>
      <c r="BL699" s="3470" t="s">
        <v>8255</v>
      </c>
      <c r="BP699" s="3441"/>
      <c r="BQ699" s="3441"/>
      <c r="BR699" s="3441"/>
    </row>
    <row r="700" spans="1:70" s="3470" customFormat="1" ht="12" hidden="1">
      <c r="A700" s="3470" t="s">
        <v>8374</v>
      </c>
      <c r="B700" s="3470" t="s">
        <v>8375</v>
      </c>
      <c r="C700" s="3470" t="s">
        <v>8376</v>
      </c>
      <c r="D700" s="3470">
        <v>13621044575</v>
      </c>
      <c r="E700" s="3470" t="s">
        <v>3558</v>
      </c>
      <c r="F700" s="3470" t="s">
        <v>4600</v>
      </c>
      <c r="H700" s="3470" t="s">
        <v>8249</v>
      </c>
      <c r="I700" s="3470" t="s">
        <v>8377</v>
      </c>
      <c r="J700" s="3470" t="s">
        <v>8250</v>
      </c>
      <c r="K700" s="3470" t="s">
        <v>5004</v>
      </c>
      <c r="L700" s="3470">
        <v>73.5</v>
      </c>
      <c r="M700" s="3470">
        <v>1</v>
      </c>
      <c r="N700" s="3470" t="s">
        <v>4030</v>
      </c>
      <c r="O700" s="3470">
        <v>67.489999999999995</v>
      </c>
      <c r="P700" s="3470" t="s">
        <v>3452</v>
      </c>
      <c r="Q700" s="3470">
        <v>209477.20500000002</v>
      </c>
      <c r="R700" s="3470">
        <v>2850.03</v>
      </c>
      <c r="S700" s="3470">
        <v>23.66</v>
      </c>
      <c r="T700" s="3470">
        <v>236600</v>
      </c>
      <c r="U700" s="3470">
        <v>3220</v>
      </c>
      <c r="V700" s="3470">
        <v>0.1</v>
      </c>
      <c r="W700" s="3470">
        <v>21.29</v>
      </c>
      <c r="X700" s="3470">
        <v>212900</v>
      </c>
      <c r="Y700" s="3470">
        <v>2003</v>
      </c>
      <c r="Z700" s="3470">
        <v>8</v>
      </c>
      <c r="AA700" s="3470">
        <v>20</v>
      </c>
      <c r="AB700" s="3470">
        <v>1045</v>
      </c>
      <c r="AC700" s="3470" t="s">
        <v>7679</v>
      </c>
      <c r="AE700" s="3470" t="s">
        <v>3663</v>
      </c>
      <c r="AF700" s="3470" t="s">
        <v>3493</v>
      </c>
      <c r="AG700" s="3470" t="s">
        <v>3466</v>
      </c>
      <c r="AI700" s="3470" t="s">
        <v>5021</v>
      </c>
      <c r="AK700" s="3470">
        <v>8</v>
      </c>
      <c r="AL700" s="3470">
        <v>67641700</v>
      </c>
      <c r="AN700" s="3470" t="s">
        <v>3739</v>
      </c>
      <c r="AP700" s="3470" t="s">
        <v>3679</v>
      </c>
      <c r="AQ700" s="3470" t="s">
        <v>3571</v>
      </c>
      <c r="AW700" s="3470" t="s">
        <v>8251</v>
      </c>
      <c r="AY700" s="3481"/>
      <c r="AZ700" s="3470" t="s">
        <v>8252</v>
      </c>
      <c r="BA700" s="3470" t="s">
        <v>8253</v>
      </c>
      <c r="BB700" s="3481" t="s">
        <v>6638</v>
      </c>
      <c r="BD700" s="3482">
        <v>100034</v>
      </c>
      <c r="BE700" s="3470">
        <v>66511210</v>
      </c>
      <c r="BF700" s="3483"/>
      <c r="BG700" s="3478">
        <v>37690</v>
      </c>
      <c r="BH700" s="3470" t="s">
        <v>8254</v>
      </c>
      <c r="BI700" s="3470" t="s">
        <v>8007</v>
      </c>
      <c r="BJ700" s="3508">
        <v>37847</v>
      </c>
      <c r="BK700" s="3508"/>
      <c r="BL700" s="3470" t="s">
        <v>8255</v>
      </c>
      <c r="BP700" s="3441"/>
      <c r="BQ700" s="3441"/>
      <c r="BR700" s="3441"/>
    </row>
    <row r="701" spans="1:70" s="3470" customFormat="1" ht="12" hidden="1">
      <c r="A701" s="3470" t="s">
        <v>8378</v>
      </c>
      <c r="B701" s="3470" t="s">
        <v>8379</v>
      </c>
      <c r="C701" s="3470" t="s">
        <v>8380</v>
      </c>
      <c r="D701" s="3470">
        <v>68659511</v>
      </c>
      <c r="E701" s="3470" t="s">
        <v>3558</v>
      </c>
      <c r="F701" s="3470" t="s">
        <v>4600</v>
      </c>
      <c r="H701" s="3470" t="s">
        <v>8249</v>
      </c>
      <c r="I701" s="3470" t="s">
        <v>4877</v>
      </c>
      <c r="J701" s="3470" t="s">
        <v>8283</v>
      </c>
      <c r="K701" s="3470" t="s">
        <v>5004</v>
      </c>
      <c r="L701" s="3470">
        <v>67.569999999999993</v>
      </c>
      <c r="M701" s="3470">
        <v>2</v>
      </c>
      <c r="N701" s="3470" t="s">
        <v>4030</v>
      </c>
      <c r="O701" s="3470">
        <v>62.05</v>
      </c>
      <c r="P701" s="3470" t="s">
        <v>3452</v>
      </c>
      <c r="Q701" s="3470">
        <v>192576.52710000001</v>
      </c>
      <c r="R701" s="3470">
        <v>2850.03</v>
      </c>
      <c r="S701" s="3470">
        <v>21.55</v>
      </c>
      <c r="T701" s="3470">
        <v>215500</v>
      </c>
      <c r="U701" s="3470">
        <v>3190</v>
      </c>
      <c r="V701" s="3470">
        <v>0.1</v>
      </c>
      <c r="W701" s="3470">
        <v>19.39</v>
      </c>
      <c r="X701" s="3470">
        <v>193900</v>
      </c>
      <c r="Y701" s="3470">
        <v>2003</v>
      </c>
      <c r="Z701" s="3470">
        <v>8</v>
      </c>
      <c r="AA701" s="3470">
        <v>20</v>
      </c>
      <c r="AB701" s="3470">
        <v>960</v>
      </c>
      <c r="AC701" s="3470" t="s">
        <v>7679</v>
      </c>
      <c r="AE701" s="3470" t="s">
        <v>3663</v>
      </c>
      <c r="AF701" s="3470" t="s">
        <v>3493</v>
      </c>
      <c r="AG701" s="3470" t="s">
        <v>3466</v>
      </c>
      <c r="AI701" s="3470" t="s">
        <v>5021</v>
      </c>
      <c r="AK701" s="3470">
        <v>8</v>
      </c>
      <c r="AL701" s="3470">
        <v>67641700</v>
      </c>
      <c r="AN701" s="3470" t="s">
        <v>3739</v>
      </c>
      <c r="AP701" s="3470" t="s">
        <v>3679</v>
      </c>
      <c r="AQ701" s="3470" t="s">
        <v>3571</v>
      </c>
      <c r="AW701" s="3470" t="s">
        <v>8251</v>
      </c>
      <c r="AY701" s="3481"/>
      <c r="AZ701" s="3470" t="s">
        <v>8252</v>
      </c>
      <c r="BA701" s="3470" t="s">
        <v>8253</v>
      </c>
      <c r="BB701" s="3481" t="s">
        <v>6638</v>
      </c>
      <c r="BD701" s="3482">
        <v>100034</v>
      </c>
      <c r="BE701" s="3470">
        <v>66511210</v>
      </c>
      <c r="BF701" s="3483"/>
      <c r="BG701" s="3478">
        <v>37690</v>
      </c>
      <c r="BH701" s="3470" t="s">
        <v>8254</v>
      </c>
      <c r="BI701" s="3470" t="s">
        <v>8007</v>
      </c>
      <c r="BJ701" s="3508">
        <v>37847</v>
      </c>
      <c r="BK701" s="3508"/>
      <c r="BL701" s="3470" t="s">
        <v>8255</v>
      </c>
      <c r="BP701" s="3441"/>
      <c r="BQ701" s="3441"/>
      <c r="BR701" s="3441"/>
    </row>
    <row r="702" spans="1:70" s="3470" customFormat="1" ht="12" hidden="1">
      <c r="A702" s="3470" t="s">
        <v>8381</v>
      </c>
      <c r="B702" s="3470" t="s">
        <v>7820</v>
      </c>
      <c r="C702" s="3470" t="s">
        <v>8382</v>
      </c>
      <c r="D702" s="3470">
        <v>68634309</v>
      </c>
      <c r="E702" s="3470" t="s">
        <v>3558</v>
      </c>
      <c r="F702" s="3470" t="s">
        <v>4600</v>
      </c>
      <c r="H702" s="3470" t="s">
        <v>8249</v>
      </c>
      <c r="I702" s="3470" t="s">
        <v>7690</v>
      </c>
      <c r="J702" s="3470" t="s">
        <v>8287</v>
      </c>
      <c r="K702" s="3470" t="s">
        <v>5004</v>
      </c>
      <c r="L702" s="3470">
        <v>145.28</v>
      </c>
      <c r="M702" s="3470">
        <v>6</v>
      </c>
      <c r="N702" s="3470" t="s">
        <v>8271</v>
      </c>
      <c r="O702" s="3470">
        <v>133.41</v>
      </c>
      <c r="P702" s="3470" t="s">
        <v>4879</v>
      </c>
      <c r="Q702" s="3470">
        <v>414052.35840000003</v>
      </c>
      <c r="R702" s="3470">
        <v>2850.03</v>
      </c>
      <c r="S702" s="3470">
        <v>45.47</v>
      </c>
      <c r="T702" s="3470">
        <v>454700</v>
      </c>
      <c r="U702" s="3470">
        <v>3130</v>
      </c>
      <c r="V702" s="3470">
        <v>0.1</v>
      </c>
      <c r="W702" s="3470">
        <v>40.92</v>
      </c>
      <c r="X702" s="3470">
        <v>409200</v>
      </c>
      <c r="Y702" s="3470">
        <v>2003</v>
      </c>
      <c r="Z702" s="3470">
        <v>8</v>
      </c>
      <c r="AA702" s="3470">
        <v>20</v>
      </c>
      <c r="AB702" s="3470">
        <v>2070</v>
      </c>
      <c r="AC702" s="3470" t="s">
        <v>7679</v>
      </c>
      <c r="AE702" s="3470" t="s">
        <v>3663</v>
      </c>
      <c r="AF702" s="3470" t="s">
        <v>3493</v>
      </c>
      <c r="AG702" s="3470" t="s">
        <v>3466</v>
      </c>
      <c r="AI702" s="3470" t="s">
        <v>5021</v>
      </c>
      <c r="AK702" s="3470">
        <v>8</v>
      </c>
      <c r="AL702" s="3470">
        <v>67641700</v>
      </c>
      <c r="AN702" s="3470" t="s">
        <v>3739</v>
      </c>
      <c r="AP702" s="3470" t="s">
        <v>3679</v>
      </c>
      <c r="AQ702" s="3470" t="s">
        <v>3571</v>
      </c>
      <c r="AW702" s="3470" t="s">
        <v>8251</v>
      </c>
      <c r="AY702" s="3481"/>
      <c r="AZ702" s="3470" t="s">
        <v>8252</v>
      </c>
      <c r="BA702" s="3470" t="s">
        <v>8253</v>
      </c>
      <c r="BB702" s="3481" t="s">
        <v>6638</v>
      </c>
      <c r="BD702" s="3482">
        <v>100034</v>
      </c>
      <c r="BE702" s="3470">
        <v>66511210</v>
      </c>
      <c r="BF702" s="3483"/>
      <c r="BG702" s="3478">
        <v>37690</v>
      </c>
      <c r="BH702" s="3470" t="s">
        <v>8254</v>
      </c>
      <c r="BI702" s="3470" t="s">
        <v>8007</v>
      </c>
      <c r="BJ702" s="3508">
        <v>37847</v>
      </c>
      <c r="BK702" s="3508"/>
      <c r="BL702" s="3470" t="s">
        <v>8255</v>
      </c>
      <c r="BP702" s="3441"/>
      <c r="BQ702" s="3441"/>
      <c r="BR702" s="3441"/>
    </row>
    <row r="703" spans="1:70" s="3470" customFormat="1" ht="12" hidden="1">
      <c r="A703" s="3470" t="s">
        <v>8383</v>
      </c>
      <c r="B703" s="3470" t="s">
        <v>8384</v>
      </c>
      <c r="C703" s="3470" t="s">
        <v>8385</v>
      </c>
      <c r="D703" s="3470">
        <v>68659750</v>
      </c>
      <c r="E703" s="3470" t="s">
        <v>3558</v>
      </c>
      <c r="F703" s="3470" t="s">
        <v>4600</v>
      </c>
      <c r="H703" s="3470" t="s">
        <v>8249</v>
      </c>
      <c r="I703" s="3470" t="s">
        <v>7857</v>
      </c>
      <c r="J703" s="3470" t="s">
        <v>8291</v>
      </c>
      <c r="K703" s="3470" t="s">
        <v>5004</v>
      </c>
      <c r="L703" s="3470">
        <v>73.5</v>
      </c>
      <c r="M703" s="3470">
        <v>3</v>
      </c>
      <c r="N703" s="3470" t="s">
        <v>4030</v>
      </c>
      <c r="O703" s="3470">
        <v>67.489999999999995</v>
      </c>
      <c r="P703" s="3470" t="s">
        <v>3452</v>
      </c>
      <c r="Q703" s="3470">
        <v>209477.20500000002</v>
      </c>
      <c r="R703" s="3470">
        <v>2850.03</v>
      </c>
      <c r="S703" s="3470">
        <v>23.74</v>
      </c>
      <c r="T703" s="3470">
        <v>237400</v>
      </c>
      <c r="U703" s="3470">
        <v>3230</v>
      </c>
      <c r="V703" s="3470">
        <v>0.1</v>
      </c>
      <c r="W703" s="3470">
        <v>21.36</v>
      </c>
      <c r="X703" s="3470">
        <v>213600</v>
      </c>
      <c r="Y703" s="3470">
        <v>2003</v>
      </c>
      <c r="Z703" s="3470">
        <v>8</v>
      </c>
      <c r="AA703" s="3470">
        <v>20</v>
      </c>
      <c r="AB703" s="3470">
        <v>1045</v>
      </c>
      <c r="AC703" s="3470" t="s">
        <v>7679</v>
      </c>
      <c r="AE703" s="3470" t="s">
        <v>3663</v>
      </c>
      <c r="AF703" s="3470" t="s">
        <v>3493</v>
      </c>
      <c r="AG703" s="3470" t="s">
        <v>3466</v>
      </c>
      <c r="AI703" s="3470" t="s">
        <v>5021</v>
      </c>
      <c r="AK703" s="3470">
        <v>8</v>
      </c>
      <c r="AL703" s="3470">
        <v>67641700</v>
      </c>
      <c r="AN703" s="3470" t="s">
        <v>3739</v>
      </c>
      <c r="AP703" s="3470" t="s">
        <v>3679</v>
      </c>
      <c r="AQ703" s="3470" t="s">
        <v>3571</v>
      </c>
      <c r="AW703" s="3470" t="s">
        <v>8251</v>
      </c>
      <c r="AY703" s="3481"/>
      <c r="AZ703" s="3470" t="s">
        <v>8252</v>
      </c>
      <c r="BA703" s="3470" t="s">
        <v>8253</v>
      </c>
      <c r="BB703" s="3481" t="s">
        <v>6638</v>
      </c>
      <c r="BD703" s="3482">
        <v>100034</v>
      </c>
      <c r="BE703" s="3470">
        <v>66511210</v>
      </c>
      <c r="BF703" s="3483"/>
      <c r="BG703" s="3478">
        <v>37690</v>
      </c>
      <c r="BH703" s="3470" t="s">
        <v>8254</v>
      </c>
      <c r="BI703" s="3470" t="s">
        <v>8007</v>
      </c>
      <c r="BJ703" s="3508">
        <v>37847</v>
      </c>
      <c r="BK703" s="3508"/>
      <c r="BL703" s="3470" t="s">
        <v>8255</v>
      </c>
      <c r="BP703" s="3441"/>
      <c r="BQ703" s="3441"/>
      <c r="BR703" s="3441"/>
    </row>
    <row r="704" spans="1:70" s="3470" customFormat="1" ht="12" hidden="1">
      <c r="A704" s="3470" t="s">
        <v>8386</v>
      </c>
      <c r="B704" s="3470" t="s">
        <v>8387</v>
      </c>
      <c r="C704" s="3470" t="s">
        <v>8388</v>
      </c>
      <c r="D704" s="3470">
        <v>68661852</v>
      </c>
      <c r="E704" s="3470" t="s">
        <v>3558</v>
      </c>
      <c r="F704" s="3470" t="s">
        <v>4600</v>
      </c>
      <c r="H704" s="3470" t="s">
        <v>8249</v>
      </c>
      <c r="I704" s="3470" t="s">
        <v>3561</v>
      </c>
      <c r="J704" s="3470" t="s">
        <v>8283</v>
      </c>
      <c r="K704" s="3470" t="s">
        <v>5004</v>
      </c>
      <c r="L704" s="3470">
        <v>72.91</v>
      </c>
      <c r="M704" s="3470">
        <v>2</v>
      </c>
      <c r="N704" s="3470" t="s">
        <v>4030</v>
      </c>
      <c r="O704" s="3470">
        <v>66.95</v>
      </c>
      <c r="P704" s="3470" t="s">
        <v>3452</v>
      </c>
      <c r="Q704" s="3470">
        <v>207795.68729999999</v>
      </c>
      <c r="R704" s="3470">
        <v>2850.03</v>
      </c>
      <c r="S704" s="3470">
        <v>23.47</v>
      </c>
      <c r="T704" s="3470">
        <v>234700</v>
      </c>
      <c r="U704" s="3470">
        <v>3220</v>
      </c>
      <c r="V704" s="3470">
        <v>0.1</v>
      </c>
      <c r="W704" s="3470">
        <v>21.12</v>
      </c>
      <c r="X704" s="3470">
        <v>211200</v>
      </c>
      <c r="Y704" s="3470">
        <v>2003</v>
      </c>
      <c r="Z704" s="3470">
        <v>8</v>
      </c>
      <c r="AA704" s="3470">
        <v>20</v>
      </c>
      <c r="AB704" s="3470">
        <v>1035</v>
      </c>
      <c r="AC704" s="3470" t="s">
        <v>7679</v>
      </c>
      <c r="AE704" s="3470" t="s">
        <v>3663</v>
      </c>
      <c r="AF704" s="3470" t="s">
        <v>3493</v>
      </c>
      <c r="AG704" s="3470" t="s">
        <v>3466</v>
      </c>
      <c r="AI704" s="3470" t="s">
        <v>5021</v>
      </c>
      <c r="AK704" s="3470">
        <v>8</v>
      </c>
      <c r="AL704" s="3470">
        <v>67641700</v>
      </c>
      <c r="AN704" s="3470" t="s">
        <v>3739</v>
      </c>
      <c r="AP704" s="3470" t="s">
        <v>3679</v>
      </c>
      <c r="AQ704" s="3470" t="s">
        <v>3571</v>
      </c>
      <c r="AW704" s="3470" t="s">
        <v>8251</v>
      </c>
      <c r="AY704" s="3481"/>
      <c r="AZ704" s="3470" t="s">
        <v>8252</v>
      </c>
      <c r="BA704" s="3470" t="s">
        <v>8253</v>
      </c>
      <c r="BB704" s="3481" t="s">
        <v>6638</v>
      </c>
      <c r="BD704" s="3482">
        <v>100034</v>
      </c>
      <c r="BE704" s="3470">
        <v>66511210</v>
      </c>
      <c r="BF704" s="3483"/>
      <c r="BG704" s="3478">
        <v>37690</v>
      </c>
      <c r="BH704" s="3470" t="s">
        <v>8254</v>
      </c>
      <c r="BI704" s="3470" t="s">
        <v>8007</v>
      </c>
      <c r="BJ704" s="3508">
        <v>37847</v>
      </c>
      <c r="BK704" s="3508"/>
      <c r="BL704" s="3470" t="s">
        <v>8255</v>
      </c>
      <c r="BP704" s="3441"/>
      <c r="BQ704" s="3441"/>
      <c r="BR704" s="3441"/>
    </row>
    <row r="705" spans="1:70" s="3470" customFormat="1" ht="12" hidden="1">
      <c r="A705" s="3470" t="s">
        <v>8389</v>
      </c>
      <c r="B705" s="3470" t="s">
        <v>8390</v>
      </c>
      <c r="C705" s="3470" t="s">
        <v>8391</v>
      </c>
      <c r="D705" s="3470">
        <v>13601333140</v>
      </c>
      <c r="E705" s="3470" t="s">
        <v>3558</v>
      </c>
      <c r="F705" s="3470" t="s">
        <v>4600</v>
      </c>
      <c r="H705" s="3470" t="s">
        <v>8249</v>
      </c>
      <c r="I705" s="3470" t="s">
        <v>4877</v>
      </c>
      <c r="J705" s="3470" t="s">
        <v>8270</v>
      </c>
      <c r="K705" s="3470" t="s">
        <v>5004</v>
      </c>
      <c r="L705" s="3470">
        <v>122.7</v>
      </c>
      <c r="M705" s="3470">
        <v>6</v>
      </c>
      <c r="N705" s="3470" t="s">
        <v>8271</v>
      </c>
      <c r="O705" s="3470">
        <v>112.67</v>
      </c>
      <c r="P705" s="3470" t="s">
        <v>4879</v>
      </c>
      <c r="Q705" s="3470">
        <v>349698.68100000004</v>
      </c>
      <c r="R705" s="3470">
        <v>2850.03</v>
      </c>
      <c r="S705" s="3470">
        <v>38.28</v>
      </c>
      <c r="T705" s="3470">
        <v>382800</v>
      </c>
      <c r="U705" s="3470">
        <v>3120</v>
      </c>
      <c r="V705" s="3470">
        <v>0.1</v>
      </c>
      <c r="W705" s="3470">
        <v>34.450000000000003</v>
      </c>
      <c r="X705" s="3470">
        <v>344500</v>
      </c>
      <c r="Y705" s="3470">
        <v>2003</v>
      </c>
      <c r="Z705" s="3470">
        <v>8</v>
      </c>
      <c r="AA705" s="3470">
        <v>20</v>
      </c>
      <c r="AB705" s="3470">
        <v>1745</v>
      </c>
      <c r="AC705" s="3470" t="s">
        <v>7679</v>
      </c>
      <c r="AE705" s="3470" t="s">
        <v>3663</v>
      </c>
      <c r="AF705" s="3470" t="s">
        <v>3493</v>
      </c>
      <c r="AG705" s="3470" t="s">
        <v>3466</v>
      </c>
      <c r="AI705" s="3470" t="s">
        <v>5021</v>
      </c>
      <c r="AK705" s="3470">
        <v>8</v>
      </c>
      <c r="AL705" s="3470">
        <v>67641700</v>
      </c>
      <c r="AN705" s="3470" t="s">
        <v>3739</v>
      </c>
      <c r="AP705" s="3470" t="s">
        <v>3679</v>
      </c>
      <c r="AQ705" s="3470" t="s">
        <v>3571</v>
      </c>
      <c r="AW705" s="3470" t="s">
        <v>8251</v>
      </c>
      <c r="AY705" s="3481"/>
      <c r="AZ705" s="3470" t="s">
        <v>8252</v>
      </c>
      <c r="BA705" s="3470" t="s">
        <v>8253</v>
      </c>
      <c r="BB705" s="3481" t="s">
        <v>6638</v>
      </c>
      <c r="BD705" s="3482">
        <v>100034</v>
      </c>
      <c r="BE705" s="3470">
        <v>66511210</v>
      </c>
      <c r="BF705" s="3483"/>
      <c r="BG705" s="3478">
        <v>37690</v>
      </c>
      <c r="BH705" s="3470" t="s">
        <v>8254</v>
      </c>
      <c r="BI705" s="3470" t="s">
        <v>8007</v>
      </c>
      <c r="BJ705" s="3508">
        <v>37847</v>
      </c>
      <c r="BK705" s="3508"/>
      <c r="BL705" s="3470" t="s">
        <v>8255</v>
      </c>
      <c r="BP705" s="3441"/>
      <c r="BQ705" s="3441"/>
      <c r="BR705" s="3441"/>
    </row>
    <row r="706" spans="1:70" s="3470" customFormat="1" ht="12" hidden="1">
      <c r="A706" s="3470" t="s">
        <v>8392</v>
      </c>
      <c r="B706" s="3470" t="s">
        <v>8393</v>
      </c>
      <c r="C706" s="3470" t="s">
        <v>8394</v>
      </c>
      <c r="D706" s="3470">
        <v>68288934</v>
      </c>
      <c r="E706" s="3470" t="s">
        <v>3558</v>
      </c>
      <c r="F706" s="3470" t="s">
        <v>4600</v>
      </c>
      <c r="H706" s="3470" t="s">
        <v>8249</v>
      </c>
      <c r="I706" s="3470" t="s">
        <v>3561</v>
      </c>
      <c r="J706" s="3470" t="s">
        <v>8395</v>
      </c>
      <c r="K706" s="3470" t="s">
        <v>5004</v>
      </c>
      <c r="L706" s="3470">
        <v>72.91</v>
      </c>
      <c r="M706" s="3470">
        <v>1</v>
      </c>
      <c r="N706" s="3470" t="s">
        <v>4030</v>
      </c>
      <c r="O706" s="3470">
        <v>66.95</v>
      </c>
      <c r="P706" s="3470" t="s">
        <v>3452</v>
      </c>
      <c r="Q706" s="3470">
        <v>207795.68729999999</v>
      </c>
      <c r="R706" s="3470">
        <v>2850.03</v>
      </c>
      <c r="S706" s="3470">
        <v>23.33</v>
      </c>
      <c r="T706" s="3470">
        <v>233300</v>
      </c>
      <c r="U706" s="3470">
        <v>3200</v>
      </c>
      <c r="V706" s="3470">
        <v>0.1</v>
      </c>
      <c r="W706" s="3470">
        <v>20.99</v>
      </c>
      <c r="X706" s="3470">
        <v>209900</v>
      </c>
      <c r="Y706" s="3470">
        <v>2003</v>
      </c>
      <c r="Z706" s="3470">
        <v>8</v>
      </c>
      <c r="AA706" s="3470">
        <v>20</v>
      </c>
      <c r="AB706" s="3470">
        <v>1035</v>
      </c>
      <c r="AC706" s="3470" t="s">
        <v>7679</v>
      </c>
      <c r="AE706" s="3470" t="s">
        <v>3663</v>
      </c>
      <c r="AF706" s="3470" t="s">
        <v>3493</v>
      </c>
      <c r="AG706" s="3470" t="s">
        <v>3466</v>
      </c>
      <c r="AI706" s="3470" t="s">
        <v>5021</v>
      </c>
      <c r="AK706" s="3470">
        <v>8</v>
      </c>
      <c r="AL706" s="3470">
        <v>67641700</v>
      </c>
      <c r="AN706" s="3470" t="s">
        <v>3739</v>
      </c>
      <c r="AP706" s="3470" t="s">
        <v>3679</v>
      </c>
      <c r="AQ706" s="3470" t="s">
        <v>3571</v>
      </c>
      <c r="AW706" s="3470" t="s">
        <v>8251</v>
      </c>
      <c r="AY706" s="3481"/>
      <c r="AZ706" s="3470" t="s">
        <v>8252</v>
      </c>
      <c r="BA706" s="3470" t="s">
        <v>8253</v>
      </c>
      <c r="BB706" s="3481" t="s">
        <v>6638</v>
      </c>
      <c r="BD706" s="3482">
        <v>100034</v>
      </c>
      <c r="BE706" s="3470">
        <v>66511210</v>
      </c>
      <c r="BF706" s="3483"/>
      <c r="BG706" s="3478">
        <v>37690</v>
      </c>
      <c r="BH706" s="3470" t="s">
        <v>8254</v>
      </c>
      <c r="BI706" s="3470" t="s">
        <v>8007</v>
      </c>
      <c r="BJ706" s="3508">
        <v>37847</v>
      </c>
      <c r="BK706" s="3508"/>
      <c r="BL706" s="3470" t="s">
        <v>8255</v>
      </c>
      <c r="BP706" s="3441"/>
      <c r="BQ706" s="3441"/>
      <c r="BR706" s="3441"/>
    </row>
    <row r="707" spans="1:70" s="3470" customFormat="1" ht="12" hidden="1">
      <c r="A707" s="3470" t="s">
        <v>8396</v>
      </c>
      <c r="B707" s="3470" t="s">
        <v>8397</v>
      </c>
      <c r="C707" s="3470" t="s">
        <v>8398</v>
      </c>
      <c r="D707" s="3470">
        <v>13651056086</v>
      </c>
      <c r="E707" s="3470" t="s">
        <v>3558</v>
      </c>
      <c r="F707" s="3470" t="s">
        <v>4600</v>
      </c>
      <c r="H707" s="3470" t="s">
        <v>8249</v>
      </c>
      <c r="I707" s="3470" t="s">
        <v>3561</v>
      </c>
      <c r="J707" s="3470" t="s">
        <v>8279</v>
      </c>
      <c r="K707" s="3470" t="s">
        <v>5004</v>
      </c>
      <c r="L707" s="3470">
        <v>67.569999999999993</v>
      </c>
      <c r="M707" s="3470">
        <v>3</v>
      </c>
      <c r="N707" s="3470" t="s">
        <v>4030</v>
      </c>
      <c r="O707" s="3470">
        <v>62.05</v>
      </c>
      <c r="P707" s="3470" t="s">
        <v>3452</v>
      </c>
      <c r="Q707" s="3470">
        <v>192576.52710000001</v>
      </c>
      <c r="R707" s="3470">
        <v>2850.03</v>
      </c>
      <c r="S707" s="3470">
        <v>22.09</v>
      </c>
      <c r="T707" s="3470">
        <v>220900</v>
      </c>
      <c r="U707" s="3470">
        <v>3270</v>
      </c>
      <c r="V707" s="3470">
        <v>0.1</v>
      </c>
      <c r="W707" s="3470">
        <v>19.88</v>
      </c>
      <c r="X707" s="3470">
        <v>198800</v>
      </c>
      <c r="Y707" s="3470">
        <v>2003</v>
      </c>
      <c r="Z707" s="3470">
        <v>8</v>
      </c>
      <c r="AA707" s="3470">
        <v>20</v>
      </c>
      <c r="AB707" s="3470">
        <v>960</v>
      </c>
      <c r="AC707" s="3470" t="s">
        <v>7679</v>
      </c>
      <c r="AE707" s="3470" t="s">
        <v>3663</v>
      </c>
      <c r="AF707" s="3470" t="s">
        <v>3493</v>
      </c>
      <c r="AG707" s="3470" t="s">
        <v>3466</v>
      </c>
      <c r="AI707" s="3470" t="s">
        <v>5021</v>
      </c>
      <c r="AK707" s="3470">
        <v>8</v>
      </c>
      <c r="AL707" s="3470">
        <v>67641700</v>
      </c>
      <c r="AN707" s="3470" t="s">
        <v>3739</v>
      </c>
      <c r="AP707" s="3470" t="s">
        <v>3679</v>
      </c>
      <c r="AQ707" s="3470" t="s">
        <v>3571</v>
      </c>
      <c r="AW707" s="3470" t="s">
        <v>8251</v>
      </c>
      <c r="AY707" s="3481"/>
      <c r="AZ707" s="3470" t="s">
        <v>8252</v>
      </c>
      <c r="BA707" s="3470" t="s">
        <v>8253</v>
      </c>
      <c r="BB707" s="3481" t="s">
        <v>6638</v>
      </c>
      <c r="BD707" s="3482">
        <v>100034</v>
      </c>
      <c r="BE707" s="3470">
        <v>66511210</v>
      </c>
      <c r="BF707" s="3483"/>
      <c r="BG707" s="3478">
        <v>37690</v>
      </c>
      <c r="BH707" s="3470" t="s">
        <v>8254</v>
      </c>
      <c r="BI707" s="3470" t="s">
        <v>8007</v>
      </c>
      <c r="BJ707" s="3508">
        <v>37847</v>
      </c>
      <c r="BK707" s="3508"/>
      <c r="BL707" s="3470" t="s">
        <v>8255</v>
      </c>
      <c r="BP707" s="3441"/>
      <c r="BQ707" s="3441"/>
      <c r="BR707" s="3441"/>
    </row>
    <row r="708" spans="1:70" s="3470" customFormat="1" ht="12" hidden="1">
      <c r="A708" s="3470" t="s">
        <v>8399</v>
      </c>
      <c r="B708" s="3470" t="s">
        <v>8400</v>
      </c>
      <c r="C708" s="3470" t="s">
        <v>8401</v>
      </c>
      <c r="D708" s="3470">
        <v>13011292933</v>
      </c>
      <c r="E708" s="3470" t="s">
        <v>3558</v>
      </c>
      <c r="F708" s="3470" t="s">
        <v>4600</v>
      </c>
      <c r="H708" s="3470" t="s">
        <v>8249</v>
      </c>
      <c r="I708" s="3470" t="s">
        <v>7857</v>
      </c>
      <c r="J708" s="3470" t="s">
        <v>8313</v>
      </c>
      <c r="K708" s="3470" t="s">
        <v>5004</v>
      </c>
      <c r="L708" s="3470">
        <v>72.91</v>
      </c>
      <c r="M708" s="3470">
        <v>5</v>
      </c>
      <c r="N708" s="3470" t="s">
        <v>4030</v>
      </c>
      <c r="O708" s="3470">
        <v>66.95</v>
      </c>
      <c r="P708" s="3470" t="s">
        <v>3452</v>
      </c>
      <c r="Q708" s="3470">
        <v>207795.68729999999</v>
      </c>
      <c r="R708" s="3470">
        <v>2850.03</v>
      </c>
      <c r="S708" s="3470">
        <v>23.54</v>
      </c>
      <c r="T708" s="3470">
        <v>235400</v>
      </c>
      <c r="U708" s="3470">
        <v>3230</v>
      </c>
      <c r="V708" s="3470">
        <v>0.1</v>
      </c>
      <c r="W708" s="3470">
        <v>21.18</v>
      </c>
      <c r="X708" s="3470">
        <v>211800</v>
      </c>
      <c r="Y708" s="3470">
        <v>2003</v>
      </c>
      <c r="Z708" s="3470">
        <v>8</v>
      </c>
      <c r="AA708" s="3470">
        <v>20</v>
      </c>
      <c r="AB708" s="3470">
        <v>1035</v>
      </c>
      <c r="AC708" s="3470" t="s">
        <v>7679</v>
      </c>
      <c r="AE708" s="3470" t="s">
        <v>3663</v>
      </c>
      <c r="AF708" s="3470" t="s">
        <v>3493</v>
      </c>
      <c r="AG708" s="3470" t="s">
        <v>3466</v>
      </c>
      <c r="AI708" s="3470" t="s">
        <v>5021</v>
      </c>
      <c r="AK708" s="3470">
        <v>8</v>
      </c>
      <c r="AL708" s="3470">
        <v>67641700</v>
      </c>
      <c r="AN708" s="3470" t="s">
        <v>3739</v>
      </c>
      <c r="AP708" s="3470" t="s">
        <v>3679</v>
      </c>
      <c r="AQ708" s="3470" t="s">
        <v>3571</v>
      </c>
      <c r="AW708" s="3470" t="s">
        <v>8251</v>
      </c>
      <c r="AY708" s="3481"/>
      <c r="AZ708" s="3470" t="s">
        <v>8252</v>
      </c>
      <c r="BA708" s="3470" t="s">
        <v>8253</v>
      </c>
      <c r="BB708" s="3481" t="s">
        <v>6638</v>
      </c>
      <c r="BD708" s="3482">
        <v>100034</v>
      </c>
      <c r="BE708" s="3470">
        <v>66511210</v>
      </c>
      <c r="BF708" s="3483"/>
      <c r="BG708" s="3478">
        <v>37690</v>
      </c>
      <c r="BH708" s="3470" t="s">
        <v>8254</v>
      </c>
      <c r="BI708" s="3470" t="s">
        <v>8007</v>
      </c>
      <c r="BJ708" s="3508">
        <v>37847</v>
      </c>
      <c r="BK708" s="3508"/>
      <c r="BL708" s="3470" t="s">
        <v>8255</v>
      </c>
      <c r="BP708" s="3441"/>
      <c r="BQ708" s="3441"/>
      <c r="BR708" s="3441"/>
    </row>
    <row r="709" spans="1:70" s="3470" customFormat="1" ht="12" hidden="1">
      <c r="A709" s="3470" t="s">
        <v>8402</v>
      </c>
      <c r="B709" s="3470" t="s">
        <v>8403</v>
      </c>
      <c r="C709" s="3470" t="s">
        <v>8404</v>
      </c>
      <c r="D709" s="3470">
        <v>68658740</v>
      </c>
      <c r="E709" s="3470" t="s">
        <v>3558</v>
      </c>
      <c r="F709" s="3470" t="s">
        <v>4600</v>
      </c>
      <c r="H709" s="3470" t="s">
        <v>8249</v>
      </c>
      <c r="I709" s="3470" t="s">
        <v>3561</v>
      </c>
      <c r="J709" s="3470" t="s">
        <v>8320</v>
      </c>
      <c r="K709" s="3470" t="s">
        <v>5004</v>
      </c>
      <c r="L709" s="3470">
        <v>67.569999999999993</v>
      </c>
      <c r="M709" s="3470">
        <v>4</v>
      </c>
      <c r="N709" s="3470" t="s">
        <v>4030</v>
      </c>
      <c r="O709" s="3470">
        <v>62.05</v>
      </c>
      <c r="P709" s="3470" t="s">
        <v>3452</v>
      </c>
      <c r="Q709" s="3470">
        <v>192576.52710000001</v>
      </c>
      <c r="R709" s="3470">
        <v>2850.03</v>
      </c>
      <c r="S709" s="3470">
        <v>22.02</v>
      </c>
      <c r="T709" s="3470">
        <v>220200</v>
      </c>
      <c r="U709" s="3470">
        <v>3260</v>
      </c>
      <c r="V709" s="3470">
        <v>0.1</v>
      </c>
      <c r="W709" s="3470">
        <v>19.809999999999999</v>
      </c>
      <c r="X709" s="3470">
        <v>198100</v>
      </c>
      <c r="Y709" s="3470">
        <v>2003</v>
      </c>
      <c r="Z709" s="3470">
        <v>8</v>
      </c>
      <c r="AA709" s="3470">
        <v>20</v>
      </c>
      <c r="AB709" s="3470">
        <v>960</v>
      </c>
      <c r="AC709" s="3470" t="s">
        <v>7679</v>
      </c>
      <c r="AE709" s="3470" t="s">
        <v>3663</v>
      </c>
      <c r="AF709" s="3470" t="s">
        <v>3493</v>
      </c>
      <c r="AG709" s="3470" t="s">
        <v>3466</v>
      </c>
      <c r="AI709" s="3470" t="s">
        <v>5021</v>
      </c>
      <c r="AK709" s="3470">
        <v>8</v>
      </c>
      <c r="AL709" s="3470">
        <v>67641700</v>
      </c>
      <c r="AN709" s="3470" t="s">
        <v>3739</v>
      </c>
      <c r="AP709" s="3470" t="s">
        <v>3679</v>
      </c>
      <c r="AQ709" s="3470" t="s">
        <v>3571</v>
      </c>
      <c r="AW709" s="3470" t="s">
        <v>8251</v>
      </c>
      <c r="AY709" s="3481"/>
      <c r="AZ709" s="3470" t="s">
        <v>8252</v>
      </c>
      <c r="BA709" s="3470" t="s">
        <v>8253</v>
      </c>
      <c r="BB709" s="3481" t="s">
        <v>6638</v>
      </c>
      <c r="BD709" s="3482">
        <v>100034</v>
      </c>
      <c r="BE709" s="3470">
        <v>66511210</v>
      </c>
      <c r="BF709" s="3483"/>
      <c r="BG709" s="3478">
        <v>37690</v>
      </c>
      <c r="BH709" s="3470" t="s">
        <v>8254</v>
      </c>
      <c r="BI709" s="3470" t="s">
        <v>8007</v>
      </c>
      <c r="BJ709" s="3508">
        <v>37847</v>
      </c>
      <c r="BK709" s="3508"/>
      <c r="BL709" s="3470" t="s">
        <v>8255</v>
      </c>
      <c r="BP709" s="3441"/>
      <c r="BQ709" s="3441"/>
      <c r="BR709" s="3441"/>
    </row>
    <row r="710" spans="1:70" s="3470" customFormat="1" ht="12" hidden="1">
      <c r="A710" s="3470" t="s">
        <v>8405</v>
      </c>
      <c r="B710" s="3470" t="s">
        <v>8406</v>
      </c>
      <c r="C710" s="3470" t="s">
        <v>8407</v>
      </c>
      <c r="D710" s="3470">
        <v>68634558</v>
      </c>
      <c r="E710" s="3470" t="s">
        <v>3558</v>
      </c>
      <c r="F710" s="3470" t="s">
        <v>4600</v>
      </c>
      <c r="H710" s="3470" t="s">
        <v>8249</v>
      </c>
      <c r="I710" s="3470" t="s">
        <v>4877</v>
      </c>
      <c r="J710" s="3470" t="s">
        <v>8395</v>
      </c>
      <c r="K710" s="3470" t="s">
        <v>5004</v>
      </c>
      <c r="L710" s="3470">
        <v>67.569999999999993</v>
      </c>
      <c r="M710" s="3470">
        <v>1</v>
      </c>
      <c r="N710" s="3470" t="s">
        <v>4030</v>
      </c>
      <c r="O710" s="3470">
        <v>62.05</v>
      </c>
      <c r="P710" s="3470" t="s">
        <v>3452</v>
      </c>
      <c r="Q710" s="3470">
        <v>192576.52710000001</v>
      </c>
      <c r="R710" s="3470">
        <v>2850.03</v>
      </c>
      <c r="S710" s="3470">
        <v>21.41</v>
      </c>
      <c r="T710" s="3470">
        <v>214100</v>
      </c>
      <c r="U710" s="3470">
        <v>3170</v>
      </c>
      <c r="V710" s="3470">
        <v>0.1</v>
      </c>
      <c r="W710" s="3470">
        <v>19.260000000000002</v>
      </c>
      <c r="X710" s="3470">
        <v>192600</v>
      </c>
      <c r="Y710" s="3470">
        <v>2003</v>
      </c>
      <c r="Z710" s="3470">
        <v>8</v>
      </c>
      <c r="AA710" s="3470">
        <v>20</v>
      </c>
      <c r="AB710" s="3470">
        <v>960</v>
      </c>
      <c r="AC710" s="3470" t="s">
        <v>7679</v>
      </c>
      <c r="AE710" s="3470" t="s">
        <v>3663</v>
      </c>
      <c r="AF710" s="3470" t="s">
        <v>3493</v>
      </c>
      <c r="AG710" s="3470" t="s">
        <v>3466</v>
      </c>
      <c r="AI710" s="3470" t="s">
        <v>5021</v>
      </c>
      <c r="AK710" s="3470">
        <v>8</v>
      </c>
      <c r="AL710" s="3470">
        <v>67641700</v>
      </c>
      <c r="AN710" s="3470" t="s">
        <v>3739</v>
      </c>
      <c r="AP710" s="3470" t="s">
        <v>3679</v>
      </c>
      <c r="AQ710" s="3470" t="s">
        <v>3571</v>
      </c>
      <c r="AW710" s="3470" t="s">
        <v>8251</v>
      </c>
      <c r="AY710" s="3481"/>
      <c r="AZ710" s="3470" t="s">
        <v>8252</v>
      </c>
      <c r="BA710" s="3470" t="s">
        <v>8253</v>
      </c>
      <c r="BB710" s="3481" t="s">
        <v>6638</v>
      </c>
      <c r="BD710" s="3482">
        <v>100034</v>
      </c>
      <c r="BE710" s="3470">
        <v>66511210</v>
      </c>
      <c r="BF710" s="3483"/>
      <c r="BG710" s="3478">
        <v>37690</v>
      </c>
      <c r="BH710" s="3470" t="s">
        <v>8254</v>
      </c>
      <c r="BI710" s="3470" t="s">
        <v>8007</v>
      </c>
      <c r="BJ710" s="3508">
        <v>37847</v>
      </c>
      <c r="BK710" s="3508"/>
      <c r="BL710" s="3470" t="s">
        <v>8255</v>
      </c>
      <c r="BP710" s="3441"/>
      <c r="BQ710" s="3441"/>
      <c r="BR710" s="3441"/>
    </row>
    <row r="711" spans="1:70" s="3470" customFormat="1" ht="12" hidden="1">
      <c r="A711" s="3470" t="s">
        <v>8408</v>
      </c>
      <c r="B711" s="3470" t="s">
        <v>8409</v>
      </c>
      <c r="C711" s="3470" t="s">
        <v>8410</v>
      </c>
      <c r="D711" s="3470" t="s">
        <v>8411</v>
      </c>
      <c r="E711" s="3470" t="s">
        <v>3558</v>
      </c>
      <c r="F711" s="3470" t="s">
        <v>4600</v>
      </c>
      <c r="H711" s="3470" t="s">
        <v>8249</v>
      </c>
      <c r="I711" s="3470" t="s">
        <v>4019</v>
      </c>
      <c r="J711" s="3470" t="s">
        <v>8320</v>
      </c>
      <c r="K711" s="3470" t="s">
        <v>5004</v>
      </c>
      <c r="L711" s="3470">
        <v>69.180000000000007</v>
      </c>
      <c r="M711" s="3470">
        <v>4</v>
      </c>
      <c r="N711" s="3470" t="s">
        <v>4030</v>
      </c>
      <c r="O711" s="3470">
        <v>63.53</v>
      </c>
      <c r="P711" s="3470" t="s">
        <v>3452</v>
      </c>
      <c r="Q711" s="3470">
        <v>197165.07540000003</v>
      </c>
      <c r="R711" s="3470">
        <v>2850.03</v>
      </c>
      <c r="S711" s="3470">
        <v>22.41</v>
      </c>
      <c r="T711" s="3470">
        <v>224100</v>
      </c>
      <c r="U711" s="3470">
        <v>3240</v>
      </c>
      <c r="V711" s="3470">
        <v>0.1</v>
      </c>
      <c r="W711" s="3470">
        <v>20.16</v>
      </c>
      <c r="X711" s="3470">
        <v>201600</v>
      </c>
      <c r="Y711" s="3470">
        <v>2003</v>
      </c>
      <c r="Z711" s="3470">
        <v>8</v>
      </c>
      <c r="AA711" s="3470">
        <v>20</v>
      </c>
      <c r="AB711" s="3470">
        <v>985</v>
      </c>
      <c r="AC711" s="3470" t="s">
        <v>7679</v>
      </c>
      <c r="AE711" s="3470" t="s">
        <v>3663</v>
      </c>
      <c r="AF711" s="3470" t="s">
        <v>3493</v>
      </c>
      <c r="AG711" s="3470" t="s">
        <v>3466</v>
      </c>
      <c r="AI711" s="3470" t="s">
        <v>5021</v>
      </c>
      <c r="AK711" s="3470">
        <v>8</v>
      </c>
      <c r="AL711" s="3470">
        <v>67641700</v>
      </c>
      <c r="AN711" s="3470" t="s">
        <v>3739</v>
      </c>
      <c r="AP711" s="3470" t="s">
        <v>3679</v>
      </c>
      <c r="AQ711" s="3470" t="s">
        <v>3571</v>
      </c>
      <c r="AW711" s="3470" t="s">
        <v>8251</v>
      </c>
      <c r="AY711" s="3481"/>
      <c r="AZ711" s="3470" t="s">
        <v>8252</v>
      </c>
      <c r="BA711" s="3470" t="s">
        <v>8253</v>
      </c>
      <c r="BB711" s="3481" t="s">
        <v>6638</v>
      </c>
      <c r="BD711" s="3482">
        <v>100034</v>
      </c>
      <c r="BE711" s="3470">
        <v>66511210</v>
      </c>
      <c r="BF711" s="3483"/>
      <c r="BG711" s="3478">
        <v>37690</v>
      </c>
      <c r="BH711" s="3470" t="s">
        <v>8254</v>
      </c>
      <c r="BI711" s="3470" t="s">
        <v>8007</v>
      </c>
      <c r="BJ711" s="3508">
        <v>37847</v>
      </c>
      <c r="BK711" s="3508"/>
      <c r="BL711" s="3470" t="s">
        <v>8255</v>
      </c>
      <c r="BP711" s="3441"/>
      <c r="BQ711" s="3441"/>
      <c r="BR711" s="3441"/>
    </row>
    <row r="712" spans="1:70" s="3470" customFormat="1" ht="12" hidden="1">
      <c r="A712" s="3470" t="s">
        <v>8412</v>
      </c>
      <c r="B712" s="3470" t="s">
        <v>8413</v>
      </c>
      <c r="C712" s="3470" t="s">
        <v>8414</v>
      </c>
      <c r="D712" s="3470">
        <v>68246625</v>
      </c>
      <c r="E712" s="3470" t="s">
        <v>3558</v>
      </c>
      <c r="F712" s="3470" t="s">
        <v>4600</v>
      </c>
      <c r="H712" s="3470" t="s">
        <v>8249</v>
      </c>
      <c r="I712" s="3470" t="s">
        <v>4019</v>
      </c>
      <c r="J712" s="3470" t="s">
        <v>8301</v>
      </c>
      <c r="K712" s="3470" t="s">
        <v>5004</v>
      </c>
      <c r="L712" s="3470">
        <v>66.83</v>
      </c>
      <c r="M712" s="3470">
        <v>4</v>
      </c>
      <c r="N712" s="3470" t="s">
        <v>4030</v>
      </c>
      <c r="O712" s="3470">
        <v>61.37</v>
      </c>
      <c r="P712" s="3470" t="s">
        <v>3452</v>
      </c>
      <c r="Q712" s="3470">
        <v>190467.5049</v>
      </c>
      <c r="R712" s="3470">
        <v>2850.03</v>
      </c>
      <c r="S712" s="3470">
        <v>21.92</v>
      </c>
      <c r="T712" s="3470">
        <v>219200</v>
      </c>
      <c r="U712" s="3470">
        <v>3280</v>
      </c>
      <c r="V712" s="3470">
        <v>0.1</v>
      </c>
      <c r="W712" s="3470">
        <v>19.72</v>
      </c>
      <c r="X712" s="3470">
        <v>197200</v>
      </c>
      <c r="Y712" s="3470">
        <v>2003</v>
      </c>
      <c r="Z712" s="3470">
        <v>8</v>
      </c>
      <c r="AA712" s="3470">
        <v>20</v>
      </c>
      <c r="AB712" s="3470">
        <v>950</v>
      </c>
      <c r="AC712" s="3470" t="s">
        <v>7679</v>
      </c>
      <c r="AE712" s="3470" t="s">
        <v>3663</v>
      </c>
      <c r="AF712" s="3470" t="s">
        <v>3493</v>
      </c>
      <c r="AG712" s="3470" t="s">
        <v>3466</v>
      </c>
      <c r="AI712" s="3470" t="s">
        <v>5021</v>
      </c>
      <c r="AK712" s="3470">
        <v>8</v>
      </c>
      <c r="AL712" s="3470">
        <v>67641700</v>
      </c>
      <c r="AN712" s="3470" t="s">
        <v>3739</v>
      </c>
      <c r="AP712" s="3470" t="s">
        <v>3679</v>
      </c>
      <c r="AQ712" s="3470" t="s">
        <v>3571</v>
      </c>
      <c r="AW712" s="3470" t="s">
        <v>8251</v>
      </c>
      <c r="AY712" s="3481"/>
      <c r="AZ712" s="3470" t="s">
        <v>8252</v>
      </c>
      <c r="BA712" s="3470" t="s">
        <v>8253</v>
      </c>
      <c r="BB712" s="3481" t="s">
        <v>6638</v>
      </c>
      <c r="BD712" s="3482">
        <v>100034</v>
      </c>
      <c r="BE712" s="3470">
        <v>66511210</v>
      </c>
      <c r="BF712" s="3483"/>
      <c r="BG712" s="3478">
        <v>37690</v>
      </c>
      <c r="BH712" s="3470" t="s">
        <v>8254</v>
      </c>
      <c r="BI712" s="3470" t="s">
        <v>8007</v>
      </c>
      <c r="BJ712" s="3508">
        <v>37847</v>
      </c>
      <c r="BK712" s="3508"/>
      <c r="BL712" s="3470" t="s">
        <v>8255</v>
      </c>
      <c r="BP712" s="3441"/>
      <c r="BQ712" s="3441"/>
      <c r="BR712" s="3441"/>
    </row>
    <row r="713" spans="1:70" s="3470" customFormat="1" ht="12" hidden="1">
      <c r="A713" s="3470" t="s">
        <v>8415</v>
      </c>
      <c r="B713" s="3470" t="s">
        <v>8416</v>
      </c>
      <c r="C713" s="3470" t="s">
        <v>8417</v>
      </c>
      <c r="D713" s="3470">
        <v>13501300069</v>
      </c>
      <c r="E713" s="3470" t="s">
        <v>3558</v>
      </c>
      <c r="F713" s="3470" t="s">
        <v>4600</v>
      </c>
      <c r="H713" s="3470" t="s">
        <v>8249</v>
      </c>
      <c r="I713" s="3470" t="s">
        <v>4877</v>
      </c>
      <c r="J713" s="3470" t="s">
        <v>8418</v>
      </c>
      <c r="K713" s="3470" t="s">
        <v>5004</v>
      </c>
      <c r="L713" s="3470">
        <v>133.01</v>
      </c>
      <c r="M713" s="3470">
        <v>6</v>
      </c>
      <c r="N713" s="3470" t="s">
        <v>8271</v>
      </c>
      <c r="O713" s="3470">
        <v>122.14</v>
      </c>
      <c r="P713" s="3470" t="s">
        <v>4879</v>
      </c>
      <c r="Q713" s="3470">
        <v>379082.4903</v>
      </c>
      <c r="R713" s="3470">
        <v>2850.03</v>
      </c>
      <c r="S713" s="3470">
        <v>40.56</v>
      </c>
      <c r="T713" s="3470">
        <v>405600</v>
      </c>
      <c r="U713" s="3470">
        <v>3050</v>
      </c>
      <c r="V713" s="3470">
        <v>0.1</v>
      </c>
      <c r="W713" s="3470">
        <v>36.5</v>
      </c>
      <c r="X713" s="3470">
        <v>365000</v>
      </c>
      <c r="Y713" s="3470">
        <v>2003</v>
      </c>
      <c r="Z713" s="3470">
        <v>8</v>
      </c>
      <c r="AA713" s="3470">
        <v>20</v>
      </c>
      <c r="AB713" s="3470">
        <v>1895</v>
      </c>
      <c r="AC713" s="3470" t="s">
        <v>7679</v>
      </c>
      <c r="AE713" s="3470" t="s">
        <v>3663</v>
      </c>
      <c r="AF713" s="3470" t="s">
        <v>3493</v>
      </c>
      <c r="AG713" s="3470" t="s">
        <v>3466</v>
      </c>
      <c r="AI713" s="3470" t="s">
        <v>5021</v>
      </c>
      <c r="AK713" s="3470">
        <v>8</v>
      </c>
      <c r="AL713" s="3470">
        <v>67641700</v>
      </c>
      <c r="AN713" s="3470" t="s">
        <v>3739</v>
      </c>
      <c r="AP713" s="3470" t="s">
        <v>3679</v>
      </c>
      <c r="AQ713" s="3470" t="s">
        <v>3571</v>
      </c>
      <c r="AW713" s="3470" t="s">
        <v>8251</v>
      </c>
      <c r="AY713" s="3481"/>
      <c r="AZ713" s="3470" t="s">
        <v>8252</v>
      </c>
      <c r="BA713" s="3470" t="s">
        <v>8253</v>
      </c>
      <c r="BB713" s="3481" t="s">
        <v>6638</v>
      </c>
      <c r="BD713" s="3482">
        <v>100034</v>
      </c>
      <c r="BE713" s="3470">
        <v>66511210</v>
      </c>
      <c r="BF713" s="3483"/>
      <c r="BG713" s="3478">
        <v>37690</v>
      </c>
      <c r="BH713" s="3470" t="s">
        <v>8254</v>
      </c>
      <c r="BI713" s="3470" t="s">
        <v>8007</v>
      </c>
      <c r="BJ713" s="3508">
        <v>37847</v>
      </c>
      <c r="BK713" s="3508"/>
      <c r="BL713" s="3470" t="s">
        <v>8255</v>
      </c>
      <c r="BP713" s="3441"/>
      <c r="BQ713" s="3441"/>
      <c r="BR713" s="3441"/>
    </row>
    <row r="714" spans="1:70" s="3470" customFormat="1" ht="12" hidden="1">
      <c r="A714" s="3470" t="s">
        <v>8419</v>
      </c>
      <c r="B714" s="3470" t="s">
        <v>8420</v>
      </c>
      <c r="C714" s="3470" t="s">
        <v>8421</v>
      </c>
      <c r="D714" s="3470">
        <v>68658741</v>
      </c>
      <c r="E714" s="3470" t="s">
        <v>3558</v>
      </c>
      <c r="F714" s="3470" t="s">
        <v>4600</v>
      </c>
      <c r="H714" s="3470" t="s">
        <v>8249</v>
      </c>
      <c r="I714" s="3470" t="s">
        <v>4001</v>
      </c>
      <c r="J714" s="3470" t="s">
        <v>8279</v>
      </c>
      <c r="K714" s="3470" t="s">
        <v>5004</v>
      </c>
      <c r="L714" s="3470">
        <v>69.180000000000007</v>
      </c>
      <c r="M714" s="3470">
        <v>3</v>
      </c>
      <c r="N714" s="3470" t="s">
        <v>4030</v>
      </c>
      <c r="O714" s="3470">
        <v>63.53</v>
      </c>
      <c r="P714" s="3470" t="s">
        <v>3452</v>
      </c>
      <c r="Q714" s="3470">
        <v>197165.07540000003</v>
      </c>
      <c r="R714" s="3470">
        <v>2850.03</v>
      </c>
      <c r="S714" s="3470">
        <v>22.48</v>
      </c>
      <c r="T714" s="3470">
        <v>224800</v>
      </c>
      <c r="U714" s="3470">
        <v>3250</v>
      </c>
      <c r="V714" s="3470">
        <v>0.1</v>
      </c>
      <c r="W714" s="3470">
        <v>20.23</v>
      </c>
      <c r="X714" s="3470">
        <v>202300</v>
      </c>
      <c r="Y714" s="3470">
        <v>2003</v>
      </c>
      <c r="Z714" s="3470">
        <v>8</v>
      </c>
      <c r="AA714" s="3470">
        <v>20</v>
      </c>
      <c r="AB714" s="3470">
        <v>985</v>
      </c>
      <c r="AC714" s="3470" t="s">
        <v>7679</v>
      </c>
      <c r="AE714" s="3470" t="s">
        <v>3663</v>
      </c>
      <c r="AF714" s="3470" t="s">
        <v>3493</v>
      </c>
      <c r="AG714" s="3470" t="s">
        <v>3466</v>
      </c>
      <c r="AI714" s="3470" t="s">
        <v>5021</v>
      </c>
      <c r="AK714" s="3470">
        <v>8</v>
      </c>
      <c r="AL714" s="3470">
        <v>67641700</v>
      </c>
      <c r="AN714" s="3470" t="s">
        <v>3739</v>
      </c>
      <c r="AP714" s="3470" t="s">
        <v>3679</v>
      </c>
      <c r="AQ714" s="3470" t="s">
        <v>3571</v>
      </c>
      <c r="AW714" s="3470" t="s">
        <v>8251</v>
      </c>
      <c r="AY714" s="3481"/>
      <c r="AZ714" s="3470" t="s">
        <v>8252</v>
      </c>
      <c r="BA714" s="3470" t="s">
        <v>8253</v>
      </c>
      <c r="BB714" s="3481" t="s">
        <v>6638</v>
      </c>
      <c r="BD714" s="3482">
        <v>100034</v>
      </c>
      <c r="BE714" s="3470">
        <v>66511210</v>
      </c>
      <c r="BF714" s="3483"/>
      <c r="BG714" s="3478">
        <v>37690</v>
      </c>
      <c r="BH714" s="3470" t="s">
        <v>8254</v>
      </c>
      <c r="BI714" s="3470" t="s">
        <v>8007</v>
      </c>
      <c r="BJ714" s="3508">
        <v>37847</v>
      </c>
      <c r="BK714" s="3508"/>
      <c r="BL714" s="3470" t="s">
        <v>8255</v>
      </c>
      <c r="BP714" s="3441"/>
      <c r="BQ714" s="3441"/>
      <c r="BR714" s="3441"/>
    </row>
    <row r="715" spans="1:70" s="3470" customFormat="1" ht="12" hidden="1">
      <c r="A715" s="3470" t="s">
        <v>8422</v>
      </c>
      <c r="B715" s="3470" t="s">
        <v>8423</v>
      </c>
      <c r="C715" s="3470" t="s">
        <v>8424</v>
      </c>
      <c r="D715" s="3470">
        <v>68221693</v>
      </c>
      <c r="E715" s="3470" t="s">
        <v>3558</v>
      </c>
      <c r="F715" s="3470" t="s">
        <v>4600</v>
      </c>
      <c r="H715" s="3470" t="s">
        <v>8249</v>
      </c>
      <c r="I715" s="3470" t="s">
        <v>7690</v>
      </c>
      <c r="J715" s="3470" t="s">
        <v>8373</v>
      </c>
      <c r="K715" s="3470" t="s">
        <v>5004</v>
      </c>
      <c r="L715" s="3470">
        <v>69.180000000000007</v>
      </c>
      <c r="M715" s="3470">
        <v>1</v>
      </c>
      <c r="N715" s="3470" t="s">
        <v>4030</v>
      </c>
      <c r="O715" s="3470">
        <v>63.53</v>
      </c>
      <c r="P715" s="3470" t="s">
        <v>3452</v>
      </c>
      <c r="Q715" s="3470">
        <v>197165.07540000003</v>
      </c>
      <c r="R715" s="3470">
        <v>2850.03</v>
      </c>
      <c r="S715" s="3470">
        <v>21.99</v>
      </c>
      <c r="T715" s="3470">
        <v>219900</v>
      </c>
      <c r="U715" s="3470">
        <v>3180</v>
      </c>
      <c r="V715" s="3470">
        <v>0.1</v>
      </c>
      <c r="W715" s="3470">
        <v>19.79</v>
      </c>
      <c r="X715" s="3470">
        <v>197900</v>
      </c>
      <c r="Y715" s="3470">
        <v>2003</v>
      </c>
      <c r="Z715" s="3470">
        <v>8</v>
      </c>
      <c r="AA715" s="3470">
        <v>20</v>
      </c>
      <c r="AB715" s="3470">
        <v>985</v>
      </c>
      <c r="AC715" s="3470" t="s">
        <v>7679</v>
      </c>
      <c r="AE715" s="3470" t="s">
        <v>3663</v>
      </c>
      <c r="AF715" s="3470" t="s">
        <v>3493</v>
      </c>
      <c r="AG715" s="3470" t="s">
        <v>3466</v>
      </c>
      <c r="AI715" s="3470" t="s">
        <v>5021</v>
      </c>
      <c r="AK715" s="3470">
        <v>8</v>
      </c>
      <c r="AL715" s="3470">
        <v>67641700</v>
      </c>
      <c r="AN715" s="3470" t="s">
        <v>3739</v>
      </c>
      <c r="AP715" s="3470" t="s">
        <v>3679</v>
      </c>
      <c r="AQ715" s="3470" t="s">
        <v>3571</v>
      </c>
      <c r="AW715" s="3470" t="s">
        <v>8251</v>
      </c>
      <c r="AY715" s="3481"/>
      <c r="AZ715" s="3470" t="s">
        <v>8252</v>
      </c>
      <c r="BA715" s="3470" t="s">
        <v>8253</v>
      </c>
      <c r="BB715" s="3481" t="s">
        <v>6638</v>
      </c>
      <c r="BD715" s="3482">
        <v>100034</v>
      </c>
      <c r="BE715" s="3470">
        <v>66511210</v>
      </c>
      <c r="BF715" s="3483"/>
      <c r="BG715" s="3478">
        <v>37690</v>
      </c>
      <c r="BH715" s="3470" t="s">
        <v>8254</v>
      </c>
      <c r="BI715" s="3470" t="s">
        <v>8007</v>
      </c>
      <c r="BJ715" s="3508">
        <v>37847</v>
      </c>
      <c r="BK715" s="3508"/>
      <c r="BL715" s="3470" t="s">
        <v>8255</v>
      </c>
      <c r="BP715" s="3441"/>
      <c r="BQ715" s="3441"/>
      <c r="BR715" s="3441"/>
    </row>
    <row r="716" spans="1:70" s="3470" customFormat="1" ht="12" hidden="1">
      <c r="A716" s="3470" t="s">
        <v>8425</v>
      </c>
      <c r="B716" s="3470" t="s">
        <v>8426</v>
      </c>
      <c r="C716" s="3470" t="s">
        <v>8427</v>
      </c>
      <c r="D716" s="3470">
        <v>68659843</v>
      </c>
      <c r="E716" s="3470" t="s">
        <v>3558</v>
      </c>
      <c r="F716" s="3470" t="s">
        <v>4600</v>
      </c>
      <c r="H716" s="3470" t="s">
        <v>8249</v>
      </c>
      <c r="I716" s="3470" t="s">
        <v>4001</v>
      </c>
      <c r="J716" s="3470" t="s">
        <v>8428</v>
      </c>
      <c r="K716" s="3470" t="s">
        <v>5004</v>
      </c>
      <c r="L716" s="3470">
        <v>69.180000000000007</v>
      </c>
      <c r="M716" s="3470">
        <v>5</v>
      </c>
      <c r="N716" s="3470" t="s">
        <v>4030</v>
      </c>
      <c r="O716" s="3470">
        <v>63.53</v>
      </c>
      <c r="P716" s="3470" t="s">
        <v>3452</v>
      </c>
      <c r="Q716" s="3470">
        <v>197165.07540000003</v>
      </c>
      <c r="R716" s="3470">
        <v>2850.03</v>
      </c>
      <c r="S716" s="3470">
        <v>22.27</v>
      </c>
      <c r="T716" s="3470">
        <v>222700</v>
      </c>
      <c r="U716" s="3470">
        <v>3220</v>
      </c>
      <c r="V716" s="3470">
        <v>0.1</v>
      </c>
      <c r="W716" s="3470">
        <v>20.04</v>
      </c>
      <c r="X716" s="3470">
        <v>200400</v>
      </c>
      <c r="Y716" s="3470">
        <v>2003</v>
      </c>
      <c r="Z716" s="3470">
        <v>8</v>
      </c>
      <c r="AA716" s="3470">
        <v>20</v>
      </c>
      <c r="AB716" s="3470">
        <v>985</v>
      </c>
      <c r="AC716" s="3470" t="s">
        <v>7679</v>
      </c>
      <c r="AE716" s="3470" t="s">
        <v>3663</v>
      </c>
      <c r="AF716" s="3470" t="s">
        <v>3493</v>
      </c>
      <c r="AG716" s="3470" t="s">
        <v>3466</v>
      </c>
      <c r="AI716" s="3470" t="s">
        <v>5021</v>
      </c>
      <c r="AK716" s="3470">
        <v>8</v>
      </c>
      <c r="AL716" s="3470">
        <v>67641700</v>
      </c>
      <c r="AN716" s="3470" t="s">
        <v>3739</v>
      </c>
      <c r="AP716" s="3470" t="s">
        <v>3679</v>
      </c>
      <c r="AQ716" s="3470" t="s">
        <v>3571</v>
      </c>
      <c r="AW716" s="3470" t="s">
        <v>8251</v>
      </c>
      <c r="AY716" s="3481"/>
      <c r="AZ716" s="3470" t="s">
        <v>8252</v>
      </c>
      <c r="BA716" s="3470" t="s">
        <v>8253</v>
      </c>
      <c r="BB716" s="3481" t="s">
        <v>6638</v>
      </c>
      <c r="BD716" s="3482">
        <v>100034</v>
      </c>
      <c r="BE716" s="3470">
        <v>66511210</v>
      </c>
      <c r="BF716" s="3483"/>
      <c r="BG716" s="3478">
        <v>37690</v>
      </c>
      <c r="BH716" s="3470" t="s">
        <v>8254</v>
      </c>
      <c r="BI716" s="3470" t="s">
        <v>8007</v>
      </c>
      <c r="BJ716" s="3508">
        <v>37847</v>
      </c>
      <c r="BK716" s="3508"/>
      <c r="BL716" s="3470" t="s">
        <v>8255</v>
      </c>
      <c r="BP716" s="3441"/>
      <c r="BQ716" s="3441"/>
      <c r="BR716" s="3441"/>
    </row>
    <row r="717" spans="1:70" s="3470" customFormat="1" ht="12" hidden="1">
      <c r="A717" s="3470" t="s">
        <v>8429</v>
      </c>
      <c r="B717" s="3470" t="s">
        <v>8430</v>
      </c>
      <c r="C717" s="3470" t="s">
        <v>8431</v>
      </c>
      <c r="D717" s="3470">
        <v>13910787509</v>
      </c>
      <c r="E717" s="3470" t="s">
        <v>3558</v>
      </c>
      <c r="F717" s="3470" t="s">
        <v>4600</v>
      </c>
      <c r="H717" s="3470" t="s">
        <v>8249</v>
      </c>
      <c r="I717" s="3470" t="s">
        <v>8125</v>
      </c>
      <c r="J717" s="3470" t="s">
        <v>8320</v>
      </c>
      <c r="K717" s="3470" t="s">
        <v>5004</v>
      </c>
      <c r="L717" s="3470">
        <v>67.569999999999993</v>
      </c>
      <c r="M717" s="3470">
        <v>4</v>
      </c>
      <c r="N717" s="3470" t="s">
        <v>4030</v>
      </c>
      <c r="O717" s="3470">
        <v>62.05</v>
      </c>
      <c r="P717" s="3470" t="s">
        <v>3452</v>
      </c>
      <c r="Q717" s="3470">
        <v>192576.52710000001</v>
      </c>
      <c r="R717" s="3470">
        <v>2850.03</v>
      </c>
      <c r="S717" s="3470">
        <v>21.82</v>
      </c>
      <c r="T717" s="3470">
        <v>218200</v>
      </c>
      <c r="U717" s="3470">
        <v>3230</v>
      </c>
      <c r="V717" s="3470">
        <v>0.1</v>
      </c>
      <c r="W717" s="3470">
        <v>19.63</v>
      </c>
      <c r="X717" s="3470">
        <v>196300</v>
      </c>
      <c r="Y717" s="3470">
        <v>2003</v>
      </c>
      <c r="Z717" s="3470">
        <v>8</v>
      </c>
      <c r="AA717" s="3470">
        <v>20</v>
      </c>
      <c r="AB717" s="3470">
        <v>960</v>
      </c>
      <c r="AC717" s="3470" t="s">
        <v>7679</v>
      </c>
      <c r="AE717" s="3470" t="s">
        <v>3663</v>
      </c>
      <c r="AF717" s="3470" t="s">
        <v>3493</v>
      </c>
      <c r="AG717" s="3470" t="s">
        <v>3466</v>
      </c>
      <c r="AI717" s="3470" t="s">
        <v>5021</v>
      </c>
      <c r="AK717" s="3470">
        <v>8</v>
      </c>
      <c r="AL717" s="3470">
        <v>67641700</v>
      </c>
      <c r="AN717" s="3470" t="s">
        <v>3739</v>
      </c>
      <c r="AP717" s="3470" t="s">
        <v>3679</v>
      </c>
      <c r="AQ717" s="3470" t="s">
        <v>3571</v>
      </c>
      <c r="AW717" s="3470" t="s">
        <v>8251</v>
      </c>
      <c r="AY717" s="3481"/>
      <c r="AZ717" s="3470" t="s">
        <v>8252</v>
      </c>
      <c r="BA717" s="3470" t="s">
        <v>8253</v>
      </c>
      <c r="BB717" s="3481" t="s">
        <v>6638</v>
      </c>
      <c r="BD717" s="3482">
        <v>100034</v>
      </c>
      <c r="BE717" s="3470">
        <v>66511210</v>
      </c>
      <c r="BF717" s="3483"/>
      <c r="BG717" s="3478">
        <v>37690</v>
      </c>
      <c r="BH717" s="3470" t="s">
        <v>8254</v>
      </c>
      <c r="BI717" s="3470" t="s">
        <v>8007</v>
      </c>
      <c r="BJ717" s="3508">
        <v>37847</v>
      </c>
      <c r="BK717" s="3508"/>
      <c r="BL717" s="3470" t="s">
        <v>8255</v>
      </c>
      <c r="BP717" s="3441"/>
      <c r="BQ717" s="3441"/>
      <c r="BR717" s="3441"/>
    </row>
    <row r="718" spans="1:70" s="3470" customFormat="1" ht="12" hidden="1">
      <c r="A718" s="3470" t="s">
        <v>8432</v>
      </c>
      <c r="B718" s="3470" t="s">
        <v>8433</v>
      </c>
      <c r="C718" s="3470" t="s">
        <v>8434</v>
      </c>
      <c r="D718" s="3470">
        <v>68636139</v>
      </c>
      <c r="E718" s="3470" t="s">
        <v>3558</v>
      </c>
      <c r="F718" s="3470" t="s">
        <v>4600</v>
      </c>
      <c r="H718" s="3470" t="s">
        <v>8249</v>
      </c>
      <c r="I718" s="3470" t="s">
        <v>3561</v>
      </c>
      <c r="J718" s="3470" t="s">
        <v>8428</v>
      </c>
      <c r="K718" s="3470" t="s">
        <v>5004</v>
      </c>
      <c r="L718" s="3470">
        <v>67.569999999999993</v>
      </c>
      <c r="M718" s="3470">
        <v>5</v>
      </c>
      <c r="N718" s="3470" t="s">
        <v>4030</v>
      </c>
      <c r="O718" s="3470">
        <v>62.05</v>
      </c>
      <c r="P718" s="3470" t="s">
        <v>3452</v>
      </c>
      <c r="Q718" s="3470">
        <v>192576.52710000001</v>
      </c>
      <c r="R718" s="3470">
        <v>2850.03</v>
      </c>
      <c r="S718" s="3470">
        <v>21.89</v>
      </c>
      <c r="T718" s="3470">
        <v>218900</v>
      </c>
      <c r="U718" s="3470">
        <v>3240</v>
      </c>
      <c r="V718" s="3470">
        <v>0.1</v>
      </c>
      <c r="W718" s="3470">
        <v>19.7</v>
      </c>
      <c r="X718" s="3470">
        <v>197000</v>
      </c>
      <c r="Y718" s="3470">
        <v>2003</v>
      </c>
      <c r="Z718" s="3470">
        <v>8</v>
      </c>
      <c r="AA718" s="3470">
        <v>20</v>
      </c>
      <c r="AB718" s="3470">
        <v>960</v>
      </c>
      <c r="AC718" s="3470" t="s">
        <v>7679</v>
      </c>
      <c r="AE718" s="3470" t="s">
        <v>3663</v>
      </c>
      <c r="AF718" s="3470" t="s">
        <v>3493</v>
      </c>
      <c r="AG718" s="3470" t="s">
        <v>3466</v>
      </c>
      <c r="AI718" s="3470" t="s">
        <v>5021</v>
      </c>
      <c r="AK718" s="3470">
        <v>8</v>
      </c>
      <c r="AL718" s="3470">
        <v>67641700</v>
      </c>
      <c r="AN718" s="3470" t="s">
        <v>3739</v>
      </c>
      <c r="AP718" s="3470" t="s">
        <v>3679</v>
      </c>
      <c r="AQ718" s="3470" t="s">
        <v>3571</v>
      </c>
      <c r="AW718" s="3470" t="s">
        <v>8251</v>
      </c>
      <c r="AY718" s="3481"/>
      <c r="AZ718" s="3470" t="s">
        <v>8252</v>
      </c>
      <c r="BA718" s="3470" t="s">
        <v>8253</v>
      </c>
      <c r="BB718" s="3481" t="s">
        <v>6638</v>
      </c>
      <c r="BD718" s="3482">
        <v>100034</v>
      </c>
      <c r="BE718" s="3470">
        <v>66511210</v>
      </c>
      <c r="BF718" s="3483"/>
      <c r="BG718" s="3478">
        <v>37690</v>
      </c>
      <c r="BH718" s="3470" t="s">
        <v>8254</v>
      </c>
      <c r="BI718" s="3470" t="s">
        <v>8007</v>
      </c>
      <c r="BJ718" s="3508">
        <v>37847</v>
      </c>
      <c r="BK718" s="3508"/>
      <c r="BL718" s="3470" t="s">
        <v>8255</v>
      </c>
      <c r="BP718" s="3441"/>
      <c r="BQ718" s="3441"/>
      <c r="BR718" s="3441"/>
    </row>
    <row r="719" spans="1:70" s="3470" customFormat="1" ht="12" hidden="1">
      <c r="A719" s="3470" t="s">
        <v>8435</v>
      </c>
      <c r="B719" s="3470" t="s">
        <v>8436</v>
      </c>
      <c r="C719" s="3470" t="s">
        <v>8437</v>
      </c>
      <c r="D719" s="3470">
        <v>68636756</v>
      </c>
      <c r="E719" s="3470" t="s">
        <v>3558</v>
      </c>
      <c r="F719" s="3470" t="s">
        <v>4600</v>
      </c>
      <c r="H719" s="3470" t="s">
        <v>8249</v>
      </c>
      <c r="I719" s="3470" t="s">
        <v>8125</v>
      </c>
      <c r="J719" s="3470" t="s">
        <v>8283</v>
      </c>
      <c r="K719" s="3470" t="s">
        <v>5004</v>
      </c>
      <c r="L719" s="3470">
        <v>69.180000000000007</v>
      </c>
      <c r="M719" s="3470">
        <v>2</v>
      </c>
      <c r="N719" s="3470" t="s">
        <v>4030</v>
      </c>
      <c r="O719" s="3470">
        <v>63.53</v>
      </c>
      <c r="P719" s="3470" t="s">
        <v>3452</v>
      </c>
      <c r="Q719" s="3470">
        <v>197165.07540000003</v>
      </c>
      <c r="R719" s="3470">
        <v>2850.03</v>
      </c>
      <c r="S719" s="3470">
        <v>22.2</v>
      </c>
      <c r="T719" s="3470">
        <v>222000</v>
      </c>
      <c r="U719" s="3470">
        <v>3210</v>
      </c>
      <c r="V719" s="3470">
        <v>0.1</v>
      </c>
      <c r="W719" s="3470">
        <v>19.98</v>
      </c>
      <c r="X719" s="3470">
        <v>199800</v>
      </c>
      <c r="Y719" s="3470">
        <v>2003</v>
      </c>
      <c r="Z719" s="3470">
        <v>8</v>
      </c>
      <c r="AA719" s="3470">
        <v>20</v>
      </c>
      <c r="AB719" s="3470">
        <v>985</v>
      </c>
      <c r="AC719" s="3470" t="s">
        <v>7679</v>
      </c>
      <c r="AE719" s="3470" t="s">
        <v>3663</v>
      </c>
      <c r="AF719" s="3470" t="s">
        <v>3493</v>
      </c>
      <c r="AG719" s="3470" t="s">
        <v>3466</v>
      </c>
      <c r="AI719" s="3470" t="s">
        <v>5021</v>
      </c>
      <c r="AK719" s="3470">
        <v>8</v>
      </c>
      <c r="AL719" s="3470">
        <v>67641700</v>
      </c>
      <c r="AN719" s="3470" t="s">
        <v>3739</v>
      </c>
      <c r="AP719" s="3470" t="s">
        <v>3679</v>
      </c>
      <c r="AQ719" s="3470" t="s">
        <v>3571</v>
      </c>
      <c r="AW719" s="3470" t="s">
        <v>8251</v>
      </c>
      <c r="AY719" s="3481"/>
      <c r="AZ719" s="3470" t="s">
        <v>8252</v>
      </c>
      <c r="BA719" s="3470" t="s">
        <v>8253</v>
      </c>
      <c r="BB719" s="3481" t="s">
        <v>6638</v>
      </c>
      <c r="BD719" s="3482">
        <v>100034</v>
      </c>
      <c r="BE719" s="3470">
        <v>66511210</v>
      </c>
      <c r="BF719" s="3483"/>
      <c r="BG719" s="3478">
        <v>37690</v>
      </c>
      <c r="BH719" s="3470" t="s">
        <v>8254</v>
      </c>
      <c r="BI719" s="3470" t="s">
        <v>8007</v>
      </c>
      <c r="BJ719" s="3508">
        <v>37847</v>
      </c>
      <c r="BK719" s="3508"/>
      <c r="BL719" s="3470" t="s">
        <v>8255</v>
      </c>
      <c r="BP719" s="3441"/>
      <c r="BQ719" s="3441"/>
      <c r="BR719" s="3441"/>
    </row>
    <row r="720" spans="1:70" s="3470" customFormat="1" ht="12" hidden="1">
      <c r="A720" s="3470" t="s">
        <v>8438</v>
      </c>
      <c r="B720" s="3470" t="s">
        <v>8439</v>
      </c>
      <c r="C720" s="3470" t="s">
        <v>8440</v>
      </c>
      <c r="D720" s="3470">
        <v>68661933</v>
      </c>
      <c r="E720" s="3470" t="s">
        <v>3558</v>
      </c>
      <c r="F720" s="3470" t="s">
        <v>4600</v>
      </c>
      <c r="H720" s="3470" t="s">
        <v>8249</v>
      </c>
      <c r="I720" s="3470" t="s">
        <v>3561</v>
      </c>
      <c r="J720" s="3470" t="s">
        <v>8259</v>
      </c>
      <c r="K720" s="3470" t="s">
        <v>5004</v>
      </c>
      <c r="L720" s="3470">
        <v>73.5</v>
      </c>
      <c r="M720" s="3470">
        <v>5</v>
      </c>
      <c r="N720" s="3470" t="s">
        <v>4030</v>
      </c>
      <c r="O720" s="3470">
        <v>67.489999999999995</v>
      </c>
      <c r="P720" s="3470" t="s">
        <v>3452</v>
      </c>
      <c r="Q720" s="3470">
        <v>209477.20500000002</v>
      </c>
      <c r="R720" s="3470">
        <v>2850.03</v>
      </c>
      <c r="S720" s="3470">
        <v>23.81</v>
      </c>
      <c r="T720" s="3470">
        <v>238100</v>
      </c>
      <c r="U720" s="3470">
        <v>3240</v>
      </c>
      <c r="V720" s="3470">
        <v>0.1</v>
      </c>
      <c r="W720" s="3470">
        <v>21.42</v>
      </c>
      <c r="X720" s="3470">
        <v>214200</v>
      </c>
      <c r="Y720" s="3470">
        <v>2003</v>
      </c>
      <c r="Z720" s="3470">
        <v>8</v>
      </c>
      <c r="AA720" s="3470">
        <v>20</v>
      </c>
      <c r="AB720" s="3470">
        <v>1045</v>
      </c>
      <c r="AC720" s="3470" t="s">
        <v>7679</v>
      </c>
      <c r="AE720" s="3470" t="s">
        <v>3663</v>
      </c>
      <c r="AF720" s="3470" t="s">
        <v>3493</v>
      </c>
      <c r="AG720" s="3470" t="s">
        <v>3466</v>
      </c>
      <c r="AI720" s="3470" t="s">
        <v>5021</v>
      </c>
      <c r="AK720" s="3470">
        <v>8</v>
      </c>
      <c r="AL720" s="3470">
        <v>67641700</v>
      </c>
      <c r="AN720" s="3470" t="s">
        <v>3739</v>
      </c>
      <c r="AP720" s="3470" t="s">
        <v>3679</v>
      </c>
      <c r="AQ720" s="3470" t="s">
        <v>3571</v>
      </c>
      <c r="AW720" s="3470" t="s">
        <v>8251</v>
      </c>
      <c r="AY720" s="3481"/>
      <c r="AZ720" s="3470" t="s">
        <v>8252</v>
      </c>
      <c r="BA720" s="3470" t="s">
        <v>8253</v>
      </c>
      <c r="BB720" s="3481" t="s">
        <v>6638</v>
      </c>
      <c r="BD720" s="3482">
        <v>100034</v>
      </c>
      <c r="BE720" s="3470">
        <v>66511210</v>
      </c>
      <c r="BF720" s="3483"/>
      <c r="BG720" s="3478">
        <v>37690</v>
      </c>
      <c r="BH720" s="3470" t="s">
        <v>8254</v>
      </c>
      <c r="BI720" s="3470" t="s">
        <v>8007</v>
      </c>
      <c r="BJ720" s="3508">
        <v>37847</v>
      </c>
      <c r="BK720" s="3508"/>
      <c r="BL720" s="3470" t="s">
        <v>8255</v>
      </c>
      <c r="BP720" s="3441"/>
      <c r="BQ720" s="3441"/>
      <c r="BR720" s="3441"/>
    </row>
    <row r="721" spans="1:73" s="3470" customFormat="1" ht="12" hidden="1">
      <c r="A721" s="3470" t="s">
        <v>8441</v>
      </c>
      <c r="B721" s="3470" t="s">
        <v>8442</v>
      </c>
      <c r="C721" s="3470" t="s">
        <v>8443</v>
      </c>
      <c r="D721" s="3470">
        <v>13801022511</v>
      </c>
      <c r="E721" s="3470" t="s">
        <v>3558</v>
      </c>
      <c r="F721" s="3470" t="s">
        <v>4600</v>
      </c>
      <c r="H721" s="3470" t="s">
        <v>8249</v>
      </c>
      <c r="I721" s="3470" t="s">
        <v>4001</v>
      </c>
      <c r="J721" s="3470" t="s">
        <v>8270</v>
      </c>
      <c r="K721" s="3470" t="s">
        <v>5004</v>
      </c>
      <c r="L721" s="3470">
        <v>112.45</v>
      </c>
      <c r="M721" s="3470">
        <v>6</v>
      </c>
      <c r="N721" s="3470" t="s">
        <v>8271</v>
      </c>
      <c r="O721" s="3470">
        <v>103.26</v>
      </c>
      <c r="P721" s="3470" t="s">
        <v>4879</v>
      </c>
      <c r="Q721" s="3470">
        <v>320485.87350000005</v>
      </c>
      <c r="R721" s="3470">
        <v>2850.03</v>
      </c>
      <c r="S721" s="3470">
        <v>35.869999999999997</v>
      </c>
      <c r="T721" s="3470">
        <v>358700</v>
      </c>
      <c r="U721" s="3470">
        <v>3190</v>
      </c>
      <c r="V721" s="3470">
        <v>0.1</v>
      </c>
      <c r="W721" s="3470">
        <v>32.28</v>
      </c>
      <c r="X721" s="3470">
        <v>322800</v>
      </c>
      <c r="Y721" s="3470">
        <v>2003</v>
      </c>
      <c r="Z721" s="3470">
        <v>8</v>
      </c>
      <c r="AA721" s="3470">
        <v>20</v>
      </c>
      <c r="AB721" s="3470">
        <v>1600</v>
      </c>
      <c r="AC721" s="3470" t="s">
        <v>7679</v>
      </c>
      <c r="AE721" s="3470" t="s">
        <v>3663</v>
      </c>
      <c r="AF721" s="3470" t="s">
        <v>3493</v>
      </c>
      <c r="AG721" s="3470" t="s">
        <v>3466</v>
      </c>
      <c r="AI721" s="3470" t="s">
        <v>5021</v>
      </c>
      <c r="AK721" s="3470">
        <v>8</v>
      </c>
      <c r="AL721" s="3470">
        <v>67641700</v>
      </c>
      <c r="AN721" s="3470" t="s">
        <v>3739</v>
      </c>
      <c r="AP721" s="3470" t="s">
        <v>3679</v>
      </c>
      <c r="AQ721" s="3470" t="s">
        <v>3571</v>
      </c>
      <c r="AW721" s="3470" t="s">
        <v>8251</v>
      </c>
      <c r="AY721" s="3481"/>
      <c r="AZ721" s="3470" t="s">
        <v>8252</v>
      </c>
      <c r="BA721" s="3470" t="s">
        <v>8253</v>
      </c>
      <c r="BB721" s="3481" t="s">
        <v>6638</v>
      </c>
      <c r="BD721" s="3482">
        <v>100034</v>
      </c>
      <c r="BE721" s="3470">
        <v>66511210</v>
      </c>
      <c r="BF721" s="3483"/>
      <c r="BG721" s="3478">
        <v>37690</v>
      </c>
      <c r="BH721" s="3470" t="s">
        <v>8254</v>
      </c>
      <c r="BI721" s="3470" t="s">
        <v>8007</v>
      </c>
      <c r="BJ721" s="3508">
        <v>37847</v>
      </c>
      <c r="BK721" s="3508"/>
      <c r="BL721" s="3470" t="s">
        <v>8255</v>
      </c>
      <c r="BP721" s="3441"/>
      <c r="BQ721" s="3441"/>
      <c r="BR721" s="3441"/>
    </row>
    <row r="722" spans="1:73" s="3470" customFormat="1" ht="12" hidden="1">
      <c r="A722" s="3470" t="s">
        <v>8444</v>
      </c>
      <c r="B722" s="3470" t="s">
        <v>8445</v>
      </c>
      <c r="C722" s="3470" t="s">
        <v>8446</v>
      </c>
      <c r="D722" s="3470">
        <v>13321129017</v>
      </c>
      <c r="E722" s="3470" t="s">
        <v>3558</v>
      </c>
      <c r="F722" s="3470" t="s">
        <v>4645</v>
      </c>
      <c r="H722" s="3470" t="s">
        <v>4646</v>
      </c>
      <c r="I722" s="3470" t="s">
        <v>8447</v>
      </c>
      <c r="J722" s="3470" t="s">
        <v>3736</v>
      </c>
      <c r="K722" s="3470" t="s">
        <v>4649</v>
      </c>
      <c r="L722" s="3470">
        <v>92.49</v>
      </c>
      <c r="M722" s="3470">
        <v>3</v>
      </c>
      <c r="N722" s="3470" t="s">
        <v>4030</v>
      </c>
      <c r="O722" s="3470">
        <v>72.91</v>
      </c>
      <c r="P722" s="3470" t="s">
        <v>3452</v>
      </c>
      <c r="Q722" s="3470">
        <v>667962.78</v>
      </c>
      <c r="R722" s="3470">
        <v>7222</v>
      </c>
      <c r="S722" s="3470">
        <v>66.16</v>
      </c>
      <c r="T722" s="3470">
        <v>661600</v>
      </c>
      <c r="U722" s="3470">
        <v>7154</v>
      </c>
      <c r="V722" s="3470">
        <v>0.1</v>
      </c>
      <c r="W722" s="3470">
        <v>59.54</v>
      </c>
      <c r="X722" s="3470">
        <v>595400</v>
      </c>
      <c r="Y722" s="3470">
        <v>2003</v>
      </c>
      <c r="Z722" s="3470">
        <v>8</v>
      </c>
      <c r="AA722" s="3470">
        <v>20</v>
      </c>
      <c r="AB722" s="3470">
        <v>3305</v>
      </c>
      <c r="AC722" s="3470" t="s">
        <v>3693</v>
      </c>
      <c r="AE722" s="3470" t="s">
        <v>3663</v>
      </c>
      <c r="AF722" s="3470" t="s">
        <v>3728</v>
      </c>
      <c r="AG722" s="3470" t="s">
        <v>3466</v>
      </c>
      <c r="AI722" s="3470" t="s">
        <v>5021</v>
      </c>
      <c r="AJ722" s="3470">
        <v>38199</v>
      </c>
      <c r="AK722" s="3470">
        <v>8</v>
      </c>
      <c r="AL722" s="3470">
        <v>67641700</v>
      </c>
      <c r="AN722" s="3470" t="s">
        <v>3680</v>
      </c>
      <c r="AP722" s="3470" t="s">
        <v>3476</v>
      </c>
      <c r="AQ722" s="3470" t="s">
        <v>3571</v>
      </c>
      <c r="AW722" s="3470" t="s">
        <v>3572</v>
      </c>
      <c r="AX722" s="3470" t="s">
        <v>3568</v>
      </c>
      <c r="AY722" s="3481" t="s">
        <v>8448</v>
      </c>
      <c r="AZ722" s="3470" t="s">
        <v>4654</v>
      </c>
      <c r="BA722" s="3470" t="s">
        <v>4688</v>
      </c>
      <c r="BB722" s="3481" t="s">
        <v>4689</v>
      </c>
      <c r="BC722" s="3470" t="s">
        <v>4656</v>
      </c>
      <c r="BD722" s="3482">
        <v>100037</v>
      </c>
      <c r="BE722" s="3470">
        <v>68347718</v>
      </c>
      <c r="BF722" s="3483">
        <v>2.8</v>
      </c>
      <c r="BG722" s="3478">
        <v>37809</v>
      </c>
      <c r="BH722" s="3470" t="s">
        <v>4681</v>
      </c>
      <c r="BI722" s="3470" t="s">
        <v>3476</v>
      </c>
      <c r="BJ722" s="3508">
        <v>37852</v>
      </c>
      <c r="BK722" s="3508"/>
      <c r="BL722" s="3470" t="s">
        <v>3670</v>
      </c>
      <c r="BP722" s="3441"/>
      <c r="BQ722" s="3441"/>
      <c r="BR722" s="3441"/>
    </row>
    <row r="723" spans="1:73" s="3441" customFormat="1" ht="12" hidden="1">
      <c r="A723" s="3485" t="s">
        <v>8449</v>
      </c>
      <c r="B723" s="3470" t="s">
        <v>8450</v>
      </c>
      <c r="C723" s="3481" t="s">
        <v>8451</v>
      </c>
      <c r="D723" s="3481" t="s">
        <v>8452</v>
      </c>
      <c r="E723" s="3470" t="s">
        <v>3763</v>
      </c>
      <c r="F723" s="3521" t="s">
        <v>8453</v>
      </c>
      <c r="G723" s="3470"/>
      <c r="H723" s="3470" t="s">
        <v>8454</v>
      </c>
      <c r="I723" s="3470" t="s">
        <v>8455</v>
      </c>
      <c r="J723" s="3481" t="s">
        <v>8456</v>
      </c>
      <c r="K723" s="3470" t="s">
        <v>8457</v>
      </c>
      <c r="L723" s="3470">
        <v>71.33</v>
      </c>
      <c r="M723" s="3470">
        <v>5</v>
      </c>
      <c r="N723" s="3470" t="s">
        <v>6871</v>
      </c>
      <c r="O723" s="3470">
        <v>54.91</v>
      </c>
      <c r="P723" s="3470" t="s">
        <v>3452</v>
      </c>
      <c r="Q723" s="3457">
        <v>564933.6</v>
      </c>
      <c r="R723" s="3470">
        <v>7920</v>
      </c>
      <c r="S723" s="3472">
        <v>55.88</v>
      </c>
      <c r="T723" s="3527">
        <v>558800</v>
      </c>
      <c r="U723" s="3470">
        <v>7835</v>
      </c>
      <c r="V723" s="3474">
        <v>0.05</v>
      </c>
      <c r="W723" s="3475">
        <v>53.08</v>
      </c>
      <c r="X723" s="3473">
        <v>530800</v>
      </c>
      <c r="Y723" s="3441">
        <v>2003</v>
      </c>
      <c r="Z723" s="3441">
        <v>9</v>
      </c>
      <c r="AA723" s="3441">
        <v>9</v>
      </c>
      <c r="AB723" s="3485">
        <v>2790</v>
      </c>
      <c r="AC723" s="3470" t="s">
        <v>3544</v>
      </c>
      <c r="AD723" s="3485"/>
      <c r="AE723" s="3441" t="s">
        <v>3547</v>
      </c>
      <c r="AF723" s="3470" t="s">
        <v>7256</v>
      </c>
      <c r="AG723" s="3522" t="s">
        <v>3454</v>
      </c>
      <c r="AH723" s="3485"/>
      <c r="AI723" s="3470" t="s">
        <v>3664</v>
      </c>
      <c r="AJ723" s="3523">
        <v>37925</v>
      </c>
      <c r="AK723" s="3479" t="s">
        <v>8458</v>
      </c>
      <c r="AL723" s="3470">
        <v>67641700</v>
      </c>
      <c r="AN723" s="3441" t="s">
        <v>7056</v>
      </c>
      <c r="AO723" s="3441" t="s">
        <v>8459</v>
      </c>
      <c r="AP723" s="3470" t="s">
        <v>3476</v>
      </c>
      <c r="AQ723" s="3441" t="s">
        <v>3457</v>
      </c>
      <c r="AW723" s="3470" t="s">
        <v>3572</v>
      </c>
      <c r="AY723" s="3524" t="s">
        <v>8460</v>
      </c>
      <c r="AZ723" s="3441" t="s">
        <v>5555</v>
      </c>
      <c r="BA723" s="3441" t="s">
        <v>8461</v>
      </c>
      <c r="BB723" s="3524" t="s">
        <v>8462</v>
      </c>
      <c r="BC723" s="3441" t="s">
        <v>8463</v>
      </c>
      <c r="BD723" s="3525">
        <v>100032</v>
      </c>
      <c r="BE723" s="3441">
        <v>66155566</v>
      </c>
      <c r="BF723" s="3526">
        <v>2.7</v>
      </c>
      <c r="BG723" s="3518">
        <v>37831</v>
      </c>
      <c r="BI723" s="3441" t="s">
        <v>8464</v>
      </c>
      <c r="BJ723" s="3484">
        <v>37858</v>
      </c>
      <c r="BK723" s="3518"/>
      <c r="BL723" s="3470" t="s">
        <v>3470</v>
      </c>
      <c r="BS723" s="3470"/>
      <c r="BT723" s="3470"/>
      <c r="BU723" s="3470"/>
    </row>
    <row r="724" spans="1:73" s="3470" customFormat="1" ht="12" hidden="1">
      <c r="A724" s="3470" t="s">
        <v>8465</v>
      </c>
      <c r="B724" s="3470" t="s">
        <v>3459</v>
      </c>
      <c r="C724" s="3470">
        <v>110108650730225</v>
      </c>
      <c r="D724" s="3470">
        <v>13501388080</v>
      </c>
      <c r="E724" s="3470" t="s">
        <v>3558</v>
      </c>
      <c r="F724" s="3470" t="s">
        <v>3978</v>
      </c>
      <c r="H724" s="3470" t="s">
        <v>4168</v>
      </c>
      <c r="I724" s="3470" t="s">
        <v>3735</v>
      </c>
      <c r="J724" s="3470" t="s">
        <v>5629</v>
      </c>
      <c r="K724" s="3470" t="s">
        <v>3981</v>
      </c>
      <c r="L724" s="3470">
        <v>188.87</v>
      </c>
      <c r="M724" s="3470">
        <v>2</v>
      </c>
      <c r="N724" s="3470" t="s">
        <v>3982</v>
      </c>
      <c r="O724" s="3470">
        <v>163.41999999999999</v>
      </c>
      <c r="P724" s="3470" t="s">
        <v>3452</v>
      </c>
      <c r="Q724" s="3470">
        <v>1062960.3600000001</v>
      </c>
      <c r="R724" s="3470">
        <v>5628</v>
      </c>
      <c r="S724" s="3470">
        <v>105.27</v>
      </c>
      <c r="T724" s="3470">
        <v>1052700</v>
      </c>
      <c r="U724" s="3470">
        <v>5574</v>
      </c>
      <c r="V724" s="3470">
        <v>0.05</v>
      </c>
      <c r="W724" s="3470">
        <v>100</v>
      </c>
      <c r="X724" s="3470">
        <v>1000000</v>
      </c>
      <c r="Y724" s="3470">
        <v>2003</v>
      </c>
      <c r="Z724" s="3470">
        <v>9</v>
      </c>
      <c r="AA724" s="3470">
        <v>1</v>
      </c>
      <c r="AB724" s="3470">
        <v>5130</v>
      </c>
      <c r="AC724" s="3470" t="s">
        <v>4743</v>
      </c>
      <c r="AE724" s="3470" t="s">
        <v>3663</v>
      </c>
      <c r="AF724" s="3470" t="s">
        <v>3493</v>
      </c>
      <c r="AG724" s="3470" t="s">
        <v>3466</v>
      </c>
      <c r="AI724" s="3470" t="s">
        <v>5021</v>
      </c>
      <c r="AJ724" s="3470">
        <v>37560</v>
      </c>
      <c r="AK724" s="3470">
        <v>9</v>
      </c>
      <c r="AL724" s="3470">
        <v>67641700</v>
      </c>
      <c r="AN724" s="3470" t="s">
        <v>3570</v>
      </c>
      <c r="AO724" s="3470" t="s">
        <v>8466</v>
      </c>
      <c r="AP724" s="3470" t="s">
        <v>3476</v>
      </c>
      <c r="AQ724" s="3470" t="s">
        <v>3571</v>
      </c>
      <c r="AW724" s="3470" t="s">
        <v>3572</v>
      </c>
      <c r="AY724" s="3481" t="s">
        <v>8467</v>
      </c>
      <c r="AZ724" s="3470" t="s">
        <v>3981</v>
      </c>
      <c r="BA724" s="3470" t="s">
        <v>3984</v>
      </c>
      <c r="BB724" s="3481">
        <v>1102261089510</v>
      </c>
      <c r="BC724" s="3470" t="s">
        <v>3985</v>
      </c>
      <c r="BD724" s="3482">
        <v>100101</v>
      </c>
      <c r="BE724" s="3470">
        <v>64858999</v>
      </c>
      <c r="BF724" s="3483">
        <v>2.8</v>
      </c>
      <c r="BG724" s="3478">
        <v>37834</v>
      </c>
      <c r="BH724" s="3470" t="s">
        <v>4681</v>
      </c>
      <c r="BI724" s="3470" t="s">
        <v>3476</v>
      </c>
      <c r="BJ724" s="3508">
        <v>37853</v>
      </c>
      <c r="BK724" s="3508"/>
      <c r="BL724" s="3470" t="s">
        <v>3670</v>
      </c>
      <c r="BP724" s="3441"/>
      <c r="BQ724" s="3441"/>
      <c r="BR724" s="3441"/>
    </row>
    <row r="725" spans="1:73" s="3441" customFormat="1" ht="12" hidden="1">
      <c r="A725" s="3485" t="s">
        <v>8468</v>
      </c>
      <c r="B725" s="3470" t="s">
        <v>8469</v>
      </c>
      <c r="C725" s="3481" t="s">
        <v>8470</v>
      </c>
      <c r="D725" s="3481">
        <v>13301190495</v>
      </c>
      <c r="E725" s="3470" t="s">
        <v>3558</v>
      </c>
      <c r="F725" s="3521" t="s">
        <v>8471</v>
      </c>
      <c r="G725" s="3470"/>
      <c r="H725" s="3470" t="s">
        <v>8472</v>
      </c>
      <c r="I725" s="3470" t="s">
        <v>7690</v>
      </c>
      <c r="J725" s="3481" t="s">
        <v>8473</v>
      </c>
      <c r="K725" s="3470" t="s">
        <v>5500</v>
      </c>
      <c r="L725" s="3470">
        <v>81.099999999999994</v>
      </c>
      <c r="M725" s="3470">
        <v>12</v>
      </c>
      <c r="N725" s="3470" t="s">
        <v>7421</v>
      </c>
      <c r="O725" s="3470">
        <v>68.12</v>
      </c>
      <c r="P725" s="3470" t="s">
        <v>3452</v>
      </c>
      <c r="Q725" s="3457">
        <v>545965.19999999995</v>
      </c>
      <c r="R725" s="3470">
        <v>6732</v>
      </c>
      <c r="S725" s="3472">
        <v>54.15</v>
      </c>
      <c r="T725" s="3527">
        <v>541500</v>
      </c>
      <c r="U725" s="3470">
        <v>6677</v>
      </c>
      <c r="V725" s="3474">
        <v>0.1</v>
      </c>
      <c r="W725" s="3475">
        <v>48.73</v>
      </c>
      <c r="X725" s="3473">
        <v>487300</v>
      </c>
      <c r="Y725" s="3441">
        <v>2003</v>
      </c>
      <c r="Z725" s="3441">
        <v>9</v>
      </c>
      <c r="AA725" s="3441">
        <v>2</v>
      </c>
      <c r="AB725" s="3485">
        <v>2705</v>
      </c>
      <c r="AC725" s="3470" t="s">
        <v>3565</v>
      </c>
      <c r="AD725" s="3485"/>
      <c r="AE725" s="3441" t="s">
        <v>3663</v>
      </c>
      <c r="AF725" s="3470" t="s">
        <v>4721</v>
      </c>
      <c r="AG725" s="3522" t="s">
        <v>3466</v>
      </c>
      <c r="AH725" s="3485"/>
      <c r="AI725" s="3470" t="s">
        <v>5021</v>
      </c>
      <c r="AJ725" s="3523">
        <v>38138</v>
      </c>
      <c r="AK725" s="3479">
        <v>9</v>
      </c>
      <c r="AL725" s="3441">
        <v>67641700</v>
      </c>
      <c r="AN725" s="3441" t="s">
        <v>3570</v>
      </c>
      <c r="AO725" s="3441" t="s">
        <v>3568</v>
      </c>
      <c r="AP725" s="3441" t="s">
        <v>3476</v>
      </c>
      <c r="AQ725" s="3441" t="s">
        <v>3571</v>
      </c>
      <c r="AW725" s="3441" t="s">
        <v>3572</v>
      </c>
      <c r="AX725" s="3441" t="s">
        <v>3568</v>
      </c>
      <c r="AY725" s="3524">
        <v>538419</v>
      </c>
      <c r="AZ725" s="3441" t="s">
        <v>5500</v>
      </c>
      <c r="BA725" s="3441" t="s">
        <v>7519</v>
      </c>
      <c r="BB725" s="3524" t="s">
        <v>5502</v>
      </c>
      <c r="BC725" s="3441" t="s">
        <v>5503</v>
      </c>
      <c r="BD725" s="3525">
        <v>100080</v>
      </c>
      <c r="BE725" s="3441">
        <v>88442745</v>
      </c>
      <c r="BF725" s="3526">
        <v>2.8</v>
      </c>
      <c r="BG725" s="3518">
        <v>37852</v>
      </c>
      <c r="BH725" s="3441" t="s">
        <v>8474</v>
      </c>
      <c r="BI725" s="3441" t="s">
        <v>3700</v>
      </c>
      <c r="BJ725" s="3484">
        <v>37853</v>
      </c>
      <c r="BK725" s="3518"/>
      <c r="BL725" s="3470" t="s">
        <v>3670</v>
      </c>
      <c r="BS725" s="3470"/>
      <c r="BT725" s="3470"/>
      <c r="BU725" s="3470"/>
    </row>
    <row r="726" spans="1:73" s="3470" customFormat="1" ht="12" hidden="1">
      <c r="A726" s="3470" t="s">
        <v>8475</v>
      </c>
      <c r="B726" s="3470" t="s">
        <v>8476</v>
      </c>
      <c r="C726" s="3470" t="s">
        <v>8477</v>
      </c>
      <c r="D726" s="3470" t="s">
        <v>8478</v>
      </c>
      <c r="E726" s="3470" t="s">
        <v>3558</v>
      </c>
      <c r="F726" s="3470" t="s">
        <v>4669</v>
      </c>
      <c r="H726" s="3470" t="s">
        <v>8030</v>
      </c>
      <c r="I726" s="3470" t="s">
        <v>5088</v>
      </c>
      <c r="J726" s="3470" t="s">
        <v>8479</v>
      </c>
      <c r="K726" s="3470" t="s">
        <v>4673</v>
      </c>
      <c r="L726" s="3470">
        <v>101.48</v>
      </c>
      <c r="M726" s="3470">
        <v>5</v>
      </c>
      <c r="N726" s="3470" t="s">
        <v>5032</v>
      </c>
      <c r="O726" s="3470">
        <v>78.930000000000007</v>
      </c>
      <c r="P726" s="3470" t="s">
        <v>3452</v>
      </c>
      <c r="Q726" s="3470">
        <v>684019.85120000003</v>
      </c>
      <c r="R726" s="3470">
        <v>6740.44</v>
      </c>
      <c r="S726" s="3470">
        <v>67.78</v>
      </c>
      <c r="T726" s="3470">
        <v>677800</v>
      </c>
      <c r="U726" s="3470">
        <v>6680</v>
      </c>
      <c r="V726" s="3470">
        <v>0.1</v>
      </c>
      <c r="W726" s="3470">
        <v>61</v>
      </c>
      <c r="X726" s="3470">
        <v>610000</v>
      </c>
      <c r="Y726" s="3470">
        <v>2003</v>
      </c>
      <c r="Z726" s="3470">
        <v>8</v>
      </c>
      <c r="AA726" s="3470">
        <v>25</v>
      </c>
      <c r="AB726" s="3470">
        <v>3385</v>
      </c>
      <c r="AC726" s="3470" t="s">
        <v>8140</v>
      </c>
      <c r="AE726" s="3470" t="s">
        <v>3663</v>
      </c>
      <c r="AF726" s="3470" t="s">
        <v>4721</v>
      </c>
      <c r="AG726" s="3470" t="s">
        <v>3466</v>
      </c>
      <c r="AI726" s="3470" t="s">
        <v>5021</v>
      </c>
      <c r="AJ726" s="3470">
        <v>38347</v>
      </c>
      <c r="AK726" s="3470">
        <v>8</v>
      </c>
      <c r="AL726" s="3470">
        <v>67641700</v>
      </c>
      <c r="AN726" s="3470" t="s">
        <v>4699</v>
      </c>
      <c r="AO726" s="3470" t="s">
        <v>3568</v>
      </c>
      <c r="AP726" s="3470" t="s">
        <v>3476</v>
      </c>
      <c r="AQ726" s="3470" t="s">
        <v>3571</v>
      </c>
      <c r="AW726" s="3470" t="s">
        <v>3572</v>
      </c>
      <c r="AY726" s="3481" t="s">
        <v>8480</v>
      </c>
      <c r="AZ726" s="3470" t="s">
        <v>4677</v>
      </c>
      <c r="BA726" s="3470" t="s">
        <v>4678</v>
      </c>
      <c r="BB726" s="3481" t="s">
        <v>4679</v>
      </c>
      <c r="BC726" s="3470" t="s">
        <v>4680</v>
      </c>
      <c r="BD726" s="3482">
        <v>100089</v>
      </c>
      <c r="BE726" s="3470">
        <v>68719656</v>
      </c>
      <c r="BF726" s="3483">
        <v>2.8</v>
      </c>
      <c r="BG726" s="3478">
        <v>37847</v>
      </c>
      <c r="BH726" s="3470" t="s">
        <v>4681</v>
      </c>
      <c r="BI726" s="3470" t="s">
        <v>3476</v>
      </c>
      <c r="BJ726" s="3508">
        <v>37852</v>
      </c>
      <c r="BK726" s="3508"/>
      <c r="BL726" s="3470" t="s">
        <v>3670</v>
      </c>
      <c r="BP726" s="3441"/>
      <c r="BQ726" s="3441"/>
      <c r="BR726" s="3441"/>
    </row>
    <row r="727" spans="1:73" s="3470" customFormat="1" ht="12" hidden="1">
      <c r="A727" s="3470" t="s">
        <v>8481</v>
      </c>
      <c r="B727" s="3470" t="s">
        <v>8482</v>
      </c>
      <c r="C727" s="3470" t="s">
        <v>8483</v>
      </c>
      <c r="D727" s="3470" t="s">
        <v>8484</v>
      </c>
      <c r="E727" s="3470" t="s">
        <v>3558</v>
      </c>
      <c r="F727" s="3470" t="s">
        <v>3559</v>
      </c>
      <c r="H727" s="3470" t="s">
        <v>3560</v>
      </c>
      <c r="I727" s="3470" t="s">
        <v>4001</v>
      </c>
      <c r="J727" s="3470" t="s">
        <v>8485</v>
      </c>
      <c r="K727" s="3470" t="s">
        <v>7737</v>
      </c>
      <c r="L727" s="3470">
        <v>71.319999999999993</v>
      </c>
      <c r="M727" s="3470">
        <v>14</v>
      </c>
      <c r="N727" s="3470" t="s">
        <v>3564</v>
      </c>
      <c r="O727" s="3470">
        <v>57.78</v>
      </c>
      <c r="P727" s="3470" t="s">
        <v>3452</v>
      </c>
      <c r="Q727" s="3470">
        <v>335204</v>
      </c>
      <c r="R727" s="3470">
        <v>4700</v>
      </c>
      <c r="S727" s="3470">
        <v>33.369999999999997</v>
      </c>
      <c r="T727" s="3470">
        <v>333700</v>
      </c>
      <c r="U727" s="3470">
        <v>4680</v>
      </c>
      <c r="V727" s="3470">
        <v>0.1</v>
      </c>
      <c r="W727" s="3470">
        <v>30.03</v>
      </c>
      <c r="X727" s="3470">
        <v>300300</v>
      </c>
      <c r="Y727" s="3470">
        <v>2003</v>
      </c>
      <c r="Z727" s="3470">
        <v>8</v>
      </c>
      <c r="AA727" s="3470">
        <v>22</v>
      </c>
      <c r="AB727" s="3470">
        <v>1665</v>
      </c>
      <c r="AC727" s="3470" t="s">
        <v>3603</v>
      </c>
      <c r="AE727" s="3470" t="s">
        <v>3663</v>
      </c>
      <c r="AF727" s="3470" t="s">
        <v>4200</v>
      </c>
      <c r="AG727" s="3470" t="s">
        <v>3466</v>
      </c>
      <c r="AH727" s="3470" t="s">
        <v>3568</v>
      </c>
      <c r="AI727" s="3470" t="s">
        <v>5021</v>
      </c>
      <c r="AJ727" s="3470">
        <v>37894</v>
      </c>
      <c r="AK727" s="3470">
        <v>8</v>
      </c>
      <c r="AL727" s="3470">
        <v>67641700</v>
      </c>
      <c r="AM727" s="3470" t="s">
        <v>3568</v>
      </c>
      <c r="AN727" s="3470" t="s">
        <v>3680</v>
      </c>
      <c r="AO727" s="3470" t="s">
        <v>3568</v>
      </c>
      <c r="AP727" s="3470" t="s">
        <v>3476</v>
      </c>
      <c r="AQ727" s="3470" t="s">
        <v>3571</v>
      </c>
      <c r="AW727" s="3470" t="s">
        <v>3572</v>
      </c>
      <c r="AY727" s="3481" t="s">
        <v>8486</v>
      </c>
      <c r="AZ727" s="3470" t="s">
        <v>7737</v>
      </c>
      <c r="BA727" s="3470" t="s">
        <v>8005</v>
      </c>
      <c r="BB727" s="3481" t="s">
        <v>8006</v>
      </c>
      <c r="BC727" s="3470" t="s">
        <v>3576</v>
      </c>
      <c r="BD727" s="3482">
        <v>100037</v>
      </c>
      <c r="BE727" s="3470">
        <v>84050010</v>
      </c>
      <c r="BF727" s="3483">
        <v>2.8</v>
      </c>
      <c r="BG727" s="3478">
        <v>37691</v>
      </c>
      <c r="BH727" s="3470" t="s">
        <v>4753</v>
      </c>
      <c r="BI727" s="3470" t="s">
        <v>3476</v>
      </c>
      <c r="BJ727" s="3508">
        <v>37853</v>
      </c>
      <c r="BK727" s="3508">
        <v>37711</v>
      </c>
      <c r="BL727" s="3470" t="s">
        <v>3670</v>
      </c>
      <c r="BP727" s="3441"/>
      <c r="BQ727" s="3441"/>
      <c r="BR727" s="3441"/>
    </row>
    <row r="728" spans="1:73" s="3470" customFormat="1" ht="12" hidden="1">
      <c r="A728" s="3470" t="s">
        <v>8487</v>
      </c>
      <c r="B728" s="3470" t="s">
        <v>8488</v>
      </c>
      <c r="C728" s="3470" t="s">
        <v>8489</v>
      </c>
      <c r="D728" s="3470" t="s">
        <v>8490</v>
      </c>
      <c r="E728" s="3470" t="s">
        <v>3558</v>
      </c>
      <c r="F728" s="3470" t="s">
        <v>3559</v>
      </c>
      <c r="H728" s="3470" t="s">
        <v>8491</v>
      </c>
      <c r="I728" s="3470" t="s">
        <v>3561</v>
      </c>
      <c r="J728" s="3470" t="s">
        <v>7382</v>
      </c>
      <c r="K728" s="3470" t="s">
        <v>7737</v>
      </c>
      <c r="L728" s="3470">
        <v>111.95</v>
      </c>
      <c r="M728" s="3470">
        <v>10</v>
      </c>
      <c r="N728" s="3470" t="s">
        <v>4030</v>
      </c>
      <c r="O728" s="3470">
        <v>89.54</v>
      </c>
      <c r="P728" s="3470" t="s">
        <v>3452</v>
      </c>
      <c r="Q728" s="3470">
        <v>556391.5</v>
      </c>
      <c r="R728" s="3470">
        <v>4970</v>
      </c>
      <c r="S728" s="3470">
        <v>55.07</v>
      </c>
      <c r="T728" s="3470">
        <v>550700</v>
      </c>
      <c r="U728" s="3470">
        <v>4920</v>
      </c>
      <c r="V728" s="3470">
        <v>0.1</v>
      </c>
      <c r="W728" s="3470">
        <v>49.56</v>
      </c>
      <c r="X728" s="3470">
        <v>495600</v>
      </c>
      <c r="Y728" s="3470">
        <v>2003</v>
      </c>
      <c r="Z728" s="3470">
        <v>8</v>
      </c>
      <c r="AA728" s="3470">
        <v>22</v>
      </c>
      <c r="AB728" s="3470">
        <v>2750</v>
      </c>
      <c r="AC728" s="3470" t="s">
        <v>3565</v>
      </c>
      <c r="AE728" s="3470" t="s">
        <v>3663</v>
      </c>
      <c r="AF728" s="3470" t="s">
        <v>4200</v>
      </c>
      <c r="AG728" s="3470" t="s">
        <v>3466</v>
      </c>
      <c r="AH728" s="3470" t="s">
        <v>3568</v>
      </c>
      <c r="AI728" s="3470" t="s">
        <v>5021</v>
      </c>
      <c r="AJ728" s="3470">
        <v>37863</v>
      </c>
      <c r="AK728" s="3470">
        <v>8</v>
      </c>
      <c r="AL728" s="3470">
        <v>67641700</v>
      </c>
      <c r="AM728" s="3470" t="s">
        <v>3568</v>
      </c>
      <c r="AN728" s="3470" t="s">
        <v>3680</v>
      </c>
      <c r="AO728" s="3470" t="s">
        <v>3568</v>
      </c>
      <c r="AP728" s="3470" t="s">
        <v>3476</v>
      </c>
      <c r="AQ728" s="3470" t="s">
        <v>3571</v>
      </c>
      <c r="AW728" s="3470" t="s">
        <v>3572</v>
      </c>
      <c r="AY728" s="3481" t="s">
        <v>8492</v>
      </c>
      <c r="AZ728" s="3470" t="s">
        <v>7737</v>
      </c>
      <c r="BA728" s="3470" t="s">
        <v>8005</v>
      </c>
      <c r="BB728" s="3481" t="s">
        <v>8006</v>
      </c>
      <c r="BC728" s="3470" t="s">
        <v>3576</v>
      </c>
      <c r="BD728" s="3482">
        <v>100037</v>
      </c>
      <c r="BE728" s="3470">
        <v>84050010</v>
      </c>
      <c r="BF728" s="3483">
        <v>2.8</v>
      </c>
      <c r="BG728" s="3478">
        <v>37834</v>
      </c>
      <c r="BH728" s="3470" t="s">
        <v>4753</v>
      </c>
      <c r="BI728" s="3470" t="s">
        <v>3476</v>
      </c>
      <c r="BJ728" s="3508">
        <v>37852</v>
      </c>
      <c r="BK728" s="3508">
        <v>37846</v>
      </c>
      <c r="BL728" s="3470" t="s">
        <v>3670</v>
      </c>
      <c r="BP728" s="3441"/>
      <c r="BQ728" s="3441"/>
      <c r="BR728" s="3441"/>
    </row>
    <row r="729" spans="1:73" s="3470" customFormat="1" ht="12" hidden="1">
      <c r="A729" s="3470" t="s">
        <v>8493</v>
      </c>
      <c r="B729" s="3470" t="s">
        <v>8494</v>
      </c>
      <c r="C729" s="3470" t="s">
        <v>8495</v>
      </c>
      <c r="D729" s="3470">
        <v>13311063119</v>
      </c>
      <c r="E729" s="3470" t="s">
        <v>3558</v>
      </c>
      <c r="F729" s="3470" t="s">
        <v>7652</v>
      </c>
      <c r="H729" s="3470" t="s">
        <v>7772</v>
      </c>
      <c r="I729" s="3470" t="s">
        <v>7673</v>
      </c>
      <c r="J729" s="3470" t="s">
        <v>8496</v>
      </c>
      <c r="K729" s="3470" t="s">
        <v>7653</v>
      </c>
      <c r="L729" s="3470">
        <v>104.4</v>
      </c>
      <c r="M729" s="3470">
        <v>14</v>
      </c>
      <c r="N729" s="3470" t="s">
        <v>3480</v>
      </c>
      <c r="O729" s="3470">
        <v>82.57</v>
      </c>
      <c r="P729" s="3470" t="s">
        <v>3452</v>
      </c>
      <c r="Q729" s="3470">
        <v>497988</v>
      </c>
      <c r="R729" s="3470">
        <v>4770</v>
      </c>
      <c r="S729" s="3470">
        <v>49.27</v>
      </c>
      <c r="T729" s="3470">
        <v>492700</v>
      </c>
      <c r="U729" s="3470">
        <v>4720</v>
      </c>
      <c r="V729" s="3470">
        <v>0.1</v>
      </c>
      <c r="W729" s="3470">
        <v>44.34</v>
      </c>
      <c r="X729" s="3470">
        <v>443400</v>
      </c>
      <c r="Y729" s="3470">
        <v>2003</v>
      </c>
      <c r="Z729" s="3470">
        <v>8</v>
      </c>
      <c r="AA729" s="3470">
        <v>22</v>
      </c>
      <c r="AB729" s="3470">
        <v>2460</v>
      </c>
      <c r="AC729" s="3470" t="s">
        <v>4020</v>
      </c>
      <c r="AE729" s="3470" t="s">
        <v>3663</v>
      </c>
      <c r="AF729" s="3470" t="s">
        <v>4721</v>
      </c>
      <c r="AG729" s="3470" t="s">
        <v>3466</v>
      </c>
      <c r="AH729" s="3470" t="s">
        <v>3568</v>
      </c>
      <c r="AI729" s="3470" t="s">
        <v>5021</v>
      </c>
      <c r="AJ729" s="3470">
        <v>38077</v>
      </c>
      <c r="AK729" s="3470">
        <v>8</v>
      </c>
      <c r="AL729" s="3470">
        <v>67641700</v>
      </c>
      <c r="AN729" s="3470" t="s">
        <v>3680</v>
      </c>
      <c r="AP729" s="3470" t="s">
        <v>3476</v>
      </c>
      <c r="AQ729" s="3470" t="s">
        <v>3571</v>
      </c>
      <c r="AV729" s="3470" t="s">
        <v>3568</v>
      </c>
      <c r="AW729" s="3470" t="s">
        <v>3572</v>
      </c>
      <c r="AY729" s="3481" t="s">
        <v>8497</v>
      </c>
      <c r="AZ729" s="3470" t="s">
        <v>7653</v>
      </c>
      <c r="BA729" s="3470" t="s">
        <v>7655</v>
      </c>
      <c r="BB729" s="3481" t="s">
        <v>7656</v>
      </c>
      <c r="BC729" s="3470" t="s">
        <v>7657</v>
      </c>
      <c r="BD729" s="3482">
        <v>100025</v>
      </c>
      <c r="BE729" s="3470">
        <v>62908858</v>
      </c>
      <c r="BF729" s="3483">
        <v>2.7</v>
      </c>
      <c r="BG729" s="3478">
        <v>37830</v>
      </c>
      <c r="BH729" s="3470" t="s">
        <v>4681</v>
      </c>
      <c r="BI729" s="3470" t="s">
        <v>3476</v>
      </c>
      <c r="BJ729" s="3508">
        <v>37853</v>
      </c>
      <c r="BK729" s="3508"/>
      <c r="BL729" s="3470" t="s">
        <v>3670</v>
      </c>
      <c r="BP729" s="3441"/>
      <c r="BQ729" s="3441"/>
      <c r="BR729" s="3441"/>
    </row>
    <row r="730" spans="1:73" s="3470" customFormat="1" ht="12" hidden="1">
      <c r="A730" s="3470" t="s">
        <v>8498</v>
      </c>
      <c r="B730" s="3470" t="s">
        <v>8499</v>
      </c>
      <c r="C730" s="3470" t="s">
        <v>8500</v>
      </c>
      <c r="D730" s="3470" t="s">
        <v>8501</v>
      </c>
      <c r="E730" s="3470" t="s">
        <v>3558</v>
      </c>
      <c r="F730" s="3470" t="s">
        <v>7803</v>
      </c>
      <c r="H730" s="3470" t="s">
        <v>4168</v>
      </c>
      <c r="I730" s="3470" t="s">
        <v>3735</v>
      </c>
      <c r="J730" s="3470" t="s">
        <v>3736</v>
      </c>
      <c r="K730" s="3470" t="s">
        <v>7804</v>
      </c>
      <c r="L730" s="3470">
        <v>83.86</v>
      </c>
      <c r="M730" s="3470">
        <v>3</v>
      </c>
      <c r="N730" s="3470" t="s">
        <v>4030</v>
      </c>
      <c r="O730" s="3470">
        <v>73.180000000000007</v>
      </c>
      <c r="P730" s="3470" t="s">
        <v>3452</v>
      </c>
      <c r="Q730" s="3470">
        <v>390955.32</v>
      </c>
      <c r="R730" s="3470">
        <v>4662</v>
      </c>
      <c r="S730" s="3470">
        <v>38.67</v>
      </c>
      <c r="T730" s="3470">
        <v>386700</v>
      </c>
      <c r="U730" s="3470">
        <v>4612</v>
      </c>
      <c r="V730" s="3470">
        <v>0.1</v>
      </c>
      <c r="W730" s="3470">
        <v>34.799999999999997</v>
      </c>
      <c r="X730" s="3470">
        <v>348000</v>
      </c>
      <c r="Y730" s="3470">
        <v>2003</v>
      </c>
      <c r="Z730" s="3470">
        <v>8</v>
      </c>
      <c r="AA730" s="3470">
        <v>22</v>
      </c>
      <c r="AB730" s="3470">
        <v>1930</v>
      </c>
      <c r="AC730" s="3470" t="s">
        <v>3693</v>
      </c>
      <c r="AE730" s="3470" t="s">
        <v>3663</v>
      </c>
      <c r="AF730" s="3470" t="s">
        <v>4721</v>
      </c>
      <c r="AG730" s="3470" t="s">
        <v>3466</v>
      </c>
      <c r="AI730" s="3470" t="s">
        <v>5021</v>
      </c>
      <c r="AJ730" s="3470">
        <v>38077</v>
      </c>
      <c r="AK730" s="3470">
        <v>8</v>
      </c>
      <c r="AL730" s="3470">
        <v>67641700</v>
      </c>
      <c r="AN730" s="3470" t="s">
        <v>3680</v>
      </c>
      <c r="AO730" s="3470" t="s">
        <v>3568</v>
      </c>
      <c r="AP730" s="3470" t="s">
        <v>3476</v>
      </c>
      <c r="AQ730" s="3470" t="s">
        <v>3571</v>
      </c>
      <c r="AW730" s="3470" t="s">
        <v>3572</v>
      </c>
      <c r="AX730" s="3470" t="s">
        <v>3568</v>
      </c>
      <c r="AY730" s="3481" t="s">
        <v>8502</v>
      </c>
      <c r="AZ730" s="3470" t="s">
        <v>7804</v>
      </c>
      <c r="BA730" s="3470" t="s">
        <v>7807</v>
      </c>
      <c r="BB730" s="3481">
        <v>1102281149818</v>
      </c>
      <c r="BC730" s="3470" t="s">
        <v>7808</v>
      </c>
      <c r="BD730" s="3482">
        <v>100044</v>
      </c>
      <c r="BE730" s="3470">
        <v>88018575</v>
      </c>
      <c r="BF730" s="3483">
        <v>2.7</v>
      </c>
      <c r="BG730" s="3478">
        <v>37816</v>
      </c>
      <c r="BI730" s="3470" t="s">
        <v>3476</v>
      </c>
      <c r="BJ730" s="3508">
        <v>37845</v>
      </c>
      <c r="BK730" s="3508"/>
      <c r="BL730" s="3470" t="s">
        <v>3670</v>
      </c>
      <c r="BP730" s="3441"/>
      <c r="BQ730" s="3441"/>
      <c r="BR730" s="3441"/>
    </row>
    <row r="731" spans="1:73" s="3470" customFormat="1" ht="12" hidden="1">
      <c r="A731" s="3470" t="s">
        <v>8503</v>
      </c>
      <c r="B731" s="3470" t="s">
        <v>8504</v>
      </c>
      <c r="C731" s="3470" t="s">
        <v>8505</v>
      </c>
      <c r="D731" s="3470" t="s">
        <v>8506</v>
      </c>
      <c r="E731" s="3470" t="s">
        <v>3558</v>
      </c>
      <c r="F731" s="3470" t="s">
        <v>7803</v>
      </c>
      <c r="H731" s="3470" t="s">
        <v>4759</v>
      </c>
      <c r="I731" s="3470" t="s">
        <v>3735</v>
      </c>
      <c r="J731" s="3470" t="s">
        <v>4984</v>
      </c>
      <c r="K731" s="3470" t="s">
        <v>7804</v>
      </c>
      <c r="L731" s="3470">
        <v>84.17</v>
      </c>
      <c r="M731" s="3470">
        <v>4</v>
      </c>
      <c r="N731" s="3470" t="s">
        <v>4030</v>
      </c>
      <c r="O731" s="3470">
        <v>73.77</v>
      </c>
      <c r="P731" s="3470" t="s">
        <v>3452</v>
      </c>
      <c r="Q731" s="3470">
        <v>391811.35</v>
      </c>
      <c r="R731" s="3470">
        <v>4655</v>
      </c>
      <c r="S731" s="3470">
        <v>38.76</v>
      </c>
      <c r="T731" s="3470">
        <v>387600</v>
      </c>
      <c r="U731" s="3470">
        <v>4606</v>
      </c>
      <c r="V731" s="3470">
        <v>0.1</v>
      </c>
      <c r="W731" s="3470">
        <v>34.880000000000003</v>
      </c>
      <c r="X731" s="3470">
        <v>348800</v>
      </c>
      <c r="Y731" s="3470">
        <v>2003</v>
      </c>
      <c r="Z731" s="3470">
        <v>8</v>
      </c>
      <c r="AA731" s="3470">
        <v>22</v>
      </c>
      <c r="AB731" s="3470">
        <v>1935</v>
      </c>
      <c r="AC731" s="3470" t="s">
        <v>3693</v>
      </c>
      <c r="AE731" s="3470" t="s">
        <v>3663</v>
      </c>
      <c r="AF731" s="3470" t="s">
        <v>4721</v>
      </c>
      <c r="AG731" s="3470" t="s">
        <v>3466</v>
      </c>
      <c r="AI731" s="3470" t="s">
        <v>5021</v>
      </c>
      <c r="AJ731" s="3470">
        <v>38077</v>
      </c>
      <c r="AK731" s="3470">
        <v>8</v>
      </c>
      <c r="AL731" s="3470">
        <v>67641700</v>
      </c>
      <c r="AN731" s="3470" t="s">
        <v>3680</v>
      </c>
      <c r="AO731" s="3470" t="s">
        <v>3568</v>
      </c>
      <c r="AP731" s="3470" t="s">
        <v>3476</v>
      </c>
      <c r="AQ731" s="3470" t="s">
        <v>3571</v>
      </c>
      <c r="AW731" s="3470" t="s">
        <v>3572</v>
      </c>
      <c r="AX731" s="3470" t="s">
        <v>3568</v>
      </c>
      <c r="AY731" s="3481" t="s">
        <v>8507</v>
      </c>
      <c r="AZ731" s="3470" t="s">
        <v>7804</v>
      </c>
      <c r="BA731" s="3470" t="s">
        <v>7807</v>
      </c>
      <c r="BB731" s="3481">
        <v>1102281149818</v>
      </c>
      <c r="BC731" s="3470" t="s">
        <v>7808</v>
      </c>
      <c r="BD731" s="3482">
        <v>100044</v>
      </c>
      <c r="BE731" s="3470">
        <v>88018575</v>
      </c>
      <c r="BF731" s="3483">
        <v>2.7</v>
      </c>
      <c r="BG731" s="3478">
        <v>37814</v>
      </c>
      <c r="BI731" s="3470" t="s">
        <v>3476</v>
      </c>
      <c r="BJ731" s="3508">
        <v>37854</v>
      </c>
      <c r="BK731" s="3508"/>
      <c r="BL731" s="3470" t="s">
        <v>3670</v>
      </c>
      <c r="BP731" s="3441"/>
      <c r="BQ731" s="3441"/>
      <c r="BR731" s="3441"/>
    </row>
    <row r="732" spans="1:73" s="3470" customFormat="1" ht="12" hidden="1">
      <c r="A732" s="3470" t="s">
        <v>8508</v>
      </c>
      <c r="B732" s="3470" t="s">
        <v>8509</v>
      </c>
      <c r="C732" s="3470" t="s">
        <v>8510</v>
      </c>
      <c r="D732" s="3470" t="s">
        <v>8511</v>
      </c>
      <c r="E732" s="3470" t="s">
        <v>3558</v>
      </c>
      <c r="F732" s="3470" t="s">
        <v>7803</v>
      </c>
      <c r="H732" s="3470" t="s">
        <v>7661</v>
      </c>
      <c r="I732" s="3470" t="s">
        <v>3735</v>
      </c>
      <c r="J732" s="3470" t="s">
        <v>5003</v>
      </c>
      <c r="K732" s="3470" t="s">
        <v>7804</v>
      </c>
      <c r="L732" s="3470">
        <v>111.06</v>
      </c>
      <c r="M732" s="3470">
        <v>6</v>
      </c>
      <c r="N732" s="3470" t="s">
        <v>4003</v>
      </c>
      <c r="O732" s="3470">
        <v>98.9</v>
      </c>
      <c r="P732" s="3470" t="s">
        <v>3452</v>
      </c>
      <c r="Q732" s="3470">
        <v>463120.2</v>
      </c>
      <c r="R732" s="3470">
        <v>4170</v>
      </c>
      <c r="S732" s="3470">
        <v>45.77</v>
      </c>
      <c r="T732" s="3470">
        <v>457700</v>
      </c>
      <c r="U732" s="3470">
        <v>4122</v>
      </c>
      <c r="V732" s="3470">
        <v>0.1</v>
      </c>
      <c r="W732" s="3470">
        <v>41.19</v>
      </c>
      <c r="X732" s="3470">
        <v>411900</v>
      </c>
      <c r="Y732" s="3470">
        <v>2003</v>
      </c>
      <c r="Z732" s="3470">
        <v>8</v>
      </c>
      <c r="AA732" s="3470">
        <v>22</v>
      </c>
      <c r="AB732" s="3470">
        <v>2285</v>
      </c>
      <c r="AC732" s="3470" t="s">
        <v>3693</v>
      </c>
      <c r="AE732" s="3470" t="s">
        <v>3663</v>
      </c>
      <c r="AF732" s="3470" t="s">
        <v>4721</v>
      </c>
      <c r="AG732" s="3470" t="s">
        <v>3466</v>
      </c>
      <c r="AI732" s="3470" t="s">
        <v>5021</v>
      </c>
      <c r="AJ732" s="3470">
        <v>38077</v>
      </c>
      <c r="AK732" s="3470">
        <v>8</v>
      </c>
      <c r="AL732" s="3470">
        <v>67641700</v>
      </c>
      <c r="AN732" s="3470" t="s">
        <v>3680</v>
      </c>
      <c r="AO732" s="3470" t="s">
        <v>3568</v>
      </c>
      <c r="AP732" s="3470" t="s">
        <v>3476</v>
      </c>
      <c r="AQ732" s="3470" t="s">
        <v>3571</v>
      </c>
      <c r="AW732" s="3470" t="s">
        <v>3572</v>
      </c>
      <c r="AX732" s="3470" t="s">
        <v>3568</v>
      </c>
      <c r="AY732" s="3481" t="s">
        <v>8512</v>
      </c>
      <c r="AZ732" s="3470" t="s">
        <v>7804</v>
      </c>
      <c r="BA732" s="3470" t="s">
        <v>7807</v>
      </c>
      <c r="BB732" s="3481">
        <v>1102281149818</v>
      </c>
      <c r="BC732" s="3470" t="s">
        <v>7808</v>
      </c>
      <c r="BD732" s="3482">
        <v>100044</v>
      </c>
      <c r="BE732" s="3470">
        <v>88018575</v>
      </c>
      <c r="BF732" s="3483">
        <v>2.7</v>
      </c>
      <c r="BG732" s="3478">
        <v>37769</v>
      </c>
      <c r="BI732" s="3470" t="s">
        <v>3476</v>
      </c>
      <c r="BJ732" s="3508">
        <v>37854</v>
      </c>
      <c r="BK732" s="3508"/>
      <c r="BL732" s="3470" t="s">
        <v>3670</v>
      </c>
      <c r="BP732" s="3441"/>
      <c r="BQ732" s="3441"/>
      <c r="BR732" s="3441"/>
    </row>
    <row r="733" spans="1:73" s="3470" customFormat="1" ht="12" hidden="1">
      <c r="A733" s="3470" t="s">
        <v>8513</v>
      </c>
      <c r="B733" s="3470" t="s">
        <v>8514</v>
      </c>
      <c r="C733" s="3470" t="s">
        <v>8515</v>
      </c>
      <c r="D733" s="3470">
        <v>13910154582</v>
      </c>
      <c r="E733" s="3470" t="s">
        <v>3558</v>
      </c>
      <c r="F733" s="3470" t="s">
        <v>4645</v>
      </c>
      <c r="H733" s="3470" t="s">
        <v>4646</v>
      </c>
      <c r="I733" s="3470" t="s">
        <v>7796</v>
      </c>
      <c r="J733" s="3470" t="s">
        <v>8516</v>
      </c>
      <c r="K733" s="3470" t="s">
        <v>4649</v>
      </c>
      <c r="L733" s="3470">
        <v>86.06</v>
      </c>
      <c r="M733" s="3470">
        <v>16</v>
      </c>
      <c r="N733" s="3470" t="s">
        <v>3564</v>
      </c>
      <c r="O733" s="3470">
        <v>67.84</v>
      </c>
      <c r="P733" s="3470" t="s">
        <v>3452</v>
      </c>
      <c r="Q733" s="3470">
        <v>617222.31999999995</v>
      </c>
      <c r="R733" s="3470">
        <v>7172</v>
      </c>
      <c r="S733" s="3470">
        <v>61.2</v>
      </c>
      <c r="T733" s="3470">
        <v>612000</v>
      </c>
      <c r="U733" s="3470">
        <v>7112</v>
      </c>
      <c r="V733" s="3470">
        <v>0.1</v>
      </c>
      <c r="W733" s="3470">
        <v>55.08</v>
      </c>
      <c r="X733" s="3470">
        <v>550800</v>
      </c>
      <c r="Y733" s="3470">
        <v>2003</v>
      </c>
      <c r="Z733" s="3470">
        <v>8</v>
      </c>
      <c r="AA733" s="3470">
        <v>22</v>
      </c>
      <c r="AB733" s="3470">
        <v>3060</v>
      </c>
      <c r="AC733" s="3470" t="s">
        <v>3565</v>
      </c>
      <c r="AE733" s="3470" t="s">
        <v>3663</v>
      </c>
      <c r="AF733" s="3470" t="s">
        <v>3728</v>
      </c>
      <c r="AG733" s="3470" t="s">
        <v>3466</v>
      </c>
      <c r="AI733" s="3470" t="s">
        <v>5021</v>
      </c>
      <c r="AJ733" s="3470">
        <v>38199</v>
      </c>
      <c r="AK733" s="3470">
        <v>8</v>
      </c>
      <c r="AL733" s="3470">
        <v>67641700</v>
      </c>
      <c r="AN733" s="3470" t="s">
        <v>3680</v>
      </c>
      <c r="AP733" s="3470" t="s">
        <v>3476</v>
      </c>
      <c r="AQ733" s="3470" t="s">
        <v>3571</v>
      </c>
      <c r="AW733" s="3470" t="s">
        <v>3572</v>
      </c>
      <c r="AX733" s="3470" t="s">
        <v>3568</v>
      </c>
      <c r="AY733" s="3481" t="s">
        <v>8238</v>
      </c>
      <c r="AZ733" s="3470" t="s">
        <v>4654</v>
      </c>
      <c r="BA733" s="3470" t="s">
        <v>4688</v>
      </c>
      <c r="BB733" s="3481" t="s">
        <v>4689</v>
      </c>
      <c r="BC733" s="3470" t="s">
        <v>4656</v>
      </c>
      <c r="BD733" s="3482">
        <v>100037</v>
      </c>
      <c r="BE733" s="3470">
        <v>68347718</v>
      </c>
      <c r="BF733" s="3483">
        <v>2.8</v>
      </c>
      <c r="BG733" s="3478">
        <v>37821</v>
      </c>
      <c r="BH733" s="3470" t="s">
        <v>4681</v>
      </c>
      <c r="BI733" s="3470" t="s">
        <v>3476</v>
      </c>
      <c r="BJ733" s="3508">
        <v>37847</v>
      </c>
      <c r="BK733" s="3508"/>
      <c r="BL733" s="3470" t="s">
        <v>3670</v>
      </c>
      <c r="BP733" s="3441"/>
      <c r="BQ733" s="3441"/>
      <c r="BR733" s="3441"/>
    </row>
    <row r="734" spans="1:73" s="3470" customFormat="1" ht="12" hidden="1">
      <c r="A734" s="3470" t="s">
        <v>8517</v>
      </c>
      <c r="B734" s="3470" t="s">
        <v>8518</v>
      </c>
      <c r="C734" s="3470" t="s">
        <v>8519</v>
      </c>
      <c r="D734" s="3470">
        <v>84018313</v>
      </c>
      <c r="E734" s="3470" t="s">
        <v>3558</v>
      </c>
      <c r="F734" s="3470" t="s">
        <v>4645</v>
      </c>
      <c r="H734" s="3470" t="s">
        <v>4684</v>
      </c>
      <c r="I734" s="3470" t="s">
        <v>7851</v>
      </c>
      <c r="J734" s="3470" t="s">
        <v>8520</v>
      </c>
      <c r="K734" s="3470" t="s">
        <v>4649</v>
      </c>
      <c r="L734" s="3470">
        <v>54.5</v>
      </c>
      <c r="M734" s="3470">
        <v>8</v>
      </c>
      <c r="N734" s="3470" t="s">
        <v>3564</v>
      </c>
      <c r="O734" s="3470">
        <v>42.96</v>
      </c>
      <c r="P734" s="3470" t="s">
        <v>3452</v>
      </c>
      <c r="Q734" s="3470">
        <v>412074.5</v>
      </c>
      <c r="R734" s="3470">
        <v>7561</v>
      </c>
      <c r="S734" s="3470">
        <v>41.14</v>
      </c>
      <c r="T734" s="3470">
        <v>411400</v>
      </c>
      <c r="U734" s="3470">
        <v>7550</v>
      </c>
      <c r="V734" s="3470">
        <v>0.1</v>
      </c>
      <c r="W734" s="3470">
        <v>37.020000000000003</v>
      </c>
      <c r="X734" s="3470">
        <v>370200</v>
      </c>
      <c r="Y734" s="3470">
        <v>2003</v>
      </c>
      <c r="Z734" s="3470">
        <v>8</v>
      </c>
      <c r="AA734" s="3470">
        <v>22</v>
      </c>
      <c r="AB734" s="3470">
        <v>2055</v>
      </c>
      <c r="AC734" s="3470" t="s">
        <v>3565</v>
      </c>
      <c r="AE734" s="3470" t="s">
        <v>3663</v>
      </c>
      <c r="AF734" s="3470" t="s">
        <v>3728</v>
      </c>
      <c r="AG734" s="3470" t="s">
        <v>3466</v>
      </c>
      <c r="AI734" s="3470" t="s">
        <v>5021</v>
      </c>
      <c r="AJ734" s="3470">
        <v>38199</v>
      </c>
      <c r="AK734" s="3470">
        <v>8</v>
      </c>
      <c r="AL734" s="3470">
        <v>67641700</v>
      </c>
      <c r="AN734" s="3470" t="s">
        <v>3680</v>
      </c>
      <c r="AP734" s="3470" t="s">
        <v>3476</v>
      </c>
      <c r="AQ734" s="3470" t="s">
        <v>3571</v>
      </c>
      <c r="AW734" s="3470" t="s">
        <v>3572</v>
      </c>
      <c r="AX734" s="3470" t="s">
        <v>3568</v>
      </c>
      <c r="AY734" s="3481" t="s">
        <v>8521</v>
      </c>
      <c r="AZ734" s="3470" t="s">
        <v>4654</v>
      </c>
      <c r="BA734" s="3470" t="s">
        <v>4688</v>
      </c>
      <c r="BB734" s="3481" t="s">
        <v>4689</v>
      </c>
      <c r="BC734" s="3470" t="s">
        <v>4656</v>
      </c>
      <c r="BD734" s="3482">
        <v>100037</v>
      </c>
      <c r="BE734" s="3470">
        <v>68347718</v>
      </c>
      <c r="BF734" s="3483">
        <v>2.8</v>
      </c>
      <c r="BG734" s="3478">
        <v>37843</v>
      </c>
      <c r="BH734" s="3470" t="s">
        <v>4681</v>
      </c>
      <c r="BI734" s="3470" t="s">
        <v>3476</v>
      </c>
      <c r="BJ734" s="3508">
        <v>37847</v>
      </c>
      <c r="BK734" s="3508"/>
      <c r="BL734" s="3470" t="s">
        <v>3670</v>
      </c>
      <c r="BP734" s="3441"/>
      <c r="BQ734" s="3441"/>
      <c r="BR734" s="3441"/>
    </row>
    <row r="735" spans="1:73" s="3470" customFormat="1" ht="12" hidden="1">
      <c r="A735" s="3470" t="s">
        <v>8522</v>
      </c>
      <c r="B735" s="3470" t="s">
        <v>8523</v>
      </c>
      <c r="C735" s="3470" t="s">
        <v>8524</v>
      </c>
      <c r="D735" s="3470" t="s">
        <v>8525</v>
      </c>
      <c r="E735" s="3470" t="s">
        <v>3558</v>
      </c>
      <c r="F735" s="3470" t="s">
        <v>4669</v>
      </c>
      <c r="H735" s="3470" t="s">
        <v>8030</v>
      </c>
      <c r="I735" s="3470" t="s">
        <v>7673</v>
      </c>
      <c r="J735" s="3470" t="s">
        <v>8479</v>
      </c>
      <c r="K735" s="3470" t="s">
        <v>4673</v>
      </c>
      <c r="L735" s="3470">
        <v>101.48</v>
      </c>
      <c r="M735" s="3470">
        <v>14</v>
      </c>
      <c r="N735" s="3470" t="s">
        <v>4030</v>
      </c>
      <c r="O735" s="3470">
        <v>78.930000000000007</v>
      </c>
      <c r="P735" s="3470" t="s">
        <v>3452</v>
      </c>
      <c r="Q735" s="3470">
        <v>709284.31200000003</v>
      </c>
      <c r="R735" s="3470">
        <v>6989.4</v>
      </c>
      <c r="S735" s="3470">
        <v>70.290000000000006</v>
      </c>
      <c r="T735" s="3470">
        <v>702900</v>
      </c>
      <c r="U735" s="3470">
        <v>6927</v>
      </c>
      <c r="V735" s="3470">
        <v>0.1</v>
      </c>
      <c r="W735" s="3470">
        <v>63.26</v>
      </c>
      <c r="X735" s="3470">
        <v>632600</v>
      </c>
      <c r="Y735" s="3470">
        <v>2003</v>
      </c>
      <c r="Z735" s="3470">
        <v>8</v>
      </c>
      <c r="AA735" s="3470">
        <v>25</v>
      </c>
      <c r="AB735" s="3470">
        <v>3510</v>
      </c>
      <c r="AC735" s="3470" t="s">
        <v>3693</v>
      </c>
      <c r="AE735" s="3470" t="s">
        <v>3663</v>
      </c>
      <c r="AF735" s="3470" t="s">
        <v>4721</v>
      </c>
      <c r="AG735" s="3470" t="s">
        <v>3466</v>
      </c>
      <c r="AI735" s="3470" t="s">
        <v>5021</v>
      </c>
      <c r="AJ735" s="3470">
        <v>38347</v>
      </c>
      <c r="AK735" s="3470">
        <v>8</v>
      </c>
      <c r="AL735" s="3470">
        <v>67641700</v>
      </c>
      <c r="AN735" s="3470" t="s">
        <v>4699</v>
      </c>
      <c r="AO735" s="3470" t="s">
        <v>3568</v>
      </c>
      <c r="AP735" s="3470" t="s">
        <v>3476</v>
      </c>
      <c r="AQ735" s="3470" t="s">
        <v>3571</v>
      </c>
      <c r="AW735" s="3470" t="s">
        <v>3572</v>
      </c>
      <c r="AY735" s="3481" t="s">
        <v>8526</v>
      </c>
      <c r="AZ735" s="3470" t="s">
        <v>4677</v>
      </c>
      <c r="BA735" s="3470" t="s">
        <v>4678</v>
      </c>
      <c r="BB735" s="3481" t="s">
        <v>4679</v>
      </c>
      <c r="BC735" s="3470" t="s">
        <v>4680</v>
      </c>
      <c r="BD735" s="3482">
        <v>100089</v>
      </c>
      <c r="BE735" s="3470">
        <v>68719656</v>
      </c>
      <c r="BF735" s="3483">
        <v>2.8</v>
      </c>
      <c r="BG735" s="3478">
        <v>37851</v>
      </c>
      <c r="BH735" s="3470" t="s">
        <v>4681</v>
      </c>
      <c r="BI735" s="3470" t="s">
        <v>3476</v>
      </c>
      <c r="BJ735" s="3508">
        <v>37854</v>
      </c>
      <c r="BK735" s="3508"/>
      <c r="BL735" s="3470" t="s">
        <v>3670</v>
      </c>
      <c r="BP735" s="3441"/>
      <c r="BQ735" s="3441"/>
      <c r="BR735" s="3441"/>
    </row>
    <row r="736" spans="1:73" s="3470" customFormat="1" ht="12" hidden="1">
      <c r="A736" s="3470" t="s">
        <v>8527</v>
      </c>
      <c r="B736" s="3470" t="s">
        <v>8528</v>
      </c>
      <c r="C736" s="3470" t="s">
        <v>8529</v>
      </c>
      <c r="D736" s="3470">
        <v>13910220941</v>
      </c>
      <c r="E736" s="3470" t="s">
        <v>3558</v>
      </c>
      <c r="F736" s="3470" t="s">
        <v>3559</v>
      </c>
      <c r="H736" s="3470" t="s">
        <v>3560</v>
      </c>
      <c r="I736" s="3470" t="s">
        <v>4309</v>
      </c>
      <c r="J736" s="3470" t="s">
        <v>8530</v>
      </c>
      <c r="K736" s="3470" t="s">
        <v>3563</v>
      </c>
      <c r="L736" s="3470">
        <v>71.52</v>
      </c>
      <c r="M736" s="3470">
        <v>11</v>
      </c>
      <c r="N736" s="3470" t="s">
        <v>3564</v>
      </c>
      <c r="O736" s="3470">
        <v>57.94</v>
      </c>
      <c r="P736" s="3470" t="s">
        <v>3452</v>
      </c>
      <c r="Q736" s="3470">
        <v>326846.40000000002</v>
      </c>
      <c r="R736" s="3470">
        <v>4570</v>
      </c>
      <c r="S736" s="3470">
        <v>32.32</v>
      </c>
      <c r="T736" s="3470">
        <v>323200</v>
      </c>
      <c r="U736" s="3470">
        <v>4520</v>
      </c>
      <c r="V736" s="3470">
        <v>0.1</v>
      </c>
      <c r="W736" s="3470">
        <v>29.08</v>
      </c>
      <c r="X736" s="3470">
        <v>266500</v>
      </c>
      <c r="Y736" s="3470">
        <v>2003</v>
      </c>
      <c r="Z736" s="3470">
        <v>8</v>
      </c>
      <c r="AA736" s="3470">
        <v>26</v>
      </c>
      <c r="AB736" s="3470">
        <v>1615</v>
      </c>
      <c r="AC736" s="3470" t="s">
        <v>3693</v>
      </c>
      <c r="AE736" s="3470" t="s">
        <v>3663</v>
      </c>
      <c r="AF736" s="3470" t="s">
        <v>4200</v>
      </c>
      <c r="AG736" s="3470" t="s">
        <v>3466</v>
      </c>
      <c r="AH736" s="3470" t="s">
        <v>3568</v>
      </c>
      <c r="AI736" s="3470" t="s">
        <v>5021</v>
      </c>
      <c r="AJ736" s="3470">
        <v>37894</v>
      </c>
      <c r="AK736" s="3470" t="s">
        <v>4687</v>
      </c>
      <c r="AL736" s="3470">
        <v>67641700</v>
      </c>
      <c r="AM736" s="3470" t="s">
        <v>3568</v>
      </c>
      <c r="AN736" s="3470" t="s">
        <v>4699</v>
      </c>
      <c r="AO736" s="3470" t="s">
        <v>3568</v>
      </c>
      <c r="AP736" s="3470" t="s">
        <v>3476</v>
      </c>
      <c r="AQ736" s="3470" t="s">
        <v>3571</v>
      </c>
      <c r="AW736" s="3470" t="s">
        <v>3572</v>
      </c>
      <c r="AY736" s="3481" t="s">
        <v>8531</v>
      </c>
      <c r="AZ736" s="3470" t="s">
        <v>3563</v>
      </c>
      <c r="BA736" s="3470" t="s">
        <v>3574</v>
      </c>
      <c r="BB736" s="3481" t="s">
        <v>3575</v>
      </c>
      <c r="BC736" s="3470" t="s">
        <v>3576</v>
      </c>
      <c r="BD736" s="3482">
        <v>100037</v>
      </c>
      <c r="BE736" s="3470">
        <v>84050046</v>
      </c>
      <c r="BF736" s="3483">
        <v>2.8</v>
      </c>
      <c r="BG736" s="3478">
        <v>37668</v>
      </c>
      <c r="BI736" s="3470" t="s">
        <v>8007</v>
      </c>
      <c r="BJ736" s="3508">
        <v>37855</v>
      </c>
      <c r="BK736" s="3508">
        <v>37845</v>
      </c>
      <c r="BL736" s="3470" t="s">
        <v>3670</v>
      </c>
      <c r="BP736" s="3441"/>
      <c r="BQ736" s="3441"/>
      <c r="BR736" s="3441"/>
    </row>
    <row r="737" spans="1:73" s="3470" customFormat="1" ht="12" hidden="1">
      <c r="A737" s="3470" t="s">
        <v>8532</v>
      </c>
      <c r="B737" s="3470" t="s">
        <v>8533</v>
      </c>
      <c r="C737" s="3470" t="s">
        <v>8534</v>
      </c>
      <c r="D737" s="3470">
        <v>13501358527</v>
      </c>
      <c r="E737" s="3470" t="s">
        <v>3558</v>
      </c>
      <c r="F737" s="3470" t="s">
        <v>7652</v>
      </c>
      <c r="H737" s="3470" t="s">
        <v>7772</v>
      </c>
      <c r="I737" s="3470" t="s">
        <v>4733</v>
      </c>
      <c r="J737" s="3470" t="s">
        <v>8535</v>
      </c>
      <c r="K737" s="3470" t="s">
        <v>7653</v>
      </c>
      <c r="L737" s="3470">
        <v>80.239999999999995</v>
      </c>
      <c r="M737" s="3470">
        <v>17</v>
      </c>
      <c r="N737" s="3470" t="s">
        <v>5032</v>
      </c>
      <c r="O737" s="3470">
        <v>63.46</v>
      </c>
      <c r="P737" s="3470" t="s">
        <v>3452</v>
      </c>
      <c r="Q737" s="3470">
        <v>375523.2</v>
      </c>
      <c r="R737" s="3470">
        <v>4680</v>
      </c>
      <c r="S737" s="3470">
        <v>37.15</v>
      </c>
      <c r="T737" s="3470">
        <v>371500</v>
      </c>
      <c r="U737" s="3470">
        <v>4630</v>
      </c>
      <c r="V737" s="3470">
        <v>0.1</v>
      </c>
      <c r="W737" s="3470">
        <v>33.43</v>
      </c>
      <c r="X737" s="3470">
        <v>334300</v>
      </c>
      <c r="Y737" s="3470">
        <v>2003</v>
      </c>
      <c r="Z737" s="3470">
        <v>8</v>
      </c>
      <c r="AA737" s="3470">
        <v>25</v>
      </c>
      <c r="AB737" s="3470">
        <v>1855</v>
      </c>
      <c r="AC737" s="3470" t="s">
        <v>3603</v>
      </c>
      <c r="AE737" s="3470" t="s">
        <v>3663</v>
      </c>
      <c r="AF737" s="3470" t="s">
        <v>4721</v>
      </c>
      <c r="AG737" s="3470" t="s">
        <v>3466</v>
      </c>
      <c r="AH737" s="3470" t="s">
        <v>3568</v>
      </c>
      <c r="AI737" s="3470" t="s">
        <v>5021</v>
      </c>
      <c r="AJ737" s="3470">
        <v>38077</v>
      </c>
      <c r="AK737" s="3470">
        <v>8</v>
      </c>
      <c r="AL737" s="3470">
        <v>67641700</v>
      </c>
      <c r="AN737" s="3470" t="s">
        <v>4699</v>
      </c>
      <c r="AP737" s="3470" t="s">
        <v>3476</v>
      </c>
      <c r="AQ737" s="3470" t="s">
        <v>3571</v>
      </c>
      <c r="AV737" s="3470" t="s">
        <v>3568</v>
      </c>
      <c r="AW737" s="3470" t="s">
        <v>3572</v>
      </c>
      <c r="AY737" s="3481" t="s">
        <v>8536</v>
      </c>
      <c r="AZ737" s="3470" t="s">
        <v>7653</v>
      </c>
      <c r="BA737" s="3470" t="s">
        <v>7655</v>
      </c>
      <c r="BB737" s="3481" t="s">
        <v>7656</v>
      </c>
      <c r="BC737" s="3470" t="s">
        <v>7657</v>
      </c>
      <c r="BD737" s="3482">
        <v>100025</v>
      </c>
      <c r="BE737" s="3470">
        <v>62908858</v>
      </c>
      <c r="BF737" s="3483">
        <v>2.7</v>
      </c>
      <c r="BG737" s="3478">
        <v>37823</v>
      </c>
      <c r="BH737" s="3470" t="s">
        <v>4681</v>
      </c>
      <c r="BI737" s="3470" t="s">
        <v>3476</v>
      </c>
      <c r="BJ737" s="3508">
        <v>37853</v>
      </c>
      <c r="BK737" s="3508"/>
      <c r="BL737" s="3470" t="s">
        <v>3670</v>
      </c>
      <c r="BP737" s="3441"/>
      <c r="BQ737" s="3441"/>
      <c r="BR737" s="3441"/>
    </row>
    <row r="738" spans="1:73" s="3470" customFormat="1" ht="12" hidden="1">
      <c r="A738" s="3470" t="s">
        <v>8537</v>
      </c>
      <c r="B738" s="3470" t="s">
        <v>8538</v>
      </c>
      <c r="C738" s="3470" t="s">
        <v>8539</v>
      </c>
      <c r="D738" s="3470" t="s">
        <v>8540</v>
      </c>
      <c r="E738" s="3470" t="s">
        <v>3558</v>
      </c>
      <c r="F738" s="3470" t="s">
        <v>7803</v>
      </c>
      <c r="H738" s="3470" t="s">
        <v>4759</v>
      </c>
      <c r="I738" s="3470" t="s">
        <v>4019</v>
      </c>
      <c r="J738" s="3470" t="s">
        <v>4984</v>
      </c>
      <c r="K738" s="3470" t="s">
        <v>7804</v>
      </c>
      <c r="L738" s="3470">
        <v>84.17</v>
      </c>
      <c r="M738" s="3470">
        <v>4</v>
      </c>
      <c r="N738" s="3470" t="s">
        <v>5032</v>
      </c>
      <c r="O738" s="3470">
        <v>73.77</v>
      </c>
      <c r="P738" s="3470" t="s">
        <v>3452</v>
      </c>
      <c r="Q738" s="3470">
        <v>391811.35</v>
      </c>
      <c r="R738" s="3470">
        <v>4655</v>
      </c>
      <c r="S738" s="3470">
        <v>38.76</v>
      </c>
      <c r="T738" s="3470">
        <v>387600</v>
      </c>
      <c r="U738" s="3470">
        <v>4606</v>
      </c>
      <c r="V738" s="3470">
        <v>0.1</v>
      </c>
      <c r="W738" s="3470">
        <v>34.880000000000003</v>
      </c>
      <c r="X738" s="3470">
        <v>348800</v>
      </c>
      <c r="Y738" s="3470">
        <v>2003</v>
      </c>
      <c r="Z738" s="3470">
        <v>8</v>
      </c>
      <c r="AA738" s="3470">
        <v>25</v>
      </c>
      <c r="AB738" s="3470">
        <v>1935</v>
      </c>
      <c r="AC738" s="3470" t="s">
        <v>3693</v>
      </c>
      <c r="AE738" s="3470" t="s">
        <v>3663</v>
      </c>
      <c r="AF738" s="3470" t="s">
        <v>4721</v>
      </c>
      <c r="AG738" s="3470" t="s">
        <v>3466</v>
      </c>
      <c r="AI738" s="3470" t="s">
        <v>5021</v>
      </c>
      <c r="AJ738" s="3470">
        <v>38077</v>
      </c>
      <c r="AK738" s="3470">
        <v>8</v>
      </c>
      <c r="AL738" s="3470">
        <v>67641700</v>
      </c>
      <c r="AN738" s="3470" t="s">
        <v>4699</v>
      </c>
      <c r="AO738" s="3470" t="s">
        <v>3568</v>
      </c>
      <c r="AP738" s="3470" t="s">
        <v>3476</v>
      </c>
      <c r="AQ738" s="3470" t="s">
        <v>3571</v>
      </c>
      <c r="AW738" s="3470" t="s">
        <v>3572</v>
      </c>
      <c r="AX738" s="3470" t="s">
        <v>3568</v>
      </c>
      <c r="AY738" s="3481" t="s">
        <v>8541</v>
      </c>
      <c r="AZ738" s="3470" t="s">
        <v>7804</v>
      </c>
      <c r="BA738" s="3470" t="s">
        <v>7807</v>
      </c>
      <c r="BB738" s="3481">
        <v>1102281149818</v>
      </c>
      <c r="BC738" s="3470" t="s">
        <v>7808</v>
      </c>
      <c r="BD738" s="3482">
        <v>100044</v>
      </c>
      <c r="BE738" s="3470">
        <v>88018575</v>
      </c>
      <c r="BF738" s="3483">
        <v>2.7</v>
      </c>
      <c r="BG738" s="3478">
        <v>37843</v>
      </c>
      <c r="BI738" s="3470" t="s">
        <v>8007</v>
      </c>
      <c r="BJ738" s="3508">
        <v>37855</v>
      </c>
      <c r="BK738" s="3508"/>
      <c r="BL738" s="3470" t="s">
        <v>3670</v>
      </c>
      <c r="BP738" s="3441"/>
      <c r="BQ738" s="3441"/>
      <c r="BR738" s="3441"/>
    </row>
    <row r="739" spans="1:73" s="3470" customFormat="1" ht="12" hidden="1">
      <c r="A739" s="3470" t="s">
        <v>8542</v>
      </c>
      <c r="B739" s="3470" t="s">
        <v>8543</v>
      </c>
      <c r="C739" s="3470" t="s">
        <v>8544</v>
      </c>
      <c r="D739" s="3470" t="s">
        <v>8545</v>
      </c>
      <c r="E739" s="3470" t="s">
        <v>3558</v>
      </c>
      <c r="F739" s="3470" t="s">
        <v>7803</v>
      </c>
      <c r="H739" s="3470" t="s">
        <v>7661</v>
      </c>
      <c r="I739" s="3470" t="s">
        <v>7690</v>
      </c>
      <c r="J739" s="3470" t="s">
        <v>4028</v>
      </c>
      <c r="K739" s="3470" t="s">
        <v>7804</v>
      </c>
      <c r="L739" s="3470">
        <v>111.06</v>
      </c>
      <c r="M739" s="3470">
        <v>6</v>
      </c>
      <c r="N739" s="3470" t="s">
        <v>4003</v>
      </c>
      <c r="O739" s="3470">
        <v>98.9</v>
      </c>
      <c r="P739" s="3470" t="s">
        <v>3452</v>
      </c>
      <c r="Q739" s="3470">
        <v>470228.04</v>
      </c>
      <c r="R739" s="3470">
        <v>4234</v>
      </c>
      <c r="S739" s="3470">
        <v>46.47</v>
      </c>
      <c r="T739" s="3470">
        <v>464700</v>
      </c>
      <c r="U739" s="3470">
        <v>4185</v>
      </c>
      <c r="V739" s="3470">
        <v>0.1</v>
      </c>
      <c r="W739" s="3470">
        <v>41.82</v>
      </c>
      <c r="X739" s="3470">
        <v>418200</v>
      </c>
      <c r="Y739" s="3470">
        <v>2003</v>
      </c>
      <c r="Z739" s="3470">
        <v>8</v>
      </c>
      <c r="AA739" s="3470">
        <v>25</v>
      </c>
      <c r="AB739" s="3470">
        <v>2320</v>
      </c>
      <c r="AC739" s="3470" t="s">
        <v>3693</v>
      </c>
      <c r="AE739" s="3470" t="s">
        <v>3663</v>
      </c>
      <c r="AF739" s="3470" t="s">
        <v>4721</v>
      </c>
      <c r="AG739" s="3470" t="s">
        <v>3466</v>
      </c>
      <c r="AI739" s="3470" t="s">
        <v>5021</v>
      </c>
      <c r="AJ739" s="3470">
        <v>38077</v>
      </c>
      <c r="AK739" s="3470">
        <v>8</v>
      </c>
      <c r="AL739" s="3470">
        <v>67641700</v>
      </c>
      <c r="AN739" s="3470" t="s">
        <v>4699</v>
      </c>
      <c r="AO739" s="3470" t="s">
        <v>3568</v>
      </c>
      <c r="AP739" s="3470" t="s">
        <v>3476</v>
      </c>
      <c r="AQ739" s="3470" t="s">
        <v>3571</v>
      </c>
      <c r="AW739" s="3470" t="s">
        <v>3572</v>
      </c>
      <c r="AX739" s="3470" t="s">
        <v>3568</v>
      </c>
      <c r="AY739" s="3481" t="s">
        <v>8546</v>
      </c>
      <c r="AZ739" s="3470" t="s">
        <v>7804</v>
      </c>
      <c r="BA739" s="3470" t="s">
        <v>7807</v>
      </c>
      <c r="BB739" s="3481">
        <v>1102281149818</v>
      </c>
      <c r="BC739" s="3470" t="s">
        <v>7808</v>
      </c>
      <c r="BD739" s="3482">
        <v>100044</v>
      </c>
      <c r="BE739" s="3470">
        <v>88018575</v>
      </c>
      <c r="BF739" s="3483">
        <v>2.7</v>
      </c>
      <c r="BG739" s="3478">
        <v>37822</v>
      </c>
      <c r="BI739" s="3470" t="s">
        <v>8007</v>
      </c>
      <c r="BJ739" s="3508">
        <v>37855</v>
      </c>
      <c r="BK739" s="3508"/>
      <c r="BL739" s="3470" t="s">
        <v>3670</v>
      </c>
      <c r="BP739" s="3441"/>
      <c r="BQ739" s="3441"/>
      <c r="BR739" s="3441"/>
    </row>
    <row r="740" spans="1:73" s="3470" customFormat="1" ht="12">
      <c r="A740" s="3470" t="s">
        <v>8547</v>
      </c>
      <c r="B740" s="3470" t="s">
        <v>8548</v>
      </c>
      <c r="C740" s="3470" t="s">
        <v>8549</v>
      </c>
      <c r="D740" s="3470">
        <v>13911281139</v>
      </c>
      <c r="E740" s="3470" t="s">
        <v>3558</v>
      </c>
      <c r="F740" s="3687" t="s">
        <v>11670</v>
      </c>
      <c r="H740" s="3470" t="s">
        <v>8249</v>
      </c>
      <c r="I740" s="3470" t="s">
        <v>3561</v>
      </c>
      <c r="J740" s="3470" t="s">
        <v>8550</v>
      </c>
      <c r="K740" s="3470" t="s">
        <v>8551</v>
      </c>
      <c r="L740" s="3470">
        <v>89.66</v>
      </c>
      <c r="M740" s="3470">
        <v>5</v>
      </c>
      <c r="N740" s="3470" t="s">
        <v>4189</v>
      </c>
      <c r="P740" s="3470" t="s">
        <v>3452</v>
      </c>
      <c r="Q740" s="3470">
        <v>385538</v>
      </c>
      <c r="R740" s="3470">
        <v>4300</v>
      </c>
      <c r="S740" s="3470">
        <v>49.31</v>
      </c>
      <c r="T740" s="3470">
        <v>493100</v>
      </c>
      <c r="U740" s="3470">
        <v>5500</v>
      </c>
      <c r="V740" s="3470">
        <v>0.05</v>
      </c>
      <c r="W740" s="3470">
        <v>46.84</v>
      </c>
      <c r="X740" s="3470">
        <v>468400</v>
      </c>
      <c r="Y740" s="3470">
        <v>2003</v>
      </c>
      <c r="Z740" s="3470">
        <v>8</v>
      </c>
      <c r="AA740" s="3470">
        <v>27</v>
      </c>
      <c r="AB740" s="3470">
        <v>2465</v>
      </c>
      <c r="AC740" s="3470" t="s">
        <v>3565</v>
      </c>
      <c r="AE740" s="3470" t="s">
        <v>3566</v>
      </c>
      <c r="AF740" s="3470" t="s">
        <v>3493</v>
      </c>
      <c r="AG740" s="3470" t="s">
        <v>3466</v>
      </c>
      <c r="AI740" s="3470" t="s">
        <v>5021</v>
      </c>
      <c r="AK740" s="3470" t="s">
        <v>4687</v>
      </c>
      <c r="AL740" s="3470">
        <v>67641700</v>
      </c>
      <c r="AN740" s="3470" t="s">
        <v>8552</v>
      </c>
      <c r="AP740" s="3470" t="s">
        <v>8127</v>
      </c>
      <c r="AQ740" s="3470" t="s">
        <v>3571</v>
      </c>
      <c r="AY740" s="3481"/>
      <c r="AZ740" s="3470" t="s">
        <v>8553</v>
      </c>
      <c r="BB740" s="3481"/>
      <c r="BD740" s="3482"/>
      <c r="BF740" s="3483"/>
      <c r="BG740" s="3478">
        <v>37736</v>
      </c>
      <c r="BI740" s="3470" t="s">
        <v>8127</v>
      </c>
      <c r="BJ740" s="3508">
        <v>37854</v>
      </c>
      <c r="BK740" s="3508"/>
      <c r="BL740" s="3470" t="s">
        <v>8255</v>
      </c>
      <c r="BO740" s="3470" t="s">
        <v>8554</v>
      </c>
      <c r="BP740" s="3441"/>
      <c r="BQ740" s="3441"/>
      <c r="BR740" s="3441"/>
    </row>
    <row r="741" spans="1:73" s="3441" customFormat="1" ht="12" hidden="1">
      <c r="A741" s="3470" t="s">
        <v>8555</v>
      </c>
      <c r="B741" s="3470" t="s">
        <v>8556</v>
      </c>
      <c r="C741" s="3481" t="s">
        <v>8557</v>
      </c>
      <c r="D741" s="3481" t="s">
        <v>8558</v>
      </c>
      <c r="E741" s="3470" t="s">
        <v>6987</v>
      </c>
      <c r="F741" s="3521" t="s">
        <v>8559</v>
      </c>
      <c r="G741" s="3470"/>
      <c r="H741" s="3470" t="s">
        <v>5814</v>
      </c>
      <c r="I741" s="3470"/>
      <c r="J741" s="3481" t="s">
        <v>8560</v>
      </c>
      <c r="K741" s="3470" t="s">
        <v>8556</v>
      </c>
      <c r="L741" s="3470">
        <v>190.8</v>
      </c>
      <c r="M741" s="3470">
        <v>19</v>
      </c>
      <c r="N741" s="3470" t="s">
        <v>8561</v>
      </c>
      <c r="O741" s="3470"/>
      <c r="P741" s="3470" t="s">
        <v>4879</v>
      </c>
      <c r="Q741" s="3457">
        <v>686880</v>
      </c>
      <c r="R741" s="3470">
        <v>3600</v>
      </c>
      <c r="S741" s="3472">
        <v>96.12</v>
      </c>
      <c r="T741" s="3527">
        <v>961200</v>
      </c>
      <c r="U741" s="3470">
        <v>5038</v>
      </c>
      <c r="V741" s="3474">
        <v>0.05</v>
      </c>
      <c r="W741" s="3475">
        <v>91.31</v>
      </c>
      <c r="X741" s="3473">
        <v>913100</v>
      </c>
      <c r="Y741" s="3441">
        <v>2003</v>
      </c>
      <c r="Z741" s="3441">
        <v>12</v>
      </c>
      <c r="AA741" s="3441">
        <v>2</v>
      </c>
      <c r="AB741" s="3485">
        <v>4805</v>
      </c>
      <c r="AC741" s="3470" t="s">
        <v>8562</v>
      </c>
      <c r="AD741" s="3485"/>
      <c r="AE741" s="3441" t="s">
        <v>8563</v>
      </c>
      <c r="AF741" s="3470" t="s">
        <v>3453</v>
      </c>
      <c r="AG741" s="3470" t="s">
        <v>3466</v>
      </c>
      <c r="AH741" s="3485"/>
      <c r="AI741" s="3470" t="s">
        <v>3664</v>
      </c>
      <c r="AJ741" s="3523"/>
      <c r="AK741" s="3606" t="s">
        <v>4823</v>
      </c>
      <c r="AL741" s="3441">
        <v>67641700</v>
      </c>
      <c r="AN741" s="3441" t="s">
        <v>3456</v>
      </c>
      <c r="AP741" s="3441" t="s">
        <v>8563</v>
      </c>
      <c r="AQ741" s="3441" t="s">
        <v>7265</v>
      </c>
      <c r="AW741" s="3470" t="s">
        <v>3572</v>
      </c>
      <c r="AY741" s="3524" t="s">
        <v>8564</v>
      </c>
      <c r="AZ741" s="3441" t="s">
        <v>8565</v>
      </c>
      <c r="BA741" s="3441" t="s">
        <v>8566</v>
      </c>
      <c r="BB741" s="3524" t="s">
        <v>8567</v>
      </c>
      <c r="BC741" s="3441" t="s">
        <v>8568</v>
      </c>
      <c r="BD741" s="3525">
        <v>100086</v>
      </c>
      <c r="BE741" s="3441">
        <v>62639080</v>
      </c>
      <c r="BF741" s="3526">
        <v>2.7</v>
      </c>
      <c r="BG741" s="3518">
        <v>37581</v>
      </c>
      <c r="BI741" s="3441" t="s">
        <v>8563</v>
      </c>
      <c r="BJ741" s="3484">
        <v>37855</v>
      </c>
      <c r="BK741" s="3484"/>
      <c r="BL741" s="3470" t="s">
        <v>3470</v>
      </c>
      <c r="BM741" s="3441" t="s">
        <v>8569</v>
      </c>
    </row>
    <row r="742" spans="1:73" s="3441" customFormat="1" ht="12" hidden="1">
      <c r="A742" s="3485" t="s">
        <v>8570</v>
      </c>
      <c r="B742" s="3470" t="s">
        <v>8571</v>
      </c>
      <c r="C742" s="3481" t="s">
        <v>8572</v>
      </c>
      <c r="D742" s="3481" t="s">
        <v>8573</v>
      </c>
      <c r="E742" s="3470" t="s">
        <v>3558</v>
      </c>
      <c r="F742" s="3470" t="s">
        <v>7153</v>
      </c>
      <c r="G742" s="3470" t="s">
        <v>3568</v>
      </c>
      <c r="H742" s="3470" t="s">
        <v>7162</v>
      </c>
      <c r="I742" s="3470" t="s">
        <v>3726</v>
      </c>
      <c r="J742" s="3481" t="s">
        <v>8574</v>
      </c>
      <c r="K742" s="3470" t="s">
        <v>6117</v>
      </c>
      <c r="L742" s="3470">
        <v>98.22</v>
      </c>
      <c r="M742" s="3470">
        <v>13</v>
      </c>
      <c r="N742" s="3470" t="s">
        <v>4030</v>
      </c>
      <c r="O742" s="3470">
        <v>83.29</v>
      </c>
      <c r="P742" s="3470" t="s">
        <v>3452</v>
      </c>
      <c r="Q742" s="3457">
        <v>405648.6</v>
      </c>
      <c r="R742" s="3470">
        <v>4130</v>
      </c>
      <c r="S742" s="3472">
        <v>40.07</v>
      </c>
      <c r="T742" s="3527">
        <v>400700</v>
      </c>
      <c r="U742" s="3470">
        <v>4080</v>
      </c>
      <c r="V742" s="3474">
        <v>0.1</v>
      </c>
      <c r="W742" s="3475">
        <v>36.06</v>
      </c>
      <c r="X742" s="3476">
        <v>360600</v>
      </c>
      <c r="Y742" s="3441">
        <v>2003</v>
      </c>
      <c r="Z742" s="3441">
        <v>9</v>
      </c>
      <c r="AA742" s="3470">
        <v>12</v>
      </c>
      <c r="AB742" s="3477">
        <v>2000</v>
      </c>
      <c r="AC742" s="3453" t="s">
        <v>4922</v>
      </c>
      <c r="AD742" s="3485"/>
      <c r="AE742" s="3441" t="s">
        <v>3663</v>
      </c>
      <c r="AF742" s="3470" t="s">
        <v>4721</v>
      </c>
      <c r="AG742" s="3522" t="s">
        <v>3466</v>
      </c>
      <c r="AH742" s="3485"/>
      <c r="AI742" s="3470" t="s">
        <v>5021</v>
      </c>
      <c r="AJ742" s="3523">
        <v>38108</v>
      </c>
      <c r="AK742" s="3500">
        <v>9</v>
      </c>
      <c r="AL742" s="3441">
        <v>67641700</v>
      </c>
      <c r="AN742" s="3441" t="s">
        <v>3695</v>
      </c>
      <c r="AO742" s="3441" t="s">
        <v>8575</v>
      </c>
      <c r="AP742" s="3441" t="s">
        <v>3476</v>
      </c>
      <c r="AQ742" s="3441" t="s">
        <v>3571</v>
      </c>
      <c r="AW742" s="3441" t="s">
        <v>3572</v>
      </c>
      <c r="AX742" s="3441" t="s">
        <v>3568</v>
      </c>
      <c r="AY742" s="3524" t="s">
        <v>8576</v>
      </c>
      <c r="AZ742" s="3441" t="s">
        <v>6117</v>
      </c>
      <c r="BA742" s="3441" t="s">
        <v>7157</v>
      </c>
      <c r="BB742" s="3524">
        <v>1102281326100</v>
      </c>
      <c r="BC742" s="3441" t="s">
        <v>7158</v>
      </c>
      <c r="BD742" s="3525">
        <v>100055</v>
      </c>
      <c r="BE742" s="3441">
        <v>82951881</v>
      </c>
      <c r="BF742" s="3526">
        <v>2.8</v>
      </c>
      <c r="BG742" s="3518">
        <v>37851</v>
      </c>
      <c r="BH742" s="3441" t="s">
        <v>4753</v>
      </c>
      <c r="BI742" s="3441" t="s">
        <v>3476</v>
      </c>
      <c r="BJ742" s="3484">
        <v>37875</v>
      </c>
      <c r="BK742" s="3518"/>
      <c r="BL742" s="3470" t="s">
        <v>3670</v>
      </c>
      <c r="BS742" s="3470"/>
      <c r="BT742" s="3470"/>
      <c r="BU742" s="3470"/>
    </row>
    <row r="743" spans="1:73" s="3441" customFormat="1" ht="12" hidden="1">
      <c r="A743" s="3485" t="s">
        <v>8577</v>
      </c>
      <c r="B743" s="3470" t="s">
        <v>8578</v>
      </c>
      <c r="C743" s="3481" t="s">
        <v>8579</v>
      </c>
      <c r="D743" s="3481">
        <v>82777768</v>
      </c>
      <c r="E743" s="3470" t="s">
        <v>3558</v>
      </c>
      <c r="F743" s="3521" t="s">
        <v>7153</v>
      </c>
      <c r="G743" s="3470" t="s">
        <v>3568</v>
      </c>
      <c r="H743" s="3470" t="s">
        <v>7162</v>
      </c>
      <c r="I743" s="3470" t="s">
        <v>3735</v>
      </c>
      <c r="J743" s="3481" t="s">
        <v>5031</v>
      </c>
      <c r="K743" s="3470" t="s">
        <v>6117</v>
      </c>
      <c r="L743" s="3470">
        <v>98.22</v>
      </c>
      <c r="M743" s="3470">
        <v>12</v>
      </c>
      <c r="N743" s="3470" t="s">
        <v>5032</v>
      </c>
      <c r="O743" s="3470">
        <v>83.29</v>
      </c>
      <c r="P743" s="3470" t="s">
        <v>3452</v>
      </c>
      <c r="Q743" s="3457">
        <v>402702</v>
      </c>
      <c r="R743" s="3470">
        <v>4100</v>
      </c>
      <c r="S743" s="3472">
        <v>39.770000000000003</v>
      </c>
      <c r="T743" s="3527">
        <v>397700</v>
      </c>
      <c r="U743" s="3470">
        <v>4050</v>
      </c>
      <c r="V743" s="3474">
        <v>0.1</v>
      </c>
      <c r="W743" s="3475">
        <v>35.79</v>
      </c>
      <c r="X743" s="3473">
        <v>357900</v>
      </c>
      <c r="Y743" s="3441">
        <v>2003</v>
      </c>
      <c r="Z743" s="3441">
        <v>9</v>
      </c>
      <c r="AA743" s="3441">
        <v>4</v>
      </c>
      <c r="AB743" s="3485">
        <v>1985</v>
      </c>
      <c r="AC743" s="3470" t="s">
        <v>3693</v>
      </c>
      <c r="AD743" s="3485"/>
      <c r="AE743" s="3441" t="s">
        <v>3663</v>
      </c>
      <c r="AF743" s="3470" t="s">
        <v>4721</v>
      </c>
      <c r="AG743" s="3522" t="s">
        <v>3466</v>
      </c>
      <c r="AH743" s="3485"/>
      <c r="AI743" s="3470" t="s">
        <v>5021</v>
      </c>
      <c r="AJ743" s="3523">
        <v>38108</v>
      </c>
      <c r="AK743" s="3479">
        <v>9</v>
      </c>
      <c r="AL743" s="3441">
        <v>67641700</v>
      </c>
      <c r="AN743" s="3441" t="s">
        <v>3570</v>
      </c>
      <c r="AO743" s="3441" t="s">
        <v>8580</v>
      </c>
      <c r="AP743" s="3441" t="s">
        <v>3476</v>
      </c>
      <c r="AQ743" s="3441" t="s">
        <v>3571</v>
      </c>
      <c r="AW743" s="3441" t="s">
        <v>3572</v>
      </c>
      <c r="AX743" s="3441" t="s">
        <v>3568</v>
      </c>
      <c r="AY743" s="3524">
        <v>299348</v>
      </c>
      <c r="AZ743" s="3441" t="s">
        <v>6117</v>
      </c>
      <c r="BA743" s="3441" t="s">
        <v>7157</v>
      </c>
      <c r="BB743" s="3524">
        <v>1102281326100</v>
      </c>
      <c r="BC743" s="3441" t="s">
        <v>7158</v>
      </c>
      <c r="BD743" s="3525">
        <v>100055</v>
      </c>
      <c r="BE743" s="3441">
        <v>82951881</v>
      </c>
      <c r="BF743" s="3526">
        <v>2.8</v>
      </c>
      <c r="BG743" s="3518">
        <v>37848</v>
      </c>
      <c r="BI743" s="3441" t="s">
        <v>3476</v>
      </c>
      <c r="BJ743" s="3484">
        <v>37867</v>
      </c>
      <c r="BK743" s="3518"/>
      <c r="BL743" s="3470" t="s">
        <v>3670</v>
      </c>
      <c r="BS743" s="3470"/>
      <c r="BT743" s="3470"/>
      <c r="BU743" s="3470"/>
    </row>
    <row r="744" spans="1:73" s="3441" customFormat="1" ht="12" hidden="1">
      <c r="A744" s="3485" t="s">
        <v>8581</v>
      </c>
      <c r="B744" s="3470" t="s">
        <v>5086</v>
      </c>
      <c r="C744" s="3481" t="s">
        <v>8582</v>
      </c>
      <c r="D744" s="3481">
        <v>13601016916</v>
      </c>
      <c r="E744" s="3470" t="s">
        <v>3558</v>
      </c>
      <c r="F744" s="3521" t="s">
        <v>3559</v>
      </c>
      <c r="G744" s="3470"/>
      <c r="H744" s="3470" t="s">
        <v>7743</v>
      </c>
      <c r="I744" s="3470" t="s">
        <v>3735</v>
      </c>
      <c r="J744" s="3481" t="s">
        <v>8583</v>
      </c>
      <c r="K744" s="3470" t="s">
        <v>7737</v>
      </c>
      <c r="L744" s="3470">
        <v>62.75</v>
      </c>
      <c r="M744" s="3470">
        <v>12</v>
      </c>
      <c r="N744" s="3470" t="s">
        <v>3692</v>
      </c>
      <c r="O744" s="3470">
        <v>50.84</v>
      </c>
      <c r="P744" s="3470" t="s">
        <v>3452</v>
      </c>
      <c r="Q744" s="3457">
        <v>298439</v>
      </c>
      <c r="R744" s="3470">
        <v>4756</v>
      </c>
      <c r="S744" s="3472">
        <v>29.52</v>
      </c>
      <c r="T744" s="3527">
        <v>295200</v>
      </c>
      <c r="U744" s="3470">
        <v>4705</v>
      </c>
      <c r="V744" s="3474">
        <v>0.1</v>
      </c>
      <c r="W744" s="3475">
        <v>26.56</v>
      </c>
      <c r="X744" s="3473">
        <v>265600</v>
      </c>
      <c r="Y744" s="3441">
        <v>2003</v>
      </c>
      <c r="Z744" s="3441">
        <v>9</v>
      </c>
      <c r="AA744" s="3441">
        <v>2</v>
      </c>
      <c r="AB744" s="3485">
        <v>1475</v>
      </c>
      <c r="AC744" s="3470" t="s">
        <v>3693</v>
      </c>
      <c r="AD744" s="3485"/>
      <c r="AE744" s="3441" t="s">
        <v>3663</v>
      </c>
      <c r="AF744" s="3470" t="s">
        <v>4200</v>
      </c>
      <c r="AG744" s="3522" t="s">
        <v>3466</v>
      </c>
      <c r="AH744" s="3485" t="s">
        <v>3568</v>
      </c>
      <c r="AI744" s="3470" t="s">
        <v>5021</v>
      </c>
      <c r="AJ744" s="3523">
        <v>37894</v>
      </c>
      <c r="AK744" s="3479">
        <v>9</v>
      </c>
      <c r="AL744" s="3441">
        <v>67641700</v>
      </c>
      <c r="AM744" s="3441" t="s">
        <v>3568</v>
      </c>
      <c r="AN744" s="3441" t="s">
        <v>3570</v>
      </c>
      <c r="AO744" s="3441" t="s">
        <v>3568</v>
      </c>
      <c r="AP744" s="3441" t="s">
        <v>3476</v>
      </c>
      <c r="AQ744" s="3441" t="s">
        <v>3571</v>
      </c>
      <c r="AW744" s="3441" t="s">
        <v>3572</v>
      </c>
      <c r="AY744" s="3524">
        <v>250162</v>
      </c>
      <c r="AZ744" s="3441" t="s">
        <v>3563</v>
      </c>
      <c r="BA744" s="3441" t="s">
        <v>3574</v>
      </c>
      <c r="BB744" s="3524" t="s">
        <v>3575</v>
      </c>
      <c r="BC744" s="3441" t="s">
        <v>3576</v>
      </c>
      <c r="BD744" s="3525">
        <v>100037</v>
      </c>
      <c r="BE744" s="3441">
        <v>84050046</v>
      </c>
      <c r="BF744" s="3526">
        <v>2.8</v>
      </c>
      <c r="BG744" s="3518">
        <v>37678</v>
      </c>
      <c r="BI744" s="3441" t="s">
        <v>8007</v>
      </c>
      <c r="BJ744" s="3484">
        <v>37858</v>
      </c>
      <c r="BK744" s="3518"/>
      <c r="BL744" s="3470" t="s">
        <v>3670</v>
      </c>
      <c r="BS744" s="3470"/>
      <c r="BT744" s="3470"/>
      <c r="BU744" s="3470"/>
    </row>
    <row r="745" spans="1:73" s="3441" customFormat="1" ht="12" hidden="1">
      <c r="A745" s="3485" t="s">
        <v>8584</v>
      </c>
      <c r="B745" s="3470" t="s">
        <v>8585</v>
      </c>
      <c r="C745" s="3481" t="s">
        <v>8586</v>
      </c>
      <c r="D745" s="3481">
        <v>13910730016</v>
      </c>
      <c r="E745" s="3470" t="s">
        <v>3558</v>
      </c>
      <c r="F745" s="3521" t="s">
        <v>3559</v>
      </c>
      <c r="G745" s="3470"/>
      <c r="H745" s="3470" t="s">
        <v>7743</v>
      </c>
      <c r="I745" s="3470" t="s">
        <v>4309</v>
      </c>
      <c r="J745" s="3481" t="s">
        <v>8587</v>
      </c>
      <c r="K745" s="3470" t="s">
        <v>7737</v>
      </c>
      <c r="L745" s="3470">
        <v>71.319999999999993</v>
      </c>
      <c r="M745" s="3470">
        <v>9</v>
      </c>
      <c r="N745" s="3470" t="s">
        <v>3564</v>
      </c>
      <c r="O745" s="3470">
        <v>57.78</v>
      </c>
      <c r="P745" s="3470" t="s">
        <v>3452</v>
      </c>
      <c r="Q745" s="3457">
        <v>328785.2</v>
      </c>
      <c r="R745" s="3470">
        <v>4610</v>
      </c>
      <c r="S745" s="3472">
        <v>32.54</v>
      </c>
      <c r="T745" s="3527">
        <v>325400</v>
      </c>
      <c r="U745" s="3470">
        <v>4563</v>
      </c>
      <c r="V745" s="3474">
        <v>0.1</v>
      </c>
      <c r="W745" s="3475">
        <v>29.28</v>
      </c>
      <c r="X745" s="3473">
        <v>292800</v>
      </c>
      <c r="Y745" s="3441">
        <v>2003</v>
      </c>
      <c r="Z745" s="3441">
        <v>9</v>
      </c>
      <c r="AA745" s="3441">
        <v>2</v>
      </c>
      <c r="AB745" s="3485">
        <v>1625</v>
      </c>
      <c r="AC745" s="3470" t="s">
        <v>3693</v>
      </c>
      <c r="AD745" s="3485"/>
      <c r="AE745" s="3441" t="s">
        <v>3663</v>
      </c>
      <c r="AF745" s="3470" t="s">
        <v>4200</v>
      </c>
      <c r="AG745" s="3522" t="s">
        <v>3466</v>
      </c>
      <c r="AH745" s="3485" t="s">
        <v>3568</v>
      </c>
      <c r="AI745" s="3470" t="s">
        <v>5021</v>
      </c>
      <c r="AJ745" s="3523">
        <v>37894</v>
      </c>
      <c r="AK745" s="3479">
        <v>9</v>
      </c>
      <c r="AL745" s="3441">
        <v>67641700</v>
      </c>
      <c r="AM745" s="3441" t="s">
        <v>3568</v>
      </c>
      <c r="AN745" s="3441" t="s">
        <v>3570</v>
      </c>
      <c r="AO745" s="3441" t="s">
        <v>3568</v>
      </c>
      <c r="AP745" s="3441" t="s">
        <v>3476</v>
      </c>
      <c r="AQ745" s="3441" t="s">
        <v>3571</v>
      </c>
      <c r="AW745" s="3441" t="s">
        <v>3572</v>
      </c>
      <c r="AY745" s="3524">
        <v>300396</v>
      </c>
      <c r="AZ745" s="3441" t="s">
        <v>7737</v>
      </c>
      <c r="BA745" s="3441" t="s">
        <v>8005</v>
      </c>
      <c r="BB745" s="3524" t="s">
        <v>8006</v>
      </c>
      <c r="BC745" s="3441" t="s">
        <v>3576</v>
      </c>
      <c r="BD745" s="3525">
        <v>100035</v>
      </c>
      <c r="BE745" s="3441">
        <v>84050010</v>
      </c>
      <c r="BF745" s="3526">
        <v>2.8</v>
      </c>
      <c r="BG745" s="3518">
        <v>37765</v>
      </c>
      <c r="BI745" s="3441" t="s">
        <v>8007</v>
      </c>
      <c r="BJ745" s="3484">
        <v>37858</v>
      </c>
      <c r="BK745" s="3518"/>
      <c r="BL745" s="3470" t="s">
        <v>3670</v>
      </c>
      <c r="BS745" s="3470"/>
      <c r="BT745" s="3470"/>
      <c r="BU745" s="3470"/>
    </row>
    <row r="746" spans="1:73" s="3441" customFormat="1" ht="12" hidden="1">
      <c r="A746" s="3485" t="s">
        <v>8588</v>
      </c>
      <c r="B746" s="3470" t="s">
        <v>8589</v>
      </c>
      <c r="C746" s="3481" t="s">
        <v>8590</v>
      </c>
      <c r="D746" s="3481" t="s">
        <v>8591</v>
      </c>
      <c r="E746" s="3470" t="s">
        <v>3558</v>
      </c>
      <c r="F746" s="3521" t="s">
        <v>3733</v>
      </c>
      <c r="G746" s="3470"/>
      <c r="H746" s="3470" t="s">
        <v>8592</v>
      </c>
      <c r="I746" s="3470" t="s">
        <v>4019</v>
      </c>
      <c r="J746" s="3481" t="s">
        <v>8593</v>
      </c>
      <c r="K746" s="3470" t="s">
        <v>3737</v>
      </c>
      <c r="L746" s="3470">
        <v>155.87</v>
      </c>
      <c r="M746" s="3470">
        <v>13</v>
      </c>
      <c r="N746" s="3470" t="s">
        <v>4003</v>
      </c>
      <c r="O746" s="3470">
        <v>126.37</v>
      </c>
      <c r="P746" s="3470" t="s">
        <v>3452</v>
      </c>
      <c r="Q746" s="3457">
        <v>980422.3</v>
      </c>
      <c r="R746" s="3470">
        <v>6290</v>
      </c>
      <c r="S746" s="3472">
        <v>97.34</v>
      </c>
      <c r="T746" s="3527">
        <v>973400</v>
      </c>
      <c r="U746" s="3470">
        <v>6245</v>
      </c>
      <c r="V746" s="3474">
        <v>0.1</v>
      </c>
      <c r="W746" s="3475">
        <v>87.6</v>
      </c>
      <c r="X746" s="3473">
        <v>876000</v>
      </c>
      <c r="Y746" s="3441">
        <v>2003</v>
      </c>
      <c r="Z746" s="3441">
        <v>9</v>
      </c>
      <c r="AA746" s="3441">
        <v>2</v>
      </c>
      <c r="AB746" s="3485">
        <v>4865</v>
      </c>
      <c r="AC746" s="3470" t="s">
        <v>3603</v>
      </c>
      <c r="AD746" s="3485"/>
      <c r="AE746" s="3441" t="s">
        <v>3663</v>
      </c>
      <c r="AF746" s="3470" t="s">
        <v>3728</v>
      </c>
      <c r="AG746" s="3522" t="s">
        <v>3466</v>
      </c>
      <c r="AH746" s="3485"/>
      <c r="AI746" s="3470" t="s">
        <v>5021</v>
      </c>
      <c r="AJ746" s="3523">
        <v>37965</v>
      </c>
      <c r="AK746" s="3479">
        <v>9</v>
      </c>
      <c r="AL746" s="3441">
        <v>67641700</v>
      </c>
      <c r="AN746" s="3441" t="s">
        <v>3570</v>
      </c>
      <c r="AO746" s="3441" t="s">
        <v>3568</v>
      </c>
      <c r="AP746" s="3441" t="s">
        <v>3476</v>
      </c>
      <c r="AQ746" s="3441" t="s">
        <v>3571</v>
      </c>
      <c r="AW746" s="3441" t="s">
        <v>3572</v>
      </c>
      <c r="AY746" s="3524" t="s">
        <v>8594</v>
      </c>
      <c r="AZ746" s="3441" t="s">
        <v>3737</v>
      </c>
      <c r="BA746" s="3441" t="s">
        <v>3742</v>
      </c>
      <c r="BB746" s="3524" t="s">
        <v>3743</v>
      </c>
      <c r="BC746" s="3441" t="s">
        <v>3744</v>
      </c>
      <c r="BD746" s="3525">
        <v>100088</v>
      </c>
      <c r="BE746" s="3441">
        <v>82058259</v>
      </c>
      <c r="BF746" s="3526" t="s">
        <v>8595</v>
      </c>
      <c r="BG746" s="3518">
        <v>37638</v>
      </c>
      <c r="BH746" s="3441" t="s">
        <v>4753</v>
      </c>
      <c r="BI746" s="3441" t="s">
        <v>3700</v>
      </c>
      <c r="BJ746" s="3484">
        <v>37858</v>
      </c>
      <c r="BK746" s="3518">
        <v>37862</v>
      </c>
      <c r="BL746" s="3470" t="s">
        <v>3670</v>
      </c>
      <c r="BS746" s="3470"/>
      <c r="BT746" s="3470"/>
      <c r="BU746" s="3470"/>
    </row>
    <row r="747" spans="1:73" s="3470" customFormat="1" ht="12" hidden="1">
      <c r="A747" s="3470" t="s">
        <v>8596</v>
      </c>
      <c r="B747" s="3470" t="s">
        <v>8597</v>
      </c>
      <c r="C747" s="3470" t="s">
        <v>8598</v>
      </c>
      <c r="D747" s="3470">
        <v>13910212521</v>
      </c>
      <c r="E747" s="3470" t="s">
        <v>3558</v>
      </c>
      <c r="F747" s="3470" t="s">
        <v>7153</v>
      </c>
      <c r="G747" s="3470" t="s">
        <v>3568</v>
      </c>
      <c r="H747" s="3470" t="s">
        <v>7162</v>
      </c>
      <c r="I747" s="3470" t="s">
        <v>4309</v>
      </c>
      <c r="J747" s="3470" t="s">
        <v>5003</v>
      </c>
      <c r="K747" s="3470" t="s">
        <v>6117</v>
      </c>
      <c r="L747" s="3470">
        <v>98.22</v>
      </c>
      <c r="M747" s="3470">
        <v>6</v>
      </c>
      <c r="N747" s="3470" t="s">
        <v>5032</v>
      </c>
      <c r="O747" s="3470">
        <v>83.29</v>
      </c>
      <c r="P747" s="3470" t="s">
        <v>3452</v>
      </c>
      <c r="Q747" s="3470">
        <v>392880</v>
      </c>
      <c r="R747" s="3470">
        <v>4000</v>
      </c>
      <c r="S747" s="3470">
        <v>38.83</v>
      </c>
      <c r="T747" s="3470">
        <v>388300</v>
      </c>
      <c r="U747" s="3470">
        <v>3954</v>
      </c>
      <c r="V747" s="3470">
        <v>0.1</v>
      </c>
      <c r="W747" s="3470">
        <v>34.94</v>
      </c>
      <c r="X747" s="3470">
        <v>349400</v>
      </c>
      <c r="Y747" s="3470">
        <v>2003</v>
      </c>
      <c r="Z747" s="3470">
        <v>8</v>
      </c>
      <c r="AA747" s="3470">
        <v>26</v>
      </c>
      <c r="AB747" s="3470">
        <v>1940</v>
      </c>
      <c r="AC747" s="3470" t="s">
        <v>3565</v>
      </c>
      <c r="AE747" s="3470" t="s">
        <v>3663</v>
      </c>
      <c r="AF747" s="3470" t="s">
        <v>4721</v>
      </c>
      <c r="AG747" s="3470" t="s">
        <v>3466</v>
      </c>
      <c r="AI747" s="3470" t="s">
        <v>5021</v>
      </c>
      <c r="AJ747" s="3470">
        <v>38108</v>
      </c>
      <c r="AK747" s="3470">
        <v>8</v>
      </c>
      <c r="AL747" s="3470">
        <v>67641700</v>
      </c>
      <c r="AN747" s="3470" t="s">
        <v>4699</v>
      </c>
      <c r="AO747" s="3470" t="s">
        <v>3568</v>
      </c>
      <c r="AP747" s="3470" t="s">
        <v>3476</v>
      </c>
      <c r="AQ747" s="3470" t="s">
        <v>3571</v>
      </c>
      <c r="AW747" s="3470" t="s">
        <v>3572</v>
      </c>
      <c r="AX747" s="3470" t="s">
        <v>3568</v>
      </c>
      <c r="AY747" s="3481">
        <v>299357</v>
      </c>
      <c r="AZ747" s="3470" t="s">
        <v>6117</v>
      </c>
      <c r="BA747" s="3470" t="s">
        <v>7157</v>
      </c>
      <c r="BB747" s="3481">
        <v>1102281326100</v>
      </c>
      <c r="BC747" s="3470" t="s">
        <v>7158</v>
      </c>
      <c r="BD747" s="3482">
        <v>100055</v>
      </c>
      <c r="BE747" s="3470">
        <v>82951881</v>
      </c>
      <c r="BF747" s="3483">
        <v>2.8</v>
      </c>
      <c r="BG747" s="3478">
        <v>37849</v>
      </c>
      <c r="BI747" s="3470" t="s">
        <v>3476</v>
      </c>
      <c r="BJ747" s="3508">
        <v>37858</v>
      </c>
      <c r="BK747" s="3508"/>
      <c r="BL747" s="3470" t="s">
        <v>3670</v>
      </c>
      <c r="BP747" s="3441"/>
      <c r="BQ747" s="3441"/>
      <c r="BR747" s="3441"/>
    </row>
    <row r="748" spans="1:73" s="3470" customFormat="1" ht="12" hidden="1">
      <c r="A748" s="3470" t="s">
        <v>8599</v>
      </c>
      <c r="B748" s="3470" t="s">
        <v>8600</v>
      </c>
      <c r="C748" s="3470" t="s">
        <v>8601</v>
      </c>
      <c r="D748" s="3470">
        <v>13601331968</v>
      </c>
      <c r="E748" s="3470" t="s">
        <v>3558</v>
      </c>
      <c r="F748" s="3470" t="s">
        <v>4645</v>
      </c>
      <c r="H748" s="3470" t="s">
        <v>4646</v>
      </c>
      <c r="I748" s="3470" t="s">
        <v>7851</v>
      </c>
      <c r="J748" s="3470" t="s">
        <v>8602</v>
      </c>
      <c r="K748" s="3470" t="s">
        <v>4649</v>
      </c>
      <c r="L748" s="3470">
        <v>76.47</v>
      </c>
      <c r="M748" s="3470">
        <v>8</v>
      </c>
      <c r="N748" s="3470" t="s">
        <v>3564</v>
      </c>
      <c r="O748" s="3470">
        <v>60.28</v>
      </c>
      <c r="P748" s="3470" t="s">
        <v>3452</v>
      </c>
      <c r="Q748" s="3470">
        <v>552266.34</v>
      </c>
      <c r="R748" s="3470">
        <v>7222</v>
      </c>
      <c r="S748" s="3470">
        <v>54.76</v>
      </c>
      <c r="T748" s="3470">
        <v>547600</v>
      </c>
      <c r="U748" s="3470">
        <v>7162</v>
      </c>
      <c r="V748" s="3470">
        <v>0.1</v>
      </c>
      <c r="W748" s="3470">
        <v>49.28</v>
      </c>
      <c r="X748" s="3470">
        <v>492800</v>
      </c>
      <c r="Y748" s="3470">
        <v>2003</v>
      </c>
      <c r="Z748" s="3470">
        <v>8</v>
      </c>
      <c r="AA748" s="3470">
        <v>27</v>
      </c>
      <c r="AB748" s="3470">
        <v>2735</v>
      </c>
      <c r="AC748" s="3470" t="s">
        <v>3693</v>
      </c>
      <c r="AE748" s="3470" t="s">
        <v>3663</v>
      </c>
      <c r="AF748" s="3470" t="s">
        <v>3728</v>
      </c>
      <c r="AG748" s="3470" t="s">
        <v>3466</v>
      </c>
      <c r="AI748" s="3470" t="s">
        <v>5021</v>
      </c>
      <c r="AJ748" s="3470">
        <v>38199</v>
      </c>
      <c r="AK748" s="3470">
        <v>8</v>
      </c>
      <c r="AL748" s="3470">
        <v>67641700</v>
      </c>
      <c r="AN748" s="3470" t="s">
        <v>4699</v>
      </c>
      <c r="AP748" s="3470" t="s">
        <v>3476</v>
      </c>
      <c r="AQ748" s="3470" t="s">
        <v>3571</v>
      </c>
      <c r="AW748" s="3470" t="s">
        <v>3572</v>
      </c>
      <c r="AX748" s="3470" t="s">
        <v>3568</v>
      </c>
      <c r="AY748" s="3481" t="s">
        <v>8603</v>
      </c>
      <c r="AZ748" s="3470" t="s">
        <v>4654</v>
      </c>
      <c r="BA748" s="3470" t="s">
        <v>4688</v>
      </c>
      <c r="BB748" s="3481" t="s">
        <v>4689</v>
      </c>
      <c r="BC748" s="3470" t="s">
        <v>4656</v>
      </c>
      <c r="BD748" s="3482">
        <v>100037</v>
      </c>
      <c r="BE748" s="3470">
        <v>68347718</v>
      </c>
      <c r="BF748" s="3483">
        <v>2.8</v>
      </c>
      <c r="BG748" s="3478">
        <v>37806</v>
      </c>
      <c r="BH748" s="3470" t="s">
        <v>4681</v>
      </c>
      <c r="BI748" s="3470" t="s">
        <v>3476</v>
      </c>
      <c r="BJ748" s="3508">
        <v>37859</v>
      </c>
      <c r="BK748" s="3508"/>
      <c r="BL748" s="3470" t="s">
        <v>3670</v>
      </c>
      <c r="BP748" s="3441"/>
      <c r="BQ748" s="3441"/>
      <c r="BR748" s="3441"/>
    </row>
    <row r="749" spans="1:73" s="3470" customFormat="1" ht="12" hidden="1">
      <c r="A749" s="3470" t="s">
        <v>8604</v>
      </c>
      <c r="B749" s="3470" t="s">
        <v>8605</v>
      </c>
      <c r="C749" s="3470" t="s">
        <v>8606</v>
      </c>
      <c r="D749" s="3470">
        <v>64211561</v>
      </c>
      <c r="E749" s="3470" t="s">
        <v>3558</v>
      </c>
      <c r="F749" s="3470" t="s">
        <v>4645</v>
      </c>
      <c r="H749" s="3470" t="s">
        <v>4684</v>
      </c>
      <c r="I749" s="3470" t="s">
        <v>5066</v>
      </c>
      <c r="J749" s="3470" t="s">
        <v>8607</v>
      </c>
      <c r="K749" s="3470" t="s">
        <v>4649</v>
      </c>
      <c r="L749" s="3470">
        <v>92.06</v>
      </c>
      <c r="M749" s="3470">
        <v>7</v>
      </c>
      <c r="N749" s="3470" t="s">
        <v>4030</v>
      </c>
      <c r="O749" s="3470">
        <v>72.569999999999993</v>
      </c>
      <c r="P749" s="3470" t="s">
        <v>3452</v>
      </c>
      <c r="Q749" s="3470">
        <v>733442.02</v>
      </c>
      <c r="R749" s="3470">
        <v>7967</v>
      </c>
      <c r="S749" s="3470">
        <v>72.8</v>
      </c>
      <c r="T749" s="3470">
        <v>728000</v>
      </c>
      <c r="U749" s="3470">
        <v>7908</v>
      </c>
      <c r="V749" s="3470">
        <v>0.1</v>
      </c>
      <c r="W749" s="3470">
        <v>65.52</v>
      </c>
      <c r="X749" s="3470">
        <v>655200</v>
      </c>
      <c r="Y749" s="3470">
        <v>2003</v>
      </c>
      <c r="Z749" s="3470">
        <v>8</v>
      </c>
      <c r="AA749" s="3470">
        <v>27</v>
      </c>
      <c r="AB749" s="3470">
        <v>3640</v>
      </c>
      <c r="AC749" s="3470" t="s">
        <v>3693</v>
      </c>
      <c r="AE749" s="3470" t="s">
        <v>3663</v>
      </c>
      <c r="AF749" s="3470" t="s">
        <v>3728</v>
      </c>
      <c r="AG749" s="3470" t="s">
        <v>3466</v>
      </c>
      <c r="AI749" s="3470" t="s">
        <v>5021</v>
      </c>
      <c r="AJ749" s="3470">
        <v>38199</v>
      </c>
      <c r="AK749" s="3470">
        <v>8</v>
      </c>
      <c r="AL749" s="3470">
        <v>67641700</v>
      </c>
      <c r="AN749" s="3470" t="s">
        <v>4699</v>
      </c>
      <c r="AP749" s="3470" t="s">
        <v>3476</v>
      </c>
      <c r="AQ749" s="3470" t="s">
        <v>3571</v>
      </c>
      <c r="AW749" s="3470" t="s">
        <v>3572</v>
      </c>
      <c r="AX749" s="3470" t="s">
        <v>3568</v>
      </c>
      <c r="AY749" s="3481" t="s">
        <v>8608</v>
      </c>
      <c r="AZ749" s="3470" t="s">
        <v>4654</v>
      </c>
      <c r="BA749" s="3470" t="s">
        <v>4688</v>
      </c>
      <c r="BB749" s="3481" t="s">
        <v>4689</v>
      </c>
      <c r="BC749" s="3470" t="s">
        <v>4656</v>
      </c>
      <c r="BD749" s="3482">
        <v>100037</v>
      </c>
      <c r="BE749" s="3470">
        <v>68347718</v>
      </c>
      <c r="BF749" s="3483">
        <v>2.8</v>
      </c>
      <c r="BG749" s="3478">
        <v>37850</v>
      </c>
      <c r="BH749" s="3470" t="s">
        <v>4681</v>
      </c>
      <c r="BI749" s="3470" t="s">
        <v>3476</v>
      </c>
      <c r="BJ749" s="3508">
        <v>37859</v>
      </c>
      <c r="BK749" s="3508"/>
      <c r="BL749" s="3470" t="s">
        <v>3670</v>
      </c>
      <c r="BP749" s="3441"/>
      <c r="BQ749" s="3441"/>
      <c r="BR749" s="3441"/>
    </row>
    <row r="750" spans="1:73" s="3470" customFormat="1" ht="12" hidden="1">
      <c r="A750" s="3470" t="s">
        <v>8609</v>
      </c>
      <c r="B750" s="3470" t="s">
        <v>8610</v>
      </c>
      <c r="C750" s="3470" t="s">
        <v>8611</v>
      </c>
      <c r="D750" s="3470" t="s">
        <v>8612</v>
      </c>
      <c r="E750" s="3470" t="s">
        <v>3558</v>
      </c>
      <c r="F750" s="3470" t="s">
        <v>7803</v>
      </c>
      <c r="H750" s="3470" t="s">
        <v>4168</v>
      </c>
      <c r="I750" s="3470" t="s">
        <v>4309</v>
      </c>
      <c r="J750" s="3470" t="s">
        <v>5122</v>
      </c>
      <c r="K750" s="3470" t="s">
        <v>7804</v>
      </c>
      <c r="L750" s="3470">
        <v>84.88</v>
      </c>
      <c r="M750" s="3470">
        <v>3</v>
      </c>
      <c r="N750" s="3470" t="s">
        <v>4030</v>
      </c>
      <c r="O750" s="3470">
        <v>74.069999999999993</v>
      </c>
      <c r="P750" s="3470" t="s">
        <v>3452</v>
      </c>
      <c r="Q750" s="3470">
        <v>383487.84</v>
      </c>
      <c r="R750" s="3470">
        <v>4518</v>
      </c>
      <c r="S750" s="3470">
        <v>37.94</v>
      </c>
      <c r="T750" s="3470">
        <v>379400</v>
      </c>
      <c r="U750" s="3470">
        <v>4470</v>
      </c>
      <c r="V750" s="3470">
        <v>0.1</v>
      </c>
      <c r="W750" s="3470">
        <v>34.14</v>
      </c>
      <c r="X750" s="3470">
        <v>341400</v>
      </c>
      <c r="Y750" s="3470">
        <v>2003</v>
      </c>
      <c r="Z750" s="3470">
        <v>8</v>
      </c>
      <c r="AA750" s="3470">
        <v>27</v>
      </c>
      <c r="AB750" s="3470">
        <v>1895</v>
      </c>
      <c r="AC750" s="3470" t="s">
        <v>3693</v>
      </c>
      <c r="AE750" s="3470" t="s">
        <v>3663</v>
      </c>
      <c r="AF750" s="3470" t="s">
        <v>4721</v>
      </c>
      <c r="AG750" s="3470" t="s">
        <v>3466</v>
      </c>
      <c r="AI750" s="3470" t="s">
        <v>5021</v>
      </c>
      <c r="AJ750" s="3470">
        <v>38077</v>
      </c>
      <c r="AK750" s="3470">
        <v>8</v>
      </c>
      <c r="AL750" s="3470">
        <v>67641700</v>
      </c>
      <c r="AN750" s="3470" t="s">
        <v>4699</v>
      </c>
      <c r="AO750" s="3470" t="s">
        <v>3568</v>
      </c>
      <c r="AP750" s="3470" t="s">
        <v>3476</v>
      </c>
      <c r="AQ750" s="3470" t="s">
        <v>3571</v>
      </c>
      <c r="AW750" s="3470" t="s">
        <v>3572</v>
      </c>
      <c r="AX750" s="3470" t="s">
        <v>3568</v>
      </c>
      <c r="AY750" s="3481" t="s">
        <v>8613</v>
      </c>
      <c r="AZ750" s="3470" t="s">
        <v>7804</v>
      </c>
      <c r="BA750" s="3470" t="s">
        <v>7807</v>
      </c>
      <c r="BB750" s="3481">
        <v>1102281149818</v>
      </c>
      <c r="BC750" s="3470" t="s">
        <v>7808</v>
      </c>
      <c r="BD750" s="3482">
        <v>100044</v>
      </c>
      <c r="BE750" s="3470">
        <v>88018575</v>
      </c>
      <c r="BF750" s="3483">
        <v>2.7</v>
      </c>
      <c r="BG750" s="3478">
        <v>37826</v>
      </c>
      <c r="BI750" s="3470" t="s">
        <v>3476</v>
      </c>
      <c r="BJ750" s="3508">
        <v>37859</v>
      </c>
      <c r="BK750" s="3508"/>
      <c r="BL750" s="3470" t="s">
        <v>3670</v>
      </c>
      <c r="BP750" s="3441"/>
      <c r="BQ750" s="3441"/>
      <c r="BR750" s="3441"/>
    </row>
    <row r="751" spans="1:73" s="3470" customFormat="1" ht="12" hidden="1">
      <c r="A751" s="3470" t="s">
        <v>8614</v>
      </c>
      <c r="B751" s="3470" t="s">
        <v>8615</v>
      </c>
      <c r="C751" s="3470" t="s">
        <v>8616</v>
      </c>
      <c r="D751" s="3470" t="s">
        <v>8617</v>
      </c>
      <c r="E751" s="3470" t="s">
        <v>3558</v>
      </c>
      <c r="F751" s="3470" t="s">
        <v>8618</v>
      </c>
      <c r="H751" s="3470" t="s">
        <v>8619</v>
      </c>
      <c r="I751" s="3470" t="s">
        <v>4950</v>
      </c>
      <c r="J751" s="3470" t="s">
        <v>5122</v>
      </c>
      <c r="K751" s="3470" t="s">
        <v>8620</v>
      </c>
      <c r="L751" s="3470">
        <v>125.56</v>
      </c>
      <c r="M751" s="3470">
        <v>3</v>
      </c>
      <c r="N751" s="3470" t="s">
        <v>4003</v>
      </c>
      <c r="O751" s="3470">
        <v>111.21</v>
      </c>
      <c r="P751" s="3470" t="s">
        <v>3452</v>
      </c>
      <c r="Q751" s="3470">
        <v>725736.8</v>
      </c>
      <c r="R751" s="3470">
        <v>5780</v>
      </c>
      <c r="S751" s="3470">
        <v>71.92</v>
      </c>
      <c r="T751" s="3470">
        <v>719200</v>
      </c>
      <c r="U751" s="3470">
        <v>5728</v>
      </c>
      <c r="V751" s="3470">
        <v>0.1</v>
      </c>
      <c r="W751" s="3470">
        <v>64.72</v>
      </c>
      <c r="X751" s="3470">
        <v>647200</v>
      </c>
      <c r="Y751" s="3470">
        <v>2003</v>
      </c>
      <c r="Z751" s="3470">
        <v>8</v>
      </c>
      <c r="AA751" s="3470">
        <v>27</v>
      </c>
      <c r="AB751" s="3470">
        <v>3595</v>
      </c>
      <c r="AC751" s="3470" t="s">
        <v>3603</v>
      </c>
      <c r="AE751" s="3470" t="s">
        <v>3663</v>
      </c>
      <c r="AF751" s="3470" t="s">
        <v>5090</v>
      </c>
      <c r="AG751" s="3470" t="s">
        <v>3466</v>
      </c>
      <c r="AI751" s="3470" t="s">
        <v>7643</v>
      </c>
      <c r="AJ751" s="3470">
        <v>37681</v>
      </c>
      <c r="AK751" s="3470">
        <v>8</v>
      </c>
      <c r="AL751" s="3470">
        <v>67641700</v>
      </c>
      <c r="AN751" s="3470" t="s">
        <v>4699</v>
      </c>
      <c r="AP751" s="3470" t="s">
        <v>3476</v>
      </c>
      <c r="AQ751" s="3470" t="s">
        <v>3571</v>
      </c>
      <c r="AW751" s="3470" t="s">
        <v>3572</v>
      </c>
      <c r="AX751" s="3470" t="s">
        <v>8621</v>
      </c>
      <c r="AY751" s="3481" t="s">
        <v>8622</v>
      </c>
      <c r="AZ751" s="3470" t="s">
        <v>8620</v>
      </c>
      <c r="BA751" s="3470" t="s">
        <v>8623</v>
      </c>
      <c r="BB751" s="3481" t="s">
        <v>8624</v>
      </c>
      <c r="BC751" s="3470" t="s">
        <v>8625</v>
      </c>
      <c r="BD751" s="3482">
        <v>100091</v>
      </c>
      <c r="BE751" s="3470">
        <v>62898116</v>
      </c>
      <c r="BF751" s="3483">
        <v>2.9</v>
      </c>
      <c r="BG751" s="3478">
        <v>37241</v>
      </c>
      <c r="BH751" s="3470" t="s">
        <v>3568</v>
      </c>
      <c r="BI751" s="3470" t="s">
        <v>3476</v>
      </c>
      <c r="BJ751" s="3508">
        <v>37858</v>
      </c>
      <c r="BK751" s="3508"/>
      <c r="BL751" s="3470" t="s">
        <v>3670</v>
      </c>
      <c r="BP751" s="3441"/>
      <c r="BQ751" s="3441"/>
      <c r="BR751" s="3441"/>
    </row>
    <row r="752" spans="1:73" s="3605" customFormat="1" ht="12" hidden="1">
      <c r="A752" s="3470" t="s">
        <v>8626</v>
      </c>
      <c r="B752" s="3470" t="s">
        <v>8627</v>
      </c>
      <c r="C752" s="3470" t="s">
        <v>8628</v>
      </c>
      <c r="D752" s="3470">
        <v>13910786448</v>
      </c>
      <c r="E752" s="3470" t="s">
        <v>3558</v>
      </c>
      <c r="F752" s="3470" t="s">
        <v>7652</v>
      </c>
      <c r="G752" s="3470"/>
      <c r="H752" s="3470" t="s">
        <v>7772</v>
      </c>
      <c r="I752" s="3470" t="s">
        <v>8447</v>
      </c>
      <c r="J752" s="3470" t="s">
        <v>8629</v>
      </c>
      <c r="K752" s="3470" t="s">
        <v>7653</v>
      </c>
      <c r="L752" s="3470">
        <v>85.83</v>
      </c>
      <c r="M752" s="3470">
        <v>3</v>
      </c>
      <c r="N752" s="3470" t="s">
        <v>4030</v>
      </c>
      <c r="O752" s="3470">
        <v>67.88</v>
      </c>
      <c r="P752" s="3470" t="s">
        <v>3452</v>
      </c>
      <c r="Q752" s="3470">
        <v>352761.3</v>
      </c>
      <c r="R752" s="3470">
        <v>4110</v>
      </c>
      <c r="S752" s="3470">
        <v>34.840000000000003</v>
      </c>
      <c r="T752" s="3470">
        <v>348400</v>
      </c>
      <c r="U752" s="3470">
        <v>4060</v>
      </c>
      <c r="V752" s="3470">
        <v>0.1</v>
      </c>
      <c r="W752" s="3470">
        <v>31.35</v>
      </c>
      <c r="X752" s="3470">
        <v>313500</v>
      </c>
      <c r="Y752" s="3470">
        <v>2003</v>
      </c>
      <c r="Z752" s="3470">
        <v>8</v>
      </c>
      <c r="AA752" s="3470">
        <v>27</v>
      </c>
      <c r="AB752" s="3470">
        <v>1740</v>
      </c>
      <c r="AC752" s="3470" t="s">
        <v>3603</v>
      </c>
      <c r="AD752" s="3470"/>
      <c r="AE752" s="3470" t="s">
        <v>3663</v>
      </c>
      <c r="AF752" s="3470" t="s">
        <v>4721</v>
      </c>
      <c r="AG752" s="3470" t="s">
        <v>3466</v>
      </c>
      <c r="AH752" s="3470" t="s">
        <v>3568</v>
      </c>
      <c r="AI752" s="3470" t="s">
        <v>5021</v>
      </c>
      <c r="AJ752" s="3470">
        <v>38077</v>
      </c>
      <c r="AK752" s="3470">
        <v>8</v>
      </c>
      <c r="AL752" s="3470">
        <v>67641700</v>
      </c>
      <c r="AM752" s="3470"/>
      <c r="AN752" s="3470" t="s">
        <v>4699</v>
      </c>
      <c r="AO752" s="3470"/>
      <c r="AP752" s="3470" t="s">
        <v>3476</v>
      </c>
      <c r="AQ752" s="3470" t="s">
        <v>3571</v>
      </c>
      <c r="AR752" s="3470"/>
      <c r="AS752" s="3470"/>
      <c r="AT752" s="3470"/>
      <c r="AU752" s="3470"/>
      <c r="AV752" s="3470" t="s">
        <v>3568</v>
      </c>
      <c r="AW752" s="3470" t="s">
        <v>3572</v>
      </c>
      <c r="AX752" s="3470"/>
      <c r="AY752" s="3481" t="s">
        <v>8630</v>
      </c>
      <c r="AZ752" s="3470" t="s">
        <v>7653</v>
      </c>
      <c r="BA752" s="3470" t="s">
        <v>7655</v>
      </c>
      <c r="BB752" s="3481" t="s">
        <v>7656</v>
      </c>
      <c r="BC752" s="3470" t="s">
        <v>7657</v>
      </c>
      <c r="BD752" s="3482">
        <v>100025</v>
      </c>
      <c r="BE752" s="3470">
        <v>62908858</v>
      </c>
      <c r="BF752" s="3483">
        <v>2.7</v>
      </c>
      <c r="BG752" s="3478">
        <v>37833</v>
      </c>
      <c r="BH752" s="3470" t="s">
        <v>4681</v>
      </c>
      <c r="BI752" s="3470" t="s">
        <v>3476</v>
      </c>
      <c r="BJ752" s="3508">
        <v>37858</v>
      </c>
      <c r="BK752" s="3508"/>
      <c r="BL752" s="3470" t="s">
        <v>3670</v>
      </c>
      <c r="BM752" s="3470"/>
      <c r="BN752" s="3470"/>
      <c r="BO752" s="3470"/>
      <c r="BP752" s="3441"/>
      <c r="BQ752" s="3441"/>
      <c r="BR752" s="3441"/>
      <c r="BS752" s="3470"/>
      <c r="BT752" s="3470"/>
      <c r="BU752" s="3470"/>
    </row>
    <row r="753" spans="1:73" s="3470" customFormat="1" ht="12" hidden="1">
      <c r="A753" s="3470" t="s">
        <v>8631</v>
      </c>
      <c r="B753" s="3470" t="s">
        <v>8632</v>
      </c>
      <c r="C753" s="3470" t="s">
        <v>8633</v>
      </c>
      <c r="D753" s="3470" t="s">
        <v>8634</v>
      </c>
      <c r="E753" s="3470" t="s">
        <v>3558</v>
      </c>
      <c r="F753" s="3470" t="s">
        <v>4693</v>
      </c>
      <c r="H753" s="3470" t="s">
        <v>4694</v>
      </c>
      <c r="I753" s="3470" t="s">
        <v>3689</v>
      </c>
      <c r="J753" s="3470" t="s">
        <v>8635</v>
      </c>
      <c r="K753" s="3470" t="s">
        <v>4697</v>
      </c>
      <c r="L753" s="3470">
        <v>37.979999999999997</v>
      </c>
      <c r="M753" s="3470">
        <v>11</v>
      </c>
      <c r="N753" s="3470" t="s">
        <v>3692</v>
      </c>
      <c r="O753" s="3470">
        <v>28.21</v>
      </c>
      <c r="P753" s="3470" t="s">
        <v>3452</v>
      </c>
      <c r="Q753" s="3470">
        <v>333160.56</v>
      </c>
      <c r="R753" s="3470">
        <v>8772</v>
      </c>
      <c r="S753" s="3470">
        <v>33.04</v>
      </c>
      <c r="T753" s="3470">
        <v>330400</v>
      </c>
      <c r="U753" s="3470">
        <v>8700</v>
      </c>
      <c r="V753" s="3470">
        <v>0.1</v>
      </c>
      <c r="W753" s="3470">
        <v>29.73</v>
      </c>
      <c r="X753" s="3470">
        <v>297300</v>
      </c>
      <c r="Y753" s="3470">
        <v>2003</v>
      </c>
      <c r="Z753" s="3470">
        <v>8</v>
      </c>
      <c r="AA753" s="3470">
        <v>27</v>
      </c>
      <c r="AB753" s="3470">
        <v>1650</v>
      </c>
      <c r="AC753" s="3470" t="s">
        <v>4004</v>
      </c>
      <c r="AE753" s="3470" t="s">
        <v>3663</v>
      </c>
      <c r="AF753" s="3470" t="s">
        <v>4721</v>
      </c>
      <c r="AG753" s="3470" t="s">
        <v>3466</v>
      </c>
      <c r="AH753" s="3470" t="s">
        <v>3463</v>
      </c>
      <c r="AI753" s="3470" t="s">
        <v>5021</v>
      </c>
      <c r="AJ753" s="3470">
        <v>38138</v>
      </c>
      <c r="AK753" s="3470">
        <v>8</v>
      </c>
      <c r="AL753" s="3470">
        <v>67641700</v>
      </c>
      <c r="AN753" s="3470" t="s">
        <v>4699</v>
      </c>
      <c r="AP753" s="3470" t="s">
        <v>3476</v>
      </c>
      <c r="AQ753" s="3470" t="s">
        <v>3571</v>
      </c>
      <c r="AV753" s="3470" t="s">
        <v>3568</v>
      </c>
      <c r="AW753" s="3470" t="s">
        <v>3572</v>
      </c>
      <c r="AX753" s="3470" t="s">
        <v>3568</v>
      </c>
      <c r="AY753" s="3481" t="s">
        <v>8636</v>
      </c>
      <c r="AZ753" s="3470" t="s">
        <v>4697</v>
      </c>
      <c r="BA753" s="3470" t="s">
        <v>4700</v>
      </c>
      <c r="BB753" s="3481" t="s">
        <v>4701</v>
      </c>
      <c r="BC753" s="3470" t="s">
        <v>4702</v>
      </c>
      <c r="BD753" s="3482">
        <v>100011</v>
      </c>
      <c r="BE753" s="3470">
        <v>62351476</v>
      </c>
      <c r="BF753" s="3483">
        <v>2.8</v>
      </c>
      <c r="BG753" s="3478">
        <v>37815</v>
      </c>
      <c r="BI753" s="3470" t="s">
        <v>3476</v>
      </c>
      <c r="BJ753" s="3508">
        <v>37854</v>
      </c>
      <c r="BK753" s="3508"/>
      <c r="BL753" s="3470" t="s">
        <v>3670</v>
      </c>
      <c r="BP753" s="3441"/>
      <c r="BQ753" s="3441"/>
      <c r="BR753" s="3441"/>
    </row>
    <row r="754" spans="1:73" s="3470" customFormat="1" ht="12" hidden="1">
      <c r="A754" s="3470" t="s">
        <v>8637</v>
      </c>
      <c r="B754" s="3470" t="s">
        <v>8638</v>
      </c>
      <c r="C754" s="3470" t="s">
        <v>8639</v>
      </c>
      <c r="D754" s="3470">
        <v>13501352316</v>
      </c>
      <c r="E754" s="3470" t="s">
        <v>3558</v>
      </c>
      <c r="F754" s="3470" t="s">
        <v>4645</v>
      </c>
      <c r="H754" s="3470" t="s">
        <v>4646</v>
      </c>
      <c r="I754" s="3470" t="s">
        <v>5066</v>
      </c>
      <c r="J754" s="3470" t="s">
        <v>8640</v>
      </c>
      <c r="K754" s="3470" t="s">
        <v>4649</v>
      </c>
      <c r="L754" s="3470">
        <v>109.8</v>
      </c>
      <c r="M754" s="3470">
        <v>7</v>
      </c>
      <c r="N754" s="3470" t="s">
        <v>3738</v>
      </c>
      <c r="O754" s="3470">
        <v>86.55</v>
      </c>
      <c r="P754" s="3470" t="s">
        <v>3452</v>
      </c>
      <c r="Q754" s="3470">
        <v>810543.6</v>
      </c>
      <c r="R754" s="3470">
        <v>7382</v>
      </c>
      <c r="S754" s="3470">
        <v>80.319999999999993</v>
      </c>
      <c r="T754" s="3470">
        <v>803200</v>
      </c>
      <c r="U754" s="3470">
        <v>7316</v>
      </c>
      <c r="V754" s="3470">
        <v>0.1</v>
      </c>
      <c r="W754" s="3470">
        <v>72.28</v>
      </c>
      <c r="X754" s="3470">
        <v>722800</v>
      </c>
      <c r="Y754" s="3470">
        <v>2003</v>
      </c>
      <c r="Z754" s="3470">
        <v>8</v>
      </c>
      <c r="AA754" s="3470">
        <v>28</v>
      </c>
      <c r="AB754" s="3470">
        <v>4015</v>
      </c>
      <c r="AC754" s="3470" t="s">
        <v>3693</v>
      </c>
      <c r="AE754" s="3470" t="s">
        <v>3663</v>
      </c>
      <c r="AF754" s="3470" t="s">
        <v>3728</v>
      </c>
      <c r="AG754" s="3470" t="s">
        <v>3466</v>
      </c>
      <c r="AI754" s="3470" t="s">
        <v>5021</v>
      </c>
      <c r="AJ754" s="3470">
        <v>38199</v>
      </c>
      <c r="AK754" s="3470">
        <v>8</v>
      </c>
      <c r="AL754" s="3470">
        <v>67641700</v>
      </c>
      <c r="AN754" s="3470" t="s">
        <v>4699</v>
      </c>
      <c r="AP754" s="3470" t="s">
        <v>3476</v>
      </c>
      <c r="AQ754" s="3470" t="s">
        <v>3571</v>
      </c>
      <c r="AW754" s="3470" t="s">
        <v>3572</v>
      </c>
      <c r="AX754" s="3470" t="s">
        <v>3568</v>
      </c>
      <c r="AY754" s="3481" t="s">
        <v>8641</v>
      </c>
      <c r="AZ754" s="3470" t="s">
        <v>4654</v>
      </c>
      <c r="BA754" s="3470" t="s">
        <v>4688</v>
      </c>
      <c r="BB754" s="3481" t="s">
        <v>4689</v>
      </c>
      <c r="BC754" s="3470" t="s">
        <v>4656</v>
      </c>
      <c r="BD754" s="3482">
        <v>100037</v>
      </c>
      <c r="BE754" s="3470">
        <v>68347718</v>
      </c>
      <c r="BF754" s="3483">
        <v>2.8</v>
      </c>
      <c r="BG754" s="3478">
        <v>37822</v>
      </c>
      <c r="BH754" s="3470" t="s">
        <v>4681</v>
      </c>
      <c r="BI754" s="3470" t="s">
        <v>3476</v>
      </c>
      <c r="BJ754" s="3508">
        <v>37860</v>
      </c>
      <c r="BK754" s="3508"/>
      <c r="BL754" s="3470" t="s">
        <v>3670</v>
      </c>
      <c r="BP754" s="3441"/>
      <c r="BQ754" s="3441"/>
      <c r="BR754" s="3441"/>
    </row>
    <row r="755" spans="1:73" s="3470" customFormat="1" ht="12" hidden="1">
      <c r="A755" s="3470" t="s">
        <v>8642</v>
      </c>
      <c r="B755" s="3470" t="s">
        <v>8643</v>
      </c>
      <c r="C755" s="3470" t="s">
        <v>8644</v>
      </c>
      <c r="D755" s="3470" t="s">
        <v>8645</v>
      </c>
      <c r="E755" s="3470" t="s">
        <v>3558</v>
      </c>
      <c r="F755" s="3470" t="s">
        <v>7771</v>
      </c>
      <c r="H755" s="3470" t="s">
        <v>7772</v>
      </c>
      <c r="I755" s="3470" t="s">
        <v>3561</v>
      </c>
      <c r="J755" s="3470" t="s">
        <v>8646</v>
      </c>
      <c r="K755" s="3470" t="s">
        <v>6548</v>
      </c>
      <c r="L755" s="3470">
        <v>81.62</v>
      </c>
      <c r="M755" s="3470">
        <v>6</v>
      </c>
      <c r="N755" s="3470" t="s">
        <v>4030</v>
      </c>
      <c r="O755" s="3470">
        <v>69.8</v>
      </c>
      <c r="P755" s="3470" t="s">
        <v>3452</v>
      </c>
      <c r="Q755" s="3470">
        <v>413813.4</v>
      </c>
      <c r="R755" s="3470">
        <v>5070</v>
      </c>
      <c r="S755" s="3470">
        <v>40.950000000000003</v>
      </c>
      <c r="T755" s="3470">
        <v>409500</v>
      </c>
      <c r="U755" s="3470">
        <v>5018</v>
      </c>
      <c r="V755" s="3470">
        <v>0.1</v>
      </c>
      <c r="W755" s="3470">
        <v>36.85</v>
      </c>
      <c r="X755" s="3470">
        <v>368500</v>
      </c>
      <c r="Y755" s="3470">
        <v>2003</v>
      </c>
      <c r="Z755" s="3470">
        <v>8</v>
      </c>
      <c r="AA755" s="3470">
        <v>28</v>
      </c>
      <c r="AB755" s="3470">
        <v>2045</v>
      </c>
      <c r="AC755" s="3470" t="s">
        <v>3565</v>
      </c>
      <c r="AE755" s="3470" t="s">
        <v>3663</v>
      </c>
      <c r="AF755" s="3470" t="s">
        <v>3728</v>
      </c>
      <c r="AG755" s="3470" t="s">
        <v>3466</v>
      </c>
      <c r="AH755" s="3470" t="s">
        <v>3568</v>
      </c>
      <c r="AI755" s="3470" t="s">
        <v>5021</v>
      </c>
      <c r="AJ755" s="3470">
        <v>38077</v>
      </c>
      <c r="AK755" s="3470">
        <v>8</v>
      </c>
      <c r="AL755" s="3470">
        <v>67641700</v>
      </c>
      <c r="AN755" s="3470" t="s">
        <v>4699</v>
      </c>
      <c r="AP755" s="3470" t="s">
        <v>3476</v>
      </c>
      <c r="AQ755" s="3470" t="s">
        <v>3571</v>
      </c>
      <c r="AU755" s="3470" t="s">
        <v>3568</v>
      </c>
      <c r="AW755" s="3470" t="s">
        <v>3572</v>
      </c>
      <c r="AY755" s="3481" t="s">
        <v>8647</v>
      </c>
      <c r="AZ755" s="3470" t="s">
        <v>6548</v>
      </c>
      <c r="BA755" s="3470" t="s">
        <v>7774</v>
      </c>
      <c r="BB755" s="3481" t="s">
        <v>7775</v>
      </c>
      <c r="BC755" s="3470" t="s">
        <v>7776</v>
      </c>
      <c r="BD755" s="3482">
        <v>100085</v>
      </c>
      <c r="BE755" s="3470">
        <v>84976161</v>
      </c>
      <c r="BF755" s="3483">
        <v>2.7</v>
      </c>
      <c r="BG755" s="3478">
        <v>37852</v>
      </c>
      <c r="BH755" s="3470" t="s">
        <v>7648</v>
      </c>
      <c r="BI755" s="3470" t="s">
        <v>3476</v>
      </c>
      <c r="BJ755" s="3508">
        <v>37859</v>
      </c>
      <c r="BK755" s="3508"/>
      <c r="BL755" s="3470" t="s">
        <v>3670</v>
      </c>
      <c r="BP755" s="3441"/>
      <c r="BQ755" s="3441"/>
      <c r="BR755" s="3441"/>
    </row>
    <row r="756" spans="1:73" s="3441" customFormat="1" ht="12" hidden="1">
      <c r="A756" s="3485" t="s">
        <v>8648</v>
      </c>
      <c r="B756" s="3470" t="s">
        <v>8649</v>
      </c>
      <c r="C756" s="3481" t="s">
        <v>8650</v>
      </c>
      <c r="D756" s="3481" t="s">
        <v>8651</v>
      </c>
      <c r="E756" s="3470" t="s">
        <v>3558</v>
      </c>
      <c r="F756" s="3521" t="s">
        <v>3733</v>
      </c>
      <c r="G756" s="3470"/>
      <c r="H756" s="3470" t="s">
        <v>8592</v>
      </c>
      <c r="I756" s="3470" t="s">
        <v>3561</v>
      </c>
      <c r="J756" s="3481" t="s">
        <v>8200</v>
      </c>
      <c r="K756" s="3470" t="s">
        <v>3737</v>
      </c>
      <c r="L756" s="3470">
        <v>155.87</v>
      </c>
      <c r="M756" s="3470">
        <v>13</v>
      </c>
      <c r="N756" s="3470" t="s">
        <v>4003</v>
      </c>
      <c r="O756" s="3470">
        <v>126.37</v>
      </c>
      <c r="P756" s="3470" t="s">
        <v>3452</v>
      </c>
      <c r="Q756" s="3457">
        <v>989774.5</v>
      </c>
      <c r="R756" s="3470">
        <v>6350</v>
      </c>
      <c r="S756" s="3472">
        <v>98.77</v>
      </c>
      <c r="T756" s="3527">
        <v>987700</v>
      </c>
      <c r="U756" s="3470">
        <v>6337</v>
      </c>
      <c r="V756" s="3474">
        <v>0.1</v>
      </c>
      <c r="W756" s="3475">
        <v>88.89</v>
      </c>
      <c r="X756" s="3473">
        <v>888900</v>
      </c>
      <c r="Y756" s="3441">
        <v>2003</v>
      </c>
      <c r="Z756" s="3441">
        <v>9</v>
      </c>
      <c r="AA756" s="3441">
        <v>2</v>
      </c>
      <c r="AB756" s="3485">
        <v>4935</v>
      </c>
      <c r="AC756" s="3470" t="s">
        <v>3693</v>
      </c>
      <c r="AD756" s="3485"/>
      <c r="AE756" s="3441" t="s">
        <v>3663</v>
      </c>
      <c r="AF756" s="3470" t="s">
        <v>3728</v>
      </c>
      <c r="AG756" s="3522" t="s">
        <v>3466</v>
      </c>
      <c r="AH756" s="3485"/>
      <c r="AI756" s="3470" t="s">
        <v>5021</v>
      </c>
      <c r="AJ756" s="3523">
        <v>37965</v>
      </c>
      <c r="AK756" s="3479">
        <v>9</v>
      </c>
      <c r="AL756" s="3441">
        <v>67641700</v>
      </c>
      <c r="AN756" s="3441" t="s">
        <v>3570</v>
      </c>
      <c r="AO756" s="3441" t="s">
        <v>3568</v>
      </c>
      <c r="AP756" s="3441" t="s">
        <v>3476</v>
      </c>
      <c r="AQ756" s="3441" t="s">
        <v>3571</v>
      </c>
      <c r="AW756" s="3441" t="s">
        <v>3572</v>
      </c>
      <c r="AY756" s="3524" t="s">
        <v>8652</v>
      </c>
      <c r="AZ756" s="3441" t="s">
        <v>3737</v>
      </c>
      <c r="BA756" s="3441" t="s">
        <v>3742</v>
      </c>
      <c r="BB756" s="3524" t="s">
        <v>3743</v>
      </c>
      <c r="BC756" s="3441" t="s">
        <v>3744</v>
      </c>
      <c r="BD756" s="3525">
        <v>100088</v>
      </c>
      <c r="BE756" s="3441">
        <v>82058259</v>
      </c>
      <c r="BF756" s="3526" t="s">
        <v>8595</v>
      </c>
      <c r="BG756" s="3518">
        <v>37666</v>
      </c>
      <c r="BH756" s="3441" t="s">
        <v>4753</v>
      </c>
      <c r="BI756" s="3441" t="s">
        <v>3700</v>
      </c>
      <c r="BJ756" s="3484">
        <v>37860</v>
      </c>
      <c r="BK756" s="3518">
        <v>37862</v>
      </c>
      <c r="BL756" s="3470" t="s">
        <v>3670</v>
      </c>
      <c r="BS756" s="3470"/>
      <c r="BT756" s="3470"/>
      <c r="BU756" s="3470"/>
    </row>
    <row r="757" spans="1:73" s="3470" customFormat="1" ht="12" hidden="1">
      <c r="A757" s="3470" t="s">
        <v>8653</v>
      </c>
      <c r="B757" s="3470" t="s">
        <v>8654</v>
      </c>
      <c r="C757" s="3470" t="s">
        <v>8655</v>
      </c>
      <c r="D757" s="3470" t="s">
        <v>8656</v>
      </c>
      <c r="E757" s="3470" t="s">
        <v>3558</v>
      </c>
      <c r="F757" s="3470" t="s">
        <v>4693</v>
      </c>
      <c r="H757" s="3470" t="s">
        <v>4694</v>
      </c>
      <c r="I757" s="3470" t="s">
        <v>3689</v>
      </c>
      <c r="J757" s="3470" t="s">
        <v>8657</v>
      </c>
      <c r="K757" s="3470" t="s">
        <v>4697</v>
      </c>
      <c r="L757" s="3470">
        <v>34.22</v>
      </c>
      <c r="M757" s="3470">
        <v>11</v>
      </c>
      <c r="N757" s="3470" t="s">
        <v>3692</v>
      </c>
      <c r="O757" s="3470">
        <v>25.42</v>
      </c>
      <c r="P757" s="3470" t="s">
        <v>3452</v>
      </c>
      <c r="Q757" s="3470">
        <v>291657.06</v>
      </c>
      <c r="R757" s="3470">
        <v>8523</v>
      </c>
      <c r="S757" s="3470">
        <v>28.93</v>
      </c>
      <c r="T757" s="3470">
        <v>289300</v>
      </c>
      <c r="U757" s="3470">
        <v>8457</v>
      </c>
      <c r="V757" s="3470">
        <v>0.1</v>
      </c>
      <c r="W757" s="3470">
        <v>26.03</v>
      </c>
      <c r="X757" s="3470">
        <v>260300</v>
      </c>
      <c r="Y757" s="3470">
        <v>2003</v>
      </c>
      <c r="Z757" s="3470">
        <v>9</v>
      </c>
      <c r="AA757" s="3470">
        <v>1</v>
      </c>
      <c r="AB757" s="3470">
        <v>1445</v>
      </c>
      <c r="AC757" s="3470" t="s">
        <v>3565</v>
      </c>
      <c r="AE757" s="3470" t="s">
        <v>3663</v>
      </c>
      <c r="AF757" s="3470" t="s">
        <v>4721</v>
      </c>
      <c r="AG757" s="3470" t="s">
        <v>3466</v>
      </c>
      <c r="AH757" s="3470" t="s">
        <v>3463</v>
      </c>
      <c r="AI757" s="3470" t="s">
        <v>5021</v>
      </c>
      <c r="AJ757" s="3470">
        <v>38138</v>
      </c>
      <c r="AK757" s="3470">
        <v>9</v>
      </c>
      <c r="AL757" s="3470">
        <v>67641700</v>
      </c>
      <c r="AN757" s="3470" t="s">
        <v>3570</v>
      </c>
      <c r="AP757" s="3470" t="s">
        <v>3476</v>
      </c>
      <c r="AQ757" s="3470" t="s">
        <v>3571</v>
      </c>
      <c r="AV757" s="3470" t="s">
        <v>3568</v>
      </c>
      <c r="AW757" s="3470" t="s">
        <v>3572</v>
      </c>
      <c r="AX757" s="3470" t="s">
        <v>3568</v>
      </c>
      <c r="AY757" s="3481" t="s">
        <v>8658</v>
      </c>
      <c r="AZ757" s="3470" t="s">
        <v>4697</v>
      </c>
      <c r="BA757" s="3470" t="s">
        <v>4700</v>
      </c>
      <c r="BB757" s="3481" t="s">
        <v>4701</v>
      </c>
      <c r="BC757" s="3470" t="s">
        <v>4702</v>
      </c>
      <c r="BD757" s="3482">
        <v>100011</v>
      </c>
      <c r="BE757" s="3470">
        <v>62351476</v>
      </c>
      <c r="BF757" s="3483">
        <v>2.8</v>
      </c>
      <c r="BG757" s="3478">
        <v>37819</v>
      </c>
      <c r="BI757" s="3470" t="s">
        <v>3476</v>
      </c>
      <c r="BJ757" s="3508">
        <v>37859</v>
      </c>
      <c r="BK757" s="3508"/>
      <c r="BL757" s="3470" t="s">
        <v>3670</v>
      </c>
      <c r="BP757" s="3441"/>
      <c r="BQ757" s="3441"/>
      <c r="BR757" s="3441"/>
    </row>
    <row r="758" spans="1:73" s="3470" customFormat="1" ht="12" hidden="1">
      <c r="A758" s="3470" t="s">
        <v>8659</v>
      </c>
      <c r="B758" s="3470" t="s">
        <v>8660</v>
      </c>
      <c r="C758" s="3470">
        <v>110107710213303</v>
      </c>
      <c r="D758" s="3470">
        <v>13611297896</v>
      </c>
      <c r="E758" s="3470" t="s">
        <v>3558</v>
      </c>
      <c r="F758" s="3470" t="s">
        <v>8661</v>
      </c>
      <c r="H758" s="3470" t="s">
        <v>4717</v>
      </c>
      <c r="I758" s="3470" t="s">
        <v>3735</v>
      </c>
      <c r="J758" s="3470" t="s">
        <v>7697</v>
      </c>
      <c r="K758" s="3470" t="s">
        <v>8022</v>
      </c>
      <c r="L758" s="3470">
        <v>99.24</v>
      </c>
      <c r="M758" s="3470">
        <v>4</v>
      </c>
      <c r="N758" s="3470" t="s">
        <v>8662</v>
      </c>
      <c r="O758" s="3470">
        <v>79.91</v>
      </c>
      <c r="P758" s="3470" t="s">
        <v>3452</v>
      </c>
      <c r="Q758" s="3470">
        <v>522454.93440000003</v>
      </c>
      <c r="R758" s="3470">
        <v>5264.56</v>
      </c>
      <c r="S758" s="3470">
        <v>51.7</v>
      </c>
      <c r="T758" s="3470">
        <v>517000</v>
      </c>
      <c r="U758" s="3470">
        <v>5210</v>
      </c>
      <c r="V758" s="3470">
        <v>0.1</v>
      </c>
      <c r="W758" s="3470">
        <v>46.53</v>
      </c>
      <c r="X758" s="3470">
        <v>465300</v>
      </c>
      <c r="Y758" s="3470">
        <v>2003</v>
      </c>
      <c r="Z758" s="3470">
        <v>8</v>
      </c>
      <c r="AA758" s="3470">
        <v>29</v>
      </c>
      <c r="AB758" s="3470">
        <v>2585</v>
      </c>
      <c r="AC758" s="3470" t="s">
        <v>3693</v>
      </c>
      <c r="AE758" s="3470" t="s">
        <v>3663</v>
      </c>
      <c r="AF758" s="3470" t="s">
        <v>4032</v>
      </c>
      <c r="AG758" s="3470" t="s">
        <v>3466</v>
      </c>
      <c r="AI758" s="3470" t="s">
        <v>5021</v>
      </c>
      <c r="AJ758" s="3470">
        <v>37985</v>
      </c>
      <c r="AK758" s="3470">
        <v>8</v>
      </c>
      <c r="AL758" s="3470">
        <v>67641700</v>
      </c>
      <c r="AN758" s="3470" t="s">
        <v>4699</v>
      </c>
      <c r="AP758" s="3470" t="s">
        <v>3476</v>
      </c>
      <c r="AQ758" s="3470" t="s">
        <v>3571</v>
      </c>
      <c r="AW758" s="3470" t="s">
        <v>3572</v>
      </c>
      <c r="AY758" s="3481">
        <v>303023</v>
      </c>
      <c r="AZ758" s="3470" t="s">
        <v>8022</v>
      </c>
      <c r="BA758" s="3470" t="s">
        <v>6769</v>
      </c>
      <c r="BB758" s="3481" t="s">
        <v>8663</v>
      </c>
      <c r="BC758" s="3470" t="s">
        <v>8025</v>
      </c>
      <c r="BD758" s="3482">
        <v>100080</v>
      </c>
      <c r="BE758" s="3470">
        <v>82611170</v>
      </c>
      <c r="BF758" s="3483">
        <v>2.8</v>
      </c>
      <c r="BG758" s="3478">
        <v>37826</v>
      </c>
      <c r="BI758" s="3470" t="s">
        <v>8007</v>
      </c>
      <c r="BJ758" s="3508">
        <v>37861</v>
      </c>
      <c r="BK758" s="3508"/>
      <c r="BL758" s="3470" t="s">
        <v>3670</v>
      </c>
      <c r="BP758" s="3441"/>
      <c r="BQ758" s="3441"/>
      <c r="BR758" s="3441"/>
    </row>
    <row r="759" spans="1:73" s="3441" customFormat="1" ht="12" hidden="1">
      <c r="A759" s="3453" t="s">
        <v>8664</v>
      </c>
      <c r="B759" s="3470" t="s">
        <v>8665</v>
      </c>
      <c r="C759" s="3481" t="s">
        <v>8666</v>
      </c>
      <c r="D759" s="3481" t="s">
        <v>8667</v>
      </c>
      <c r="E759" s="3470" t="s">
        <v>3558</v>
      </c>
      <c r="F759" s="3470" t="s">
        <v>4669</v>
      </c>
      <c r="G759" s="3470"/>
      <c r="H759" s="3470" t="s">
        <v>8030</v>
      </c>
      <c r="I759" s="3470" t="s">
        <v>7204</v>
      </c>
      <c r="J759" s="3481" t="s">
        <v>8668</v>
      </c>
      <c r="K759" s="3470" t="s">
        <v>4673</v>
      </c>
      <c r="L759" s="3470">
        <v>53.71</v>
      </c>
      <c r="M759" s="3470">
        <v>9</v>
      </c>
      <c r="N759" s="3470" t="s">
        <v>3564</v>
      </c>
      <c r="O759" s="3470">
        <v>41.78</v>
      </c>
      <c r="P759" s="3470" t="s">
        <v>3452</v>
      </c>
      <c r="Q759" s="3457">
        <v>353948.87939999998</v>
      </c>
      <c r="R759" s="3470">
        <v>8471.73</v>
      </c>
      <c r="S759" s="3472">
        <v>35.07</v>
      </c>
      <c r="T759" s="3527">
        <v>350700</v>
      </c>
      <c r="U759" s="3495">
        <v>6530</v>
      </c>
      <c r="V759" s="3474">
        <v>0.1</v>
      </c>
      <c r="W759" s="3475">
        <v>31.56</v>
      </c>
      <c r="X759" s="3473">
        <v>315600</v>
      </c>
      <c r="Y759" s="3495">
        <v>2003</v>
      </c>
      <c r="Z759" s="3441">
        <v>9</v>
      </c>
      <c r="AA759" s="3470">
        <v>9</v>
      </c>
      <c r="AB759" s="3477">
        <v>1750</v>
      </c>
      <c r="AC759" s="3470" t="s">
        <v>4800</v>
      </c>
      <c r="AD759" s="3485"/>
      <c r="AE759" s="3441" t="s">
        <v>3663</v>
      </c>
      <c r="AF759" s="3470" t="s">
        <v>4721</v>
      </c>
      <c r="AG759" s="3522" t="s">
        <v>3466</v>
      </c>
      <c r="AH759" s="3485"/>
      <c r="AI759" s="3470" t="s">
        <v>5021</v>
      </c>
      <c r="AJ759" s="3523">
        <v>38347</v>
      </c>
      <c r="AK759" s="3500">
        <v>9</v>
      </c>
      <c r="AL759" s="3441">
        <v>67641700</v>
      </c>
      <c r="AN759" s="3441" t="s">
        <v>3695</v>
      </c>
      <c r="AO759" s="3441" t="s">
        <v>8669</v>
      </c>
      <c r="AP759" s="3441" t="s">
        <v>3476</v>
      </c>
      <c r="AQ759" s="3441" t="s">
        <v>3571</v>
      </c>
      <c r="AW759" s="3441" t="s">
        <v>3572</v>
      </c>
      <c r="AY759" s="3524" t="s">
        <v>8670</v>
      </c>
      <c r="AZ759" s="3441" t="s">
        <v>4677</v>
      </c>
      <c r="BA759" s="3441" t="s">
        <v>4678</v>
      </c>
      <c r="BB759" s="3524" t="s">
        <v>4679</v>
      </c>
      <c r="BC759" s="3441" t="s">
        <v>4680</v>
      </c>
      <c r="BD759" s="3525">
        <v>100089</v>
      </c>
      <c r="BE759" s="3441">
        <v>68719656</v>
      </c>
      <c r="BF759" s="3526">
        <v>2.8</v>
      </c>
      <c r="BG759" s="3518">
        <v>37845</v>
      </c>
      <c r="BH759" s="3441" t="s">
        <v>4681</v>
      </c>
      <c r="BI759" s="3441" t="s">
        <v>3476</v>
      </c>
      <c r="BJ759" s="3508">
        <v>37869</v>
      </c>
      <c r="BK759" s="3518"/>
      <c r="BL759" s="3470" t="s">
        <v>3670</v>
      </c>
      <c r="BS759" s="3470"/>
      <c r="BT759" s="3470"/>
      <c r="BU759" s="3470"/>
    </row>
    <row r="760" spans="1:73" s="3441" customFormat="1" ht="12" hidden="1">
      <c r="A760" s="3485" t="s">
        <v>8671</v>
      </c>
      <c r="B760" s="3470" t="s">
        <v>8672</v>
      </c>
      <c r="C760" s="3481" t="s">
        <v>8673</v>
      </c>
      <c r="D760" s="3481">
        <v>13611315839</v>
      </c>
      <c r="E760" s="3470" t="s">
        <v>3558</v>
      </c>
      <c r="F760" s="3521" t="s">
        <v>8471</v>
      </c>
      <c r="G760" s="3470"/>
      <c r="H760" s="3470" t="s">
        <v>8472</v>
      </c>
      <c r="I760" s="3470" t="s">
        <v>4309</v>
      </c>
      <c r="J760" s="3481" t="s">
        <v>8674</v>
      </c>
      <c r="K760" s="3470" t="s">
        <v>5500</v>
      </c>
      <c r="L760" s="3470">
        <v>127.56</v>
      </c>
      <c r="M760" s="3470">
        <v>9</v>
      </c>
      <c r="N760" s="3470" t="s">
        <v>3738</v>
      </c>
      <c r="O760" s="3470">
        <v>107.15</v>
      </c>
      <c r="P760" s="3470" t="s">
        <v>3452</v>
      </c>
      <c r="Q760" s="3457">
        <v>844842.63600000006</v>
      </c>
      <c r="R760" s="3470">
        <v>6623.1</v>
      </c>
      <c r="S760" s="3472">
        <v>83.75</v>
      </c>
      <c r="T760" s="3527">
        <v>837500</v>
      </c>
      <c r="U760" s="3470">
        <v>6566</v>
      </c>
      <c r="V760" s="3474">
        <v>0.1</v>
      </c>
      <c r="W760" s="3475">
        <v>75.37</v>
      </c>
      <c r="X760" s="3473">
        <v>753700</v>
      </c>
      <c r="Y760" s="3441">
        <v>2003</v>
      </c>
      <c r="Z760" s="3441">
        <v>9</v>
      </c>
      <c r="AA760" s="3441">
        <v>2</v>
      </c>
      <c r="AB760" s="3485">
        <v>4185</v>
      </c>
      <c r="AC760" s="3470" t="s">
        <v>4004</v>
      </c>
      <c r="AD760" s="3485"/>
      <c r="AE760" s="3441" t="s">
        <v>3663</v>
      </c>
      <c r="AF760" s="3470" t="s">
        <v>4721</v>
      </c>
      <c r="AG760" s="3522" t="s">
        <v>3466</v>
      </c>
      <c r="AH760" s="3485"/>
      <c r="AI760" s="3470" t="s">
        <v>5021</v>
      </c>
      <c r="AJ760" s="3523">
        <v>38138</v>
      </c>
      <c r="AK760" s="3479">
        <v>9</v>
      </c>
      <c r="AL760" s="3441">
        <v>67641700</v>
      </c>
      <c r="AN760" s="3441" t="s">
        <v>3570</v>
      </c>
      <c r="AO760" s="3441" t="s">
        <v>3568</v>
      </c>
      <c r="AP760" s="3441" t="s">
        <v>3476</v>
      </c>
      <c r="AQ760" s="3441" t="s">
        <v>3571</v>
      </c>
      <c r="AW760" s="3441" t="s">
        <v>3572</v>
      </c>
      <c r="AX760" s="3441" t="s">
        <v>3568</v>
      </c>
      <c r="AY760" s="3524">
        <v>538417</v>
      </c>
      <c r="AZ760" s="3441" t="s">
        <v>5500</v>
      </c>
      <c r="BA760" s="3441" t="s">
        <v>7519</v>
      </c>
      <c r="BB760" s="3524" t="s">
        <v>5502</v>
      </c>
      <c r="BC760" s="3441" t="s">
        <v>5503</v>
      </c>
      <c r="BD760" s="3525">
        <v>100080</v>
      </c>
      <c r="BE760" s="3441">
        <v>88442745</v>
      </c>
      <c r="BF760" s="3526">
        <v>2.8</v>
      </c>
      <c r="BG760" s="3518">
        <v>37854</v>
      </c>
      <c r="BH760" s="3441" t="s">
        <v>8474</v>
      </c>
      <c r="BI760" s="3441" t="s">
        <v>3700</v>
      </c>
      <c r="BJ760" s="3484">
        <v>37854</v>
      </c>
      <c r="BK760" s="3518"/>
      <c r="BL760" s="3470" t="s">
        <v>3670</v>
      </c>
      <c r="BS760" s="3470"/>
      <c r="BT760" s="3470"/>
      <c r="BU760" s="3470"/>
    </row>
    <row r="761" spans="1:73" s="3441" customFormat="1" ht="12" hidden="1">
      <c r="A761" s="3485" t="s">
        <v>8675</v>
      </c>
      <c r="B761" s="3470" t="s">
        <v>8676</v>
      </c>
      <c r="C761" s="3481" t="s">
        <v>8677</v>
      </c>
      <c r="D761" s="3481" t="s">
        <v>8678</v>
      </c>
      <c r="E761" s="3470" t="s">
        <v>3558</v>
      </c>
      <c r="F761" s="3521" t="s">
        <v>7652</v>
      </c>
      <c r="G761" s="3470"/>
      <c r="H761" s="3470" t="s">
        <v>7772</v>
      </c>
      <c r="I761" s="3470" t="s">
        <v>3689</v>
      </c>
      <c r="J761" s="3481" t="s">
        <v>8679</v>
      </c>
      <c r="K761" s="3470" t="s">
        <v>7653</v>
      </c>
      <c r="L761" s="3470">
        <v>80.239999999999995</v>
      </c>
      <c r="M761" s="3470">
        <v>11</v>
      </c>
      <c r="N761" s="3470" t="s">
        <v>5032</v>
      </c>
      <c r="O761" s="3470">
        <v>63.46</v>
      </c>
      <c r="P761" s="3470" t="s">
        <v>3452</v>
      </c>
      <c r="Q761" s="3457">
        <v>354660.8</v>
      </c>
      <c r="R761" s="3470">
        <v>4420</v>
      </c>
      <c r="S761" s="3472">
        <v>35.06</v>
      </c>
      <c r="T761" s="3527">
        <v>350600</v>
      </c>
      <c r="U761" s="3470">
        <v>4370</v>
      </c>
      <c r="V761" s="3474">
        <v>0.1</v>
      </c>
      <c r="W761" s="3475">
        <v>31.55</v>
      </c>
      <c r="X761" s="3473">
        <v>315500</v>
      </c>
      <c r="Y761" s="3441">
        <v>2003</v>
      </c>
      <c r="Z761" s="3441">
        <v>9</v>
      </c>
      <c r="AA761" s="3441">
        <v>1</v>
      </c>
      <c r="AB761" s="3485">
        <v>1750</v>
      </c>
      <c r="AC761" s="3470" t="s">
        <v>3565</v>
      </c>
      <c r="AD761" s="3485"/>
      <c r="AE761" s="3441" t="s">
        <v>3663</v>
      </c>
      <c r="AF761" s="3470" t="s">
        <v>4721</v>
      </c>
      <c r="AG761" s="3522" t="s">
        <v>3466</v>
      </c>
      <c r="AH761" s="3485" t="s">
        <v>3568</v>
      </c>
      <c r="AI761" s="3470" t="s">
        <v>5021</v>
      </c>
      <c r="AJ761" s="3523">
        <v>38077</v>
      </c>
      <c r="AK761" s="3479">
        <v>9</v>
      </c>
      <c r="AL761" s="3441">
        <v>67641700</v>
      </c>
      <c r="AN761" s="3441" t="s">
        <v>3570</v>
      </c>
      <c r="AP761" s="3441" t="s">
        <v>3476</v>
      </c>
      <c r="AQ761" s="3441" t="s">
        <v>3571</v>
      </c>
      <c r="AV761" s="3441" t="s">
        <v>3568</v>
      </c>
      <c r="AW761" s="3441" t="s">
        <v>3572</v>
      </c>
      <c r="AY761" s="3524" t="s">
        <v>8680</v>
      </c>
      <c r="AZ761" s="3441" t="s">
        <v>7653</v>
      </c>
      <c r="BA761" s="3441" t="s">
        <v>7655</v>
      </c>
      <c r="BB761" s="3524" t="s">
        <v>7656</v>
      </c>
      <c r="BC761" s="3441" t="s">
        <v>7657</v>
      </c>
      <c r="BD761" s="3525">
        <v>100025</v>
      </c>
      <c r="BE761" s="3441">
        <v>62908858</v>
      </c>
      <c r="BF761" s="3526">
        <v>2.7</v>
      </c>
      <c r="BG761" s="3518">
        <v>37826</v>
      </c>
      <c r="BH761" s="3441" t="s">
        <v>4681</v>
      </c>
      <c r="BI761" s="3441" t="s">
        <v>3476</v>
      </c>
      <c r="BJ761" s="3484">
        <v>37861</v>
      </c>
      <c r="BK761" s="3518"/>
      <c r="BL761" s="3470" t="s">
        <v>3670</v>
      </c>
      <c r="BS761" s="3470"/>
      <c r="BT761" s="3470"/>
      <c r="BU761" s="3470"/>
    </row>
    <row r="762" spans="1:73" s="3441" customFormat="1" ht="12" hidden="1">
      <c r="A762" s="3485" t="s">
        <v>8681</v>
      </c>
      <c r="B762" s="3470" t="s">
        <v>8682</v>
      </c>
      <c r="C762" s="3481" t="s">
        <v>8683</v>
      </c>
      <c r="D762" s="3481">
        <v>62258709</v>
      </c>
      <c r="E762" s="3470" t="s">
        <v>3558</v>
      </c>
      <c r="F762" s="3521" t="s">
        <v>8684</v>
      </c>
      <c r="G762" s="3470"/>
      <c r="H762" s="3470" t="s">
        <v>8685</v>
      </c>
      <c r="I762" s="3470" t="s">
        <v>8686</v>
      </c>
      <c r="J762" s="3481" t="s">
        <v>8687</v>
      </c>
      <c r="K762" s="3470" t="s">
        <v>4649</v>
      </c>
      <c r="L762" s="3470">
        <v>58.03</v>
      </c>
      <c r="M762" s="3470">
        <v>20</v>
      </c>
      <c r="N762" s="3470" t="s">
        <v>3564</v>
      </c>
      <c r="O762" s="3470">
        <v>45.74</v>
      </c>
      <c r="P762" s="3470" t="s">
        <v>3452</v>
      </c>
      <c r="Q762" s="3457">
        <v>466154.99</v>
      </c>
      <c r="R762" s="3470">
        <v>8033</v>
      </c>
      <c r="S762" s="3472">
        <v>46.24</v>
      </c>
      <c r="T762" s="3527">
        <v>462400</v>
      </c>
      <c r="U762" s="3470">
        <v>7970</v>
      </c>
      <c r="V762" s="3474">
        <v>0.1</v>
      </c>
      <c r="W762" s="3475">
        <v>41.61</v>
      </c>
      <c r="X762" s="3473">
        <v>416100</v>
      </c>
      <c r="Y762" s="3441">
        <v>2003</v>
      </c>
      <c r="Z762" s="3441">
        <v>9</v>
      </c>
      <c r="AA762" s="3441">
        <v>1</v>
      </c>
      <c r="AB762" s="3485">
        <v>2310</v>
      </c>
      <c r="AC762" s="3470" t="s">
        <v>3693</v>
      </c>
      <c r="AD762" s="3485"/>
      <c r="AE762" s="3441" t="s">
        <v>3663</v>
      </c>
      <c r="AF762" s="3470" t="s">
        <v>3728</v>
      </c>
      <c r="AG762" s="3522" t="s">
        <v>3466</v>
      </c>
      <c r="AH762" s="3485"/>
      <c r="AI762" s="3470" t="s">
        <v>5021</v>
      </c>
      <c r="AJ762" s="3523">
        <v>38199</v>
      </c>
      <c r="AK762" s="3479">
        <v>9</v>
      </c>
      <c r="AL762" s="3441">
        <v>67641700</v>
      </c>
      <c r="AN762" s="3441" t="s">
        <v>3570</v>
      </c>
      <c r="AP762" s="3441" t="s">
        <v>3476</v>
      </c>
      <c r="AQ762" s="3441" t="s">
        <v>3571</v>
      </c>
      <c r="AW762" s="3441" t="s">
        <v>3572</v>
      </c>
      <c r="AX762" s="3441" t="s">
        <v>3568</v>
      </c>
      <c r="AY762" s="3524" t="s">
        <v>8688</v>
      </c>
      <c r="AZ762" s="3441" t="s">
        <v>4654</v>
      </c>
      <c r="BA762" s="3441" t="s">
        <v>4688</v>
      </c>
      <c r="BB762" s="3524" t="s">
        <v>4689</v>
      </c>
      <c r="BC762" s="3441" t="s">
        <v>4656</v>
      </c>
      <c r="BD762" s="3525">
        <v>100037</v>
      </c>
      <c r="BE762" s="3441">
        <v>68347718</v>
      </c>
      <c r="BF762" s="3526">
        <v>2.8</v>
      </c>
      <c r="BG762" s="3518">
        <v>37828</v>
      </c>
      <c r="BH762" s="3441" t="s">
        <v>4681</v>
      </c>
      <c r="BI762" s="3441" t="s">
        <v>3476</v>
      </c>
      <c r="BJ762" s="3484">
        <v>37862</v>
      </c>
      <c r="BK762" s="3518"/>
      <c r="BL762" s="3470" t="s">
        <v>3670</v>
      </c>
      <c r="BS762" s="3470"/>
      <c r="BT762" s="3470"/>
      <c r="BU762" s="3470"/>
    </row>
    <row r="763" spans="1:73" s="3441" customFormat="1" ht="12" hidden="1">
      <c r="A763" s="3485" t="s">
        <v>8689</v>
      </c>
      <c r="B763" s="3470" t="s">
        <v>8690</v>
      </c>
      <c r="C763" s="3481" t="s">
        <v>8691</v>
      </c>
      <c r="D763" s="3481">
        <v>83884822</v>
      </c>
      <c r="E763" s="3470" t="s">
        <v>3558</v>
      </c>
      <c r="F763" s="3521" t="s">
        <v>4645</v>
      </c>
      <c r="G763" s="3470"/>
      <c r="H763" s="3470" t="s">
        <v>4684</v>
      </c>
      <c r="I763" s="3470" t="s">
        <v>7796</v>
      </c>
      <c r="J763" s="3481" t="s">
        <v>8692</v>
      </c>
      <c r="K763" s="3470" t="s">
        <v>4649</v>
      </c>
      <c r="L763" s="3470">
        <v>58.03</v>
      </c>
      <c r="M763" s="3470">
        <v>16</v>
      </c>
      <c r="N763" s="3470" t="s">
        <v>3564</v>
      </c>
      <c r="O763" s="3470">
        <v>45.74</v>
      </c>
      <c r="P763" s="3470" t="s">
        <v>3452</v>
      </c>
      <c r="Q763" s="3457">
        <v>463775.76</v>
      </c>
      <c r="R763" s="3470">
        <v>7992</v>
      </c>
      <c r="S763" s="3472">
        <v>46.01</v>
      </c>
      <c r="T763" s="3527">
        <v>460100</v>
      </c>
      <c r="U763" s="3470">
        <v>7930</v>
      </c>
      <c r="V763" s="3474">
        <v>0.1</v>
      </c>
      <c r="W763" s="3475">
        <v>41.4</v>
      </c>
      <c r="X763" s="3473">
        <v>414000</v>
      </c>
      <c r="Y763" s="3441">
        <v>2003</v>
      </c>
      <c r="Z763" s="3441">
        <v>9</v>
      </c>
      <c r="AA763" s="3441">
        <v>1</v>
      </c>
      <c r="AB763" s="3485">
        <v>2300</v>
      </c>
      <c r="AC763" s="3470" t="s">
        <v>7614</v>
      </c>
      <c r="AD763" s="3485"/>
      <c r="AE763" s="3441" t="s">
        <v>3663</v>
      </c>
      <c r="AF763" s="3470" t="s">
        <v>3728</v>
      </c>
      <c r="AG763" s="3522" t="s">
        <v>3466</v>
      </c>
      <c r="AH763" s="3485"/>
      <c r="AI763" s="3470" t="s">
        <v>5021</v>
      </c>
      <c r="AJ763" s="3523">
        <v>38199</v>
      </c>
      <c r="AK763" s="3479">
        <v>9</v>
      </c>
      <c r="AL763" s="3441">
        <v>67641700</v>
      </c>
      <c r="AN763" s="3441" t="s">
        <v>3570</v>
      </c>
      <c r="AP763" s="3441" t="s">
        <v>3476</v>
      </c>
      <c r="AQ763" s="3441" t="s">
        <v>3571</v>
      </c>
      <c r="AW763" s="3441" t="s">
        <v>3572</v>
      </c>
      <c r="AX763" s="3441" t="s">
        <v>3568</v>
      </c>
      <c r="AY763" s="3524" t="s">
        <v>8693</v>
      </c>
      <c r="AZ763" s="3441" t="s">
        <v>4654</v>
      </c>
      <c r="BA763" s="3441" t="s">
        <v>4688</v>
      </c>
      <c r="BB763" s="3524" t="s">
        <v>4689</v>
      </c>
      <c r="BC763" s="3441" t="s">
        <v>4656</v>
      </c>
      <c r="BD763" s="3525">
        <v>100037</v>
      </c>
      <c r="BE763" s="3441">
        <v>68347718</v>
      </c>
      <c r="BF763" s="3526">
        <v>2.8</v>
      </c>
      <c r="BG763" s="3518">
        <v>37843</v>
      </c>
      <c r="BH763" s="3441" t="s">
        <v>4681</v>
      </c>
      <c r="BI763" s="3441" t="s">
        <v>3476</v>
      </c>
      <c r="BJ763" s="3484">
        <v>37861</v>
      </c>
      <c r="BK763" s="3518"/>
      <c r="BL763" s="3470" t="s">
        <v>3670</v>
      </c>
      <c r="BS763" s="3470"/>
      <c r="BT763" s="3470"/>
      <c r="BU763" s="3470"/>
    </row>
    <row r="764" spans="1:73" s="3441" customFormat="1" ht="12" hidden="1">
      <c r="A764" s="3485" t="s">
        <v>8694</v>
      </c>
      <c r="B764" s="3470" t="s">
        <v>8695</v>
      </c>
      <c r="C764" s="3481" t="s">
        <v>8696</v>
      </c>
      <c r="D764" s="3481">
        <v>13693159617</v>
      </c>
      <c r="E764" s="3470" t="s">
        <v>3558</v>
      </c>
      <c r="F764" s="3521" t="s">
        <v>4716</v>
      </c>
      <c r="G764" s="3470"/>
      <c r="H764" s="3470" t="s">
        <v>8697</v>
      </c>
      <c r="I764" s="3470" t="s">
        <v>4019</v>
      </c>
      <c r="J764" s="3481" t="s">
        <v>3736</v>
      </c>
      <c r="K764" s="3470" t="s">
        <v>4720</v>
      </c>
      <c r="L764" s="3470">
        <v>112.09</v>
      </c>
      <c r="M764" s="3470">
        <v>3</v>
      </c>
      <c r="N764" s="3470" t="s">
        <v>3738</v>
      </c>
      <c r="O764" s="3470">
        <v>90.34</v>
      </c>
      <c r="P764" s="3470" t="s">
        <v>3633</v>
      </c>
      <c r="Q764" s="3457">
        <v>511568.31800000003</v>
      </c>
      <c r="R764" s="3470">
        <v>5662.7</v>
      </c>
      <c r="S764" s="3472">
        <v>50.6</v>
      </c>
      <c r="T764" s="3527">
        <v>506000</v>
      </c>
      <c r="U764" s="3470">
        <v>4515</v>
      </c>
      <c r="V764" s="3474">
        <v>0.1</v>
      </c>
      <c r="W764" s="3475">
        <v>45.54</v>
      </c>
      <c r="X764" s="3473">
        <v>455400</v>
      </c>
      <c r="Y764" s="3441">
        <v>2003</v>
      </c>
      <c r="Z764" s="3441">
        <v>9</v>
      </c>
      <c r="AA764" s="3441">
        <v>2</v>
      </c>
      <c r="AB764" s="3485">
        <v>2530</v>
      </c>
      <c r="AC764" s="3470" t="s">
        <v>3693</v>
      </c>
      <c r="AD764" s="3485"/>
      <c r="AE764" s="3441" t="s">
        <v>3663</v>
      </c>
      <c r="AF764" s="3470" t="s">
        <v>4721</v>
      </c>
      <c r="AG764" s="3522" t="s">
        <v>3466</v>
      </c>
      <c r="AH764" s="3485" t="s">
        <v>3568</v>
      </c>
      <c r="AI764" s="3470" t="s">
        <v>5021</v>
      </c>
      <c r="AJ764" s="3523">
        <v>38230</v>
      </c>
      <c r="AK764" s="3479">
        <v>9</v>
      </c>
      <c r="AL764" s="3441">
        <v>67641700</v>
      </c>
      <c r="AN764" s="3441" t="s">
        <v>3570</v>
      </c>
      <c r="AP764" s="3441" t="s">
        <v>3476</v>
      </c>
      <c r="AQ764" s="3441" t="s">
        <v>3571</v>
      </c>
      <c r="AV764" s="3441" t="s">
        <v>3568</v>
      </c>
      <c r="AW764" s="3441" t="s">
        <v>3572</v>
      </c>
      <c r="AY764" s="3524" t="s">
        <v>8698</v>
      </c>
      <c r="AZ764" s="3441" t="s">
        <v>4720</v>
      </c>
      <c r="BA764" s="3441" t="s">
        <v>8699</v>
      </c>
      <c r="BB764" s="3524" t="s">
        <v>8700</v>
      </c>
      <c r="BC764" s="3441" t="s">
        <v>4727</v>
      </c>
      <c r="BD764" s="3525">
        <v>100005</v>
      </c>
      <c r="BE764" s="3441">
        <v>65128628</v>
      </c>
      <c r="BF764" s="3526">
        <v>2.8</v>
      </c>
      <c r="BG764" s="3518">
        <v>37843</v>
      </c>
      <c r="BH764" s="3441" t="s">
        <v>4681</v>
      </c>
      <c r="BI764" s="3441" t="s">
        <v>3476</v>
      </c>
      <c r="BJ764" s="3484">
        <v>37865</v>
      </c>
      <c r="BK764" s="3518"/>
      <c r="BL764" s="3470" t="s">
        <v>3670</v>
      </c>
      <c r="BS764" s="3470"/>
      <c r="BT764" s="3470"/>
      <c r="BU764" s="3470"/>
    </row>
    <row r="765" spans="1:73" s="3441" customFormat="1" ht="12" hidden="1">
      <c r="A765" s="3485" t="s">
        <v>8701</v>
      </c>
      <c r="B765" s="3470" t="s">
        <v>8702</v>
      </c>
      <c r="C765" s="3481" t="s">
        <v>8703</v>
      </c>
      <c r="D765" s="3481" t="s">
        <v>8704</v>
      </c>
      <c r="E765" s="3470" t="s">
        <v>3558</v>
      </c>
      <c r="F765" s="3470" t="s">
        <v>5428</v>
      </c>
      <c r="G765" s="3470"/>
      <c r="H765" s="3470" t="s">
        <v>8705</v>
      </c>
      <c r="I765" s="3470" t="s">
        <v>4707</v>
      </c>
      <c r="J765" s="3481" t="s">
        <v>8706</v>
      </c>
      <c r="K765" s="3470" t="s">
        <v>5786</v>
      </c>
      <c r="L765" s="3470">
        <v>105.85</v>
      </c>
      <c r="M765" s="3470">
        <v>14</v>
      </c>
      <c r="N765" s="3470" t="s">
        <v>4030</v>
      </c>
      <c r="O765" s="3470">
        <v>84.46</v>
      </c>
      <c r="P765" s="3470" t="s">
        <v>3452</v>
      </c>
      <c r="Q765" s="3457">
        <v>588581.04200000002</v>
      </c>
      <c r="R765" s="3470">
        <v>5560.52</v>
      </c>
      <c r="S765" s="3472">
        <v>58.3</v>
      </c>
      <c r="T765" s="3527">
        <v>583000</v>
      </c>
      <c r="U765" s="3495">
        <v>5508</v>
      </c>
      <c r="V765" s="3474">
        <v>0.1</v>
      </c>
      <c r="W765" s="3475">
        <v>52.47</v>
      </c>
      <c r="X765" s="3473">
        <v>524700</v>
      </c>
      <c r="Y765" s="3495">
        <v>2003</v>
      </c>
      <c r="Z765" s="3441">
        <v>9</v>
      </c>
      <c r="AA765" s="3441">
        <v>12</v>
      </c>
      <c r="AB765" s="3477">
        <v>2915</v>
      </c>
      <c r="AC765" s="3470" t="s">
        <v>4922</v>
      </c>
      <c r="AD765" s="3485"/>
      <c r="AE765" s="3441" t="s">
        <v>3663</v>
      </c>
      <c r="AF765" s="3470" t="s">
        <v>6065</v>
      </c>
      <c r="AG765" s="3522" t="s">
        <v>3466</v>
      </c>
      <c r="AH765" s="3485" t="s">
        <v>3568</v>
      </c>
      <c r="AI765" s="3470" t="s">
        <v>5021</v>
      </c>
      <c r="AJ765" s="3523">
        <v>37864</v>
      </c>
      <c r="AK765" s="3500">
        <v>9</v>
      </c>
      <c r="AL765" s="3441">
        <v>67641700</v>
      </c>
      <c r="AN765" s="3441" t="s">
        <v>3695</v>
      </c>
      <c r="AO765" s="3441" t="s">
        <v>3568</v>
      </c>
      <c r="AP765" s="3441" t="s">
        <v>3476</v>
      </c>
      <c r="AQ765" s="3441" t="s">
        <v>3571</v>
      </c>
      <c r="AR765" s="3441" t="s">
        <v>3568</v>
      </c>
      <c r="AS765" s="3441" t="s">
        <v>3568</v>
      </c>
      <c r="AT765" s="3441" t="s">
        <v>3568</v>
      </c>
      <c r="AW765" s="3441" t="s">
        <v>3572</v>
      </c>
      <c r="AX765" s="3441" t="s">
        <v>6879</v>
      </c>
      <c r="AY765" s="3524" t="s">
        <v>8707</v>
      </c>
      <c r="AZ765" s="3441" t="s">
        <v>5786</v>
      </c>
      <c r="BA765" s="3441" t="s">
        <v>7527</v>
      </c>
      <c r="BB765" s="3524">
        <v>1101082131202</v>
      </c>
      <c r="BC765" s="3441" t="s">
        <v>5436</v>
      </c>
      <c r="BD765" s="3525">
        <v>102400</v>
      </c>
      <c r="BE765" s="3441">
        <v>62842753</v>
      </c>
      <c r="BF765" s="3526">
        <v>2.8</v>
      </c>
      <c r="BG765" s="3518">
        <v>37856</v>
      </c>
      <c r="BH765" s="3441" t="s">
        <v>3568</v>
      </c>
      <c r="BI765" s="3441" t="s">
        <v>3476</v>
      </c>
      <c r="BJ765" s="3484">
        <v>37865</v>
      </c>
      <c r="BK765" s="3518"/>
      <c r="BL765" s="3470" t="s">
        <v>3670</v>
      </c>
      <c r="BS765" s="3470"/>
      <c r="BT765" s="3470"/>
      <c r="BU765" s="3470"/>
    </row>
    <row r="766" spans="1:73" s="3441" customFormat="1" ht="12" hidden="1">
      <c r="A766" s="3485" t="s">
        <v>8708</v>
      </c>
      <c r="B766" s="3470" t="s">
        <v>8709</v>
      </c>
      <c r="C766" s="3481" t="s">
        <v>8710</v>
      </c>
      <c r="D766" s="3481">
        <v>13501387354</v>
      </c>
      <c r="E766" s="3470" t="s">
        <v>3558</v>
      </c>
      <c r="F766" s="3521" t="s">
        <v>7652</v>
      </c>
      <c r="G766" s="3470"/>
      <c r="H766" s="3470" t="s">
        <v>7772</v>
      </c>
      <c r="I766" s="3470" t="s">
        <v>4733</v>
      </c>
      <c r="J766" s="3481" t="s">
        <v>8711</v>
      </c>
      <c r="K766" s="3470" t="s">
        <v>7653</v>
      </c>
      <c r="L766" s="3470">
        <v>87.59</v>
      </c>
      <c r="M766" s="3470">
        <v>17</v>
      </c>
      <c r="N766" s="3470" t="s">
        <v>4030</v>
      </c>
      <c r="O766" s="3470">
        <v>69.27</v>
      </c>
      <c r="P766" s="3470" t="s">
        <v>3452</v>
      </c>
      <c r="Q766" s="3457">
        <v>430066.9</v>
      </c>
      <c r="R766" s="3470">
        <v>4910</v>
      </c>
      <c r="S766" s="3472">
        <v>42.56</v>
      </c>
      <c r="T766" s="3527">
        <v>425600</v>
      </c>
      <c r="U766" s="3470">
        <v>4860</v>
      </c>
      <c r="V766" s="3474">
        <v>0.1</v>
      </c>
      <c r="W766" s="3475">
        <v>38.299999999999997</v>
      </c>
      <c r="X766" s="3473">
        <v>383000</v>
      </c>
      <c r="Y766" s="3441">
        <v>2003</v>
      </c>
      <c r="Z766" s="3441">
        <v>9</v>
      </c>
      <c r="AA766" s="3441">
        <v>2</v>
      </c>
      <c r="AB766" s="3485">
        <v>2125</v>
      </c>
      <c r="AC766" s="3470" t="s">
        <v>3693</v>
      </c>
      <c r="AD766" s="3485"/>
      <c r="AE766" s="3441" t="s">
        <v>3663</v>
      </c>
      <c r="AF766" s="3470" t="s">
        <v>4721</v>
      </c>
      <c r="AG766" s="3522" t="s">
        <v>3466</v>
      </c>
      <c r="AH766" s="3485" t="s">
        <v>3568</v>
      </c>
      <c r="AI766" s="3470" t="s">
        <v>5021</v>
      </c>
      <c r="AJ766" s="3523">
        <v>38077</v>
      </c>
      <c r="AK766" s="3479">
        <v>9</v>
      </c>
      <c r="AL766" s="3441">
        <v>67641700</v>
      </c>
      <c r="AN766" s="3441" t="s">
        <v>3570</v>
      </c>
      <c r="AP766" s="3441" t="s">
        <v>3476</v>
      </c>
      <c r="AQ766" s="3441" t="s">
        <v>3571</v>
      </c>
      <c r="AV766" s="3441" t="s">
        <v>3568</v>
      </c>
      <c r="AW766" s="3441" t="s">
        <v>3572</v>
      </c>
      <c r="AY766" s="3524" t="s">
        <v>8712</v>
      </c>
      <c r="AZ766" s="3441" t="s">
        <v>7653</v>
      </c>
      <c r="BA766" s="3441" t="s">
        <v>7655</v>
      </c>
      <c r="BB766" s="3524" t="s">
        <v>7656</v>
      </c>
      <c r="BC766" s="3441" t="s">
        <v>7657</v>
      </c>
      <c r="BD766" s="3525">
        <v>100025</v>
      </c>
      <c r="BE766" s="3441">
        <v>62908858</v>
      </c>
      <c r="BF766" s="3526">
        <v>2.7</v>
      </c>
      <c r="BG766" s="3518">
        <v>37844</v>
      </c>
      <c r="BH766" s="3441" t="s">
        <v>4681</v>
      </c>
      <c r="BI766" s="3441" t="s">
        <v>3476</v>
      </c>
      <c r="BJ766" s="3484">
        <v>37865</v>
      </c>
      <c r="BK766" s="3518"/>
      <c r="BL766" s="3470" t="s">
        <v>3670</v>
      </c>
      <c r="BS766" s="3470"/>
      <c r="BT766" s="3470"/>
      <c r="BU766" s="3470"/>
    </row>
    <row r="767" spans="1:73" s="3441" customFormat="1" ht="12" hidden="1">
      <c r="A767" s="3485" t="s">
        <v>8713</v>
      </c>
      <c r="B767" s="3470" t="s">
        <v>8714</v>
      </c>
      <c r="C767" s="3481" t="s">
        <v>8715</v>
      </c>
      <c r="D767" s="3481" t="s">
        <v>8716</v>
      </c>
      <c r="E767" s="3470" t="s">
        <v>3558</v>
      </c>
      <c r="F767" s="3470" t="s">
        <v>4693</v>
      </c>
      <c r="G767" s="3470"/>
      <c r="H767" s="3470" t="s">
        <v>4694</v>
      </c>
      <c r="I767" s="3470" t="s">
        <v>4614</v>
      </c>
      <c r="J767" s="3481" t="s">
        <v>8717</v>
      </c>
      <c r="K767" s="3470" t="s">
        <v>4697</v>
      </c>
      <c r="L767" s="3470">
        <v>46.14</v>
      </c>
      <c r="M767" s="3470">
        <v>5</v>
      </c>
      <c r="N767" s="3470" t="s">
        <v>3692</v>
      </c>
      <c r="O767" s="3470">
        <v>34.270000000000003</v>
      </c>
      <c r="P767" s="3470" t="s">
        <v>3452</v>
      </c>
      <c r="Q767" s="3457">
        <v>385315.14</v>
      </c>
      <c r="R767" s="3470">
        <v>8351</v>
      </c>
      <c r="S767" s="3472">
        <v>38.229999999999997</v>
      </c>
      <c r="T767" s="3527">
        <v>382299.99999999994</v>
      </c>
      <c r="U767" s="3470">
        <v>8286</v>
      </c>
      <c r="V767" s="3474">
        <v>0.1</v>
      </c>
      <c r="W767" s="3475">
        <v>34.4</v>
      </c>
      <c r="X767" s="3476">
        <v>344000</v>
      </c>
      <c r="Y767" s="3441">
        <v>2003</v>
      </c>
      <c r="Z767" s="3441">
        <v>9</v>
      </c>
      <c r="AA767" s="3470">
        <v>28</v>
      </c>
      <c r="AB767" s="3477">
        <v>1910</v>
      </c>
      <c r="AC767" s="3470" t="s">
        <v>8718</v>
      </c>
      <c r="AD767" s="3485"/>
      <c r="AE767" s="3441" t="s">
        <v>3663</v>
      </c>
      <c r="AF767" s="3470" t="s">
        <v>4721</v>
      </c>
      <c r="AG767" s="3522" t="s">
        <v>3466</v>
      </c>
      <c r="AH767" s="3485" t="s">
        <v>3463</v>
      </c>
      <c r="AI767" s="3470" t="s">
        <v>5021</v>
      </c>
      <c r="AJ767" s="3523">
        <v>38138</v>
      </c>
      <c r="AK767" s="3500">
        <v>9</v>
      </c>
      <c r="AL767" s="3441">
        <v>67641700</v>
      </c>
      <c r="AN767" s="3456" t="s">
        <v>3680</v>
      </c>
      <c r="AO767" s="3470" t="s">
        <v>8719</v>
      </c>
      <c r="AP767" s="3441" t="s">
        <v>3476</v>
      </c>
      <c r="AQ767" s="3441" t="s">
        <v>3571</v>
      </c>
      <c r="AV767" s="3441" t="s">
        <v>3568</v>
      </c>
      <c r="AW767" s="3441" t="s">
        <v>3572</v>
      </c>
      <c r="AX767" s="3441" t="s">
        <v>3568</v>
      </c>
      <c r="AY767" s="3524" t="s">
        <v>8720</v>
      </c>
      <c r="AZ767" s="3441" t="s">
        <v>4697</v>
      </c>
      <c r="BA767" s="3441" t="s">
        <v>4700</v>
      </c>
      <c r="BB767" s="3524" t="s">
        <v>4701</v>
      </c>
      <c r="BC767" s="3441" t="s">
        <v>4702</v>
      </c>
      <c r="BD767" s="3525">
        <v>100011</v>
      </c>
      <c r="BE767" s="3441">
        <v>62351476</v>
      </c>
      <c r="BF767" s="3526">
        <v>2.8</v>
      </c>
      <c r="BG767" s="3518">
        <v>37815</v>
      </c>
      <c r="BI767" s="3441" t="s">
        <v>3476</v>
      </c>
      <c r="BJ767" s="3484">
        <v>37891</v>
      </c>
      <c r="BK767" s="3518"/>
      <c r="BL767" s="3470" t="s">
        <v>3670</v>
      </c>
      <c r="BS767" s="3470"/>
      <c r="BT767" s="3470"/>
      <c r="BU767" s="3470"/>
    </row>
    <row r="768" spans="1:73" s="3441" customFormat="1" ht="12" hidden="1">
      <c r="A768" s="3485" t="s">
        <v>8721</v>
      </c>
      <c r="B768" s="3470" t="s">
        <v>8722</v>
      </c>
      <c r="C768" s="3481" t="s">
        <v>8723</v>
      </c>
      <c r="D768" s="3481">
        <v>82633456</v>
      </c>
      <c r="E768" s="3470" t="s">
        <v>3558</v>
      </c>
      <c r="F768" s="3521" t="s">
        <v>7652</v>
      </c>
      <c r="G768" s="3470"/>
      <c r="H768" s="3470" t="s">
        <v>7772</v>
      </c>
      <c r="I768" s="3470" t="s">
        <v>7922</v>
      </c>
      <c r="J768" s="3481" t="s">
        <v>8724</v>
      </c>
      <c r="K768" s="3470" t="s">
        <v>7653</v>
      </c>
      <c r="L768" s="3470">
        <v>87.59</v>
      </c>
      <c r="M768" s="3470">
        <v>13</v>
      </c>
      <c r="N768" s="3470" t="s">
        <v>4030</v>
      </c>
      <c r="O768" s="3470">
        <v>69.27</v>
      </c>
      <c r="P768" s="3470" t="s">
        <v>3452</v>
      </c>
      <c r="Q768" s="3457">
        <v>408169.4</v>
      </c>
      <c r="R768" s="3470">
        <v>4660</v>
      </c>
      <c r="S768" s="3472">
        <v>40.369999999999997</v>
      </c>
      <c r="T768" s="3527">
        <v>403700</v>
      </c>
      <c r="U768" s="3470">
        <v>4610</v>
      </c>
      <c r="V768" s="3474">
        <v>0.1</v>
      </c>
      <c r="W768" s="3475">
        <v>36.33</v>
      </c>
      <c r="X768" s="3473">
        <v>363300</v>
      </c>
      <c r="Y768" s="3441">
        <v>2003</v>
      </c>
      <c r="Z768" s="3441">
        <v>9</v>
      </c>
      <c r="AA768" s="3441">
        <v>3</v>
      </c>
      <c r="AB768" s="3485">
        <v>2015</v>
      </c>
      <c r="AC768" s="3470" t="s">
        <v>3603</v>
      </c>
      <c r="AD768" s="3485"/>
      <c r="AE768" s="3441" t="s">
        <v>3663</v>
      </c>
      <c r="AF768" s="3470" t="s">
        <v>4721</v>
      </c>
      <c r="AG768" s="3522" t="s">
        <v>3466</v>
      </c>
      <c r="AH768" s="3485" t="s">
        <v>3568</v>
      </c>
      <c r="AI768" s="3470" t="s">
        <v>5021</v>
      </c>
      <c r="AJ768" s="3523">
        <v>38077</v>
      </c>
      <c r="AK768" s="3479">
        <v>9</v>
      </c>
      <c r="AL768" s="3441">
        <v>67641700</v>
      </c>
      <c r="AN768" s="3441" t="s">
        <v>3570</v>
      </c>
      <c r="AP768" s="3441" t="s">
        <v>3476</v>
      </c>
      <c r="AQ768" s="3441" t="s">
        <v>3571</v>
      </c>
      <c r="AV768" s="3441" t="s">
        <v>3568</v>
      </c>
      <c r="AW768" s="3441" t="s">
        <v>3572</v>
      </c>
      <c r="AY768" s="3524" t="s">
        <v>8725</v>
      </c>
      <c r="AZ768" s="3441" t="s">
        <v>7653</v>
      </c>
      <c r="BA768" s="3441" t="s">
        <v>7655</v>
      </c>
      <c r="BB768" s="3524" t="s">
        <v>7656</v>
      </c>
      <c r="BC768" s="3441" t="s">
        <v>7657</v>
      </c>
      <c r="BD768" s="3525">
        <v>100025</v>
      </c>
      <c r="BE768" s="3441">
        <v>62908858</v>
      </c>
      <c r="BF768" s="3526">
        <v>2.7</v>
      </c>
      <c r="BG768" s="3518">
        <v>37825</v>
      </c>
      <c r="BH768" s="3441" t="s">
        <v>4681</v>
      </c>
      <c r="BI768" s="3441" t="s">
        <v>3476</v>
      </c>
      <c r="BJ768" s="3484">
        <v>37858</v>
      </c>
      <c r="BK768" s="3518"/>
      <c r="BL768" s="3470" t="s">
        <v>3670</v>
      </c>
      <c r="BS768" s="3470"/>
      <c r="BT768" s="3470"/>
      <c r="BU768" s="3470"/>
    </row>
    <row r="769" spans="1:73" s="3441" customFormat="1" ht="12" hidden="1">
      <c r="A769" s="3485" t="s">
        <v>8726</v>
      </c>
      <c r="B769" s="3470" t="s">
        <v>8727</v>
      </c>
      <c r="C769" s="3481" t="s">
        <v>8728</v>
      </c>
      <c r="D769" s="3481" t="s">
        <v>8729</v>
      </c>
      <c r="E769" s="3470" t="s">
        <v>3558</v>
      </c>
      <c r="F769" s="3528" t="s">
        <v>3733</v>
      </c>
      <c r="G769" s="3470"/>
      <c r="H769" s="3470" t="s">
        <v>4706</v>
      </c>
      <c r="I769" s="3470" t="s">
        <v>8730</v>
      </c>
      <c r="J769" s="3481" t="s">
        <v>8731</v>
      </c>
      <c r="K769" s="3470" t="s">
        <v>3737</v>
      </c>
      <c r="L769" s="3470">
        <v>54.88</v>
      </c>
      <c r="M769" s="3470">
        <v>5</v>
      </c>
      <c r="N769" s="3470" t="s">
        <v>6871</v>
      </c>
      <c r="O769" s="3470">
        <v>43.84</v>
      </c>
      <c r="P769" s="3470" t="s">
        <v>3452</v>
      </c>
      <c r="Q769" s="3492">
        <v>313913.60000000003</v>
      </c>
      <c r="R769" s="3470">
        <v>5720</v>
      </c>
      <c r="S769" s="3472">
        <v>31.1</v>
      </c>
      <c r="T769" s="3527">
        <v>311000</v>
      </c>
      <c r="U769" s="3470">
        <v>5668</v>
      </c>
      <c r="V769" s="3474">
        <v>0.1</v>
      </c>
      <c r="W769" s="3475">
        <v>27.99</v>
      </c>
      <c r="X769" s="3494">
        <v>279900</v>
      </c>
      <c r="Y769" s="3441">
        <v>2003</v>
      </c>
      <c r="Z769" s="3441">
        <v>9</v>
      </c>
      <c r="AA769" s="3470">
        <v>8</v>
      </c>
      <c r="AB769" s="3477">
        <v>1555</v>
      </c>
      <c r="AC769" s="3470" t="s">
        <v>4800</v>
      </c>
      <c r="AD769" s="3485"/>
      <c r="AE769" s="3441" t="s">
        <v>3663</v>
      </c>
      <c r="AF769" s="3470" t="s">
        <v>3728</v>
      </c>
      <c r="AG769" s="3522" t="s">
        <v>3466</v>
      </c>
      <c r="AH769" s="3485"/>
      <c r="AI769" s="3470" t="s">
        <v>5021</v>
      </c>
      <c r="AJ769" s="3523">
        <v>38045</v>
      </c>
      <c r="AK769" s="3500">
        <v>9</v>
      </c>
      <c r="AL769" s="3441">
        <v>67641700</v>
      </c>
      <c r="AN769" s="3441" t="s">
        <v>3695</v>
      </c>
      <c r="AO769" s="3441" t="s">
        <v>3568</v>
      </c>
      <c r="AP769" s="3441" t="s">
        <v>3476</v>
      </c>
      <c r="AQ769" s="3441" t="s">
        <v>3571</v>
      </c>
      <c r="AW769" s="3441" t="s">
        <v>3572</v>
      </c>
      <c r="AY769" s="3524" t="s">
        <v>8732</v>
      </c>
      <c r="AZ769" s="3441" t="s">
        <v>3737</v>
      </c>
      <c r="BA769" s="3441" t="s">
        <v>3742</v>
      </c>
      <c r="BB769" s="3524" t="s">
        <v>3743</v>
      </c>
      <c r="BC769" s="3441" t="s">
        <v>3744</v>
      </c>
      <c r="BD769" s="3525">
        <v>100088</v>
      </c>
      <c r="BE769" s="3441">
        <v>82058259</v>
      </c>
      <c r="BF769" s="3526" t="s">
        <v>8595</v>
      </c>
      <c r="BG769" s="3518">
        <v>37859</v>
      </c>
      <c r="BH769" s="3441" t="s">
        <v>4753</v>
      </c>
      <c r="BI769" s="3441" t="s">
        <v>3476</v>
      </c>
      <c r="BJ769" s="3484">
        <v>37865</v>
      </c>
      <c r="BK769" s="3518" t="s">
        <v>6879</v>
      </c>
      <c r="BL769" s="3470" t="s">
        <v>3670</v>
      </c>
      <c r="BS769" s="3470"/>
      <c r="BT769" s="3470"/>
      <c r="BU769" s="3470"/>
    </row>
    <row r="770" spans="1:73" s="3470" customFormat="1" ht="12" hidden="1">
      <c r="A770" s="3470" t="s">
        <v>8733</v>
      </c>
      <c r="B770" s="3470" t="s">
        <v>8734</v>
      </c>
      <c r="C770" s="3481" t="s">
        <v>8735</v>
      </c>
      <c r="D770" s="3470">
        <v>13661097203</v>
      </c>
      <c r="E770" s="3470" t="s">
        <v>3763</v>
      </c>
      <c r="F770" s="3470" t="s">
        <v>4782</v>
      </c>
      <c r="H770" s="3470" t="s">
        <v>4281</v>
      </c>
      <c r="I770" s="3470" t="s">
        <v>8736</v>
      </c>
      <c r="J770" s="3470" t="s">
        <v>8737</v>
      </c>
      <c r="K770" s="3470" t="s">
        <v>8738</v>
      </c>
      <c r="L770" s="3470">
        <v>89.62</v>
      </c>
      <c r="M770" s="3470">
        <v>8</v>
      </c>
      <c r="N770" s="3470" t="s">
        <v>3451</v>
      </c>
      <c r="O770" s="3470">
        <v>70.3</v>
      </c>
      <c r="P770" s="3470" t="s">
        <v>3452</v>
      </c>
      <c r="Q770" s="3457">
        <v>427756.26</v>
      </c>
      <c r="R770" s="3470">
        <v>4773</v>
      </c>
      <c r="S770" s="3472">
        <v>42.33</v>
      </c>
      <c r="T770" s="3527">
        <v>423300</v>
      </c>
      <c r="U770" s="3470">
        <v>4724</v>
      </c>
      <c r="V770" s="3474">
        <v>0.1</v>
      </c>
      <c r="W770" s="3475">
        <v>38.090000000000003</v>
      </c>
      <c r="X770" s="3476">
        <v>380900.00000000006</v>
      </c>
      <c r="Y770" s="3470">
        <v>2003</v>
      </c>
      <c r="Z770" s="3470">
        <v>9</v>
      </c>
      <c r="AA770" s="3470">
        <v>28</v>
      </c>
      <c r="AB770" s="3477">
        <v>2115</v>
      </c>
      <c r="AC770" s="3470" t="s">
        <v>8739</v>
      </c>
      <c r="AE770" s="3470" t="s">
        <v>3663</v>
      </c>
      <c r="AF770" s="3453" t="s">
        <v>4787</v>
      </c>
      <c r="AG770" s="3470" t="s">
        <v>3466</v>
      </c>
      <c r="AI770" s="3470" t="s">
        <v>3664</v>
      </c>
      <c r="AJ770" s="3478">
        <v>38261</v>
      </c>
      <c r="AK770" s="3500">
        <v>9</v>
      </c>
      <c r="AL770" s="3470">
        <v>67641700</v>
      </c>
      <c r="AN770" s="3470" t="s">
        <v>8740</v>
      </c>
      <c r="AP770" s="3470" t="s">
        <v>7041</v>
      </c>
      <c r="AQ770" s="3470" t="s">
        <v>3457</v>
      </c>
      <c r="AW770" s="3470" t="s">
        <v>4064</v>
      </c>
      <c r="AX770" s="3508"/>
      <c r="AY770" s="3470">
        <v>552354</v>
      </c>
      <c r="AZ770" s="3470" t="s">
        <v>8738</v>
      </c>
      <c r="BA770" s="3470" t="s">
        <v>8741</v>
      </c>
      <c r="BB770" s="3470" t="s">
        <v>4791</v>
      </c>
      <c r="BC770" s="3470" t="s">
        <v>8742</v>
      </c>
      <c r="BD770" s="3470">
        <v>102308</v>
      </c>
      <c r="BE770" s="3470">
        <v>68041987</v>
      </c>
      <c r="BF770" s="3470">
        <v>2.8</v>
      </c>
      <c r="BG770" s="3478">
        <v>37856</v>
      </c>
      <c r="BH770" s="3470" t="s">
        <v>3437</v>
      </c>
      <c r="BI770" s="3470" t="s">
        <v>2153</v>
      </c>
      <c r="BJ770" s="3508">
        <v>37865</v>
      </c>
      <c r="BK770" s="3478"/>
      <c r="BL770" s="3470" t="s">
        <v>6897</v>
      </c>
      <c r="BP770" s="3441"/>
      <c r="BQ770" s="3441"/>
      <c r="BR770" s="3441"/>
    </row>
    <row r="771" spans="1:73" s="3441" customFormat="1" ht="12" hidden="1">
      <c r="A771" s="3485" t="s">
        <v>8743</v>
      </c>
      <c r="B771" s="3470" t="s">
        <v>8744</v>
      </c>
      <c r="C771" s="3481" t="s">
        <v>8745</v>
      </c>
      <c r="D771" s="3481">
        <v>13051064080</v>
      </c>
      <c r="E771" s="3470" t="s">
        <v>3558</v>
      </c>
      <c r="F771" s="3521" t="s">
        <v>4716</v>
      </c>
      <c r="G771" s="3470"/>
      <c r="H771" s="3470" t="s">
        <v>4717</v>
      </c>
      <c r="I771" s="3470" t="s">
        <v>5066</v>
      </c>
      <c r="J771" s="3481" t="s">
        <v>7736</v>
      </c>
      <c r="K771" s="3470" t="s">
        <v>4720</v>
      </c>
      <c r="L771" s="3470">
        <v>60.63</v>
      </c>
      <c r="M771" s="3470">
        <v>7</v>
      </c>
      <c r="N771" s="3470" t="s">
        <v>3564</v>
      </c>
      <c r="O771" s="3470">
        <v>47.69</v>
      </c>
      <c r="P771" s="3470" t="s">
        <v>3452</v>
      </c>
      <c r="Q771" s="3457">
        <v>250899.06599999999</v>
      </c>
      <c r="R771" s="3470">
        <v>4138.2</v>
      </c>
      <c r="S771" s="3472">
        <v>24.79</v>
      </c>
      <c r="T771" s="3527">
        <v>247900</v>
      </c>
      <c r="U771" s="3470">
        <v>4090</v>
      </c>
      <c r="V771" s="3474">
        <v>0.1</v>
      </c>
      <c r="W771" s="3475">
        <v>22.31</v>
      </c>
      <c r="X771" s="3473">
        <v>223100</v>
      </c>
      <c r="Y771" s="3441">
        <v>2003</v>
      </c>
      <c r="Z771" s="3441">
        <v>9</v>
      </c>
      <c r="AA771" s="3441">
        <v>3</v>
      </c>
      <c r="AB771" s="3485">
        <v>1235</v>
      </c>
      <c r="AC771" s="3470" t="s">
        <v>3693</v>
      </c>
      <c r="AD771" s="3485"/>
      <c r="AE771" s="3441" t="s">
        <v>3663</v>
      </c>
      <c r="AF771" s="3470" t="s">
        <v>4721</v>
      </c>
      <c r="AG771" s="3522" t="s">
        <v>3466</v>
      </c>
      <c r="AH771" s="3485" t="s">
        <v>3568</v>
      </c>
      <c r="AI771" s="3470" t="s">
        <v>5021</v>
      </c>
      <c r="AJ771" s="3523">
        <v>38230</v>
      </c>
      <c r="AK771" s="3479">
        <v>9</v>
      </c>
      <c r="AL771" s="3441">
        <v>67641700</v>
      </c>
      <c r="AN771" s="3441" t="s">
        <v>3570</v>
      </c>
      <c r="AP771" s="3441" t="s">
        <v>3476</v>
      </c>
      <c r="AQ771" s="3441" t="s">
        <v>3571</v>
      </c>
      <c r="AV771" s="3441" t="s">
        <v>3568</v>
      </c>
      <c r="AW771" s="3441" t="s">
        <v>3572</v>
      </c>
      <c r="AY771" s="3524" t="s">
        <v>8746</v>
      </c>
      <c r="AZ771" s="3441" t="s">
        <v>4720</v>
      </c>
      <c r="BA771" s="3441" t="s">
        <v>8699</v>
      </c>
      <c r="BB771" s="3524" t="s">
        <v>8700</v>
      </c>
      <c r="BC771" s="3441" t="s">
        <v>4727</v>
      </c>
      <c r="BD771" s="3525">
        <v>100005</v>
      </c>
      <c r="BE771" s="3441">
        <v>65128628</v>
      </c>
      <c r="BF771" s="3526">
        <v>2.8</v>
      </c>
      <c r="BG771" s="3518">
        <v>37820</v>
      </c>
      <c r="BH771" s="3441" t="s">
        <v>4681</v>
      </c>
      <c r="BI771" s="3441" t="s">
        <v>3476</v>
      </c>
      <c r="BJ771" s="3484">
        <v>37866</v>
      </c>
      <c r="BK771" s="3518"/>
      <c r="BL771" s="3470" t="s">
        <v>3670</v>
      </c>
      <c r="BS771" s="3470"/>
      <c r="BT771" s="3470"/>
      <c r="BU771" s="3470"/>
    </row>
    <row r="772" spans="1:73" s="3470" customFormat="1" ht="12" hidden="1">
      <c r="A772" s="3485" t="s">
        <v>8747</v>
      </c>
      <c r="B772" s="3470" t="s">
        <v>8748</v>
      </c>
      <c r="C772" s="3481" t="s">
        <v>8749</v>
      </c>
      <c r="D772" s="3470">
        <v>13661373313</v>
      </c>
      <c r="E772" s="3470" t="s">
        <v>2736</v>
      </c>
      <c r="F772" s="3470" t="s">
        <v>8750</v>
      </c>
      <c r="H772" s="3470" t="s">
        <v>3952</v>
      </c>
      <c r="I772" s="3453" t="s">
        <v>3726</v>
      </c>
      <c r="J772" s="3470" t="s">
        <v>4174</v>
      </c>
      <c r="K772" s="3470" t="s">
        <v>8751</v>
      </c>
      <c r="L772" s="3470">
        <v>157.66</v>
      </c>
      <c r="M772" s="3470">
        <v>2</v>
      </c>
      <c r="N772" s="3470" t="s">
        <v>3632</v>
      </c>
      <c r="O772" s="3470">
        <v>137.06</v>
      </c>
      <c r="P772" s="3470" t="s">
        <v>3452</v>
      </c>
      <c r="Q772" s="3457">
        <v>887310.48</v>
      </c>
      <c r="R772" s="3495">
        <v>5628</v>
      </c>
      <c r="S772" s="3472">
        <v>87.91</v>
      </c>
      <c r="T772" s="3527">
        <v>879100</v>
      </c>
      <c r="U772" s="3495">
        <v>5576</v>
      </c>
      <c r="V772" s="3474">
        <v>0.05</v>
      </c>
      <c r="W772" s="3475">
        <v>83.51</v>
      </c>
      <c r="X772" s="3473">
        <v>835100</v>
      </c>
      <c r="Y772" s="3515">
        <v>2003</v>
      </c>
      <c r="Z772" s="3441">
        <v>9</v>
      </c>
      <c r="AA772" s="3441">
        <v>9</v>
      </c>
      <c r="AB772" s="3485">
        <v>4395</v>
      </c>
      <c r="AC772" s="3470" t="s">
        <v>8752</v>
      </c>
      <c r="AE772" s="3441" t="s">
        <v>6906</v>
      </c>
      <c r="AF772" s="3470" t="s">
        <v>7256</v>
      </c>
      <c r="AG772" s="3522" t="s">
        <v>3454</v>
      </c>
      <c r="AI772" s="3470" t="s">
        <v>6972</v>
      </c>
      <c r="AJ772" s="3478">
        <v>37590</v>
      </c>
      <c r="AK772" s="3500" t="s">
        <v>8753</v>
      </c>
      <c r="AL772" s="3470">
        <v>67641700</v>
      </c>
      <c r="AN772" s="3441" t="s">
        <v>3791</v>
      </c>
      <c r="AO772" s="3441" t="s">
        <v>8754</v>
      </c>
      <c r="AP772" s="3470" t="s">
        <v>3476</v>
      </c>
      <c r="AQ772" s="3441" t="s">
        <v>7265</v>
      </c>
      <c r="AW772" s="3470" t="s">
        <v>3572</v>
      </c>
      <c r="AY772" s="3481" t="s">
        <v>8755</v>
      </c>
      <c r="AZ772" s="3470" t="s">
        <v>3981</v>
      </c>
      <c r="BA772" s="3441" t="s">
        <v>3984</v>
      </c>
      <c r="BB772" s="3524" t="s">
        <v>8756</v>
      </c>
      <c r="BC772" s="3441" t="s">
        <v>3985</v>
      </c>
      <c r="BD772" s="3525">
        <v>100101</v>
      </c>
      <c r="BE772" s="3441">
        <v>64858999</v>
      </c>
      <c r="BF772" s="3526">
        <v>2.8</v>
      </c>
      <c r="BG772" s="3478">
        <v>37860</v>
      </c>
      <c r="BI772" s="3470" t="s">
        <v>8757</v>
      </c>
      <c r="BJ772" s="3508">
        <v>37865</v>
      </c>
      <c r="BK772" s="3478"/>
      <c r="BL772" s="3470" t="s">
        <v>3470</v>
      </c>
      <c r="BM772" s="3441"/>
      <c r="BN772" s="3441"/>
      <c r="BO772" s="3441"/>
      <c r="BP772" s="3441"/>
      <c r="BQ772" s="3441"/>
      <c r="BR772" s="3441"/>
    </row>
    <row r="773" spans="1:73" s="3441" customFormat="1" ht="12" hidden="1">
      <c r="A773" s="3485" t="s">
        <v>8758</v>
      </c>
      <c r="B773" s="3470" t="s">
        <v>8759</v>
      </c>
      <c r="C773" s="3481" t="s">
        <v>8760</v>
      </c>
      <c r="D773" s="3481" t="s">
        <v>8761</v>
      </c>
      <c r="E773" s="3470" t="s">
        <v>3558</v>
      </c>
      <c r="F773" s="3521" t="s">
        <v>5335</v>
      </c>
      <c r="G773" s="3470"/>
      <c r="H773" s="3470" t="s">
        <v>8762</v>
      </c>
      <c r="I773" s="3470"/>
      <c r="J773" s="3481" t="s">
        <v>8763</v>
      </c>
      <c r="K773" s="3470" t="s">
        <v>5338</v>
      </c>
      <c r="L773" s="3470">
        <v>64.98</v>
      </c>
      <c r="M773" s="3470">
        <v>10</v>
      </c>
      <c r="N773" s="3470" t="s">
        <v>3564</v>
      </c>
      <c r="O773" s="3470">
        <v>52.68</v>
      </c>
      <c r="P773" s="3470" t="s">
        <v>3452</v>
      </c>
      <c r="Q773" s="3457">
        <v>258620.4</v>
      </c>
      <c r="R773" s="3470">
        <v>3980</v>
      </c>
      <c r="S773" s="3472">
        <v>25.55</v>
      </c>
      <c r="T773" s="3527">
        <v>255500</v>
      </c>
      <c r="U773" s="3470">
        <v>3932</v>
      </c>
      <c r="V773" s="3474">
        <v>0.1</v>
      </c>
      <c r="W773" s="3475">
        <v>22.99</v>
      </c>
      <c r="X773" s="3473">
        <v>229900</v>
      </c>
      <c r="Y773" s="3441">
        <v>2003</v>
      </c>
      <c r="Z773" s="3441">
        <v>9</v>
      </c>
      <c r="AA773" s="3441">
        <v>3</v>
      </c>
      <c r="AB773" s="3485">
        <v>1275</v>
      </c>
      <c r="AC773" s="3470" t="s">
        <v>3693</v>
      </c>
      <c r="AD773" s="3485"/>
      <c r="AE773" s="3441" t="s">
        <v>3663</v>
      </c>
      <c r="AF773" s="3470" t="s">
        <v>4721</v>
      </c>
      <c r="AG773" s="3522" t="s">
        <v>3466</v>
      </c>
      <c r="AH773" s="3485" t="s">
        <v>3568</v>
      </c>
      <c r="AI773" s="3470" t="s">
        <v>5021</v>
      </c>
      <c r="AJ773" s="3523">
        <v>38138</v>
      </c>
      <c r="AK773" s="3479">
        <v>9</v>
      </c>
      <c r="AL773" s="3441">
        <v>67641700</v>
      </c>
      <c r="AN773" s="3441" t="s">
        <v>3570</v>
      </c>
      <c r="AO773" s="3441" t="s">
        <v>3568</v>
      </c>
      <c r="AP773" s="3441" t="s">
        <v>3476</v>
      </c>
      <c r="AQ773" s="3441" t="s">
        <v>3571</v>
      </c>
      <c r="AV773" s="3441" t="s">
        <v>3568</v>
      </c>
      <c r="AW773" s="3441" t="s">
        <v>3572</v>
      </c>
      <c r="AY773" s="3524">
        <v>262867</v>
      </c>
      <c r="AZ773" s="3441" t="s">
        <v>5338</v>
      </c>
      <c r="BA773" s="3441" t="s">
        <v>5342</v>
      </c>
      <c r="BB773" s="3524" t="s">
        <v>5343</v>
      </c>
      <c r="BC773" s="3441" t="s">
        <v>5344</v>
      </c>
      <c r="BD773" s="3525">
        <v>102488</v>
      </c>
      <c r="BE773" s="3441">
        <v>63023627</v>
      </c>
      <c r="BF773" s="3526">
        <v>2.8</v>
      </c>
      <c r="BG773" s="3518">
        <v>37720</v>
      </c>
      <c r="BI773" s="3441" t="s">
        <v>3476</v>
      </c>
      <c r="BJ773" s="3484">
        <v>37866</v>
      </c>
      <c r="BK773" s="3518"/>
      <c r="BL773" s="3470" t="s">
        <v>3670</v>
      </c>
      <c r="BS773" s="3470"/>
      <c r="BT773" s="3470"/>
      <c r="BU773" s="3470"/>
    </row>
    <row r="774" spans="1:73" s="3441" customFormat="1" ht="12" hidden="1" customHeight="1">
      <c r="A774" s="3485" t="s">
        <v>8764</v>
      </c>
      <c r="B774" s="3470" t="s">
        <v>8765</v>
      </c>
      <c r="C774" s="3481" t="s">
        <v>8766</v>
      </c>
      <c r="D774" s="3481" t="s">
        <v>8767</v>
      </c>
      <c r="E774" s="3470" t="s">
        <v>3558</v>
      </c>
      <c r="F774" s="3528" t="s">
        <v>3733</v>
      </c>
      <c r="G774" s="3470"/>
      <c r="H774" s="3470" t="s">
        <v>4706</v>
      </c>
      <c r="I774" s="3470" t="s">
        <v>8768</v>
      </c>
      <c r="J774" s="3481" t="s">
        <v>8769</v>
      </c>
      <c r="K774" s="3470" t="s">
        <v>3737</v>
      </c>
      <c r="L774" s="3470">
        <v>75.599999999999994</v>
      </c>
      <c r="M774" s="3470">
        <v>16</v>
      </c>
      <c r="N774" s="3470" t="s">
        <v>4030</v>
      </c>
      <c r="O774" s="3470">
        <v>60.4</v>
      </c>
      <c r="P774" s="3470" t="s">
        <v>3452</v>
      </c>
      <c r="Q774" s="3492">
        <v>441503.99999999994</v>
      </c>
      <c r="R774" s="3470">
        <v>5840</v>
      </c>
      <c r="S774" s="3472">
        <v>42.73</v>
      </c>
      <c r="T774" s="3527">
        <v>427299.99999999994</v>
      </c>
      <c r="U774" s="3470">
        <v>5653</v>
      </c>
      <c r="V774" s="3474">
        <v>0.1</v>
      </c>
      <c r="W774" s="3475">
        <v>38.450000000000003</v>
      </c>
      <c r="X774" s="3494">
        <v>384500</v>
      </c>
      <c r="Y774" s="3441">
        <v>2003</v>
      </c>
      <c r="Z774" s="3441">
        <v>9</v>
      </c>
      <c r="AA774" s="3470">
        <v>17</v>
      </c>
      <c r="AB774" s="3477">
        <v>2135</v>
      </c>
      <c r="AC774" s="3470" t="s">
        <v>8770</v>
      </c>
      <c r="AD774" s="3485"/>
      <c r="AE774" s="3441" t="s">
        <v>3663</v>
      </c>
      <c r="AF774" s="3470" t="s">
        <v>3604</v>
      </c>
      <c r="AG774" s="3522" t="s">
        <v>3466</v>
      </c>
      <c r="AH774" s="3485"/>
      <c r="AI774" s="3470" t="s">
        <v>5021</v>
      </c>
      <c r="AJ774" s="3523">
        <v>38045</v>
      </c>
      <c r="AK774" s="3500">
        <v>9</v>
      </c>
      <c r="AL774" s="3441">
        <v>67641700</v>
      </c>
      <c r="AN774" s="3456" t="s">
        <v>3739</v>
      </c>
      <c r="AO774" s="3441" t="s">
        <v>8771</v>
      </c>
      <c r="AP774" s="3441" t="s">
        <v>3476</v>
      </c>
      <c r="AQ774" s="3441" t="s">
        <v>3571</v>
      </c>
      <c r="AW774" s="3441" t="s">
        <v>3572</v>
      </c>
      <c r="AY774" s="3524" t="s">
        <v>8772</v>
      </c>
      <c r="AZ774" s="3441" t="s">
        <v>3737</v>
      </c>
      <c r="BA774" s="3441" t="s">
        <v>3742</v>
      </c>
      <c r="BB774" s="3524" t="s">
        <v>3743</v>
      </c>
      <c r="BC774" s="3441" t="s">
        <v>3744</v>
      </c>
      <c r="BD774" s="3525">
        <v>100088</v>
      </c>
      <c r="BE774" s="3441">
        <v>82058259</v>
      </c>
      <c r="BF774" s="3526" t="s">
        <v>8595</v>
      </c>
      <c r="BG774" s="3518">
        <v>37863</v>
      </c>
      <c r="BH774" s="3441" t="s">
        <v>4753</v>
      </c>
      <c r="BI774" s="3441" t="s">
        <v>3476</v>
      </c>
      <c r="BJ774" s="3508">
        <v>37879</v>
      </c>
      <c r="BK774" s="3518" t="s">
        <v>2420</v>
      </c>
      <c r="BL774" s="3470" t="s">
        <v>3670</v>
      </c>
      <c r="BS774" s="3470"/>
      <c r="BT774" s="3470"/>
      <c r="BU774" s="3470"/>
    </row>
    <row r="775" spans="1:73" s="3441" customFormat="1" ht="12" hidden="1">
      <c r="A775" s="3485" t="s">
        <v>8773</v>
      </c>
      <c r="B775" s="3470" t="s">
        <v>8774</v>
      </c>
      <c r="C775" s="3481" t="s">
        <v>8775</v>
      </c>
      <c r="D775" s="3481" t="s">
        <v>8776</v>
      </c>
      <c r="E775" s="3470" t="s">
        <v>3558</v>
      </c>
      <c r="F775" s="3528" t="s">
        <v>3733</v>
      </c>
      <c r="G775" s="3470"/>
      <c r="H775" s="3470" t="s">
        <v>8777</v>
      </c>
      <c r="I775" s="3470" t="s">
        <v>8778</v>
      </c>
      <c r="J775" s="3481" t="s">
        <v>4708</v>
      </c>
      <c r="K775" s="3470" t="s">
        <v>3737</v>
      </c>
      <c r="L775" s="3470">
        <v>75.599999999999994</v>
      </c>
      <c r="M775" s="3470">
        <v>10</v>
      </c>
      <c r="N775" s="3470" t="s">
        <v>7017</v>
      </c>
      <c r="O775" s="3470">
        <v>60.4</v>
      </c>
      <c r="P775" s="3470" t="s">
        <v>3452</v>
      </c>
      <c r="Q775" s="3492">
        <v>441503.99999999994</v>
      </c>
      <c r="R775" s="3470">
        <v>5840</v>
      </c>
      <c r="S775" s="3472">
        <v>43.74</v>
      </c>
      <c r="T775" s="3527">
        <v>437400</v>
      </c>
      <c r="U775" s="3470">
        <v>5787</v>
      </c>
      <c r="V775" s="3474">
        <v>0.1</v>
      </c>
      <c r="W775" s="3475">
        <v>39.36</v>
      </c>
      <c r="X775" s="3494">
        <v>393600</v>
      </c>
      <c r="Y775" s="3441">
        <v>2003</v>
      </c>
      <c r="Z775" s="3441">
        <v>9</v>
      </c>
      <c r="AA775" s="3470">
        <v>8</v>
      </c>
      <c r="AB775" s="3477">
        <v>2185</v>
      </c>
      <c r="AC775" s="3470" t="s">
        <v>4800</v>
      </c>
      <c r="AD775" s="3485"/>
      <c r="AE775" s="3441" t="s">
        <v>3663</v>
      </c>
      <c r="AF775" s="3470" t="s">
        <v>3728</v>
      </c>
      <c r="AG775" s="3522" t="s">
        <v>3466</v>
      </c>
      <c r="AH775" s="3485"/>
      <c r="AI775" s="3470" t="s">
        <v>5021</v>
      </c>
      <c r="AJ775" s="3523">
        <v>38045</v>
      </c>
      <c r="AK775" s="3500">
        <v>9</v>
      </c>
      <c r="AL775" s="3441">
        <v>67641700</v>
      </c>
      <c r="AN775" s="3441" t="s">
        <v>3695</v>
      </c>
      <c r="AO775" s="3441" t="s">
        <v>3568</v>
      </c>
      <c r="AP775" s="3441" t="s">
        <v>3476</v>
      </c>
      <c r="AQ775" s="3441" t="s">
        <v>3571</v>
      </c>
      <c r="AW775" s="3441" t="s">
        <v>3572</v>
      </c>
      <c r="AY775" s="3524" t="s">
        <v>8779</v>
      </c>
      <c r="AZ775" s="3441" t="s">
        <v>3737</v>
      </c>
      <c r="BA775" s="3441" t="s">
        <v>3742</v>
      </c>
      <c r="BB775" s="3524" t="s">
        <v>3743</v>
      </c>
      <c r="BC775" s="3441" t="s">
        <v>3744</v>
      </c>
      <c r="BD775" s="3525">
        <v>100088</v>
      </c>
      <c r="BE775" s="3441">
        <v>82058259</v>
      </c>
      <c r="BF775" s="3526" t="s">
        <v>8595</v>
      </c>
      <c r="BG775" s="3518">
        <v>37856</v>
      </c>
      <c r="BH775" s="3441" t="s">
        <v>4753</v>
      </c>
      <c r="BI775" s="3441" t="s">
        <v>3476</v>
      </c>
      <c r="BJ775" s="3484">
        <v>37860</v>
      </c>
      <c r="BK775" s="3518" t="s">
        <v>2420</v>
      </c>
      <c r="BL775" s="3470" t="s">
        <v>3670</v>
      </c>
      <c r="BS775" s="3470"/>
      <c r="BT775" s="3470"/>
      <c r="BU775" s="3470"/>
    </row>
    <row r="776" spans="1:73" s="3441" customFormat="1" ht="12" hidden="1">
      <c r="A776" s="3485" t="s">
        <v>8780</v>
      </c>
      <c r="B776" s="3470" t="s">
        <v>8781</v>
      </c>
      <c r="C776" s="3481" t="s">
        <v>8782</v>
      </c>
      <c r="D776" s="3481" t="s">
        <v>8783</v>
      </c>
      <c r="E776" s="3470" t="s">
        <v>3558</v>
      </c>
      <c r="F776" s="3470" t="s">
        <v>8784</v>
      </c>
      <c r="G776" s="3470"/>
      <c r="H776" s="3470" t="s">
        <v>8705</v>
      </c>
      <c r="I776" s="3470" t="s">
        <v>4563</v>
      </c>
      <c r="J776" s="3481" t="s">
        <v>8785</v>
      </c>
      <c r="K776" s="3470" t="s">
        <v>5786</v>
      </c>
      <c r="L776" s="3470">
        <v>98.65</v>
      </c>
      <c r="M776" s="3470">
        <v>4</v>
      </c>
      <c r="N776" s="3470" t="s">
        <v>7017</v>
      </c>
      <c r="O776" s="3470">
        <v>78.709999999999994</v>
      </c>
      <c r="P776" s="3470" t="s">
        <v>3452</v>
      </c>
      <c r="Q776" s="3457">
        <v>490732.45199999999</v>
      </c>
      <c r="R776" s="3470">
        <v>4974.4799999999996</v>
      </c>
      <c r="S776" s="3472">
        <v>48.58</v>
      </c>
      <c r="T776" s="3527">
        <v>485800</v>
      </c>
      <c r="U776" s="3495">
        <v>4925</v>
      </c>
      <c r="V776" s="3474">
        <v>0.1</v>
      </c>
      <c r="W776" s="3475">
        <v>43.72</v>
      </c>
      <c r="X776" s="3473">
        <v>437200</v>
      </c>
      <c r="Y776" s="3495">
        <v>2003</v>
      </c>
      <c r="Z776" s="3441">
        <v>10</v>
      </c>
      <c r="AA776" s="3441">
        <v>24</v>
      </c>
      <c r="AB776" s="3477">
        <v>2425</v>
      </c>
      <c r="AC776" s="3470" t="s">
        <v>4922</v>
      </c>
      <c r="AD776" s="3485"/>
      <c r="AE776" s="3441" t="s">
        <v>3663</v>
      </c>
      <c r="AF776" s="3470" t="s">
        <v>6065</v>
      </c>
      <c r="AG776" s="3522" t="s">
        <v>3466</v>
      </c>
      <c r="AH776" s="3485" t="s">
        <v>3568</v>
      </c>
      <c r="AI776" s="3470" t="s">
        <v>5021</v>
      </c>
      <c r="AJ776" s="3523">
        <v>37864</v>
      </c>
      <c r="AK776" s="3500" t="s">
        <v>8786</v>
      </c>
      <c r="AL776" s="3441">
        <v>67641700</v>
      </c>
      <c r="AN776" s="3456" t="s">
        <v>3739</v>
      </c>
      <c r="AO776" s="3441" t="s">
        <v>8787</v>
      </c>
      <c r="AP776" s="3441" t="s">
        <v>3476</v>
      </c>
      <c r="AQ776" s="3441" t="s">
        <v>3571</v>
      </c>
      <c r="AR776" s="3441" t="s">
        <v>3568</v>
      </c>
      <c r="AS776" s="3441" t="s">
        <v>3568</v>
      </c>
      <c r="AT776" s="3441" t="s">
        <v>3568</v>
      </c>
      <c r="AW776" s="3441" t="s">
        <v>3572</v>
      </c>
      <c r="AX776" s="3441" t="s">
        <v>3715</v>
      </c>
      <c r="AY776" s="3524" t="s">
        <v>8788</v>
      </c>
      <c r="AZ776" s="3441" t="s">
        <v>5786</v>
      </c>
      <c r="BA776" s="3441" t="s">
        <v>7527</v>
      </c>
      <c r="BB776" s="3524">
        <v>1101082131202</v>
      </c>
      <c r="BC776" s="3441" t="s">
        <v>5436</v>
      </c>
      <c r="BD776" s="3525">
        <v>102400</v>
      </c>
      <c r="BE776" s="3441">
        <v>62842753</v>
      </c>
      <c r="BF776" s="3526">
        <v>2.8</v>
      </c>
      <c r="BG776" s="3518">
        <v>37838</v>
      </c>
      <c r="BH776" s="3441" t="s">
        <v>3568</v>
      </c>
      <c r="BI776" s="3441" t="s">
        <v>3476</v>
      </c>
      <c r="BJ776" s="3484">
        <v>37872</v>
      </c>
      <c r="BK776" s="3478">
        <v>37916</v>
      </c>
      <c r="BL776" s="3470" t="s">
        <v>3670</v>
      </c>
    </row>
    <row r="777" spans="1:73" s="3441" customFormat="1" ht="12">
      <c r="A777" s="3485" t="s">
        <v>8789</v>
      </c>
      <c r="B777" s="3470" t="s">
        <v>8790</v>
      </c>
      <c r="C777" s="3481" t="s">
        <v>8791</v>
      </c>
      <c r="D777" s="3481" t="s">
        <v>8792</v>
      </c>
      <c r="E777" s="3470" t="s">
        <v>6987</v>
      </c>
      <c r="F777" s="3687" t="s">
        <v>8793</v>
      </c>
      <c r="G777" s="3470"/>
      <c r="H777" s="3470" t="s">
        <v>2420</v>
      </c>
      <c r="I777" s="3470" t="s">
        <v>4447</v>
      </c>
      <c r="J777" s="3481" t="s">
        <v>8794</v>
      </c>
      <c r="K777" s="3470" t="s">
        <v>8795</v>
      </c>
      <c r="L777" s="3470">
        <v>61.66</v>
      </c>
      <c r="M777" s="3470">
        <v>12</v>
      </c>
      <c r="N777" s="3485" t="s">
        <v>6871</v>
      </c>
      <c r="O777" s="3470">
        <v>47.87</v>
      </c>
      <c r="P777" s="3470" t="s">
        <v>3452</v>
      </c>
      <c r="Q777" s="3457">
        <v>465533</v>
      </c>
      <c r="R777" s="3470">
        <v>7550</v>
      </c>
      <c r="S777" s="3472">
        <v>45.52</v>
      </c>
      <c r="T777" s="3527">
        <v>455200.00000000006</v>
      </c>
      <c r="U777" s="3495">
        <v>7384</v>
      </c>
      <c r="V777" s="3474">
        <v>0.1</v>
      </c>
      <c r="W777" s="3475">
        <v>40.96</v>
      </c>
      <c r="X777" s="3473">
        <v>409600</v>
      </c>
      <c r="Y777" s="3495">
        <v>2003</v>
      </c>
      <c r="Z777" s="3441">
        <v>9</v>
      </c>
      <c r="AA777" s="3470">
        <v>16</v>
      </c>
      <c r="AB777" s="3477">
        <v>2275</v>
      </c>
      <c r="AC777" s="3470" t="s">
        <v>4800</v>
      </c>
      <c r="AD777" s="3485"/>
      <c r="AE777" s="3441" t="s">
        <v>3663</v>
      </c>
      <c r="AF777" s="3470" t="s">
        <v>3618</v>
      </c>
      <c r="AG777" s="3522" t="s">
        <v>3466</v>
      </c>
      <c r="AH777" s="3485"/>
      <c r="AI777" s="3470" t="s">
        <v>5021</v>
      </c>
      <c r="AJ777" s="3523">
        <v>38107</v>
      </c>
      <c r="AK777" s="3500">
        <v>9</v>
      </c>
      <c r="AL777" s="3441">
        <v>67641700</v>
      </c>
      <c r="AN777" s="3456" t="s">
        <v>3739</v>
      </c>
      <c r="AO777" s="3441" t="s">
        <v>8796</v>
      </c>
      <c r="AP777" s="3441" t="s">
        <v>3476</v>
      </c>
      <c r="AQ777" s="3441" t="s">
        <v>3571</v>
      </c>
      <c r="AW777" s="3441" t="s">
        <v>3572</v>
      </c>
      <c r="AY777" s="3524" t="s">
        <v>8797</v>
      </c>
      <c r="AZ777" s="3470" t="s">
        <v>8795</v>
      </c>
      <c r="BA777" s="3441" t="s">
        <v>8798</v>
      </c>
      <c r="BB777" s="3524" t="s">
        <v>8799</v>
      </c>
      <c r="BC777" s="3441" t="s">
        <v>8800</v>
      </c>
      <c r="BD777" s="3525" t="s">
        <v>6879</v>
      </c>
      <c r="BE777" s="3441" t="s">
        <v>2420</v>
      </c>
      <c r="BF777" s="3526">
        <v>2.8</v>
      </c>
      <c r="BG777" s="3518">
        <v>37833</v>
      </c>
      <c r="BH777" s="3441" t="s">
        <v>8801</v>
      </c>
      <c r="BI777" s="3441" t="s">
        <v>3476</v>
      </c>
      <c r="BJ777" s="3484">
        <v>37866</v>
      </c>
      <c r="BK777" s="3518">
        <v>37874</v>
      </c>
      <c r="BL777" s="3470" t="s">
        <v>3670</v>
      </c>
      <c r="BS777" s="3470"/>
      <c r="BT777" s="3470"/>
      <c r="BU777" s="3470"/>
    </row>
    <row r="778" spans="1:73" s="3441" customFormat="1" ht="12" hidden="1">
      <c r="A778" s="3485" t="s">
        <v>8802</v>
      </c>
      <c r="B778" s="3470" t="s">
        <v>8803</v>
      </c>
      <c r="C778" s="3481" t="s">
        <v>8804</v>
      </c>
      <c r="D778" s="3481">
        <v>13651121229</v>
      </c>
      <c r="E778" s="3470" t="s">
        <v>3558</v>
      </c>
      <c r="F778" s="3521" t="s">
        <v>7153</v>
      </c>
      <c r="G778" s="3470" t="s">
        <v>3568</v>
      </c>
      <c r="H778" s="3470" t="s">
        <v>7162</v>
      </c>
      <c r="I778" s="3470" t="s">
        <v>4309</v>
      </c>
      <c r="J778" s="3481" t="s">
        <v>7678</v>
      </c>
      <c r="K778" s="3470" t="s">
        <v>6117</v>
      </c>
      <c r="L778" s="3470">
        <v>98.22</v>
      </c>
      <c r="M778" s="3470">
        <v>5</v>
      </c>
      <c r="N778" s="3470" t="s">
        <v>4030</v>
      </c>
      <c r="O778" s="3470">
        <v>83.29</v>
      </c>
      <c r="P778" s="3470" t="s">
        <v>3452</v>
      </c>
      <c r="Q778" s="3457">
        <v>390915.6</v>
      </c>
      <c r="R778" s="3470">
        <v>3980</v>
      </c>
      <c r="S778" s="3472">
        <v>38.64</v>
      </c>
      <c r="T778" s="3527">
        <v>386400</v>
      </c>
      <c r="U778" s="3470">
        <v>3935</v>
      </c>
      <c r="V778" s="3474">
        <v>0.1</v>
      </c>
      <c r="W778" s="3475">
        <v>34.770000000000003</v>
      </c>
      <c r="X778" s="3473">
        <v>347700</v>
      </c>
      <c r="Y778" s="3441">
        <v>2003</v>
      </c>
      <c r="Z778" s="3441">
        <v>9</v>
      </c>
      <c r="AA778" s="3441">
        <v>5</v>
      </c>
      <c r="AB778" s="3485">
        <v>1930</v>
      </c>
      <c r="AC778" s="3470" t="s">
        <v>4698</v>
      </c>
      <c r="AD778" s="3485"/>
      <c r="AE778" s="3441" t="s">
        <v>3663</v>
      </c>
      <c r="AF778" s="3470" t="s">
        <v>4721</v>
      </c>
      <c r="AG778" s="3522" t="s">
        <v>3466</v>
      </c>
      <c r="AH778" s="3485"/>
      <c r="AI778" s="3470" t="s">
        <v>5021</v>
      </c>
      <c r="AJ778" s="3523">
        <v>38108</v>
      </c>
      <c r="AK778" s="3479">
        <v>9</v>
      </c>
      <c r="AL778" s="3441">
        <v>67641700</v>
      </c>
      <c r="AN778" s="3441" t="s">
        <v>3570</v>
      </c>
      <c r="AO778" s="3441" t="s">
        <v>3568</v>
      </c>
      <c r="AP778" s="3441" t="s">
        <v>3476</v>
      </c>
      <c r="AQ778" s="3441" t="s">
        <v>3571</v>
      </c>
      <c r="AW778" s="3441" t="s">
        <v>3572</v>
      </c>
      <c r="AX778" s="3441" t="s">
        <v>3568</v>
      </c>
      <c r="AY778" s="3524">
        <v>299292</v>
      </c>
      <c r="AZ778" s="3441" t="s">
        <v>6117</v>
      </c>
      <c r="BA778" s="3441" t="s">
        <v>7157</v>
      </c>
      <c r="BB778" s="3524">
        <v>1102281326100</v>
      </c>
      <c r="BC778" s="3441" t="s">
        <v>7158</v>
      </c>
      <c r="BD778" s="3525">
        <v>100055</v>
      </c>
      <c r="BE778" s="3441">
        <v>82951881</v>
      </c>
      <c r="BF778" s="3526">
        <v>2.8</v>
      </c>
      <c r="BG778" s="3518">
        <v>37863</v>
      </c>
      <c r="BI778" s="3441" t="s">
        <v>3476</v>
      </c>
      <c r="BJ778" s="3484">
        <v>37867</v>
      </c>
      <c r="BK778" s="3518"/>
      <c r="BL778" s="3470" t="s">
        <v>3670</v>
      </c>
      <c r="BS778" s="3470"/>
      <c r="BT778" s="3470"/>
      <c r="BU778" s="3470"/>
    </row>
    <row r="779" spans="1:73" s="3470" customFormat="1" ht="12" hidden="1">
      <c r="A779" s="3485" t="s">
        <v>8805</v>
      </c>
      <c r="B779" s="3470" t="s">
        <v>8806</v>
      </c>
      <c r="C779" s="3481" t="s">
        <v>8807</v>
      </c>
      <c r="D779" s="3470">
        <v>13910406689</v>
      </c>
      <c r="E779" s="3470" t="s">
        <v>2736</v>
      </c>
      <c r="F779" s="3470" t="s">
        <v>8808</v>
      </c>
      <c r="H779" s="3470" t="s">
        <v>4783</v>
      </c>
      <c r="I779" s="3453" t="s">
        <v>4041</v>
      </c>
      <c r="J779" s="3470" t="s">
        <v>3465</v>
      </c>
      <c r="K779" s="3470" t="s">
        <v>8751</v>
      </c>
      <c r="L779" s="3470">
        <v>157.66</v>
      </c>
      <c r="M779" s="3470">
        <v>6</v>
      </c>
      <c r="N779" s="3470" t="s">
        <v>3632</v>
      </c>
      <c r="O779" s="3470">
        <v>137.06</v>
      </c>
      <c r="P779" s="3470" t="s">
        <v>3452</v>
      </c>
      <c r="Q779" s="3457">
        <v>925148.88</v>
      </c>
      <c r="R779" s="3495">
        <v>5868</v>
      </c>
      <c r="S779" s="3472">
        <v>91.69</v>
      </c>
      <c r="T779" s="3527">
        <v>916900</v>
      </c>
      <c r="U779" s="3495">
        <v>5816</v>
      </c>
      <c r="V779" s="3474">
        <v>0.05</v>
      </c>
      <c r="W779" s="3475">
        <v>87.1</v>
      </c>
      <c r="X779" s="3473">
        <v>871000</v>
      </c>
      <c r="Y779" s="3515">
        <v>2003</v>
      </c>
      <c r="Z779" s="3441">
        <v>9</v>
      </c>
      <c r="AA779" s="3441">
        <v>10</v>
      </c>
      <c r="AB779" s="3485">
        <v>4580</v>
      </c>
      <c r="AC779" s="3470" t="s">
        <v>8752</v>
      </c>
      <c r="AE779" s="3441" t="s">
        <v>2156</v>
      </c>
      <c r="AF779" s="3470" t="s">
        <v>7256</v>
      </c>
      <c r="AG779" s="3522" t="s">
        <v>3546</v>
      </c>
      <c r="AI779" s="3470" t="s">
        <v>6972</v>
      </c>
      <c r="AJ779" s="3478">
        <v>37590</v>
      </c>
      <c r="AK779" s="3500" t="s">
        <v>8753</v>
      </c>
      <c r="AL779" s="3470">
        <v>67641700</v>
      </c>
      <c r="AN779" s="3441" t="s">
        <v>3468</v>
      </c>
      <c r="AO779" s="3441" t="s">
        <v>8809</v>
      </c>
      <c r="AP779" s="3470" t="s">
        <v>3476</v>
      </c>
      <c r="AQ779" s="3441" t="s">
        <v>7265</v>
      </c>
      <c r="AW779" s="3470" t="s">
        <v>3572</v>
      </c>
      <c r="AY779" s="3481" t="s">
        <v>8810</v>
      </c>
      <c r="AZ779" s="3470" t="s">
        <v>3981</v>
      </c>
      <c r="BA779" s="3441" t="s">
        <v>3984</v>
      </c>
      <c r="BB779" s="3524" t="s">
        <v>8756</v>
      </c>
      <c r="BC779" s="3441" t="s">
        <v>3985</v>
      </c>
      <c r="BD779" s="3525">
        <v>100101</v>
      </c>
      <c r="BE779" s="3441">
        <v>64858999</v>
      </c>
      <c r="BF779" s="3526">
        <v>2.8</v>
      </c>
      <c r="BG779" s="3478">
        <v>37860</v>
      </c>
      <c r="BI779" s="3470" t="s">
        <v>8464</v>
      </c>
      <c r="BJ779" s="3508">
        <v>37867</v>
      </c>
      <c r="BK779" s="3478"/>
      <c r="BL779" s="3470" t="s">
        <v>3470</v>
      </c>
      <c r="BM779" s="3441"/>
      <c r="BN779" s="3441"/>
      <c r="BO779" s="3441"/>
      <c r="BP779" s="3441"/>
      <c r="BQ779" s="3441"/>
      <c r="BR779" s="3441"/>
    </row>
    <row r="780" spans="1:73" s="3441" customFormat="1" ht="12" hidden="1">
      <c r="A780" s="3485" t="s">
        <v>8811</v>
      </c>
      <c r="B780" s="3470" t="s">
        <v>8812</v>
      </c>
      <c r="C780" s="3481" t="s">
        <v>8813</v>
      </c>
      <c r="D780" s="3481" t="s">
        <v>8814</v>
      </c>
      <c r="E780" s="3470" t="s">
        <v>3558</v>
      </c>
      <c r="F780" s="3528" t="s">
        <v>4645</v>
      </c>
      <c r="G780" s="3470"/>
      <c r="H780" s="3470" t="s">
        <v>4684</v>
      </c>
      <c r="I780" s="3470" t="s">
        <v>8815</v>
      </c>
      <c r="J780" s="3481" t="s">
        <v>8816</v>
      </c>
      <c r="K780" s="3470" t="s">
        <v>4649</v>
      </c>
      <c r="L780" s="3470">
        <v>58.03</v>
      </c>
      <c r="M780" s="3470">
        <v>17</v>
      </c>
      <c r="N780" s="3470" t="s">
        <v>3564</v>
      </c>
      <c r="O780" s="3470">
        <v>45.74</v>
      </c>
      <c r="P780" s="3470" t="s">
        <v>3452</v>
      </c>
      <c r="Q780" s="3457">
        <v>464298.03</v>
      </c>
      <c r="R780" s="3470">
        <v>8001</v>
      </c>
      <c r="S780" s="3472">
        <v>46.01</v>
      </c>
      <c r="T780" s="3527">
        <v>460100</v>
      </c>
      <c r="U780" s="3491">
        <v>7930</v>
      </c>
      <c r="V780" s="3529">
        <v>0.1</v>
      </c>
      <c r="W780" s="3475">
        <v>41.4</v>
      </c>
      <c r="X780" s="3473">
        <v>414000</v>
      </c>
      <c r="Y780" s="3501">
        <v>2003</v>
      </c>
      <c r="Z780" s="3441">
        <v>9</v>
      </c>
      <c r="AA780" s="3470">
        <v>5</v>
      </c>
      <c r="AB780" s="3477">
        <v>2300</v>
      </c>
      <c r="AC780" s="3470" t="s">
        <v>4800</v>
      </c>
      <c r="AD780" s="3485"/>
      <c r="AE780" s="3441" t="s">
        <v>3663</v>
      </c>
      <c r="AF780" s="3470" t="s">
        <v>3728</v>
      </c>
      <c r="AG780" s="3522" t="s">
        <v>3466</v>
      </c>
      <c r="AH780" s="3485"/>
      <c r="AI780" s="3470" t="s">
        <v>5021</v>
      </c>
      <c r="AJ780" s="3523">
        <v>38199</v>
      </c>
      <c r="AK780" s="3500">
        <v>9</v>
      </c>
      <c r="AL780" s="3441">
        <v>67641700</v>
      </c>
      <c r="AN780" s="3469" t="s">
        <v>3570</v>
      </c>
      <c r="AP780" s="3441" t="s">
        <v>3476</v>
      </c>
      <c r="AQ780" s="3441" t="s">
        <v>3571</v>
      </c>
      <c r="AW780" s="3441" t="s">
        <v>3572</v>
      </c>
      <c r="AX780" s="3441" t="s">
        <v>3568</v>
      </c>
      <c r="AY780" s="3524" t="s">
        <v>8817</v>
      </c>
      <c r="AZ780" s="3441" t="s">
        <v>4654</v>
      </c>
      <c r="BA780" s="3441" t="s">
        <v>4688</v>
      </c>
      <c r="BB780" s="3524" t="s">
        <v>4689</v>
      </c>
      <c r="BC780" s="3441" t="s">
        <v>4656</v>
      </c>
      <c r="BD780" s="3525">
        <v>100037</v>
      </c>
      <c r="BE780" s="3441">
        <v>68347718</v>
      </c>
      <c r="BF780" s="3526">
        <v>2.8</v>
      </c>
      <c r="BG780" s="3518">
        <v>37843</v>
      </c>
      <c r="BH780" s="3441" t="s">
        <v>4681</v>
      </c>
      <c r="BI780" s="3441" t="s">
        <v>3476</v>
      </c>
      <c r="BJ780" s="3484">
        <v>37862</v>
      </c>
      <c r="BK780" s="3518"/>
      <c r="BL780" s="3470" t="s">
        <v>3670</v>
      </c>
      <c r="BS780" s="3470"/>
      <c r="BT780" s="3470"/>
      <c r="BU780" s="3470"/>
    </row>
    <row r="781" spans="1:73" s="3470" customFormat="1" ht="12" hidden="1">
      <c r="A781" s="3470" t="s">
        <v>8818</v>
      </c>
      <c r="B781" s="3470" t="s">
        <v>8819</v>
      </c>
      <c r="C781" s="3481" t="s">
        <v>8820</v>
      </c>
      <c r="D781" s="3487" t="s">
        <v>8821</v>
      </c>
      <c r="E781" s="3470" t="s">
        <v>3558</v>
      </c>
      <c r="F781" s="3470" t="s">
        <v>3733</v>
      </c>
      <c r="H781" s="3453" t="s">
        <v>8822</v>
      </c>
      <c r="I781" s="3453" t="s">
        <v>5066</v>
      </c>
      <c r="J781" s="3453" t="s">
        <v>8823</v>
      </c>
      <c r="K781" s="3470" t="s">
        <v>3737</v>
      </c>
      <c r="L781" s="3495">
        <v>75.599999999999994</v>
      </c>
      <c r="M781" s="3495">
        <v>7</v>
      </c>
      <c r="N781" s="3470" t="s">
        <v>4030</v>
      </c>
      <c r="O781" s="3495">
        <v>60.4</v>
      </c>
      <c r="P781" s="3470" t="s">
        <v>3452</v>
      </c>
      <c r="Q781" s="3457">
        <v>433944</v>
      </c>
      <c r="R781" s="3470">
        <v>5740</v>
      </c>
      <c r="S781" s="3472">
        <v>41.81</v>
      </c>
      <c r="T781" s="3602">
        <v>418100</v>
      </c>
      <c r="U781" s="3470">
        <v>5531</v>
      </c>
      <c r="V781" s="3474">
        <v>0.1</v>
      </c>
      <c r="W781" s="3475">
        <v>37.619999999999997</v>
      </c>
      <c r="X781" s="3602">
        <v>376200</v>
      </c>
      <c r="Y781" s="3470">
        <v>2003</v>
      </c>
      <c r="Z781" s="3470">
        <v>9</v>
      </c>
      <c r="AA781" s="3441">
        <v>24</v>
      </c>
      <c r="AB781" s="3477">
        <v>2090</v>
      </c>
      <c r="AC781" s="3490" t="s">
        <v>8824</v>
      </c>
      <c r="AE781" s="3456" t="s">
        <v>3663</v>
      </c>
      <c r="AF781" s="3470" t="s">
        <v>4032</v>
      </c>
      <c r="AG781" s="3470" t="s">
        <v>3466</v>
      </c>
      <c r="AI781" s="3470" t="s">
        <v>5021</v>
      </c>
      <c r="AJ781" s="3478">
        <v>38045</v>
      </c>
      <c r="AK781" s="3603">
        <v>9</v>
      </c>
      <c r="AL781" s="3495">
        <v>67641700</v>
      </c>
      <c r="AN781" s="3480" t="s">
        <v>3680</v>
      </c>
      <c r="AO781" s="3441" t="s">
        <v>8825</v>
      </c>
      <c r="AP781" s="3456" t="s">
        <v>3476</v>
      </c>
      <c r="AQ781" s="3456" t="s">
        <v>3571</v>
      </c>
      <c r="AV781" s="3519"/>
      <c r="AW781" s="3470" t="s">
        <v>3572</v>
      </c>
      <c r="AY781" s="3453" t="s">
        <v>8826</v>
      </c>
      <c r="AZ781" s="3470" t="s">
        <v>3737</v>
      </c>
      <c r="BA781" s="3470" t="s">
        <v>3742</v>
      </c>
      <c r="BB781" s="3470" t="s">
        <v>3743</v>
      </c>
      <c r="BC781" s="3470" t="s">
        <v>3744</v>
      </c>
      <c r="BD781" s="3470">
        <v>100088</v>
      </c>
      <c r="BE781" s="3470">
        <v>82058259</v>
      </c>
      <c r="BF781" s="3520" t="s">
        <v>8595</v>
      </c>
      <c r="BG781" s="3478">
        <v>37866</v>
      </c>
      <c r="BH781" s="3470" t="s">
        <v>4753</v>
      </c>
      <c r="BI781" s="3441" t="s">
        <v>3476</v>
      </c>
      <c r="BJ781" s="3478">
        <v>37887</v>
      </c>
      <c r="BK781" s="3478" t="s">
        <v>3568</v>
      </c>
      <c r="BL781" s="3441" t="s">
        <v>3670</v>
      </c>
      <c r="BM781" s="3441"/>
      <c r="BN781" s="3441"/>
      <c r="BO781" s="3441"/>
      <c r="BP781" s="3441"/>
      <c r="BQ781" s="3441"/>
      <c r="BR781" s="3441"/>
    </row>
    <row r="782" spans="1:73" s="3441" customFormat="1" ht="12" hidden="1">
      <c r="A782" s="3485" t="s">
        <v>8827</v>
      </c>
      <c r="B782" s="3470" t="s">
        <v>8828</v>
      </c>
      <c r="C782" s="3481" t="s">
        <v>8829</v>
      </c>
      <c r="D782" s="3481">
        <v>13601317162</v>
      </c>
      <c r="E782" s="3470" t="s">
        <v>3558</v>
      </c>
      <c r="F782" s="3521" t="s">
        <v>4716</v>
      </c>
      <c r="G782" s="3470"/>
      <c r="H782" s="3470" t="s">
        <v>4717</v>
      </c>
      <c r="I782" s="3470" t="s">
        <v>7851</v>
      </c>
      <c r="J782" s="3481" t="s">
        <v>8520</v>
      </c>
      <c r="K782" s="3470" t="s">
        <v>4720</v>
      </c>
      <c r="L782" s="3470">
        <v>142.54</v>
      </c>
      <c r="M782" s="3470">
        <v>8</v>
      </c>
      <c r="N782" s="3470" t="s">
        <v>4003</v>
      </c>
      <c r="O782" s="3470">
        <v>112.11</v>
      </c>
      <c r="P782" s="3470" t="s">
        <v>3633</v>
      </c>
      <c r="Q782" s="3457">
        <v>578569.86</v>
      </c>
      <c r="R782" s="3470">
        <v>4059</v>
      </c>
      <c r="S782" s="3472">
        <v>57.22</v>
      </c>
      <c r="T782" s="3527">
        <v>572200</v>
      </c>
      <c r="U782" s="3470">
        <v>4015</v>
      </c>
      <c r="V782" s="3474">
        <v>0.1</v>
      </c>
      <c r="W782" s="3475">
        <v>51.49</v>
      </c>
      <c r="X782" s="3473">
        <v>514900</v>
      </c>
      <c r="Y782" s="3441">
        <v>2003</v>
      </c>
      <c r="Z782" s="3441">
        <v>9</v>
      </c>
      <c r="AA782" s="3441">
        <v>5</v>
      </c>
      <c r="AB782" s="3485">
        <v>2860</v>
      </c>
      <c r="AC782" s="3470" t="s">
        <v>3693</v>
      </c>
      <c r="AD782" s="3485"/>
      <c r="AE782" s="3441" t="s">
        <v>3663</v>
      </c>
      <c r="AF782" s="3470" t="s">
        <v>4721</v>
      </c>
      <c r="AG782" s="3522" t="s">
        <v>3466</v>
      </c>
      <c r="AH782" s="3485"/>
      <c r="AI782" s="3470" t="s">
        <v>5021</v>
      </c>
      <c r="AJ782" s="3523">
        <v>38230</v>
      </c>
      <c r="AK782" s="3479" t="s">
        <v>4722</v>
      </c>
      <c r="AL782" s="3441">
        <v>67641700</v>
      </c>
      <c r="AN782" s="3441" t="s">
        <v>3570</v>
      </c>
      <c r="AO782" s="3441" t="s">
        <v>3568</v>
      </c>
      <c r="AP782" s="3441" t="s">
        <v>3476</v>
      </c>
      <c r="AQ782" s="3441" t="s">
        <v>3571</v>
      </c>
      <c r="AW782" s="3441" t="s">
        <v>3572</v>
      </c>
      <c r="AY782" s="3524">
        <v>537023</v>
      </c>
      <c r="AZ782" s="3441" t="s">
        <v>4720</v>
      </c>
      <c r="BA782" s="3441" t="s">
        <v>4725</v>
      </c>
      <c r="BB782" s="3524" t="s">
        <v>4726</v>
      </c>
      <c r="BC782" s="3441" t="s">
        <v>4727</v>
      </c>
      <c r="BD782" s="3525">
        <v>100005</v>
      </c>
      <c r="BE782" s="3441">
        <v>65128628</v>
      </c>
      <c r="BF782" s="3526">
        <v>2.8</v>
      </c>
      <c r="BG782" s="3518">
        <v>37827</v>
      </c>
      <c r="BI782" s="3441" t="s">
        <v>8007</v>
      </c>
      <c r="BJ782" s="3484">
        <v>37868</v>
      </c>
      <c r="BK782" s="3518" t="s">
        <v>3568</v>
      </c>
      <c r="BL782" s="3470" t="s">
        <v>3670</v>
      </c>
      <c r="BS782" s="3470"/>
      <c r="BT782" s="3470"/>
      <c r="BU782" s="3470"/>
    </row>
    <row r="783" spans="1:73" s="3441" customFormat="1" ht="12" hidden="1">
      <c r="A783" s="3485" t="s">
        <v>8830</v>
      </c>
      <c r="B783" s="3470" t="s">
        <v>8831</v>
      </c>
      <c r="C783" s="3481" t="s">
        <v>8832</v>
      </c>
      <c r="D783" s="3481" t="s">
        <v>8833</v>
      </c>
      <c r="E783" s="3470" t="s">
        <v>3558</v>
      </c>
      <c r="F783" s="3470" t="s">
        <v>7153</v>
      </c>
      <c r="G783" s="3470" t="s">
        <v>3568</v>
      </c>
      <c r="H783" s="3470" t="s">
        <v>7162</v>
      </c>
      <c r="I783" s="3470" t="s">
        <v>4309</v>
      </c>
      <c r="J783" s="3481" t="s">
        <v>7169</v>
      </c>
      <c r="K783" s="3470" t="s">
        <v>6117</v>
      </c>
      <c r="L783" s="3470">
        <v>98.22</v>
      </c>
      <c r="M783" s="3470">
        <v>7</v>
      </c>
      <c r="N783" s="3470" t="s">
        <v>4030</v>
      </c>
      <c r="O783" s="3470">
        <v>83.29</v>
      </c>
      <c r="P783" s="3470" t="s">
        <v>3452</v>
      </c>
      <c r="Q783" s="3457">
        <v>394844.4</v>
      </c>
      <c r="R783" s="3470">
        <v>4020</v>
      </c>
      <c r="S783" s="3472">
        <v>38.99</v>
      </c>
      <c r="T783" s="3527">
        <v>389900</v>
      </c>
      <c r="U783" s="3470">
        <v>3970</v>
      </c>
      <c r="V783" s="3474">
        <v>0.1</v>
      </c>
      <c r="W783" s="3475">
        <v>35.090000000000003</v>
      </c>
      <c r="X783" s="3476">
        <v>350900.00000000006</v>
      </c>
      <c r="Y783" s="3441">
        <v>2003</v>
      </c>
      <c r="Z783" s="3441">
        <v>9</v>
      </c>
      <c r="AA783" s="3470">
        <v>8</v>
      </c>
      <c r="AB783" s="3477">
        <v>1945</v>
      </c>
      <c r="AC783" s="3470" t="s">
        <v>4800</v>
      </c>
      <c r="AD783" s="3485"/>
      <c r="AE783" s="3441" t="s">
        <v>3663</v>
      </c>
      <c r="AF783" s="3470" t="s">
        <v>4721</v>
      </c>
      <c r="AG783" s="3522" t="s">
        <v>3466</v>
      </c>
      <c r="AH783" s="3485"/>
      <c r="AI783" s="3470" t="s">
        <v>5021</v>
      </c>
      <c r="AJ783" s="3523">
        <v>38108</v>
      </c>
      <c r="AK783" s="3500">
        <v>9</v>
      </c>
      <c r="AL783" s="3441">
        <v>67641700</v>
      </c>
      <c r="AN783" s="3441" t="s">
        <v>3695</v>
      </c>
      <c r="AO783" s="3441" t="s">
        <v>3568</v>
      </c>
      <c r="AP783" s="3441" t="s">
        <v>3476</v>
      </c>
      <c r="AQ783" s="3441" t="s">
        <v>3571</v>
      </c>
      <c r="AW783" s="3441" t="s">
        <v>3572</v>
      </c>
      <c r="AX783" s="3441" t="s">
        <v>3568</v>
      </c>
      <c r="AY783" s="3524" t="s">
        <v>8834</v>
      </c>
      <c r="AZ783" s="3441" t="s">
        <v>6117</v>
      </c>
      <c r="BA783" s="3441" t="s">
        <v>7157</v>
      </c>
      <c r="BB783" s="3524">
        <v>1102281326100</v>
      </c>
      <c r="BC783" s="3441" t="s">
        <v>7158</v>
      </c>
      <c r="BD783" s="3525">
        <v>100055</v>
      </c>
      <c r="BE783" s="3441">
        <v>82951881</v>
      </c>
      <c r="BF783" s="3526">
        <v>2.8</v>
      </c>
      <c r="BG783" s="3518">
        <v>37850</v>
      </c>
      <c r="BI783" s="3441" t="s">
        <v>3476</v>
      </c>
      <c r="BJ783" s="3484">
        <v>37868</v>
      </c>
      <c r="BK783" s="3518"/>
      <c r="BL783" s="3470" t="s">
        <v>3670</v>
      </c>
      <c r="BS783" s="3470"/>
      <c r="BT783" s="3470"/>
      <c r="BU783" s="3470"/>
    </row>
    <row r="784" spans="1:73" s="3441" customFormat="1" ht="12" hidden="1">
      <c r="A784" s="3485" t="s">
        <v>8835</v>
      </c>
      <c r="B784" s="3470" t="s">
        <v>8836</v>
      </c>
      <c r="C784" s="3481" t="s">
        <v>8837</v>
      </c>
      <c r="D784" s="3481" t="s">
        <v>8838</v>
      </c>
      <c r="E784" s="3470" t="s">
        <v>3558</v>
      </c>
      <c r="F784" s="3528" t="s">
        <v>4645</v>
      </c>
      <c r="G784" s="3470"/>
      <c r="H784" s="3470" t="s">
        <v>3477</v>
      </c>
      <c r="I784" s="3470" t="s">
        <v>7500</v>
      </c>
      <c r="J784" s="3481" t="s">
        <v>8839</v>
      </c>
      <c r="K784" s="3470" t="s">
        <v>4649</v>
      </c>
      <c r="L784" s="3470">
        <v>59.94</v>
      </c>
      <c r="M784" s="3470">
        <v>12</v>
      </c>
      <c r="N784" s="3470" t="s">
        <v>3564</v>
      </c>
      <c r="O784" s="3470">
        <v>47.25</v>
      </c>
      <c r="P784" s="3470" t="s">
        <v>3452</v>
      </c>
      <c r="Q784" s="3457">
        <v>465194.33999999997</v>
      </c>
      <c r="R784" s="3470">
        <v>7761</v>
      </c>
      <c r="S784" s="3472">
        <v>46.15</v>
      </c>
      <c r="T784" s="3527">
        <v>461500</v>
      </c>
      <c r="U784" s="3491">
        <v>7700</v>
      </c>
      <c r="V784" s="3529">
        <v>0.1</v>
      </c>
      <c r="W784" s="3475">
        <v>41.53</v>
      </c>
      <c r="X784" s="3473">
        <v>415300</v>
      </c>
      <c r="Y784" s="3501">
        <v>2003</v>
      </c>
      <c r="Z784" s="3441">
        <v>9</v>
      </c>
      <c r="AA784" s="3470">
        <v>8</v>
      </c>
      <c r="AB784" s="3477">
        <v>2305</v>
      </c>
      <c r="AC784" s="3470" t="s">
        <v>8840</v>
      </c>
      <c r="AD784" s="3485"/>
      <c r="AE784" s="3441" t="s">
        <v>3663</v>
      </c>
      <c r="AF784" s="3470" t="s">
        <v>3728</v>
      </c>
      <c r="AG784" s="3522" t="s">
        <v>3466</v>
      </c>
      <c r="AH784" s="3485"/>
      <c r="AI784" s="3470" t="s">
        <v>5021</v>
      </c>
      <c r="AJ784" s="3523">
        <v>38199</v>
      </c>
      <c r="AK784" s="3500">
        <v>9</v>
      </c>
      <c r="AL784" s="3441">
        <v>67641700</v>
      </c>
      <c r="AN784" s="3441" t="s">
        <v>3695</v>
      </c>
      <c r="AP784" s="3441" t="s">
        <v>3476</v>
      </c>
      <c r="AQ784" s="3441" t="s">
        <v>3571</v>
      </c>
      <c r="AW784" s="3441" t="s">
        <v>3572</v>
      </c>
      <c r="AX784" s="3441" t="s">
        <v>3568</v>
      </c>
      <c r="AY784" s="3524" t="s">
        <v>8841</v>
      </c>
      <c r="AZ784" s="3441" t="s">
        <v>4654</v>
      </c>
      <c r="BA784" s="3441" t="s">
        <v>4688</v>
      </c>
      <c r="BB784" s="3524" t="s">
        <v>4689</v>
      </c>
      <c r="BC784" s="3441" t="s">
        <v>4656</v>
      </c>
      <c r="BD784" s="3525">
        <v>100037</v>
      </c>
      <c r="BE784" s="3441">
        <v>68347718</v>
      </c>
      <c r="BF784" s="3526">
        <v>2.8</v>
      </c>
      <c r="BG784" s="3518">
        <v>37859</v>
      </c>
      <c r="BH784" s="3441" t="s">
        <v>4681</v>
      </c>
      <c r="BI784" s="3441" t="s">
        <v>3476</v>
      </c>
      <c r="BJ784" s="3484">
        <v>37867</v>
      </c>
      <c r="BK784" s="3518"/>
      <c r="BL784" s="3470" t="s">
        <v>3670</v>
      </c>
      <c r="BS784" s="3470"/>
      <c r="BT784" s="3470"/>
      <c r="BU784" s="3470"/>
    </row>
    <row r="785" spans="1:253" s="3441" customFormat="1" ht="12" hidden="1">
      <c r="A785" s="3453" t="s">
        <v>8842</v>
      </c>
      <c r="B785" s="3470" t="s">
        <v>8843</v>
      </c>
      <c r="C785" s="3481" t="s">
        <v>8844</v>
      </c>
      <c r="D785" s="3481" t="s">
        <v>8845</v>
      </c>
      <c r="E785" s="3470" t="s">
        <v>3558</v>
      </c>
      <c r="F785" s="3470" t="s">
        <v>4669</v>
      </c>
      <c r="G785" s="3470"/>
      <c r="H785" s="3470" t="s">
        <v>8030</v>
      </c>
      <c r="I785" s="3470" t="s">
        <v>8846</v>
      </c>
      <c r="J785" s="3481" t="s">
        <v>8847</v>
      </c>
      <c r="K785" s="3470" t="s">
        <v>4673</v>
      </c>
      <c r="L785" s="3470">
        <v>101.48</v>
      </c>
      <c r="M785" s="3470">
        <v>10</v>
      </c>
      <c r="N785" s="3470" t="s">
        <v>5032</v>
      </c>
      <c r="O785" s="3470">
        <v>78.930000000000007</v>
      </c>
      <c r="P785" s="3470" t="s">
        <v>3452</v>
      </c>
      <c r="Q785" s="3457">
        <v>713404.06920000014</v>
      </c>
      <c r="R785" s="3470">
        <v>9038.44</v>
      </c>
      <c r="S785" s="3472">
        <v>70.73</v>
      </c>
      <c r="T785" s="3527">
        <v>707300</v>
      </c>
      <c r="U785" s="3495">
        <v>6970</v>
      </c>
      <c r="V785" s="3474">
        <v>0.1</v>
      </c>
      <c r="W785" s="3475">
        <v>63.65</v>
      </c>
      <c r="X785" s="3473">
        <v>636500</v>
      </c>
      <c r="Y785" s="3495">
        <v>2003</v>
      </c>
      <c r="Z785" s="3441">
        <v>9</v>
      </c>
      <c r="AA785" s="3470">
        <v>8</v>
      </c>
      <c r="AB785" s="3477">
        <v>3535</v>
      </c>
      <c r="AC785" s="3470" t="s">
        <v>3693</v>
      </c>
      <c r="AD785" s="3485"/>
      <c r="AE785" s="3441" t="s">
        <v>3663</v>
      </c>
      <c r="AF785" s="3470" t="s">
        <v>4721</v>
      </c>
      <c r="AG785" s="3522" t="s">
        <v>3466</v>
      </c>
      <c r="AH785" s="3485"/>
      <c r="AI785" s="3470" t="s">
        <v>5021</v>
      </c>
      <c r="AJ785" s="3523">
        <v>38347</v>
      </c>
      <c r="AK785" s="3500">
        <v>9</v>
      </c>
      <c r="AL785" s="3441">
        <v>67641700</v>
      </c>
      <c r="AN785" s="3441" t="s">
        <v>3695</v>
      </c>
      <c r="AO785" s="3441" t="s">
        <v>2420</v>
      </c>
      <c r="AP785" s="3441" t="s">
        <v>3476</v>
      </c>
      <c r="AQ785" s="3441" t="s">
        <v>3571</v>
      </c>
      <c r="AW785" s="3441" t="s">
        <v>3572</v>
      </c>
      <c r="AY785" s="3524" t="s">
        <v>8848</v>
      </c>
      <c r="AZ785" s="3441" t="s">
        <v>4677</v>
      </c>
      <c r="BA785" s="3441" t="s">
        <v>4678</v>
      </c>
      <c r="BB785" s="3524" t="s">
        <v>4679</v>
      </c>
      <c r="BC785" s="3441" t="s">
        <v>4680</v>
      </c>
      <c r="BD785" s="3525">
        <v>100089</v>
      </c>
      <c r="BE785" s="3441">
        <v>68719656</v>
      </c>
      <c r="BF785" s="3526">
        <v>2.8</v>
      </c>
      <c r="BG785" s="3518">
        <v>37857</v>
      </c>
      <c r="BH785" s="3441" t="s">
        <v>4681</v>
      </c>
      <c r="BI785" s="3441" t="s">
        <v>3476</v>
      </c>
      <c r="BJ785" s="3508">
        <v>37869</v>
      </c>
      <c r="BK785" s="3518"/>
      <c r="BL785" s="3470" t="s">
        <v>3670</v>
      </c>
      <c r="BS785" s="3470"/>
      <c r="BT785" s="3470"/>
      <c r="BU785" s="3470"/>
    </row>
    <row r="786" spans="1:253" s="3441" customFormat="1" ht="12" hidden="1">
      <c r="A786" s="3470" t="s">
        <v>8849</v>
      </c>
      <c r="B786" s="3470" t="s">
        <v>8850</v>
      </c>
      <c r="C786" s="3481" t="s">
        <v>8851</v>
      </c>
      <c r="D786" s="3481" t="s">
        <v>8852</v>
      </c>
      <c r="E786" s="3470" t="s">
        <v>3763</v>
      </c>
      <c r="F786" s="3528" t="s">
        <v>6419</v>
      </c>
      <c r="G786" s="3470"/>
      <c r="H786" s="3453" t="s">
        <v>7369</v>
      </c>
      <c r="I786" s="3453" t="s">
        <v>3676</v>
      </c>
      <c r="J786" s="3454" t="s">
        <v>3920</v>
      </c>
      <c r="K786" s="3470" t="s">
        <v>6408</v>
      </c>
      <c r="L786" s="3495">
        <v>60.04</v>
      </c>
      <c r="M786" s="3495">
        <v>6</v>
      </c>
      <c r="N786" s="3485" t="s">
        <v>3489</v>
      </c>
      <c r="O786" s="3495">
        <v>52.39</v>
      </c>
      <c r="P786" s="3470" t="s">
        <v>3452</v>
      </c>
      <c r="Q786" s="3457">
        <v>262194.68</v>
      </c>
      <c r="R786" s="3470">
        <v>4367</v>
      </c>
      <c r="S786" s="3472">
        <v>25.92</v>
      </c>
      <c r="T786" s="3527">
        <v>259200.00000000003</v>
      </c>
      <c r="U786" s="3495">
        <v>4318</v>
      </c>
      <c r="V786" s="3512">
        <v>0.1</v>
      </c>
      <c r="W786" s="3475">
        <v>23.32</v>
      </c>
      <c r="X786" s="3473">
        <v>233200</v>
      </c>
      <c r="Y786" s="3515">
        <v>2003</v>
      </c>
      <c r="Z786" s="3441">
        <v>9</v>
      </c>
      <c r="AA786" s="3441">
        <v>16</v>
      </c>
      <c r="AB786" s="3477">
        <v>1295</v>
      </c>
      <c r="AC786" s="3470" t="s">
        <v>3544</v>
      </c>
      <c r="AD786" s="3485"/>
      <c r="AE786" s="3469" t="s">
        <v>2156</v>
      </c>
      <c r="AF786" s="3453" t="s">
        <v>8853</v>
      </c>
      <c r="AG786" s="3522" t="s">
        <v>3454</v>
      </c>
      <c r="AH786" s="3485"/>
      <c r="AI786" s="3470" t="s">
        <v>3664</v>
      </c>
      <c r="AJ786" s="3523">
        <v>38077</v>
      </c>
      <c r="AK786" s="3500">
        <v>9</v>
      </c>
      <c r="AL786" s="3515">
        <v>67641700</v>
      </c>
      <c r="AN786" s="3456" t="s">
        <v>3739</v>
      </c>
      <c r="AO786" s="3486" t="s">
        <v>2420</v>
      </c>
      <c r="AP786" s="3441" t="s">
        <v>3476</v>
      </c>
      <c r="AQ786" s="3469" t="s">
        <v>3571</v>
      </c>
      <c r="AU786" s="3495"/>
      <c r="AV786" s="3535"/>
      <c r="AW786" s="3470" t="s">
        <v>4064</v>
      </c>
      <c r="AX786" s="3441" t="s">
        <v>2420</v>
      </c>
      <c r="AY786" s="3536" t="s">
        <v>8854</v>
      </c>
      <c r="AZ786" s="3470" t="s">
        <v>6408</v>
      </c>
      <c r="BA786" s="3463" t="s">
        <v>7092</v>
      </c>
      <c r="BB786" s="3466">
        <v>1102281149818</v>
      </c>
      <c r="BC786" s="3441" t="s">
        <v>6414</v>
      </c>
      <c r="BD786" s="3441">
        <v>100044</v>
      </c>
      <c r="BE786" s="3463">
        <v>88018575</v>
      </c>
      <c r="BF786" s="3538">
        <v>2.7</v>
      </c>
      <c r="BG786" s="3535">
        <v>37841</v>
      </c>
      <c r="BH786" s="3453"/>
      <c r="BI786" s="3441" t="s">
        <v>3476</v>
      </c>
      <c r="BJ786" s="3484">
        <v>37869</v>
      </c>
      <c r="BK786" s="3518"/>
      <c r="BL786" s="3441" t="s">
        <v>6897</v>
      </c>
      <c r="BS786" s="3470"/>
      <c r="BT786" s="3470"/>
      <c r="BU786" s="3470"/>
      <c r="BV786" s="3472"/>
      <c r="BW786" s="3472"/>
      <c r="BX786" s="3472"/>
      <c r="BY786" s="3472"/>
      <c r="BZ786" s="3472"/>
      <c r="CA786" s="3472"/>
      <c r="CB786" s="3472"/>
      <c r="CC786" s="3472"/>
      <c r="CD786" s="3472"/>
      <c r="CE786" s="3472"/>
      <c r="CF786" s="3472"/>
      <c r="CG786" s="3472"/>
      <c r="CH786" s="3472"/>
      <c r="CI786" s="3472"/>
      <c r="CJ786" s="3472"/>
      <c r="CK786" s="3472"/>
      <c r="CL786" s="3472"/>
      <c r="CM786" s="3472"/>
      <c r="CN786" s="3472"/>
      <c r="CO786" s="3472"/>
      <c r="CP786" s="3472"/>
      <c r="CQ786" s="3472"/>
      <c r="CR786" s="3472"/>
      <c r="CS786" s="3472"/>
      <c r="CT786" s="3472"/>
      <c r="CU786" s="3472"/>
      <c r="CV786" s="3472"/>
      <c r="CW786" s="3472"/>
      <c r="CX786" s="3472"/>
      <c r="CY786" s="3472"/>
      <c r="CZ786" s="3472"/>
      <c r="DA786" s="3472"/>
      <c r="DB786" s="3472"/>
      <c r="DC786" s="3472"/>
      <c r="DD786" s="3472"/>
      <c r="DE786" s="3472"/>
      <c r="DF786" s="3472"/>
      <c r="DG786" s="3472"/>
      <c r="DH786" s="3472"/>
      <c r="DI786" s="3472"/>
      <c r="DJ786" s="3472"/>
      <c r="DK786" s="3472"/>
      <c r="DL786" s="3472"/>
      <c r="DM786" s="3472"/>
      <c r="DN786" s="3472"/>
      <c r="DO786" s="3472"/>
      <c r="DP786" s="3472"/>
      <c r="DQ786" s="3472"/>
      <c r="DR786" s="3472"/>
      <c r="DS786" s="3472"/>
      <c r="DT786" s="3472"/>
      <c r="DU786" s="3472"/>
      <c r="DV786" s="3472"/>
      <c r="DW786" s="3472"/>
      <c r="DX786" s="3472"/>
      <c r="DY786" s="3472"/>
      <c r="DZ786" s="3472"/>
      <c r="EA786" s="3472"/>
      <c r="EB786" s="3472"/>
      <c r="EC786" s="3472"/>
      <c r="ED786" s="3472"/>
      <c r="EE786" s="3472"/>
      <c r="EF786" s="3472"/>
      <c r="EG786" s="3472"/>
      <c r="EH786" s="3472"/>
      <c r="EI786" s="3472"/>
      <c r="EJ786" s="3472"/>
      <c r="EK786" s="3472"/>
      <c r="EL786" s="3472"/>
      <c r="EM786" s="3472"/>
      <c r="EN786" s="3472"/>
      <c r="EO786" s="3472"/>
      <c r="EP786" s="3472"/>
      <c r="EQ786" s="3472"/>
      <c r="ER786" s="3472"/>
      <c r="ES786" s="3472"/>
      <c r="ET786" s="3472"/>
      <c r="EU786" s="3472"/>
      <c r="EV786" s="3472"/>
      <c r="EW786" s="3472"/>
      <c r="EX786" s="3472"/>
      <c r="EY786" s="3472"/>
      <c r="EZ786" s="3472"/>
      <c r="FA786" s="3472"/>
      <c r="FB786" s="3472"/>
      <c r="FC786" s="3472"/>
      <c r="FD786" s="3472"/>
      <c r="FE786" s="3472"/>
      <c r="FF786" s="3472"/>
      <c r="FG786" s="3472"/>
      <c r="FH786" s="3472"/>
      <c r="FI786" s="3472"/>
      <c r="FJ786" s="3472"/>
      <c r="FK786" s="3472"/>
      <c r="FL786" s="3472"/>
      <c r="FM786" s="3472"/>
      <c r="FN786" s="3472"/>
      <c r="FO786" s="3472"/>
      <c r="FP786" s="3472"/>
      <c r="FQ786" s="3472"/>
      <c r="FR786" s="3472"/>
      <c r="FS786" s="3472"/>
      <c r="FT786" s="3472"/>
      <c r="FU786" s="3472"/>
      <c r="FV786" s="3472"/>
      <c r="FW786" s="3472"/>
      <c r="FX786" s="3472"/>
      <c r="FY786" s="3472"/>
      <c r="FZ786" s="3472"/>
      <c r="GA786" s="3472"/>
      <c r="GB786" s="3472"/>
      <c r="GC786" s="3472"/>
      <c r="GD786" s="3472"/>
      <c r="GE786" s="3472"/>
      <c r="GF786" s="3472"/>
      <c r="GG786" s="3472"/>
      <c r="GH786" s="3472"/>
      <c r="GI786" s="3472"/>
      <c r="GJ786" s="3472"/>
      <c r="GK786" s="3472"/>
      <c r="GL786" s="3472"/>
      <c r="GM786" s="3472"/>
      <c r="GN786" s="3472"/>
      <c r="GO786" s="3472"/>
      <c r="GP786" s="3472"/>
      <c r="GQ786" s="3472"/>
      <c r="GR786" s="3472"/>
      <c r="GS786" s="3472"/>
      <c r="GT786" s="3472"/>
      <c r="GU786" s="3472"/>
      <c r="GV786" s="3472"/>
      <c r="GW786" s="3472"/>
      <c r="GX786" s="3472"/>
      <c r="GY786" s="3472"/>
      <c r="GZ786" s="3472"/>
      <c r="HA786" s="3472"/>
      <c r="HB786" s="3472"/>
      <c r="HC786" s="3472"/>
      <c r="HD786" s="3472"/>
      <c r="HE786" s="3472"/>
      <c r="HF786" s="3472"/>
      <c r="HG786" s="3472"/>
      <c r="HH786" s="3472"/>
      <c r="HI786" s="3472"/>
      <c r="HJ786" s="3472"/>
      <c r="HK786" s="3472"/>
      <c r="HL786" s="3472"/>
      <c r="HM786" s="3472"/>
      <c r="HN786" s="3472"/>
      <c r="HO786" s="3472"/>
      <c r="HP786" s="3472"/>
      <c r="HQ786" s="3472"/>
      <c r="HR786" s="3472"/>
      <c r="HS786" s="3472"/>
      <c r="HT786" s="3472"/>
      <c r="HU786" s="3472"/>
      <c r="HV786" s="3472"/>
      <c r="HW786" s="3472"/>
      <c r="HX786" s="3472"/>
      <c r="HY786" s="3472"/>
      <c r="HZ786" s="3472"/>
      <c r="IA786" s="3472"/>
      <c r="IB786" s="3472"/>
      <c r="IC786" s="3472"/>
      <c r="ID786" s="3472"/>
      <c r="IE786" s="3472"/>
      <c r="IF786" s="3472"/>
      <c r="IG786" s="3472"/>
      <c r="IH786" s="3472"/>
      <c r="II786" s="3472"/>
      <c r="IJ786" s="3472"/>
      <c r="IK786" s="3472"/>
      <c r="IL786" s="3472"/>
      <c r="IM786" s="3472"/>
      <c r="IN786" s="3472"/>
      <c r="IO786" s="3472"/>
      <c r="IP786" s="3472"/>
      <c r="IQ786" s="3472"/>
      <c r="IR786" s="3472"/>
      <c r="IS786" s="3472"/>
    </row>
    <row r="787" spans="1:253" s="3441" customFormat="1" ht="12">
      <c r="A787" s="3485" t="s">
        <v>8855</v>
      </c>
      <c r="B787" s="3470" t="s">
        <v>8856</v>
      </c>
      <c r="C787" s="3481" t="s">
        <v>8857</v>
      </c>
      <c r="D787" s="3481" t="s">
        <v>8858</v>
      </c>
      <c r="E787" s="3470" t="s">
        <v>3763</v>
      </c>
      <c r="F787" s="3687" t="s">
        <v>11671</v>
      </c>
      <c r="G787" s="3470"/>
      <c r="H787" s="3470" t="s">
        <v>2420</v>
      </c>
      <c r="I787" s="3470" t="s">
        <v>8859</v>
      </c>
      <c r="J787" s="3481" t="s">
        <v>8860</v>
      </c>
      <c r="K787" s="3470" t="s">
        <v>8795</v>
      </c>
      <c r="L787" s="3470">
        <v>48.03</v>
      </c>
      <c r="M787" s="3470">
        <v>12</v>
      </c>
      <c r="N787" s="3470" t="s">
        <v>3678</v>
      </c>
      <c r="O787" s="3470">
        <v>37.29</v>
      </c>
      <c r="P787" s="3470" t="s">
        <v>3452</v>
      </c>
      <c r="Q787" s="3457">
        <v>333808.5</v>
      </c>
      <c r="R787" s="3470">
        <v>6950</v>
      </c>
      <c r="S787" s="3472">
        <v>32.549999999999997</v>
      </c>
      <c r="T787" s="3527">
        <v>325500</v>
      </c>
      <c r="U787" s="3495">
        <v>6778</v>
      </c>
      <c r="V787" s="3474">
        <v>0.1</v>
      </c>
      <c r="W787" s="3475">
        <v>29.29</v>
      </c>
      <c r="X787" s="3473">
        <v>292900</v>
      </c>
      <c r="Y787" s="3495">
        <v>2003</v>
      </c>
      <c r="Z787" s="3441">
        <v>9</v>
      </c>
      <c r="AA787" s="3441">
        <v>12</v>
      </c>
      <c r="AB787" s="3477">
        <v>1625</v>
      </c>
      <c r="AC787" s="3470" t="s">
        <v>5110</v>
      </c>
      <c r="AD787" s="3485"/>
      <c r="AE787" s="3441" t="s">
        <v>3663</v>
      </c>
      <c r="AF787" s="3470" t="s">
        <v>3587</v>
      </c>
      <c r="AG787" s="3522" t="s">
        <v>3466</v>
      </c>
      <c r="AH787" s="3485"/>
      <c r="AI787" s="3470" t="s">
        <v>5021</v>
      </c>
      <c r="AJ787" s="3523">
        <v>38107</v>
      </c>
      <c r="AK787" s="3500">
        <v>9</v>
      </c>
      <c r="AL787" s="3441">
        <v>67641700</v>
      </c>
      <c r="AN787" s="3441" t="s">
        <v>3695</v>
      </c>
      <c r="AP787" s="3441" t="s">
        <v>3476</v>
      </c>
      <c r="AQ787" s="3441" t="s">
        <v>3571</v>
      </c>
      <c r="AW787" s="3441" t="s">
        <v>3572</v>
      </c>
      <c r="AY787" s="3524" t="s">
        <v>8861</v>
      </c>
      <c r="AZ787" s="3470" t="s">
        <v>8862</v>
      </c>
      <c r="BA787" s="3441" t="s">
        <v>8863</v>
      </c>
      <c r="BB787" s="3524" t="s">
        <v>8864</v>
      </c>
      <c r="BC787" s="3441" t="s">
        <v>8800</v>
      </c>
      <c r="BD787" s="3525" t="s">
        <v>3715</v>
      </c>
      <c r="BE787" s="3441" t="s">
        <v>2420</v>
      </c>
      <c r="BF787" s="3526">
        <v>2.8</v>
      </c>
      <c r="BG787" s="3518">
        <v>37849</v>
      </c>
      <c r="BH787" s="3441" t="s">
        <v>8865</v>
      </c>
      <c r="BI787" s="3441" t="s">
        <v>3476</v>
      </c>
      <c r="BJ787" s="3484">
        <v>37861</v>
      </c>
      <c r="BK787" s="3518">
        <v>37874</v>
      </c>
      <c r="BL787" s="3470" t="s">
        <v>3670</v>
      </c>
      <c r="BS787" s="3470"/>
      <c r="BT787" s="3470"/>
      <c r="BU787" s="3470"/>
    </row>
    <row r="788" spans="1:253" s="3441" customFormat="1" ht="12" hidden="1">
      <c r="A788" s="3470" t="s">
        <v>8866</v>
      </c>
      <c r="B788" s="3470" t="s">
        <v>8867</v>
      </c>
      <c r="C788" s="3481" t="s">
        <v>8868</v>
      </c>
      <c r="D788" s="3481" t="s">
        <v>8869</v>
      </c>
      <c r="E788" s="3470" t="s">
        <v>3558</v>
      </c>
      <c r="F788" s="3528" t="s">
        <v>3613</v>
      </c>
      <c r="G788" s="3470"/>
      <c r="H788" s="3470" t="s">
        <v>8870</v>
      </c>
      <c r="I788" s="3470" t="s">
        <v>3676</v>
      </c>
      <c r="J788" s="3481" t="s">
        <v>4012</v>
      </c>
      <c r="K788" s="3470" t="s">
        <v>3968</v>
      </c>
      <c r="L788" s="3470">
        <v>138.19999999999999</v>
      </c>
      <c r="M788" s="3470">
        <v>2</v>
      </c>
      <c r="N788" s="3470" t="s">
        <v>8871</v>
      </c>
      <c r="O788" s="3470">
        <v>126.16</v>
      </c>
      <c r="P788" s="3470" t="s">
        <v>3452</v>
      </c>
      <c r="Q788" s="3457">
        <v>653686</v>
      </c>
      <c r="R788" s="3495">
        <v>4730</v>
      </c>
      <c r="S788" s="3472">
        <v>64.67</v>
      </c>
      <c r="T788" s="3527">
        <v>646700</v>
      </c>
      <c r="U788" s="3495">
        <v>4680</v>
      </c>
      <c r="V788" s="3512">
        <v>0.1</v>
      </c>
      <c r="W788" s="3475">
        <v>58.2</v>
      </c>
      <c r="X788" s="3494">
        <v>582000</v>
      </c>
      <c r="Y788" s="3441">
        <v>2003</v>
      </c>
      <c r="Z788" s="3441">
        <v>9</v>
      </c>
      <c r="AA788" s="3470">
        <v>9</v>
      </c>
      <c r="AB788" s="3485">
        <v>3230</v>
      </c>
      <c r="AC788" s="3470" t="s">
        <v>8752</v>
      </c>
      <c r="AD788" s="3485"/>
      <c r="AE788" s="3441" t="s">
        <v>3663</v>
      </c>
      <c r="AF788" s="3453" t="s">
        <v>6957</v>
      </c>
      <c r="AG788" s="3522" t="s">
        <v>3466</v>
      </c>
      <c r="AH788" s="3485"/>
      <c r="AI788" s="3470" t="s">
        <v>3664</v>
      </c>
      <c r="AJ788" s="3523">
        <v>37894</v>
      </c>
      <c r="AK788" s="3548">
        <v>9</v>
      </c>
      <c r="AL788" s="3441">
        <v>67641700</v>
      </c>
      <c r="AN788" s="3441" t="s">
        <v>3695</v>
      </c>
      <c r="AO788" s="3441" t="s">
        <v>3568</v>
      </c>
      <c r="AP788" s="3441" t="s">
        <v>3476</v>
      </c>
      <c r="AQ788" s="3441" t="s">
        <v>3571</v>
      </c>
      <c r="AW788" s="3441" t="s">
        <v>3572</v>
      </c>
      <c r="AX788" s="3441" t="s">
        <v>6879</v>
      </c>
      <c r="AY788" s="3524" t="s">
        <v>8872</v>
      </c>
      <c r="AZ788" s="3441" t="s">
        <v>3968</v>
      </c>
      <c r="BA788" s="3441" t="s">
        <v>3971</v>
      </c>
      <c r="BB788" s="3524" t="s">
        <v>3972</v>
      </c>
      <c r="BC788" s="3441" t="s">
        <v>3973</v>
      </c>
      <c r="BD788" s="3525">
        <v>100096</v>
      </c>
      <c r="BE788" s="3441">
        <v>82919961</v>
      </c>
      <c r="BF788" s="3526">
        <v>2.9</v>
      </c>
      <c r="BG788" s="3518">
        <v>37846</v>
      </c>
      <c r="BH788" s="3441" t="s">
        <v>4681</v>
      </c>
      <c r="BI788" s="3441" t="s">
        <v>5844</v>
      </c>
      <c r="BJ788" s="3514">
        <v>37868</v>
      </c>
      <c r="BK788" s="3518"/>
      <c r="BL788" s="3470" t="s">
        <v>3670</v>
      </c>
      <c r="BS788" s="3470"/>
      <c r="BT788" s="3470"/>
      <c r="BU788" s="3470"/>
    </row>
    <row r="789" spans="1:253" s="3470" customFormat="1" ht="12" hidden="1">
      <c r="A789" s="3470" t="s">
        <v>8873</v>
      </c>
      <c r="B789" s="3470" t="s">
        <v>8874</v>
      </c>
      <c r="C789" s="3481" t="s">
        <v>8875</v>
      </c>
      <c r="D789" s="3487" t="s">
        <v>8876</v>
      </c>
      <c r="E789" s="3470" t="s">
        <v>3558</v>
      </c>
      <c r="F789" s="3470" t="s">
        <v>3733</v>
      </c>
      <c r="H789" s="3453" t="s">
        <v>4748</v>
      </c>
      <c r="I789" s="3453" t="s">
        <v>8877</v>
      </c>
      <c r="J789" s="3453" t="s">
        <v>8878</v>
      </c>
      <c r="K789" s="3470" t="s">
        <v>3737</v>
      </c>
      <c r="L789" s="3495">
        <v>88.96</v>
      </c>
      <c r="M789" s="3495">
        <v>1</v>
      </c>
      <c r="N789" s="3470" t="s">
        <v>4189</v>
      </c>
      <c r="O789" s="3495">
        <v>71.069999999999993</v>
      </c>
      <c r="P789" s="3470" t="s">
        <v>3452</v>
      </c>
      <c r="Q789" s="3457">
        <v>510630.40000000002</v>
      </c>
      <c r="R789" s="3470">
        <v>5740</v>
      </c>
      <c r="S789" s="3472">
        <v>49.61</v>
      </c>
      <c r="T789" s="3602">
        <v>496100</v>
      </c>
      <c r="U789" s="3470">
        <v>5577</v>
      </c>
      <c r="V789" s="3474">
        <v>0.1</v>
      </c>
      <c r="W789" s="3475">
        <v>44.64</v>
      </c>
      <c r="X789" s="3602">
        <v>446400</v>
      </c>
      <c r="Y789" s="3470">
        <v>2003</v>
      </c>
      <c r="Z789" s="3470">
        <v>9</v>
      </c>
      <c r="AA789" s="3441">
        <v>25</v>
      </c>
      <c r="AB789" s="3477">
        <v>2480</v>
      </c>
      <c r="AC789" s="3490" t="s">
        <v>8879</v>
      </c>
      <c r="AE789" s="3456" t="s">
        <v>3663</v>
      </c>
      <c r="AF789" s="3470" t="s">
        <v>4032</v>
      </c>
      <c r="AG789" s="3470" t="s">
        <v>3466</v>
      </c>
      <c r="AI789" s="3470" t="s">
        <v>5021</v>
      </c>
      <c r="AJ789" s="3478">
        <v>38045</v>
      </c>
      <c r="AK789" s="3603">
        <v>9</v>
      </c>
      <c r="AL789" s="3495">
        <v>67641700</v>
      </c>
      <c r="AN789" s="3480" t="s">
        <v>3680</v>
      </c>
      <c r="AO789" s="3441" t="s">
        <v>8880</v>
      </c>
      <c r="AP789" s="3456" t="s">
        <v>3476</v>
      </c>
      <c r="AQ789" s="3456" t="s">
        <v>3571</v>
      </c>
      <c r="AV789" s="3519"/>
      <c r="AW789" s="3470" t="s">
        <v>3572</v>
      </c>
      <c r="AY789" s="3453" t="s">
        <v>8881</v>
      </c>
      <c r="AZ789" s="3470" t="s">
        <v>3737</v>
      </c>
      <c r="BA789" s="3470" t="s">
        <v>3742</v>
      </c>
      <c r="BB789" s="3470" t="s">
        <v>3743</v>
      </c>
      <c r="BC789" s="3470" t="s">
        <v>3744</v>
      </c>
      <c r="BD789" s="3470">
        <v>100088</v>
      </c>
      <c r="BE789" s="3470">
        <v>82058259</v>
      </c>
      <c r="BF789" s="3520" t="s">
        <v>8595</v>
      </c>
      <c r="BG789" s="3478">
        <v>37858</v>
      </c>
      <c r="BH789" s="3470" t="s">
        <v>4753</v>
      </c>
      <c r="BI789" s="3441" t="s">
        <v>3476</v>
      </c>
      <c r="BJ789" s="3478">
        <v>37887</v>
      </c>
      <c r="BK789" s="3478" t="s">
        <v>3568</v>
      </c>
      <c r="BL789" s="3441" t="s">
        <v>3670</v>
      </c>
      <c r="BM789" s="3441"/>
      <c r="BN789" s="3441"/>
      <c r="BO789" s="3441"/>
      <c r="BP789" s="3441"/>
      <c r="BQ789" s="3441"/>
      <c r="BR789" s="3441"/>
    </row>
    <row r="790" spans="1:253" s="3441" customFormat="1" ht="12" hidden="1">
      <c r="A790" s="3453" t="s">
        <v>8882</v>
      </c>
      <c r="B790" s="3470" t="s">
        <v>8883</v>
      </c>
      <c r="C790" s="3481" t="s">
        <v>8884</v>
      </c>
      <c r="D790" s="3481" t="s">
        <v>8885</v>
      </c>
      <c r="E790" s="3470" t="s">
        <v>3558</v>
      </c>
      <c r="F790" s="3528" t="s">
        <v>4645</v>
      </c>
      <c r="G790" s="3470"/>
      <c r="H790" s="3470" t="s">
        <v>6935</v>
      </c>
      <c r="I790" s="3470" t="s">
        <v>4113</v>
      </c>
      <c r="J790" s="3481" t="s">
        <v>8886</v>
      </c>
      <c r="K790" s="3470" t="s">
        <v>4649</v>
      </c>
      <c r="L790" s="3470">
        <v>76.47</v>
      </c>
      <c r="M790" s="3470">
        <v>9</v>
      </c>
      <c r="N790" s="3470" t="s">
        <v>3564</v>
      </c>
      <c r="O790" s="3470">
        <v>60.28</v>
      </c>
      <c r="P790" s="3470" t="s">
        <v>3452</v>
      </c>
      <c r="Q790" s="3457">
        <v>547678.14</v>
      </c>
      <c r="R790" s="3470">
        <v>7162</v>
      </c>
      <c r="S790" s="3472">
        <v>54.29</v>
      </c>
      <c r="T790" s="3527">
        <v>542900</v>
      </c>
      <c r="U790" s="3491">
        <v>7100</v>
      </c>
      <c r="V790" s="3529">
        <v>0.1</v>
      </c>
      <c r="W790" s="3475">
        <v>48.86</v>
      </c>
      <c r="X790" s="3473">
        <v>488600</v>
      </c>
      <c r="Y790" s="3501">
        <v>2003</v>
      </c>
      <c r="Z790" s="3441">
        <v>9</v>
      </c>
      <c r="AA790" s="3470">
        <v>9</v>
      </c>
      <c r="AB790" s="3477">
        <v>2710</v>
      </c>
      <c r="AC790" s="3470" t="s">
        <v>8840</v>
      </c>
      <c r="AD790" s="3485"/>
      <c r="AE790" s="3441" t="s">
        <v>3663</v>
      </c>
      <c r="AF790" s="3470" t="s">
        <v>3728</v>
      </c>
      <c r="AG790" s="3522" t="s">
        <v>3466</v>
      </c>
      <c r="AH790" s="3485"/>
      <c r="AI790" s="3470" t="s">
        <v>5021</v>
      </c>
      <c r="AJ790" s="3523">
        <v>38199</v>
      </c>
      <c r="AK790" s="3500">
        <v>9</v>
      </c>
      <c r="AL790" s="3441">
        <v>67641700</v>
      </c>
      <c r="AN790" s="3441" t="s">
        <v>3695</v>
      </c>
      <c r="AP790" s="3441" t="s">
        <v>3476</v>
      </c>
      <c r="AQ790" s="3441" t="s">
        <v>3571</v>
      </c>
      <c r="AW790" s="3441" t="s">
        <v>3572</v>
      </c>
      <c r="AX790" s="3441" t="s">
        <v>3568</v>
      </c>
      <c r="AY790" s="3524" t="s">
        <v>8887</v>
      </c>
      <c r="AZ790" s="3441" t="s">
        <v>4654</v>
      </c>
      <c r="BA790" s="3441" t="s">
        <v>4688</v>
      </c>
      <c r="BB790" s="3524" t="s">
        <v>4689</v>
      </c>
      <c r="BC790" s="3441" t="s">
        <v>4656</v>
      </c>
      <c r="BD790" s="3525">
        <v>100037</v>
      </c>
      <c r="BE790" s="3441">
        <v>68347718</v>
      </c>
      <c r="BF790" s="3526">
        <v>2.8</v>
      </c>
      <c r="BG790" s="3518">
        <v>37826</v>
      </c>
      <c r="BH790" s="3441" t="s">
        <v>4681</v>
      </c>
      <c r="BI790" s="3441" t="s">
        <v>3476</v>
      </c>
      <c r="BJ790" s="3484">
        <v>37867</v>
      </c>
      <c r="BK790" s="3518"/>
      <c r="BL790" s="3470" t="s">
        <v>3670</v>
      </c>
      <c r="BS790" s="3470"/>
      <c r="BT790" s="3470"/>
      <c r="BU790" s="3470"/>
    </row>
    <row r="791" spans="1:253" s="3441" customFormat="1" ht="12" hidden="1">
      <c r="A791" s="3485" t="s">
        <v>8888</v>
      </c>
      <c r="B791" s="3470" t="s">
        <v>8889</v>
      </c>
      <c r="C791" s="3481" t="s">
        <v>8890</v>
      </c>
      <c r="D791" s="3481" t="s">
        <v>8891</v>
      </c>
      <c r="E791" s="3470" t="s">
        <v>3558</v>
      </c>
      <c r="F791" s="3528" t="s">
        <v>3733</v>
      </c>
      <c r="G791" s="3470"/>
      <c r="H791" s="3470" t="s">
        <v>6357</v>
      </c>
      <c r="I791" s="3470" t="s">
        <v>8892</v>
      </c>
      <c r="J791" s="3481" t="s">
        <v>8893</v>
      </c>
      <c r="K791" s="3470" t="s">
        <v>3737</v>
      </c>
      <c r="L791" s="3470">
        <v>54.88</v>
      </c>
      <c r="M791" s="3470">
        <v>11</v>
      </c>
      <c r="N791" s="3470" t="s">
        <v>6871</v>
      </c>
      <c r="O791" s="3470">
        <v>43.84</v>
      </c>
      <c r="P791" s="3470" t="s">
        <v>3452</v>
      </c>
      <c r="Q791" s="3492">
        <v>333670.40000000002</v>
      </c>
      <c r="R791" s="3470">
        <v>6080</v>
      </c>
      <c r="S791" s="3472">
        <v>33.03</v>
      </c>
      <c r="T791" s="3527">
        <v>330300</v>
      </c>
      <c r="U791" s="3470">
        <v>6020</v>
      </c>
      <c r="V791" s="3474">
        <v>0.1</v>
      </c>
      <c r="W791" s="3475">
        <v>29.72</v>
      </c>
      <c r="X791" s="3494">
        <v>297200</v>
      </c>
      <c r="Y791" s="3441">
        <v>2003</v>
      </c>
      <c r="Z791" s="3441">
        <v>9</v>
      </c>
      <c r="AA791" s="3470">
        <v>9</v>
      </c>
      <c r="AB791" s="3477">
        <v>1650</v>
      </c>
      <c r="AC791" s="3470" t="s">
        <v>6891</v>
      </c>
      <c r="AD791" s="3485"/>
      <c r="AE791" s="3441" t="s">
        <v>3663</v>
      </c>
      <c r="AF791" s="3470" t="s">
        <v>3728</v>
      </c>
      <c r="AG791" s="3522" t="s">
        <v>3466</v>
      </c>
      <c r="AH791" s="3485"/>
      <c r="AI791" s="3470" t="s">
        <v>5021</v>
      </c>
      <c r="AJ791" s="3523">
        <v>38045</v>
      </c>
      <c r="AK791" s="3500">
        <v>9</v>
      </c>
      <c r="AL791" s="3441">
        <v>67641700</v>
      </c>
      <c r="AN791" s="3441" t="s">
        <v>3695</v>
      </c>
      <c r="AO791" s="3441" t="s">
        <v>3568</v>
      </c>
      <c r="AP791" s="3441" t="s">
        <v>3476</v>
      </c>
      <c r="AQ791" s="3441" t="s">
        <v>3571</v>
      </c>
      <c r="AW791" s="3441" t="s">
        <v>3572</v>
      </c>
      <c r="AY791" s="3524" t="s">
        <v>8894</v>
      </c>
      <c r="AZ791" s="3441" t="s">
        <v>3737</v>
      </c>
      <c r="BA791" s="3441" t="s">
        <v>3742</v>
      </c>
      <c r="BB791" s="3524" t="s">
        <v>3743</v>
      </c>
      <c r="BC791" s="3441" t="s">
        <v>3744</v>
      </c>
      <c r="BD791" s="3525">
        <v>100088</v>
      </c>
      <c r="BE791" s="3441">
        <v>82058259</v>
      </c>
      <c r="BF791" s="3526" t="s">
        <v>8595</v>
      </c>
      <c r="BG791" s="3518">
        <v>37857</v>
      </c>
      <c r="BH791" s="3441" t="s">
        <v>4753</v>
      </c>
      <c r="BI791" s="3441" t="s">
        <v>3476</v>
      </c>
      <c r="BJ791" s="3484">
        <v>37872</v>
      </c>
      <c r="BK791" s="3518" t="s">
        <v>2420</v>
      </c>
      <c r="BL791" s="3470" t="s">
        <v>3670</v>
      </c>
      <c r="BS791" s="3470"/>
      <c r="BT791" s="3470"/>
      <c r="BU791" s="3470"/>
    </row>
    <row r="792" spans="1:253" s="3441" customFormat="1" ht="12" hidden="1">
      <c r="A792" s="3485" t="s">
        <v>8895</v>
      </c>
      <c r="B792" s="3470" t="s">
        <v>8896</v>
      </c>
      <c r="C792" s="3481" t="s">
        <v>8897</v>
      </c>
      <c r="D792" s="3481" t="s">
        <v>8898</v>
      </c>
      <c r="E792" s="3470" t="s">
        <v>3558</v>
      </c>
      <c r="F792" s="3470" t="s">
        <v>7909</v>
      </c>
      <c r="G792" s="3470"/>
      <c r="H792" s="3470" t="s">
        <v>3952</v>
      </c>
      <c r="I792" s="3470" t="s">
        <v>3676</v>
      </c>
      <c r="J792" s="3481" t="s">
        <v>4042</v>
      </c>
      <c r="K792" s="3470" t="s">
        <v>7910</v>
      </c>
      <c r="L792" s="3470">
        <v>152.75</v>
      </c>
      <c r="M792" s="3470">
        <v>3</v>
      </c>
      <c r="N792" s="3470" t="s">
        <v>4003</v>
      </c>
      <c r="O792" s="3470">
        <v>134.33000000000001</v>
      </c>
      <c r="P792" s="3470" t="s">
        <v>3452</v>
      </c>
      <c r="Q792" s="3457">
        <v>1178975.4543000001</v>
      </c>
      <c r="R792" s="3470">
        <v>8776.7099999999991</v>
      </c>
      <c r="S792" s="3472">
        <v>116.93</v>
      </c>
      <c r="T792" s="3527">
        <v>1169300</v>
      </c>
      <c r="U792" s="3470">
        <v>7655</v>
      </c>
      <c r="V792" s="3474">
        <v>0.1</v>
      </c>
      <c r="W792" s="3475">
        <v>105.23</v>
      </c>
      <c r="X792" s="3476">
        <v>1052300</v>
      </c>
      <c r="Y792" s="3441">
        <v>2003</v>
      </c>
      <c r="Z792" s="3441">
        <v>9</v>
      </c>
      <c r="AA792" s="3470">
        <v>10</v>
      </c>
      <c r="AB792" s="3477">
        <v>5420</v>
      </c>
      <c r="AC792" s="3470" t="s">
        <v>5110</v>
      </c>
      <c r="AD792" s="3485"/>
      <c r="AE792" s="3441" t="s">
        <v>3663</v>
      </c>
      <c r="AF792" s="3470" t="s">
        <v>3728</v>
      </c>
      <c r="AG792" s="3522" t="s">
        <v>3466</v>
      </c>
      <c r="AH792" s="3485"/>
      <c r="AI792" s="3470" t="s">
        <v>7643</v>
      </c>
      <c r="AJ792" s="3523">
        <v>37986</v>
      </c>
      <c r="AK792" s="3500">
        <v>9</v>
      </c>
      <c r="AL792" s="3441">
        <v>67641700</v>
      </c>
      <c r="AN792" s="3441" t="s">
        <v>3695</v>
      </c>
      <c r="AP792" s="3441" t="s">
        <v>3476</v>
      </c>
      <c r="AQ792" s="3441" t="s">
        <v>3571</v>
      </c>
      <c r="AW792" s="3441" t="s">
        <v>3572</v>
      </c>
      <c r="AY792" s="3524" t="s">
        <v>8899</v>
      </c>
      <c r="AZ792" s="3441" t="s">
        <v>7910</v>
      </c>
      <c r="BA792" s="3441" t="s">
        <v>7911</v>
      </c>
      <c r="BB792" s="3524" t="s">
        <v>7912</v>
      </c>
      <c r="BC792" s="3441" t="s">
        <v>7913</v>
      </c>
      <c r="BD792" s="3525">
        <v>100036</v>
      </c>
      <c r="BE792" s="3441">
        <v>88515522</v>
      </c>
      <c r="BF792" s="3526">
        <v>2.95</v>
      </c>
      <c r="BG792" s="3518">
        <v>37850</v>
      </c>
      <c r="BH792" s="3441" t="s">
        <v>7648</v>
      </c>
      <c r="BI792" s="3441" t="s">
        <v>3476</v>
      </c>
      <c r="BJ792" s="3484">
        <v>37873</v>
      </c>
      <c r="BK792" s="3518"/>
      <c r="BL792" s="3470" t="s">
        <v>3670</v>
      </c>
      <c r="BS792" s="3470"/>
      <c r="BT792" s="3470"/>
      <c r="BU792" s="3470"/>
    </row>
    <row r="793" spans="1:253" s="3441" customFormat="1" ht="12" hidden="1">
      <c r="A793" s="3485" t="s">
        <v>8900</v>
      </c>
      <c r="B793" s="3470" t="s">
        <v>8901</v>
      </c>
      <c r="C793" s="3481" t="s">
        <v>8902</v>
      </c>
      <c r="D793" s="3481" t="s">
        <v>8903</v>
      </c>
      <c r="E793" s="3470" t="s">
        <v>3558</v>
      </c>
      <c r="F793" s="3528" t="s">
        <v>3733</v>
      </c>
      <c r="G793" s="3470"/>
      <c r="H793" s="3470" t="s">
        <v>8904</v>
      </c>
      <c r="I793" s="3470" t="s">
        <v>5663</v>
      </c>
      <c r="J793" s="3481" t="s">
        <v>8905</v>
      </c>
      <c r="K793" s="3470" t="s">
        <v>3737</v>
      </c>
      <c r="L793" s="3470">
        <v>75.45</v>
      </c>
      <c r="M793" s="3470">
        <v>13</v>
      </c>
      <c r="N793" s="3470" t="s">
        <v>4030</v>
      </c>
      <c r="O793" s="3470">
        <v>60.28</v>
      </c>
      <c r="P793" s="3470" t="s">
        <v>3452</v>
      </c>
      <c r="Q793" s="3492">
        <v>458736</v>
      </c>
      <c r="R793" s="3470">
        <v>6080</v>
      </c>
      <c r="S793" s="3472">
        <v>45.23</v>
      </c>
      <c r="T793" s="3527">
        <v>452299.99999999994</v>
      </c>
      <c r="U793" s="3470">
        <v>5996</v>
      </c>
      <c r="V793" s="3474">
        <v>0.1</v>
      </c>
      <c r="W793" s="3475">
        <v>40.700000000000003</v>
      </c>
      <c r="X793" s="3494">
        <v>407000</v>
      </c>
      <c r="Y793" s="3441">
        <v>2003</v>
      </c>
      <c r="Z793" s="3441">
        <v>9</v>
      </c>
      <c r="AA793" s="3470">
        <v>10</v>
      </c>
      <c r="AB793" s="3477">
        <v>2260</v>
      </c>
      <c r="AC793" s="3470" t="s">
        <v>4922</v>
      </c>
      <c r="AD793" s="3485"/>
      <c r="AE793" s="3441" t="s">
        <v>3663</v>
      </c>
      <c r="AF793" s="3470" t="s">
        <v>4295</v>
      </c>
      <c r="AG793" s="3522" t="s">
        <v>3466</v>
      </c>
      <c r="AH793" s="3485"/>
      <c r="AI793" s="3470" t="s">
        <v>5021</v>
      </c>
      <c r="AJ793" s="3523">
        <v>38045</v>
      </c>
      <c r="AK793" s="3500">
        <v>9</v>
      </c>
      <c r="AL793" s="3441">
        <v>67641700</v>
      </c>
      <c r="AN793" s="3441" t="s">
        <v>3695</v>
      </c>
      <c r="AO793" s="3441" t="s">
        <v>3568</v>
      </c>
      <c r="AP793" s="3441" t="s">
        <v>3476</v>
      </c>
      <c r="AQ793" s="3441" t="s">
        <v>3571</v>
      </c>
      <c r="AW793" s="3441" t="s">
        <v>3572</v>
      </c>
      <c r="AY793" s="3524" t="s">
        <v>8906</v>
      </c>
      <c r="AZ793" s="3441" t="s">
        <v>3737</v>
      </c>
      <c r="BA793" s="3441" t="s">
        <v>3742</v>
      </c>
      <c r="BB793" s="3524" t="s">
        <v>3743</v>
      </c>
      <c r="BC793" s="3441" t="s">
        <v>3744</v>
      </c>
      <c r="BD793" s="3525">
        <v>100088</v>
      </c>
      <c r="BE793" s="3441">
        <v>82058259</v>
      </c>
      <c r="BF793" s="3526" t="s">
        <v>8595</v>
      </c>
      <c r="BG793" s="3518">
        <v>37864</v>
      </c>
      <c r="BH793" s="3441" t="s">
        <v>4753</v>
      </c>
      <c r="BI793" s="3441" t="s">
        <v>3476</v>
      </c>
      <c r="BJ793" s="3484">
        <v>37873</v>
      </c>
      <c r="BK793" s="3518" t="s">
        <v>3715</v>
      </c>
      <c r="BL793" s="3470" t="s">
        <v>3670</v>
      </c>
      <c r="BS793" s="3470"/>
      <c r="BT793" s="3470"/>
      <c r="BU793" s="3470"/>
    </row>
    <row r="794" spans="1:253" s="3470" customFormat="1" ht="12" hidden="1">
      <c r="A794" s="3470" t="s">
        <v>8907</v>
      </c>
      <c r="B794" s="3470" t="s">
        <v>8908</v>
      </c>
      <c r="C794" s="3481" t="s">
        <v>8909</v>
      </c>
      <c r="D794" s="3470">
        <v>13661293298</v>
      </c>
      <c r="E794" s="3470" t="s">
        <v>3558</v>
      </c>
      <c r="F794" s="3470" t="s">
        <v>3559</v>
      </c>
      <c r="H794" s="3470" t="s">
        <v>8910</v>
      </c>
      <c r="I794" s="3470" t="s">
        <v>4124</v>
      </c>
      <c r="J794" s="3481" t="s">
        <v>4862</v>
      </c>
      <c r="K794" s="3470" t="s">
        <v>3563</v>
      </c>
      <c r="L794" s="3470">
        <v>128.96</v>
      </c>
      <c r="M794" s="3470">
        <v>8</v>
      </c>
      <c r="N794" s="3470" t="s">
        <v>4003</v>
      </c>
      <c r="O794" s="3470">
        <v>103.03</v>
      </c>
      <c r="P794" s="3470" t="s">
        <v>3452</v>
      </c>
      <c r="Q794" s="3457">
        <v>589295.61600000004</v>
      </c>
      <c r="R794" s="3470">
        <v>4569.6000000000004</v>
      </c>
      <c r="S794" s="3472">
        <v>58.31</v>
      </c>
      <c r="T794" s="3527">
        <v>583100</v>
      </c>
      <c r="U794" s="3470">
        <v>4522</v>
      </c>
      <c r="V794" s="3474">
        <v>0.05</v>
      </c>
      <c r="W794" s="3475">
        <v>55.39</v>
      </c>
      <c r="X794" s="3476">
        <v>553900</v>
      </c>
      <c r="Y794" s="3441">
        <v>2003</v>
      </c>
      <c r="Z794" s="3441">
        <v>9</v>
      </c>
      <c r="AA794" s="3470">
        <v>10</v>
      </c>
      <c r="AB794" s="3477">
        <v>2915</v>
      </c>
      <c r="AC794" s="3470" t="s">
        <v>8752</v>
      </c>
      <c r="AE794" s="3470" t="s">
        <v>3663</v>
      </c>
      <c r="AF794" s="3470" t="s">
        <v>3493</v>
      </c>
      <c r="AG794" s="3470" t="s">
        <v>3466</v>
      </c>
      <c r="AH794" s="3470" t="s">
        <v>3568</v>
      </c>
      <c r="AI794" s="3470" t="s">
        <v>3664</v>
      </c>
      <c r="AJ794" s="3478">
        <v>37925</v>
      </c>
      <c r="AK794" s="3500">
        <v>9</v>
      </c>
      <c r="AL794" s="3470">
        <v>67641700</v>
      </c>
      <c r="AM794" s="3470" t="s">
        <v>3568</v>
      </c>
      <c r="AN794" s="3441" t="s">
        <v>3695</v>
      </c>
      <c r="AO794" s="3470" t="s">
        <v>3568</v>
      </c>
      <c r="AP794" s="3470" t="s">
        <v>3476</v>
      </c>
      <c r="AQ794" s="3470" t="s">
        <v>3571</v>
      </c>
      <c r="AW794" s="3470" t="s">
        <v>3572</v>
      </c>
      <c r="AY794" s="3481" t="s">
        <v>8911</v>
      </c>
      <c r="AZ794" s="3470" t="s">
        <v>3563</v>
      </c>
      <c r="BA794" s="3470" t="s">
        <v>8912</v>
      </c>
      <c r="BB794" s="3481" t="s">
        <v>3683</v>
      </c>
      <c r="BC794" s="3470" t="s">
        <v>3576</v>
      </c>
      <c r="BD794" s="3482">
        <v>100037</v>
      </c>
      <c r="BE794" s="3470">
        <v>84050046</v>
      </c>
      <c r="BF794" s="3483">
        <v>2.8</v>
      </c>
      <c r="BG794" s="3478">
        <v>37808</v>
      </c>
      <c r="BI794" s="3441" t="s">
        <v>3476</v>
      </c>
      <c r="BJ794" s="3484">
        <v>37873</v>
      </c>
      <c r="BK794" s="3478" t="s">
        <v>2420</v>
      </c>
      <c r="BL794" s="3441" t="s">
        <v>3670</v>
      </c>
      <c r="BM794" s="3441"/>
      <c r="BN794" s="3441"/>
      <c r="BO794" s="3441"/>
      <c r="BP794" s="3441"/>
      <c r="BQ794" s="3441"/>
      <c r="BR794" s="3441"/>
    </row>
    <row r="795" spans="1:253" s="3470" customFormat="1" ht="12" hidden="1">
      <c r="A795" s="3485" t="s">
        <v>8913</v>
      </c>
      <c r="B795" s="3470" t="s">
        <v>8914</v>
      </c>
      <c r="C795" s="3481" t="s">
        <v>8915</v>
      </c>
      <c r="D795" s="3470">
        <v>13301001810</v>
      </c>
      <c r="E795" s="3470" t="s">
        <v>2736</v>
      </c>
      <c r="F795" s="3470" t="s">
        <v>8750</v>
      </c>
      <c r="H795" s="3470" t="s">
        <v>4262</v>
      </c>
      <c r="I795" s="3453" t="s">
        <v>7114</v>
      </c>
      <c r="J795" s="3470" t="s">
        <v>4012</v>
      </c>
      <c r="K795" s="3470" t="s">
        <v>8751</v>
      </c>
      <c r="L795" s="3470">
        <v>137.22999999999999</v>
      </c>
      <c r="M795" s="3470">
        <v>2</v>
      </c>
      <c r="N795" s="3470" t="s">
        <v>3661</v>
      </c>
      <c r="O795" s="3470">
        <v>118.74</v>
      </c>
      <c r="P795" s="3470" t="s">
        <v>3452</v>
      </c>
      <c r="Q795" s="3457">
        <v>772330.44</v>
      </c>
      <c r="R795" s="3495">
        <v>5628</v>
      </c>
      <c r="S795" s="3472">
        <v>76.510000000000005</v>
      </c>
      <c r="T795" s="3527">
        <v>765100</v>
      </c>
      <c r="U795" s="3495">
        <v>5576</v>
      </c>
      <c r="V795" s="3474">
        <v>0.05</v>
      </c>
      <c r="W795" s="3475">
        <v>72.680000000000007</v>
      </c>
      <c r="X795" s="3473">
        <v>726800.00000000012</v>
      </c>
      <c r="Y795" s="3515">
        <v>2003</v>
      </c>
      <c r="Z795" s="3441">
        <v>9</v>
      </c>
      <c r="AA795" s="3470">
        <v>16</v>
      </c>
      <c r="AB795" s="3485">
        <v>3825</v>
      </c>
      <c r="AC795" s="3470" t="s">
        <v>8752</v>
      </c>
      <c r="AE795" s="3441" t="s">
        <v>2156</v>
      </c>
      <c r="AF795" s="3470" t="s">
        <v>3453</v>
      </c>
      <c r="AG795" s="3522" t="s">
        <v>3546</v>
      </c>
      <c r="AI795" s="3470" t="s">
        <v>4849</v>
      </c>
      <c r="AJ795" s="3478">
        <v>37590</v>
      </c>
      <c r="AK795" s="3500" t="s">
        <v>8753</v>
      </c>
      <c r="AL795" s="3470">
        <v>67641700</v>
      </c>
      <c r="AN795" s="3456" t="s">
        <v>3739</v>
      </c>
      <c r="AO795" s="3441" t="s">
        <v>8916</v>
      </c>
      <c r="AP795" s="3470" t="s">
        <v>3476</v>
      </c>
      <c r="AQ795" s="3441" t="s">
        <v>3714</v>
      </c>
      <c r="AW795" s="3470" t="s">
        <v>3572</v>
      </c>
      <c r="AY795" s="3481" t="s">
        <v>8917</v>
      </c>
      <c r="AZ795" s="3470" t="s">
        <v>3981</v>
      </c>
      <c r="BA795" s="3441" t="s">
        <v>3984</v>
      </c>
      <c r="BB795" s="3524" t="s">
        <v>8918</v>
      </c>
      <c r="BC795" s="3441" t="s">
        <v>3985</v>
      </c>
      <c r="BD795" s="3525">
        <v>100101</v>
      </c>
      <c r="BE795" s="3441">
        <v>64858999</v>
      </c>
      <c r="BF795" s="3526">
        <v>2.8</v>
      </c>
      <c r="BG795" s="3478">
        <v>37841</v>
      </c>
      <c r="BI795" s="3441" t="s">
        <v>3476</v>
      </c>
      <c r="BJ795" s="3508">
        <v>37873</v>
      </c>
      <c r="BK795" s="3478"/>
      <c r="BL795" s="3470" t="s">
        <v>3670</v>
      </c>
      <c r="BM795" s="3441"/>
      <c r="BN795" s="3441"/>
      <c r="BO795" s="3441"/>
      <c r="BP795" s="3441"/>
      <c r="BQ795" s="3441"/>
      <c r="BR795" s="3441"/>
    </row>
    <row r="796" spans="1:253" s="3441" customFormat="1" ht="12" hidden="1">
      <c r="A796" s="3485" t="s">
        <v>8919</v>
      </c>
      <c r="B796" s="3470" t="s">
        <v>8920</v>
      </c>
      <c r="C796" s="3481" t="s">
        <v>8921</v>
      </c>
      <c r="D796" s="3481" t="s">
        <v>8922</v>
      </c>
      <c r="E796" s="3470" t="s">
        <v>3558</v>
      </c>
      <c r="F796" s="3528" t="s">
        <v>3733</v>
      </c>
      <c r="G796" s="3470"/>
      <c r="H796" s="3470" t="s">
        <v>6357</v>
      </c>
      <c r="I796" s="3470" t="s">
        <v>8892</v>
      </c>
      <c r="J796" s="3481" t="s">
        <v>6333</v>
      </c>
      <c r="K796" s="3470" t="s">
        <v>3737</v>
      </c>
      <c r="L796" s="3470">
        <v>75.599999999999994</v>
      </c>
      <c r="M796" s="3470">
        <v>11</v>
      </c>
      <c r="N796" s="3470" t="s">
        <v>4030</v>
      </c>
      <c r="O796" s="3470">
        <v>60.4</v>
      </c>
      <c r="P796" s="3470" t="s">
        <v>3452</v>
      </c>
      <c r="Q796" s="3492">
        <v>432431.99999999994</v>
      </c>
      <c r="R796" s="3470">
        <v>5720</v>
      </c>
      <c r="S796" s="3472">
        <v>42.82</v>
      </c>
      <c r="T796" s="3527">
        <v>428200</v>
      </c>
      <c r="U796" s="3470">
        <v>5665</v>
      </c>
      <c r="V796" s="3474">
        <v>0.1</v>
      </c>
      <c r="W796" s="3475">
        <v>38.53</v>
      </c>
      <c r="X796" s="3494">
        <v>385300</v>
      </c>
      <c r="Y796" s="3441">
        <v>2003</v>
      </c>
      <c r="Z796" s="3441">
        <v>9</v>
      </c>
      <c r="AA796" s="3441">
        <v>11</v>
      </c>
      <c r="AB796" s="3477">
        <v>2140</v>
      </c>
      <c r="AC796" s="3470" t="s">
        <v>4800</v>
      </c>
      <c r="AD796" s="3485"/>
      <c r="AE796" s="3441" t="s">
        <v>3663</v>
      </c>
      <c r="AF796" s="3470" t="s">
        <v>8923</v>
      </c>
      <c r="AG796" s="3522" t="s">
        <v>3466</v>
      </c>
      <c r="AH796" s="3485"/>
      <c r="AI796" s="3470" t="s">
        <v>5021</v>
      </c>
      <c r="AJ796" s="3523">
        <v>38045</v>
      </c>
      <c r="AK796" s="3500">
        <v>9</v>
      </c>
      <c r="AL796" s="3441">
        <v>67641700</v>
      </c>
      <c r="AN796" s="3441" t="s">
        <v>3695</v>
      </c>
      <c r="AO796" s="3441" t="s">
        <v>3568</v>
      </c>
      <c r="AP796" s="3441" t="s">
        <v>3476</v>
      </c>
      <c r="AQ796" s="3441" t="s">
        <v>3571</v>
      </c>
      <c r="AW796" s="3441" t="s">
        <v>3572</v>
      </c>
      <c r="AY796" s="3524" t="s">
        <v>8924</v>
      </c>
      <c r="AZ796" s="3441" t="s">
        <v>3737</v>
      </c>
      <c r="BA796" s="3441" t="s">
        <v>3742</v>
      </c>
      <c r="BB796" s="3524" t="s">
        <v>3743</v>
      </c>
      <c r="BC796" s="3441" t="s">
        <v>3744</v>
      </c>
      <c r="BD796" s="3525">
        <v>100088</v>
      </c>
      <c r="BE796" s="3441">
        <v>82058259</v>
      </c>
      <c r="BF796" s="3526" t="s">
        <v>8595</v>
      </c>
      <c r="BG796" s="3518">
        <v>37867</v>
      </c>
      <c r="BH796" s="3441" t="s">
        <v>4753</v>
      </c>
      <c r="BI796" s="3441" t="s">
        <v>3476</v>
      </c>
      <c r="BJ796" s="3484">
        <v>37873</v>
      </c>
      <c r="BK796" s="3518" t="s">
        <v>2420</v>
      </c>
      <c r="BL796" s="3470" t="s">
        <v>3670</v>
      </c>
      <c r="BS796" s="3470"/>
      <c r="BT796" s="3470"/>
      <c r="BU796" s="3470"/>
    </row>
    <row r="797" spans="1:253" s="3441" customFormat="1" ht="12" hidden="1">
      <c r="A797" s="3485" t="s">
        <v>8925</v>
      </c>
      <c r="B797" s="3470" t="s">
        <v>8926</v>
      </c>
      <c r="C797" s="3481" t="s">
        <v>8927</v>
      </c>
      <c r="D797" s="3481" t="s">
        <v>8928</v>
      </c>
      <c r="E797" s="3470" t="s">
        <v>3558</v>
      </c>
      <c r="F797" s="3528" t="s">
        <v>4716</v>
      </c>
      <c r="G797" s="3470"/>
      <c r="H797" s="3470" t="s">
        <v>8929</v>
      </c>
      <c r="I797" s="3470" t="s">
        <v>5518</v>
      </c>
      <c r="J797" s="3481" t="s">
        <v>8930</v>
      </c>
      <c r="K797" s="3470" t="s">
        <v>4720</v>
      </c>
      <c r="L797" s="3470">
        <v>112.09</v>
      </c>
      <c r="M797" s="3470">
        <v>7</v>
      </c>
      <c r="N797" s="3470" t="s">
        <v>5289</v>
      </c>
      <c r="O797" s="3470">
        <v>90.34</v>
      </c>
      <c r="P797" s="3470" t="s">
        <v>3633</v>
      </c>
      <c r="Q797" s="3492">
        <v>522663.87680000009</v>
      </c>
      <c r="R797" s="3470">
        <v>5785.52</v>
      </c>
      <c r="S797" s="3472">
        <v>51.7</v>
      </c>
      <c r="T797" s="3527">
        <v>517000</v>
      </c>
      <c r="U797" s="3470">
        <v>4613</v>
      </c>
      <c r="V797" s="3474">
        <v>0.1</v>
      </c>
      <c r="W797" s="3475">
        <v>46.53</v>
      </c>
      <c r="X797" s="3494">
        <v>465300</v>
      </c>
      <c r="Y797" s="3441">
        <v>2003</v>
      </c>
      <c r="Z797" s="3441">
        <v>9</v>
      </c>
      <c r="AA797" s="3441">
        <v>11</v>
      </c>
      <c r="AB797" s="3477">
        <v>2585</v>
      </c>
      <c r="AC797" s="3470" t="s">
        <v>8931</v>
      </c>
      <c r="AD797" s="3485"/>
      <c r="AE797" s="3441" t="s">
        <v>3663</v>
      </c>
      <c r="AF797" s="3470" t="s">
        <v>4721</v>
      </c>
      <c r="AG797" s="3522" t="s">
        <v>3466</v>
      </c>
      <c r="AH797" s="3485"/>
      <c r="AI797" s="3470" t="s">
        <v>5021</v>
      </c>
      <c r="AJ797" s="3523">
        <v>38230</v>
      </c>
      <c r="AK797" s="3500">
        <v>9</v>
      </c>
      <c r="AL797" s="3441">
        <v>67641700</v>
      </c>
      <c r="AN797" s="3441" t="s">
        <v>3695</v>
      </c>
      <c r="AO797" s="3441" t="s">
        <v>3568</v>
      </c>
      <c r="AP797" s="3441" t="s">
        <v>3476</v>
      </c>
      <c r="AQ797" s="3441" t="s">
        <v>3571</v>
      </c>
      <c r="AW797" s="3441" t="s">
        <v>3572</v>
      </c>
      <c r="AY797" s="3524" t="s">
        <v>8932</v>
      </c>
      <c r="AZ797" s="3441" t="s">
        <v>4720</v>
      </c>
      <c r="BA797" s="3441" t="s">
        <v>4725</v>
      </c>
      <c r="BB797" s="3524" t="s">
        <v>4726</v>
      </c>
      <c r="BC797" s="3441" t="s">
        <v>4727</v>
      </c>
      <c r="BD797" s="3525">
        <v>100005</v>
      </c>
      <c r="BE797" s="3441">
        <v>65128628</v>
      </c>
      <c r="BF797" s="3526">
        <v>2.8</v>
      </c>
      <c r="BG797" s="3518">
        <v>37834</v>
      </c>
      <c r="BI797" s="3441" t="s">
        <v>3476</v>
      </c>
      <c r="BJ797" s="3484">
        <v>37873</v>
      </c>
      <c r="BK797" s="3518" t="s">
        <v>3568</v>
      </c>
      <c r="BL797" s="3470" t="s">
        <v>3670</v>
      </c>
      <c r="BS797" s="3470"/>
      <c r="BT797" s="3470"/>
      <c r="BU797" s="3470"/>
    </row>
    <row r="798" spans="1:253" s="3470" customFormat="1" ht="12" hidden="1">
      <c r="A798" s="3453" t="s">
        <v>8933</v>
      </c>
      <c r="B798" s="3470" t="s">
        <v>8934</v>
      </c>
      <c r="C798" s="3481" t="s">
        <v>8935</v>
      </c>
      <c r="D798" s="3470">
        <v>13051853379</v>
      </c>
      <c r="E798" s="3470" t="s">
        <v>3558</v>
      </c>
      <c r="F798" s="3470" t="s">
        <v>8936</v>
      </c>
      <c r="H798" s="3453" t="s">
        <v>4484</v>
      </c>
      <c r="I798" s="3453" t="s">
        <v>8937</v>
      </c>
      <c r="J798" s="3453" t="s">
        <v>3920</v>
      </c>
      <c r="K798" s="3470" t="s">
        <v>4772</v>
      </c>
      <c r="L798" s="3495">
        <v>112.51</v>
      </c>
      <c r="M798" s="3495">
        <v>6</v>
      </c>
      <c r="N798" s="3470" t="s">
        <v>7229</v>
      </c>
      <c r="O798" s="3495"/>
      <c r="P798" s="3470" t="s">
        <v>4222</v>
      </c>
      <c r="Q798" s="3457">
        <v>399410.5</v>
      </c>
      <c r="R798" s="3495">
        <v>3550</v>
      </c>
      <c r="S798" s="3472">
        <v>39.42</v>
      </c>
      <c r="T798" s="3527">
        <v>394200</v>
      </c>
      <c r="U798" s="3495">
        <v>3504</v>
      </c>
      <c r="V798" s="3474">
        <v>0.05</v>
      </c>
      <c r="W798" s="3475">
        <v>37.44</v>
      </c>
      <c r="X798" s="3476">
        <v>374400</v>
      </c>
      <c r="Y798" s="3495">
        <v>2003</v>
      </c>
      <c r="Z798" s="3495">
        <v>9</v>
      </c>
      <c r="AA798" s="3495">
        <v>11</v>
      </c>
      <c r="AB798" s="3477">
        <v>1970</v>
      </c>
      <c r="AC798" s="3470" t="s">
        <v>4800</v>
      </c>
      <c r="AE798" s="3456" t="s">
        <v>3663</v>
      </c>
      <c r="AF798" s="3453" t="s">
        <v>7256</v>
      </c>
      <c r="AG798" s="3470" t="s">
        <v>3466</v>
      </c>
      <c r="AI798" s="3456" t="s">
        <v>7643</v>
      </c>
      <c r="AJ798" s="3478">
        <v>37927</v>
      </c>
      <c r="AK798" s="3548">
        <v>9</v>
      </c>
      <c r="AL798" s="3495">
        <v>67641700</v>
      </c>
      <c r="AN798" s="3456" t="s">
        <v>3791</v>
      </c>
      <c r="AO798" s="3470" t="s">
        <v>3568</v>
      </c>
      <c r="AP798" s="3456" t="s">
        <v>3476</v>
      </c>
      <c r="AQ798" s="3456" t="s">
        <v>3571</v>
      </c>
      <c r="AV798" s="3519"/>
      <c r="AW798" s="3470" t="s">
        <v>3572</v>
      </c>
      <c r="AY798" s="3495" t="s">
        <v>8938</v>
      </c>
      <c r="AZ798" s="3470" t="s">
        <v>4772</v>
      </c>
      <c r="BA798" s="3470" t="s">
        <v>4775</v>
      </c>
      <c r="BB798" s="3470" t="s">
        <v>4776</v>
      </c>
      <c r="BC798" s="3470" t="s">
        <v>4777</v>
      </c>
      <c r="BD798" s="3470">
        <v>100083</v>
      </c>
      <c r="BE798" s="3470">
        <v>82355171</v>
      </c>
      <c r="BF798" s="3520">
        <v>2.7</v>
      </c>
      <c r="BG798" s="3478">
        <v>37866</v>
      </c>
      <c r="BI798" s="3441" t="s">
        <v>8464</v>
      </c>
      <c r="BJ798" s="3478">
        <v>37867</v>
      </c>
      <c r="BK798" s="3478"/>
      <c r="BL798" s="3470" t="s">
        <v>3670</v>
      </c>
      <c r="BP798" s="3441"/>
      <c r="BQ798" s="3441"/>
      <c r="BR798" s="3441"/>
    </row>
    <row r="799" spans="1:253" s="3441" customFormat="1" ht="12" hidden="1">
      <c r="A799" s="3485" t="s">
        <v>8939</v>
      </c>
      <c r="B799" s="3470" t="s">
        <v>8940</v>
      </c>
      <c r="C799" s="3481" t="s">
        <v>8941</v>
      </c>
      <c r="D799" s="3481" t="s">
        <v>8942</v>
      </c>
      <c r="E799" s="3470" t="s">
        <v>3558</v>
      </c>
      <c r="F799" s="3528" t="s">
        <v>4716</v>
      </c>
      <c r="G799" s="3470"/>
      <c r="H799" s="3470" t="s">
        <v>8943</v>
      </c>
      <c r="I799" s="3470" t="s">
        <v>4236</v>
      </c>
      <c r="J799" s="3481" t="s">
        <v>4208</v>
      </c>
      <c r="K799" s="3470" t="s">
        <v>4720</v>
      </c>
      <c r="L799" s="3470">
        <v>112.95</v>
      </c>
      <c r="M799" s="3470">
        <v>8</v>
      </c>
      <c r="N799" s="3470" t="s">
        <v>4871</v>
      </c>
      <c r="O799" s="3470">
        <v>87.81</v>
      </c>
      <c r="P799" s="3470" t="s">
        <v>3452</v>
      </c>
      <c r="Q799" s="3492">
        <v>471883.03710000002</v>
      </c>
      <c r="R799" s="3470">
        <v>5373.91</v>
      </c>
      <c r="S799" s="3472">
        <v>46.62</v>
      </c>
      <c r="T799" s="3527">
        <v>466200</v>
      </c>
      <c r="U799" s="3470">
        <v>4128</v>
      </c>
      <c r="V799" s="3474">
        <v>0.1</v>
      </c>
      <c r="W799" s="3475">
        <v>41.95</v>
      </c>
      <c r="X799" s="3494">
        <v>419500</v>
      </c>
      <c r="Y799" s="3441">
        <v>2003</v>
      </c>
      <c r="Z799" s="3441">
        <v>9</v>
      </c>
      <c r="AA799" s="3441">
        <v>16</v>
      </c>
      <c r="AB799" s="3477">
        <v>2330</v>
      </c>
      <c r="AC799" s="3470" t="s">
        <v>3544</v>
      </c>
      <c r="AD799" s="3485"/>
      <c r="AE799" s="3441" t="s">
        <v>3663</v>
      </c>
      <c r="AF799" s="3470" t="s">
        <v>4721</v>
      </c>
      <c r="AG799" s="3522" t="s">
        <v>3466</v>
      </c>
      <c r="AH799" s="3485"/>
      <c r="AI799" s="3470" t="s">
        <v>5021</v>
      </c>
      <c r="AJ799" s="3523">
        <v>38230</v>
      </c>
      <c r="AK799" s="3500">
        <v>9</v>
      </c>
      <c r="AL799" s="3441">
        <v>67641700</v>
      </c>
      <c r="AN799" s="3456" t="s">
        <v>3739</v>
      </c>
      <c r="AO799" s="3441" t="s">
        <v>3568</v>
      </c>
      <c r="AP799" s="3441" t="s">
        <v>3476</v>
      </c>
      <c r="AQ799" s="3441" t="s">
        <v>3571</v>
      </c>
      <c r="AW799" s="3441" t="s">
        <v>3572</v>
      </c>
      <c r="AY799" s="3524" t="s">
        <v>8944</v>
      </c>
      <c r="AZ799" s="3441" t="s">
        <v>4720</v>
      </c>
      <c r="BA799" s="3441" t="s">
        <v>4725</v>
      </c>
      <c r="BB799" s="3524" t="s">
        <v>4726</v>
      </c>
      <c r="BC799" s="3441" t="s">
        <v>4727</v>
      </c>
      <c r="BD799" s="3525">
        <v>100005</v>
      </c>
      <c r="BE799" s="3441">
        <v>65128628</v>
      </c>
      <c r="BF799" s="3526">
        <v>2.8</v>
      </c>
      <c r="BG799" s="3518">
        <v>37816</v>
      </c>
      <c r="BI799" s="3441" t="s">
        <v>3476</v>
      </c>
      <c r="BJ799" s="3508">
        <v>37874</v>
      </c>
      <c r="BK799" s="3518" t="s">
        <v>3568</v>
      </c>
      <c r="BL799" s="3470" t="s">
        <v>3670</v>
      </c>
      <c r="BS799" s="3470"/>
      <c r="BT799" s="3470"/>
      <c r="BU799" s="3470"/>
    </row>
    <row r="800" spans="1:253" s="3604" customFormat="1" ht="12" hidden="1">
      <c r="A800" s="3485" t="s">
        <v>8945</v>
      </c>
      <c r="B800" s="3470" t="s">
        <v>8946</v>
      </c>
      <c r="C800" s="3481" t="s">
        <v>8947</v>
      </c>
      <c r="D800" s="3481" t="s">
        <v>8948</v>
      </c>
      <c r="E800" s="3470" t="s">
        <v>3558</v>
      </c>
      <c r="F800" s="3528" t="s">
        <v>3733</v>
      </c>
      <c r="G800" s="3470"/>
      <c r="H800" s="3470" t="s">
        <v>4706</v>
      </c>
      <c r="I800" s="3470" t="s">
        <v>8815</v>
      </c>
      <c r="J800" s="3481" t="s">
        <v>8949</v>
      </c>
      <c r="K800" s="3470" t="s">
        <v>3737</v>
      </c>
      <c r="L800" s="3470">
        <v>54.88</v>
      </c>
      <c r="M800" s="3470">
        <v>17</v>
      </c>
      <c r="N800" s="3470" t="s">
        <v>3489</v>
      </c>
      <c r="O800" s="3470">
        <v>43.84</v>
      </c>
      <c r="P800" s="3470" t="s">
        <v>3452</v>
      </c>
      <c r="Q800" s="3492">
        <v>327084.79999999999</v>
      </c>
      <c r="R800" s="3470">
        <v>5960</v>
      </c>
      <c r="S800" s="3472">
        <v>32.4</v>
      </c>
      <c r="T800" s="3527">
        <v>324000</v>
      </c>
      <c r="U800" s="3470">
        <v>5904</v>
      </c>
      <c r="V800" s="3474">
        <v>0.1</v>
      </c>
      <c r="W800" s="3475">
        <v>29.16</v>
      </c>
      <c r="X800" s="3494">
        <v>291600</v>
      </c>
      <c r="Y800" s="3441">
        <v>2003</v>
      </c>
      <c r="Z800" s="3441">
        <v>9</v>
      </c>
      <c r="AA800" s="3441">
        <v>11</v>
      </c>
      <c r="AB800" s="3477">
        <v>1620</v>
      </c>
      <c r="AC800" s="3470" t="s">
        <v>4800</v>
      </c>
      <c r="AD800" s="3485"/>
      <c r="AE800" s="3441" t="s">
        <v>3663</v>
      </c>
      <c r="AF800" s="3470" t="s">
        <v>8923</v>
      </c>
      <c r="AG800" s="3522" t="s">
        <v>3466</v>
      </c>
      <c r="AH800" s="3485"/>
      <c r="AI800" s="3470" t="s">
        <v>5021</v>
      </c>
      <c r="AJ800" s="3523">
        <v>38045</v>
      </c>
      <c r="AK800" s="3500">
        <v>9</v>
      </c>
      <c r="AL800" s="3441">
        <v>67641700</v>
      </c>
      <c r="AM800" s="3441"/>
      <c r="AN800" s="3441" t="s">
        <v>3695</v>
      </c>
      <c r="AO800" s="3441" t="s">
        <v>3568</v>
      </c>
      <c r="AP800" s="3441" t="s">
        <v>3476</v>
      </c>
      <c r="AQ800" s="3441" t="s">
        <v>3571</v>
      </c>
      <c r="AR800" s="3441"/>
      <c r="AS800" s="3441"/>
      <c r="AT800" s="3441"/>
      <c r="AU800" s="3441"/>
      <c r="AV800" s="3441"/>
      <c r="AW800" s="3441" t="s">
        <v>3572</v>
      </c>
      <c r="AX800" s="3441"/>
      <c r="AY800" s="3524" t="s">
        <v>8950</v>
      </c>
      <c r="AZ800" s="3441" t="s">
        <v>3737</v>
      </c>
      <c r="BA800" s="3441" t="s">
        <v>3742</v>
      </c>
      <c r="BB800" s="3524" t="s">
        <v>3743</v>
      </c>
      <c r="BC800" s="3441" t="s">
        <v>3744</v>
      </c>
      <c r="BD800" s="3525">
        <v>100088</v>
      </c>
      <c r="BE800" s="3441">
        <v>82058259</v>
      </c>
      <c r="BF800" s="3526" t="s">
        <v>8595</v>
      </c>
      <c r="BG800" s="3518">
        <v>37867</v>
      </c>
      <c r="BH800" s="3441" t="s">
        <v>4753</v>
      </c>
      <c r="BI800" s="3441" t="s">
        <v>3476</v>
      </c>
      <c r="BJ800" s="3484">
        <v>37873</v>
      </c>
      <c r="BK800" s="3518" t="s">
        <v>2420</v>
      </c>
      <c r="BL800" s="3470" t="s">
        <v>3670</v>
      </c>
      <c r="BM800" s="3441"/>
      <c r="BN800" s="3441"/>
      <c r="BO800" s="3441"/>
      <c r="BP800" s="3441"/>
      <c r="BQ800" s="3441"/>
      <c r="BR800" s="3441"/>
      <c r="BS800" s="3470"/>
      <c r="BT800" s="3470"/>
      <c r="BU800" s="3470"/>
    </row>
    <row r="801" spans="1:253" s="3441" customFormat="1" ht="12" hidden="1">
      <c r="A801" s="3485" t="s">
        <v>8951</v>
      </c>
      <c r="B801" s="3470" t="s">
        <v>8952</v>
      </c>
      <c r="C801" s="3481" t="s">
        <v>8953</v>
      </c>
      <c r="D801" s="3481" t="s">
        <v>8954</v>
      </c>
      <c r="E801" s="3470" t="s">
        <v>3558</v>
      </c>
      <c r="F801" s="3470" t="s">
        <v>7153</v>
      </c>
      <c r="G801" s="3470" t="s">
        <v>3568</v>
      </c>
      <c r="H801" s="3470" t="s">
        <v>6103</v>
      </c>
      <c r="I801" s="3453" t="s">
        <v>3582</v>
      </c>
      <c r="J801" s="3481" t="s">
        <v>4448</v>
      </c>
      <c r="K801" s="3470" t="s">
        <v>6117</v>
      </c>
      <c r="L801" s="3470">
        <v>116.66</v>
      </c>
      <c r="M801" s="3470">
        <v>12</v>
      </c>
      <c r="N801" s="3470" t="s">
        <v>7229</v>
      </c>
      <c r="O801" s="3470">
        <v>98.93</v>
      </c>
      <c r="P801" s="3470" t="s">
        <v>3452</v>
      </c>
      <c r="Q801" s="3457">
        <v>479472.6</v>
      </c>
      <c r="R801" s="3470">
        <v>4110</v>
      </c>
      <c r="S801" s="3472">
        <v>47.36</v>
      </c>
      <c r="T801" s="3527">
        <v>473600</v>
      </c>
      <c r="U801" s="3470">
        <v>4060</v>
      </c>
      <c r="V801" s="3474">
        <v>0.1</v>
      </c>
      <c r="W801" s="3475">
        <v>42.62</v>
      </c>
      <c r="X801" s="3476">
        <v>426200</v>
      </c>
      <c r="Y801" s="3441">
        <v>2003</v>
      </c>
      <c r="Z801" s="3441">
        <v>10</v>
      </c>
      <c r="AA801" s="3470">
        <v>21</v>
      </c>
      <c r="AB801" s="3477">
        <v>2365</v>
      </c>
      <c r="AC801" s="3470" t="s">
        <v>8955</v>
      </c>
      <c r="AD801" s="3485"/>
      <c r="AE801" s="3441" t="s">
        <v>3663</v>
      </c>
      <c r="AF801" s="3470" t="s">
        <v>4787</v>
      </c>
      <c r="AG801" s="3522" t="s">
        <v>3466</v>
      </c>
      <c r="AH801" s="3485"/>
      <c r="AI801" s="3470" t="s">
        <v>5021</v>
      </c>
      <c r="AJ801" s="3523">
        <v>38108</v>
      </c>
      <c r="AK801" s="3500" t="s">
        <v>4752</v>
      </c>
      <c r="AL801" s="3441">
        <v>67641700</v>
      </c>
      <c r="AN801" s="3469" t="s">
        <v>3482</v>
      </c>
      <c r="AO801" s="3441" t="s">
        <v>8956</v>
      </c>
      <c r="AP801" s="3441" t="s">
        <v>3476</v>
      </c>
      <c r="AQ801" s="3441" t="s">
        <v>3571</v>
      </c>
      <c r="AW801" s="3441" t="s">
        <v>3572</v>
      </c>
      <c r="AX801" s="3441" t="s">
        <v>3568</v>
      </c>
      <c r="AY801" s="3524" t="s">
        <v>8957</v>
      </c>
      <c r="AZ801" s="3441" t="s">
        <v>6117</v>
      </c>
      <c r="BA801" s="3441" t="s">
        <v>7157</v>
      </c>
      <c r="BB801" s="3524">
        <v>1102281326100</v>
      </c>
      <c r="BC801" s="3441" t="s">
        <v>7158</v>
      </c>
      <c r="BD801" s="3525">
        <v>100055</v>
      </c>
      <c r="BE801" s="3441">
        <v>82951881</v>
      </c>
      <c r="BF801" s="3526">
        <v>2.8</v>
      </c>
      <c r="BG801" s="3518">
        <v>37870</v>
      </c>
      <c r="BH801" s="3441" t="s">
        <v>4753</v>
      </c>
      <c r="BI801" s="3441" t="s">
        <v>3476</v>
      </c>
      <c r="BJ801" s="3484">
        <v>37911</v>
      </c>
      <c r="BK801" s="3484"/>
      <c r="BL801" s="3470" t="s">
        <v>3670</v>
      </c>
    </row>
    <row r="802" spans="1:253" s="3441" customFormat="1" ht="12" hidden="1">
      <c r="A802" s="3485" t="s">
        <v>8958</v>
      </c>
      <c r="B802" s="3470" t="s">
        <v>8959</v>
      </c>
      <c r="C802" s="3481" t="s">
        <v>8960</v>
      </c>
      <c r="D802" s="3481" t="s">
        <v>8961</v>
      </c>
      <c r="E802" s="3470" t="s">
        <v>3558</v>
      </c>
      <c r="F802" s="3528" t="s">
        <v>3733</v>
      </c>
      <c r="G802" s="3470"/>
      <c r="H802" s="3470" t="s">
        <v>8962</v>
      </c>
      <c r="I802" s="3470" t="s">
        <v>4563</v>
      </c>
      <c r="J802" s="3481" t="s">
        <v>6011</v>
      </c>
      <c r="K802" s="3470" t="s">
        <v>3737</v>
      </c>
      <c r="L802" s="3470">
        <v>75.45</v>
      </c>
      <c r="M802" s="3470">
        <v>4</v>
      </c>
      <c r="N802" s="3470" t="s">
        <v>4030</v>
      </c>
      <c r="O802" s="3470">
        <v>60.28</v>
      </c>
      <c r="P802" s="3470" t="s">
        <v>3452</v>
      </c>
      <c r="Q802" s="3492">
        <v>431574</v>
      </c>
      <c r="R802" s="3470">
        <v>5720</v>
      </c>
      <c r="S802" s="3472">
        <v>41.73</v>
      </c>
      <c r="T802" s="3527">
        <v>417299.99999999994</v>
      </c>
      <c r="U802" s="3470">
        <v>5532</v>
      </c>
      <c r="V802" s="3474">
        <v>0.1</v>
      </c>
      <c r="W802" s="3475">
        <v>37.549999999999997</v>
      </c>
      <c r="X802" s="3494">
        <v>375500</v>
      </c>
      <c r="Y802" s="3441">
        <v>2003</v>
      </c>
      <c r="Z802" s="3441">
        <v>9</v>
      </c>
      <c r="AA802" s="3470">
        <v>17</v>
      </c>
      <c r="AB802" s="3477">
        <v>2085</v>
      </c>
      <c r="AC802" s="3470" t="s">
        <v>4800</v>
      </c>
      <c r="AD802" s="3485"/>
      <c r="AE802" s="3441" t="s">
        <v>3663</v>
      </c>
      <c r="AF802" s="3470" t="s">
        <v>3604</v>
      </c>
      <c r="AG802" s="3522" t="s">
        <v>3466</v>
      </c>
      <c r="AH802" s="3485"/>
      <c r="AI802" s="3470" t="s">
        <v>5021</v>
      </c>
      <c r="AJ802" s="3523">
        <v>38045</v>
      </c>
      <c r="AK802" s="3500">
        <v>9</v>
      </c>
      <c r="AL802" s="3441">
        <v>67641700</v>
      </c>
      <c r="AN802" s="3456" t="s">
        <v>3739</v>
      </c>
      <c r="AO802" s="3441" t="s">
        <v>8963</v>
      </c>
      <c r="AP802" s="3441" t="s">
        <v>3476</v>
      </c>
      <c r="AQ802" s="3441" t="s">
        <v>3571</v>
      </c>
      <c r="AW802" s="3441" t="s">
        <v>3572</v>
      </c>
      <c r="AY802" s="3524" t="s">
        <v>8964</v>
      </c>
      <c r="AZ802" s="3441" t="s">
        <v>3737</v>
      </c>
      <c r="BA802" s="3441" t="s">
        <v>3742</v>
      </c>
      <c r="BB802" s="3524" t="s">
        <v>3743</v>
      </c>
      <c r="BC802" s="3441" t="s">
        <v>3744</v>
      </c>
      <c r="BD802" s="3525">
        <v>100088</v>
      </c>
      <c r="BE802" s="3441">
        <v>82058259</v>
      </c>
      <c r="BF802" s="3526" t="s">
        <v>8595</v>
      </c>
      <c r="BG802" s="3518">
        <v>37866</v>
      </c>
      <c r="BH802" s="3441" t="s">
        <v>4753</v>
      </c>
      <c r="BI802" s="3441" t="s">
        <v>3476</v>
      </c>
      <c r="BJ802" s="3508">
        <v>37879</v>
      </c>
      <c r="BK802" s="3518" t="s">
        <v>6879</v>
      </c>
      <c r="BL802" s="3470" t="s">
        <v>3670</v>
      </c>
      <c r="BS802" s="3470"/>
      <c r="BT802" s="3470"/>
      <c r="BU802" s="3470"/>
    </row>
    <row r="803" spans="1:253" s="3470" customFormat="1" ht="12" hidden="1">
      <c r="A803" s="3470" t="s">
        <v>8965</v>
      </c>
      <c r="B803" s="3470" t="s">
        <v>8966</v>
      </c>
      <c r="C803" s="3481" t="s">
        <v>8967</v>
      </c>
      <c r="D803" s="3487" t="s">
        <v>8968</v>
      </c>
      <c r="E803" s="3470" t="s">
        <v>3558</v>
      </c>
      <c r="F803" s="3470" t="s">
        <v>3733</v>
      </c>
      <c r="H803" s="3453" t="s">
        <v>8969</v>
      </c>
      <c r="I803" s="3453" t="s">
        <v>7796</v>
      </c>
      <c r="J803" s="3453" t="s">
        <v>8970</v>
      </c>
      <c r="K803" s="3470" t="s">
        <v>3737</v>
      </c>
      <c r="L803" s="3495">
        <v>54.88</v>
      </c>
      <c r="M803" s="3495">
        <v>16</v>
      </c>
      <c r="N803" s="3470" t="s">
        <v>3564</v>
      </c>
      <c r="O803" s="3495">
        <v>43.84</v>
      </c>
      <c r="P803" s="3470" t="s">
        <v>3452</v>
      </c>
      <c r="Q803" s="3457">
        <v>341353.6</v>
      </c>
      <c r="R803" s="3470">
        <v>6220</v>
      </c>
      <c r="S803" s="3472">
        <v>32.86</v>
      </c>
      <c r="T803" s="3602">
        <v>328600</v>
      </c>
      <c r="U803" s="3470">
        <v>5988</v>
      </c>
      <c r="V803" s="3474">
        <v>0.1</v>
      </c>
      <c r="W803" s="3475">
        <v>29.57</v>
      </c>
      <c r="X803" s="3602">
        <v>295700</v>
      </c>
      <c r="Y803" s="3470">
        <v>2003</v>
      </c>
      <c r="Z803" s="3470">
        <v>9</v>
      </c>
      <c r="AA803" s="3441">
        <v>23</v>
      </c>
      <c r="AB803" s="3477">
        <v>1640</v>
      </c>
      <c r="AC803" s="3490" t="s">
        <v>8971</v>
      </c>
      <c r="AE803" s="3456" t="s">
        <v>3663</v>
      </c>
      <c r="AF803" s="3470" t="s">
        <v>4032</v>
      </c>
      <c r="AG803" s="3470" t="s">
        <v>3466</v>
      </c>
      <c r="AI803" s="3470" t="s">
        <v>5021</v>
      </c>
      <c r="AJ803" s="3478">
        <v>38045</v>
      </c>
      <c r="AK803" s="3603">
        <v>9</v>
      </c>
      <c r="AL803" s="3495">
        <v>67641700</v>
      </c>
      <c r="AN803" s="3480" t="s">
        <v>3680</v>
      </c>
      <c r="AO803" s="3441" t="s">
        <v>8972</v>
      </c>
      <c r="AP803" s="3456" t="s">
        <v>3476</v>
      </c>
      <c r="AQ803" s="3456" t="s">
        <v>3571</v>
      </c>
      <c r="AV803" s="3519"/>
      <c r="AW803" s="3470" t="s">
        <v>3572</v>
      </c>
      <c r="AY803" s="3453" t="s">
        <v>8973</v>
      </c>
      <c r="AZ803" s="3470" t="s">
        <v>3737</v>
      </c>
      <c r="BA803" s="3470" t="s">
        <v>3742</v>
      </c>
      <c r="BB803" s="3470" t="s">
        <v>3743</v>
      </c>
      <c r="BC803" s="3470" t="s">
        <v>3744</v>
      </c>
      <c r="BD803" s="3470">
        <v>100088</v>
      </c>
      <c r="BE803" s="3470">
        <v>82058259</v>
      </c>
      <c r="BF803" s="3520" t="s">
        <v>8595</v>
      </c>
      <c r="BG803" s="3478">
        <v>37861</v>
      </c>
      <c r="BH803" s="3470" t="s">
        <v>4753</v>
      </c>
      <c r="BI803" s="3441" t="s">
        <v>3476</v>
      </c>
      <c r="BJ803" s="3478">
        <v>37882</v>
      </c>
      <c r="BK803" s="3478" t="s">
        <v>3568</v>
      </c>
      <c r="BL803" s="3441" t="s">
        <v>3670</v>
      </c>
      <c r="BM803" s="3441"/>
      <c r="BN803" s="3441"/>
      <c r="BO803" s="3441"/>
      <c r="BP803" s="3441"/>
      <c r="BQ803" s="3441"/>
      <c r="BR803" s="3441"/>
    </row>
    <row r="804" spans="1:253" s="3441" customFormat="1" ht="12" hidden="1">
      <c r="A804" s="3453" t="s">
        <v>8974</v>
      </c>
      <c r="B804" s="3470" t="s">
        <v>8975</v>
      </c>
      <c r="C804" s="3481" t="s">
        <v>8976</v>
      </c>
      <c r="D804" s="3481" t="s">
        <v>8977</v>
      </c>
      <c r="E804" s="3470" t="s">
        <v>3558</v>
      </c>
      <c r="F804" s="3470" t="s">
        <v>5428</v>
      </c>
      <c r="G804" s="3470"/>
      <c r="H804" s="3470" t="s">
        <v>8978</v>
      </c>
      <c r="I804" s="3470" t="s">
        <v>7204</v>
      </c>
      <c r="J804" s="3481" t="s">
        <v>8979</v>
      </c>
      <c r="K804" s="3470" t="s">
        <v>5786</v>
      </c>
      <c r="L804" s="3470">
        <v>98.65</v>
      </c>
      <c r="M804" s="3470">
        <v>9</v>
      </c>
      <c r="N804" s="3470" t="s">
        <v>4030</v>
      </c>
      <c r="O804" s="3470">
        <v>78.709999999999994</v>
      </c>
      <c r="P804" s="3470" t="s">
        <v>3452</v>
      </c>
      <c r="Q804" s="3457">
        <v>526889.65</v>
      </c>
      <c r="R804" s="3470">
        <v>5341</v>
      </c>
      <c r="S804" s="3472">
        <v>52.18</v>
      </c>
      <c r="T804" s="3527">
        <v>521800</v>
      </c>
      <c r="U804" s="3495">
        <v>5290</v>
      </c>
      <c r="V804" s="3474">
        <v>0.1</v>
      </c>
      <c r="W804" s="3475">
        <v>46.96</v>
      </c>
      <c r="X804" s="3473">
        <v>469600</v>
      </c>
      <c r="Y804" s="3495">
        <v>2003</v>
      </c>
      <c r="Z804" s="3441">
        <v>10</v>
      </c>
      <c r="AA804" s="3441">
        <v>14</v>
      </c>
      <c r="AB804" s="3477">
        <v>2605</v>
      </c>
      <c r="AC804" s="3470" t="s">
        <v>6891</v>
      </c>
      <c r="AD804" s="3485"/>
      <c r="AE804" s="3441" t="s">
        <v>3663</v>
      </c>
      <c r="AF804" s="3470" t="s">
        <v>7027</v>
      </c>
      <c r="AG804" s="3522" t="s">
        <v>3466</v>
      </c>
      <c r="AH804" s="3485" t="s">
        <v>3568</v>
      </c>
      <c r="AI804" s="3470" t="s">
        <v>5021</v>
      </c>
      <c r="AJ804" s="3523">
        <v>37864</v>
      </c>
      <c r="AK804" s="3500" t="s">
        <v>8786</v>
      </c>
      <c r="AL804" s="3441">
        <v>67641700</v>
      </c>
      <c r="AN804" s="3456" t="s">
        <v>3695</v>
      </c>
      <c r="AO804" s="3441" t="s">
        <v>3568</v>
      </c>
      <c r="AP804" s="3441" t="s">
        <v>3476</v>
      </c>
      <c r="AQ804" s="3441" t="s">
        <v>3571</v>
      </c>
      <c r="AR804" s="3441" t="s">
        <v>3568</v>
      </c>
      <c r="AS804" s="3441" t="s">
        <v>3568</v>
      </c>
      <c r="AT804" s="3441" t="s">
        <v>3568</v>
      </c>
      <c r="AW804" s="3441" t="s">
        <v>3572</v>
      </c>
      <c r="AX804" s="3441" t="s">
        <v>2420</v>
      </c>
      <c r="AY804" s="3524" t="s">
        <v>8980</v>
      </c>
      <c r="AZ804" s="3441" t="s">
        <v>5786</v>
      </c>
      <c r="BA804" s="3441" t="s">
        <v>7527</v>
      </c>
      <c r="BB804" s="3524">
        <v>1101082131202</v>
      </c>
      <c r="BC804" s="3441" t="s">
        <v>5436</v>
      </c>
      <c r="BD804" s="3525">
        <v>102400</v>
      </c>
      <c r="BE804" s="3441">
        <v>62842753</v>
      </c>
      <c r="BF804" s="3526">
        <v>2.8</v>
      </c>
      <c r="BG804" s="3518">
        <v>37850</v>
      </c>
      <c r="BH804" s="3441" t="s">
        <v>3568</v>
      </c>
      <c r="BI804" s="3441" t="s">
        <v>3476</v>
      </c>
      <c r="BJ804" s="3484">
        <v>37875</v>
      </c>
      <c r="BK804" s="3484">
        <v>37849</v>
      </c>
      <c r="BL804" s="3470" t="s">
        <v>3670</v>
      </c>
    </row>
    <row r="805" spans="1:253" s="3441" customFormat="1" ht="12" hidden="1">
      <c r="A805" s="3485" t="s">
        <v>8981</v>
      </c>
      <c r="B805" s="3470" t="s">
        <v>8982</v>
      </c>
      <c r="C805" s="3481" t="s">
        <v>8983</v>
      </c>
      <c r="D805" s="3481" t="s">
        <v>8984</v>
      </c>
      <c r="E805" s="3470" t="s">
        <v>3558</v>
      </c>
      <c r="F805" s="3470" t="s">
        <v>4693</v>
      </c>
      <c r="G805" s="3470"/>
      <c r="H805" s="3470" t="s">
        <v>4694</v>
      </c>
      <c r="I805" s="3470" t="s">
        <v>4535</v>
      </c>
      <c r="J805" s="3481" t="s">
        <v>8985</v>
      </c>
      <c r="K805" s="3470" t="s">
        <v>4697</v>
      </c>
      <c r="L805" s="3470">
        <v>37.76</v>
      </c>
      <c r="M805" s="3470">
        <v>3</v>
      </c>
      <c r="N805" s="3470" t="s">
        <v>3692</v>
      </c>
      <c r="O805" s="3470">
        <v>28.05</v>
      </c>
      <c r="P805" s="3470" t="s">
        <v>3452</v>
      </c>
      <c r="Q805" s="3457">
        <v>316164.47999999998</v>
      </c>
      <c r="R805" s="3470">
        <v>8373</v>
      </c>
      <c r="S805" s="3472">
        <v>31.37</v>
      </c>
      <c r="T805" s="3527">
        <v>313700</v>
      </c>
      <c r="U805" s="3470">
        <v>8310</v>
      </c>
      <c r="V805" s="3474">
        <v>0.1</v>
      </c>
      <c r="W805" s="3475">
        <v>28.23</v>
      </c>
      <c r="X805" s="3476">
        <v>282300</v>
      </c>
      <c r="Y805" s="3441">
        <v>2003</v>
      </c>
      <c r="Z805" s="3441">
        <v>9</v>
      </c>
      <c r="AA805" s="3470">
        <v>12</v>
      </c>
      <c r="AB805" s="3477">
        <v>1565</v>
      </c>
      <c r="AC805" s="3470" t="s">
        <v>6891</v>
      </c>
      <c r="AD805" s="3485"/>
      <c r="AE805" s="3441" t="s">
        <v>3663</v>
      </c>
      <c r="AF805" s="3470" t="s">
        <v>4721</v>
      </c>
      <c r="AG805" s="3522" t="s">
        <v>3466</v>
      </c>
      <c r="AH805" s="3485" t="s">
        <v>3463</v>
      </c>
      <c r="AI805" s="3470" t="s">
        <v>5021</v>
      </c>
      <c r="AJ805" s="3523">
        <v>38138</v>
      </c>
      <c r="AK805" s="3500">
        <v>9</v>
      </c>
      <c r="AL805" s="3441">
        <v>67641700</v>
      </c>
      <c r="AN805" s="3441" t="s">
        <v>3695</v>
      </c>
      <c r="AP805" s="3441" t="s">
        <v>3476</v>
      </c>
      <c r="AQ805" s="3441" t="s">
        <v>3571</v>
      </c>
      <c r="AV805" s="3441" t="s">
        <v>3568</v>
      </c>
      <c r="AW805" s="3441" t="s">
        <v>3572</v>
      </c>
      <c r="AX805" s="3441" t="s">
        <v>3568</v>
      </c>
      <c r="AY805" s="3524" t="s">
        <v>8986</v>
      </c>
      <c r="AZ805" s="3441" t="s">
        <v>4697</v>
      </c>
      <c r="BA805" s="3441" t="s">
        <v>4700</v>
      </c>
      <c r="BB805" s="3524" t="s">
        <v>4701</v>
      </c>
      <c r="BC805" s="3441" t="s">
        <v>4702</v>
      </c>
      <c r="BD805" s="3525">
        <v>100011</v>
      </c>
      <c r="BE805" s="3441">
        <v>62351476</v>
      </c>
      <c r="BF805" s="3526">
        <v>2.8</v>
      </c>
      <c r="BG805" s="3518">
        <v>37864</v>
      </c>
      <c r="BI805" s="3441" t="s">
        <v>3476</v>
      </c>
      <c r="BJ805" s="3484">
        <v>37875</v>
      </c>
      <c r="BK805" s="3518"/>
      <c r="BL805" s="3470" t="s">
        <v>3670</v>
      </c>
      <c r="BS805" s="3470"/>
      <c r="BT805" s="3470"/>
      <c r="BU805" s="3470"/>
    </row>
    <row r="806" spans="1:253" s="3470" customFormat="1" ht="12" hidden="1">
      <c r="A806" s="3470" t="s">
        <v>8987</v>
      </c>
      <c r="B806" s="3470" t="s">
        <v>8988</v>
      </c>
      <c r="C806" s="3481" t="s">
        <v>8989</v>
      </c>
      <c r="D806" s="3470">
        <v>13911009750</v>
      </c>
      <c r="E806" s="3470" t="s">
        <v>2736</v>
      </c>
      <c r="F806" s="3470" t="s">
        <v>8990</v>
      </c>
      <c r="H806" s="3470" t="s">
        <v>4281</v>
      </c>
      <c r="I806" s="3470" t="s">
        <v>8991</v>
      </c>
      <c r="J806" s="3470" t="s">
        <v>8992</v>
      </c>
      <c r="K806" s="3470" t="s">
        <v>8993</v>
      </c>
      <c r="L806" s="3470">
        <v>61.93</v>
      </c>
      <c r="M806" s="3470">
        <v>9</v>
      </c>
      <c r="N806" s="3470" t="s">
        <v>3584</v>
      </c>
      <c r="O806" s="3470">
        <v>48.58</v>
      </c>
      <c r="P806" s="3470" t="s">
        <v>3452</v>
      </c>
      <c r="Q806" s="3457">
        <v>331944.8</v>
      </c>
      <c r="R806" s="3470">
        <v>5360</v>
      </c>
      <c r="S806" s="3472">
        <v>32.880000000000003</v>
      </c>
      <c r="T806" s="3527">
        <v>328800</v>
      </c>
      <c r="U806" s="3470">
        <v>5310</v>
      </c>
      <c r="V806" s="3474">
        <v>0.1</v>
      </c>
      <c r="W806" s="3475">
        <v>29.59</v>
      </c>
      <c r="X806" s="3476">
        <v>295900</v>
      </c>
      <c r="Y806" s="3470">
        <v>2003</v>
      </c>
      <c r="Z806" s="3470">
        <v>9</v>
      </c>
      <c r="AA806" s="3470">
        <v>28</v>
      </c>
      <c r="AB806" s="3477">
        <v>1640</v>
      </c>
      <c r="AC806" s="3470" t="s">
        <v>4922</v>
      </c>
      <c r="AE806" s="3470" t="s">
        <v>3663</v>
      </c>
      <c r="AF806" s="3453" t="s">
        <v>8994</v>
      </c>
      <c r="AG806" s="3470" t="s">
        <v>3466</v>
      </c>
      <c r="AI806" s="3470" t="s">
        <v>4849</v>
      </c>
      <c r="AJ806" s="3478">
        <v>38261</v>
      </c>
      <c r="AK806" s="3500">
        <v>9</v>
      </c>
      <c r="AL806" s="3470">
        <v>67641700</v>
      </c>
      <c r="AN806" s="3470" t="s">
        <v>3487</v>
      </c>
      <c r="AP806" s="3470" t="s">
        <v>2153</v>
      </c>
      <c r="AQ806" s="3470" t="s">
        <v>3457</v>
      </c>
      <c r="AW806" s="3470" t="s">
        <v>3458</v>
      </c>
      <c r="AX806" s="3508"/>
      <c r="AY806" s="3470">
        <v>552368</v>
      </c>
      <c r="AZ806" s="3470" t="s">
        <v>8738</v>
      </c>
      <c r="BA806" s="3470" t="s">
        <v>8741</v>
      </c>
      <c r="BB806" s="3470" t="s">
        <v>8995</v>
      </c>
      <c r="BC806" s="3470" t="s">
        <v>8742</v>
      </c>
      <c r="BD806" s="3470">
        <v>102308</v>
      </c>
      <c r="BE806" s="3470">
        <v>68041987</v>
      </c>
      <c r="BF806" s="3470">
        <v>2.8</v>
      </c>
      <c r="BG806" s="3478">
        <v>37870</v>
      </c>
      <c r="BH806" s="3470" t="s">
        <v>3437</v>
      </c>
      <c r="BI806" s="3470" t="s">
        <v>2153</v>
      </c>
      <c r="BJ806" s="3508">
        <v>37875</v>
      </c>
      <c r="BK806" s="3478"/>
      <c r="BL806" s="3470" t="s">
        <v>3594</v>
      </c>
      <c r="BP806" s="3441"/>
      <c r="BQ806" s="3441"/>
      <c r="BR806" s="3441"/>
    </row>
    <row r="807" spans="1:253" s="3441" customFormat="1" ht="12" hidden="1">
      <c r="A807" s="3453" t="s">
        <v>8996</v>
      </c>
      <c r="B807" s="3470" t="s">
        <v>8997</v>
      </c>
      <c r="C807" s="3481" t="s">
        <v>8998</v>
      </c>
      <c r="D807" s="3481" t="s">
        <v>8999</v>
      </c>
      <c r="E807" s="3470" t="s">
        <v>3558</v>
      </c>
      <c r="F807" s="3470" t="s">
        <v>5428</v>
      </c>
      <c r="G807" s="3470"/>
      <c r="H807" s="3470" t="s">
        <v>8705</v>
      </c>
      <c r="I807" s="3470" t="s">
        <v>9000</v>
      </c>
      <c r="J807" s="3481" t="s">
        <v>9001</v>
      </c>
      <c r="K807" s="3470" t="s">
        <v>5786</v>
      </c>
      <c r="L807" s="3470">
        <v>101.63</v>
      </c>
      <c r="M807" s="3470">
        <v>6</v>
      </c>
      <c r="N807" s="3470" t="s">
        <v>4030</v>
      </c>
      <c r="O807" s="3470">
        <v>81.09</v>
      </c>
      <c r="P807" s="3470" t="s">
        <v>3452</v>
      </c>
      <c r="Q807" s="3457">
        <v>541809.85599999991</v>
      </c>
      <c r="R807" s="3470">
        <v>5331.2</v>
      </c>
      <c r="S807" s="3472">
        <v>53.66</v>
      </c>
      <c r="T807" s="3527">
        <v>536600</v>
      </c>
      <c r="U807" s="3495">
        <v>5280</v>
      </c>
      <c r="V807" s="3474">
        <v>0.1</v>
      </c>
      <c r="W807" s="3475">
        <v>48.29</v>
      </c>
      <c r="X807" s="3476">
        <v>482900</v>
      </c>
      <c r="Y807" s="3495">
        <v>2003</v>
      </c>
      <c r="Z807" s="3441">
        <v>11</v>
      </c>
      <c r="AA807" s="3441">
        <v>5</v>
      </c>
      <c r="AB807" s="3477">
        <v>2680</v>
      </c>
      <c r="AC807" s="3470" t="s">
        <v>4800</v>
      </c>
      <c r="AD807" s="3485"/>
      <c r="AE807" s="3441" t="s">
        <v>3663</v>
      </c>
      <c r="AF807" s="3470" t="s">
        <v>6065</v>
      </c>
      <c r="AG807" s="3522" t="s">
        <v>3466</v>
      </c>
      <c r="AH807" s="3485" t="s">
        <v>3568</v>
      </c>
      <c r="AI807" s="3470" t="s">
        <v>5021</v>
      </c>
      <c r="AJ807" s="3523">
        <v>37865</v>
      </c>
      <c r="AK807" s="3603" t="s">
        <v>4773</v>
      </c>
      <c r="AL807" s="3441">
        <v>67641700</v>
      </c>
      <c r="AN807" s="3456" t="s">
        <v>3570</v>
      </c>
      <c r="AO807" s="3441" t="s">
        <v>3568</v>
      </c>
      <c r="AP807" s="3441" t="s">
        <v>3476</v>
      </c>
      <c r="AQ807" s="3441" t="s">
        <v>3571</v>
      </c>
      <c r="AR807" s="3441" t="s">
        <v>3568</v>
      </c>
      <c r="AS807" s="3441" t="s">
        <v>3568</v>
      </c>
      <c r="AT807" s="3441" t="s">
        <v>3568</v>
      </c>
      <c r="AW807" s="3441" t="s">
        <v>3572</v>
      </c>
      <c r="AX807" s="3441" t="s">
        <v>2420</v>
      </c>
      <c r="AY807" s="3524" t="s">
        <v>9002</v>
      </c>
      <c r="AZ807" s="3441" t="s">
        <v>5786</v>
      </c>
      <c r="BA807" s="3441" t="s">
        <v>7527</v>
      </c>
      <c r="BB807" s="3524">
        <v>1101082131202</v>
      </c>
      <c r="BC807" s="3441" t="s">
        <v>5436</v>
      </c>
      <c r="BD807" s="3525">
        <v>102400</v>
      </c>
      <c r="BE807" s="3441">
        <v>62842753</v>
      </c>
      <c r="BF807" s="3526">
        <v>2.8</v>
      </c>
      <c r="BG807" s="3518">
        <v>37863</v>
      </c>
      <c r="BH807" s="3441" t="s">
        <v>3568</v>
      </c>
      <c r="BI807" s="3441" t="s">
        <v>3476</v>
      </c>
      <c r="BJ807" s="3518">
        <v>37874</v>
      </c>
      <c r="BK807" s="3518">
        <v>37916</v>
      </c>
      <c r="BL807" s="3470" t="s">
        <v>3670</v>
      </c>
    </row>
    <row r="808" spans="1:253" s="3441" customFormat="1" ht="12" hidden="1">
      <c r="A808" s="3485" t="s">
        <v>9003</v>
      </c>
      <c r="B808" s="3470" t="s">
        <v>9004</v>
      </c>
      <c r="C808" s="3481" t="s">
        <v>9005</v>
      </c>
      <c r="D808" s="3481" t="s">
        <v>9006</v>
      </c>
      <c r="E808" s="3470" t="s">
        <v>3558</v>
      </c>
      <c r="F808" s="3470" t="s">
        <v>7153</v>
      </c>
      <c r="G808" s="3470" t="s">
        <v>3568</v>
      </c>
      <c r="H808" s="3470" t="s">
        <v>5608</v>
      </c>
      <c r="I808" s="3453" t="s">
        <v>3615</v>
      </c>
      <c r="J808" s="3481" t="s">
        <v>3465</v>
      </c>
      <c r="K808" s="3470" t="s">
        <v>6117</v>
      </c>
      <c r="L808" s="3470">
        <v>98.22</v>
      </c>
      <c r="M808" s="3470">
        <v>6</v>
      </c>
      <c r="N808" s="3542" t="s">
        <v>7255</v>
      </c>
      <c r="O808" s="3470">
        <v>83.29</v>
      </c>
      <c r="P808" s="3470" t="s">
        <v>3452</v>
      </c>
      <c r="Q808" s="3457">
        <v>389933.4</v>
      </c>
      <c r="R808" s="3470">
        <v>3970</v>
      </c>
      <c r="S808" s="3472">
        <v>38.58</v>
      </c>
      <c r="T808" s="3527">
        <v>385800</v>
      </c>
      <c r="U808" s="3470">
        <v>3928</v>
      </c>
      <c r="V808" s="3474">
        <v>0.1</v>
      </c>
      <c r="W808" s="3475">
        <v>34.72</v>
      </c>
      <c r="X808" s="3476">
        <v>347200</v>
      </c>
      <c r="Y808" s="3441">
        <v>2003</v>
      </c>
      <c r="Z808" s="3441">
        <v>10</v>
      </c>
      <c r="AA808" s="3470">
        <v>13</v>
      </c>
      <c r="AB808" s="3477">
        <v>1925</v>
      </c>
      <c r="AC808" s="3470" t="s">
        <v>9007</v>
      </c>
      <c r="AD808" s="3485"/>
      <c r="AE808" s="3441" t="s">
        <v>3663</v>
      </c>
      <c r="AF808" s="3470" t="s">
        <v>7751</v>
      </c>
      <c r="AG808" s="3522" t="s">
        <v>3466</v>
      </c>
      <c r="AH808" s="3485"/>
      <c r="AI808" s="3470" t="s">
        <v>5021</v>
      </c>
      <c r="AJ808" s="3523">
        <v>38108</v>
      </c>
      <c r="AK808" s="3500" t="s">
        <v>4752</v>
      </c>
      <c r="AL808" s="3441">
        <v>67641700</v>
      </c>
      <c r="AN808" s="3456" t="s">
        <v>3791</v>
      </c>
      <c r="AO808" s="3441" t="s">
        <v>9008</v>
      </c>
      <c r="AP808" s="3441" t="s">
        <v>3476</v>
      </c>
      <c r="AQ808" s="3441" t="s">
        <v>3571</v>
      </c>
      <c r="AW808" s="3441" t="s">
        <v>3572</v>
      </c>
      <c r="AX808" s="3441" t="s">
        <v>3568</v>
      </c>
      <c r="AY808" s="3524" t="s">
        <v>9009</v>
      </c>
      <c r="AZ808" s="3441" t="s">
        <v>6117</v>
      </c>
      <c r="BA808" s="3441" t="s">
        <v>7157</v>
      </c>
      <c r="BB808" s="3524">
        <v>1102281326100</v>
      </c>
      <c r="BC808" s="3441" t="s">
        <v>7158</v>
      </c>
      <c r="BD808" s="3525">
        <v>100055</v>
      </c>
      <c r="BE808" s="3441">
        <v>82951881</v>
      </c>
      <c r="BF808" s="3526">
        <v>2.8</v>
      </c>
      <c r="BG808" s="3518">
        <v>37875</v>
      </c>
      <c r="BH808" s="3441" t="s">
        <v>4753</v>
      </c>
      <c r="BI808" s="3441" t="s">
        <v>3476</v>
      </c>
      <c r="BJ808" s="3484">
        <v>37903</v>
      </c>
      <c r="BK808" s="3484"/>
      <c r="BL808" s="3470" t="s">
        <v>3670</v>
      </c>
    </row>
    <row r="809" spans="1:253" s="3441" customFormat="1" ht="12" hidden="1">
      <c r="A809" s="3485" t="s">
        <v>9010</v>
      </c>
      <c r="B809" s="3470" t="s">
        <v>9011</v>
      </c>
      <c r="C809" s="3481" t="s">
        <v>9012</v>
      </c>
      <c r="D809" s="3481" t="s">
        <v>9013</v>
      </c>
      <c r="E809" s="3470" t="s">
        <v>3558</v>
      </c>
      <c r="F809" s="3528" t="s">
        <v>3733</v>
      </c>
      <c r="G809" s="3470"/>
      <c r="H809" s="3470" t="s">
        <v>4706</v>
      </c>
      <c r="I809" s="3470" t="s">
        <v>6936</v>
      </c>
      <c r="J809" s="3481" t="s">
        <v>5263</v>
      </c>
      <c r="K809" s="3470" t="s">
        <v>3737</v>
      </c>
      <c r="L809" s="3470">
        <v>88.96</v>
      </c>
      <c r="M809" s="3470">
        <v>6</v>
      </c>
      <c r="N809" s="3470" t="s">
        <v>5890</v>
      </c>
      <c r="O809" s="3470">
        <v>71.069999999999993</v>
      </c>
      <c r="P809" s="3470" t="s">
        <v>3452</v>
      </c>
      <c r="Q809" s="3492">
        <v>549772.79999999993</v>
      </c>
      <c r="R809" s="3470">
        <v>6180</v>
      </c>
      <c r="S809" s="3472">
        <v>53.44</v>
      </c>
      <c r="T809" s="3527">
        <v>534400</v>
      </c>
      <c r="U809" s="3470">
        <v>6008</v>
      </c>
      <c r="V809" s="3474">
        <v>0.1</v>
      </c>
      <c r="W809" s="3475">
        <v>48.09</v>
      </c>
      <c r="X809" s="3494">
        <v>480900.00000000006</v>
      </c>
      <c r="Y809" s="3441">
        <v>2003</v>
      </c>
      <c r="Z809" s="3441">
        <v>9</v>
      </c>
      <c r="AA809" s="3470">
        <v>15</v>
      </c>
      <c r="AB809" s="3477">
        <v>2670</v>
      </c>
      <c r="AC809" s="3470" t="s">
        <v>3544</v>
      </c>
      <c r="AD809" s="3485"/>
      <c r="AE809" s="3441" t="s">
        <v>3663</v>
      </c>
      <c r="AF809" s="3470" t="s">
        <v>3604</v>
      </c>
      <c r="AG809" s="3522" t="s">
        <v>3466</v>
      </c>
      <c r="AH809" s="3485"/>
      <c r="AI809" s="3470" t="s">
        <v>5021</v>
      </c>
      <c r="AJ809" s="3523">
        <v>38045</v>
      </c>
      <c r="AK809" s="3500">
        <v>9</v>
      </c>
      <c r="AL809" s="3441">
        <v>67641700</v>
      </c>
      <c r="AN809" s="3456" t="s">
        <v>3739</v>
      </c>
      <c r="AO809" s="3441" t="s">
        <v>3568</v>
      </c>
      <c r="AP809" s="3441" t="s">
        <v>3476</v>
      </c>
      <c r="AQ809" s="3441" t="s">
        <v>3571</v>
      </c>
      <c r="AW809" s="3441" t="s">
        <v>3572</v>
      </c>
      <c r="AY809" s="3524" t="s">
        <v>9014</v>
      </c>
      <c r="AZ809" s="3441" t="s">
        <v>3737</v>
      </c>
      <c r="BA809" s="3441" t="s">
        <v>3742</v>
      </c>
      <c r="BB809" s="3524" t="s">
        <v>3743</v>
      </c>
      <c r="BC809" s="3441" t="s">
        <v>3744</v>
      </c>
      <c r="BD809" s="3525">
        <v>100088</v>
      </c>
      <c r="BE809" s="3441">
        <v>82058259</v>
      </c>
      <c r="BF809" s="3526" t="s">
        <v>8595</v>
      </c>
      <c r="BG809" s="3518">
        <v>37858</v>
      </c>
      <c r="BH809" s="3441" t="s">
        <v>4753</v>
      </c>
      <c r="BI809" s="3441" t="s">
        <v>3476</v>
      </c>
      <c r="BJ809" s="3508">
        <v>37876</v>
      </c>
      <c r="BK809" s="3518" t="s">
        <v>2420</v>
      </c>
      <c r="BL809" s="3470" t="s">
        <v>3670</v>
      </c>
      <c r="BS809" s="3470"/>
      <c r="BT809" s="3470"/>
      <c r="BU809" s="3470"/>
    </row>
    <row r="810" spans="1:253" s="3441" customFormat="1" ht="12" hidden="1">
      <c r="A810" s="3485" t="s">
        <v>9015</v>
      </c>
      <c r="B810" s="3470" t="s">
        <v>9016</v>
      </c>
      <c r="C810" s="3481" t="s">
        <v>9017</v>
      </c>
      <c r="D810" s="3481" t="s">
        <v>9018</v>
      </c>
      <c r="E810" s="3470" t="s">
        <v>3558</v>
      </c>
      <c r="F810" s="3528" t="s">
        <v>4716</v>
      </c>
      <c r="G810" s="3470"/>
      <c r="H810" s="3470" t="s">
        <v>9019</v>
      </c>
      <c r="I810" s="3470" t="s">
        <v>4563</v>
      </c>
      <c r="J810" s="3481" t="s">
        <v>9020</v>
      </c>
      <c r="K810" s="3470" t="s">
        <v>4720</v>
      </c>
      <c r="L810" s="3470">
        <v>60.63</v>
      </c>
      <c r="M810" s="3470">
        <v>4</v>
      </c>
      <c r="N810" s="3470" t="s">
        <v>3489</v>
      </c>
      <c r="O810" s="3470">
        <v>47.69</v>
      </c>
      <c r="P810" s="3470" t="s">
        <v>3452</v>
      </c>
      <c r="Q810" s="3492">
        <v>246158.1347</v>
      </c>
      <c r="R810" s="3470">
        <v>5161.63</v>
      </c>
      <c r="S810" s="3472">
        <v>24.31</v>
      </c>
      <c r="T810" s="3527">
        <v>243100</v>
      </c>
      <c r="U810" s="3470">
        <v>4010</v>
      </c>
      <c r="V810" s="3474">
        <v>0.1</v>
      </c>
      <c r="W810" s="3475">
        <v>21.87</v>
      </c>
      <c r="X810" s="3494">
        <v>218700</v>
      </c>
      <c r="Y810" s="3441">
        <v>2003</v>
      </c>
      <c r="Z810" s="3441">
        <v>9</v>
      </c>
      <c r="AA810" s="3470">
        <v>15</v>
      </c>
      <c r="AB810" s="3477">
        <v>1215</v>
      </c>
      <c r="AC810" s="3470" t="s">
        <v>4800</v>
      </c>
      <c r="AD810" s="3485"/>
      <c r="AE810" s="3441" t="s">
        <v>3663</v>
      </c>
      <c r="AF810" s="3470" t="s">
        <v>4721</v>
      </c>
      <c r="AG810" s="3522" t="s">
        <v>3466</v>
      </c>
      <c r="AH810" s="3485"/>
      <c r="AI810" s="3470" t="s">
        <v>5021</v>
      </c>
      <c r="AJ810" s="3523">
        <v>38230</v>
      </c>
      <c r="AK810" s="3500">
        <v>9</v>
      </c>
      <c r="AL810" s="3441">
        <v>67641700</v>
      </c>
      <c r="AN810" s="3456" t="s">
        <v>3739</v>
      </c>
      <c r="AO810" s="3441" t="s">
        <v>3568</v>
      </c>
      <c r="AP810" s="3441" t="s">
        <v>3476</v>
      </c>
      <c r="AQ810" s="3441" t="s">
        <v>3571</v>
      </c>
      <c r="AW810" s="3441" t="s">
        <v>3572</v>
      </c>
      <c r="AY810" s="3524" t="s">
        <v>9021</v>
      </c>
      <c r="AZ810" s="3441" t="s">
        <v>4720</v>
      </c>
      <c r="BA810" s="3441" t="s">
        <v>4725</v>
      </c>
      <c r="BB810" s="3524" t="s">
        <v>4726</v>
      </c>
      <c r="BC810" s="3441" t="s">
        <v>4727</v>
      </c>
      <c r="BD810" s="3525">
        <v>100005</v>
      </c>
      <c r="BE810" s="3441">
        <v>65128628</v>
      </c>
      <c r="BF810" s="3526">
        <v>2.8</v>
      </c>
      <c r="BG810" s="3518">
        <v>37815</v>
      </c>
      <c r="BI810" s="3441" t="s">
        <v>3476</v>
      </c>
      <c r="BJ810" s="3508">
        <v>37875</v>
      </c>
      <c r="BK810" s="3518" t="s">
        <v>3568</v>
      </c>
      <c r="BL810" s="3470" t="s">
        <v>3670</v>
      </c>
      <c r="BS810" s="3470"/>
      <c r="BT810" s="3470"/>
      <c r="BU810" s="3470"/>
    </row>
    <row r="811" spans="1:253" s="3441" customFormat="1" ht="12" hidden="1">
      <c r="A811" s="3485" t="s">
        <v>9022</v>
      </c>
      <c r="B811" s="3470" t="s">
        <v>9023</v>
      </c>
      <c r="C811" s="3481" t="s">
        <v>9024</v>
      </c>
      <c r="D811" s="3481" t="s">
        <v>9025</v>
      </c>
      <c r="E811" s="3470" t="s">
        <v>3558</v>
      </c>
      <c r="F811" s="3528" t="s">
        <v>8471</v>
      </c>
      <c r="G811" s="3470"/>
      <c r="H811" s="3470" t="s">
        <v>3706</v>
      </c>
      <c r="I811" s="3470" t="s">
        <v>3992</v>
      </c>
      <c r="J811" s="3481" t="s">
        <v>9026</v>
      </c>
      <c r="K811" s="3470" t="s">
        <v>5500</v>
      </c>
      <c r="L811" s="3470">
        <v>127.55</v>
      </c>
      <c r="M811" s="3470">
        <v>9</v>
      </c>
      <c r="N811" s="3470" t="s">
        <v>3661</v>
      </c>
      <c r="O811" s="3470">
        <v>107.14</v>
      </c>
      <c r="P811" s="3470" t="s">
        <v>3452</v>
      </c>
      <c r="Q811" s="3457">
        <v>848564.64</v>
      </c>
      <c r="R811" s="3470">
        <v>6652.8</v>
      </c>
      <c r="S811" s="3472">
        <v>84.14</v>
      </c>
      <c r="T811" s="3527">
        <v>841400</v>
      </c>
      <c r="U811" s="3470">
        <v>6597</v>
      </c>
      <c r="V811" s="3474">
        <v>0.1</v>
      </c>
      <c r="W811" s="3475">
        <v>75.72</v>
      </c>
      <c r="X811" s="3476">
        <v>757200</v>
      </c>
      <c r="Y811" s="3441">
        <v>2003</v>
      </c>
      <c r="Z811" s="3441">
        <v>9</v>
      </c>
      <c r="AA811" s="3441">
        <v>16</v>
      </c>
      <c r="AB811" s="3477">
        <v>4205</v>
      </c>
      <c r="AC811" s="3470" t="s">
        <v>9027</v>
      </c>
      <c r="AD811" s="3485"/>
      <c r="AE811" s="3441" t="s">
        <v>3663</v>
      </c>
      <c r="AF811" s="3470" t="s">
        <v>4721</v>
      </c>
      <c r="AG811" s="3522" t="s">
        <v>3466</v>
      </c>
      <c r="AH811" s="3485"/>
      <c r="AI811" s="3470" t="s">
        <v>5021</v>
      </c>
      <c r="AJ811" s="3523">
        <v>38138</v>
      </c>
      <c r="AK811" s="3500">
        <v>9</v>
      </c>
      <c r="AL811" s="3441">
        <v>67641700</v>
      </c>
      <c r="AN811" s="3456" t="s">
        <v>3739</v>
      </c>
      <c r="AO811" s="3441" t="s">
        <v>3568</v>
      </c>
      <c r="AP811" s="3441" t="s">
        <v>3476</v>
      </c>
      <c r="AQ811" s="3441" t="s">
        <v>3571</v>
      </c>
      <c r="AW811" s="3441" t="s">
        <v>3572</v>
      </c>
      <c r="AX811" s="3441" t="s">
        <v>3568</v>
      </c>
      <c r="AY811" s="3524" t="s">
        <v>9028</v>
      </c>
      <c r="AZ811" s="3441" t="s">
        <v>5500</v>
      </c>
      <c r="BA811" s="3441" t="s">
        <v>7519</v>
      </c>
      <c r="BB811" s="3524" t="s">
        <v>5502</v>
      </c>
      <c r="BC811" s="3441" t="s">
        <v>5503</v>
      </c>
      <c r="BD811" s="3525">
        <v>100080</v>
      </c>
      <c r="BE811" s="3441">
        <v>88442745</v>
      </c>
      <c r="BF811" s="3526">
        <v>2.8</v>
      </c>
      <c r="BG811" s="3518">
        <v>37868</v>
      </c>
      <c r="BH811" s="3441" t="s">
        <v>8474</v>
      </c>
      <c r="BI811" s="3441" t="s">
        <v>3476</v>
      </c>
      <c r="BJ811" s="3508">
        <v>37876</v>
      </c>
      <c r="BK811" s="3518"/>
      <c r="BL811" s="3470" t="s">
        <v>3670</v>
      </c>
      <c r="BS811" s="3470"/>
      <c r="BT811" s="3470"/>
      <c r="BU811" s="3470"/>
    </row>
    <row r="812" spans="1:253" s="3470" customFormat="1" ht="12" hidden="1">
      <c r="A812" s="3470" t="s">
        <v>9029</v>
      </c>
      <c r="B812" s="3470" t="s">
        <v>9030</v>
      </c>
      <c r="C812" s="3481" t="s">
        <v>9031</v>
      </c>
      <c r="D812" s="3470">
        <v>13910552536</v>
      </c>
      <c r="E812" s="3470" t="s">
        <v>2736</v>
      </c>
      <c r="F812" s="3470" t="s">
        <v>8990</v>
      </c>
      <c r="H812" s="3470" t="s">
        <v>9032</v>
      </c>
      <c r="I812" s="3470" t="s">
        <v>4614</v>
      </c>
      <c r="J812" s="3470" t="s">
        <v>9033</v>
      </c>
      <c r="K812" s="3470" t="s">
        <v>4789</v>
      </c>
      <c r="L812" s="3470">
        <v>61.93</v>
      </c>
      <c r="M812" s="3470">
        <v>5</v>
      </c>
      <c r="N812" s="3470" t="s">
        <v>6871</v>
      </c>
      <c r="O812" s="3470">
        <v>48.58</v>
      </c>
      <c r="P812" s="3470" t="s">
        <v>3452</v>
      </c>
      <c r="Q812" s="3457">
        <v>318320.2</v>
      </c>
      <c r="R812" s="3470">
        <v>5140</v>
      </c>
      <c r="S812" s="3472">
        <v>31.52</v>
      </c>
      <c r="T812" s="3527">
        <v>315200</v>
      </c>
      <c r="U812" s="3470">
        <v>5090</v>
      </c>
      <c r="V812" s="3474">
        <v>0.1</v>
      </c>
      <c r="W812" s="3475">
        <v>28.36</v>
      </c>
      <c r="X812" s="3476">
        <v>283600</v>
      </c>
      <c r="Y812" s="3470">
        <v>2003</v>
      </c>
      <c r="Z812" s="3470">
        <v>9</v>
      </c>
      <c r="AA812" s="3470">
        <v>28</v>
      </c>
      <c r="AB812" s="3477">
        <v>1575</v>
      </c>
      <c r="AC812" s="3470" t="s">
        <v>3544</v>
      </c>
      <c r="AE812" s="3470" t="s">
        <v>3663</v>
      </c>
      <c r="AF812" s="3453" t="s">
        <v>8994</v>
      </c>
      <c r="AG812" s="3470" t="s">
        <v>3466</v>
      </c>
      <c r="AI812" s="3470" t="s">
        <v>6972</v>
      </c>
      <c r="AJ812" s="3478">
        <v>38261</v>
      </c>
      <c r="AK812" s="3500">
        <v>9</v>
      </c>
      <c r="AL812" s="3470">
        <v>67641700</v>
      </c>
      <c r="AN812" s="3470" t="s">
        <v>4824</v>
      </c>
      <c r="AP812" s="3470" t="s">
        <v>2153</v>
      </c>
      <c r="AQ812" s="3470" t="s">
        <v>7265</v>
      </c>
      <c r="AW812" s="3470" t="s">
        <v>3458</v>
      </c>
      <c r="AX812" s="3508"/>
      <c r="AY812" s="3470">
        <v>552358</v>
      </c>
      <c r="AZ812" s="3470" t="s">
        <v>8738</v>
      </c>
      <c r="BA812" s="3470" t="s">
        <v>9034</v>
      </c>
      <c r="BB812" s="3470" t="s">
        <v>4791</v>
      </c>
      <c r="BC812" s="3470" t="s">
        <v>9035</v>
      </c>
      <c r="BD812" s="3470">
        <v>102308</v>
      </c>
      <c r="BE812" s="3470">
        <v>68041987</v>
      </c>
      <c r="BF812" s="3470">
        <v>2.8</v>
      </c>
      <c r="BG812" s="3478">
        <v>37857</v>
      </c>
      <c r="BH812" s="3470" t="s">
        <v>3758</v>
      </c>
      <c r="BI812" s="3470" t="s">
        <v>2153</v>
      </c>
      <c r="BJ812" s="3508">
        <v>37879</v>
      </c>
      <c r="BK812" s="3478"/>
      <c r="BL812" s="3470" t="s">
        <v>3594</v>
      </c>
      <c r="BP812" s="3441"/>
      <c r="BQ812" s="3441"/>
      <c r="BR812" s="3441"/>
    </row>
    <row r="813" spans="1:253" s="3470" customFormat="1" ht="12" hidden="1">
      <c r="A813" s="3470" t="s">
        <v>9036</v>
      </c>
      <c r="B813" s="3470" t="s">
        <v>9037</v>
      </c>
      <c r="C813" s="3481" t="s">
        <v>9038</v>
      </c>
      <c r="D813" s="3487">
        <v>13701166663</v>
      </c>
      <c r="E813" s="3470" t="s">
        <v>3558</v>
      </c>
      <c r="F813" s="3470" t="s">
        <v>8094</v>
      </c>
      <c r="H813" s="3453" t="s">
        <v>8095</v>
      </c>
      <c r="I813" s="3453" t="s">
        <v>3561</v>
      </c>
      <c r="J813" s="3453" t="s">
        <v>8096</v>
      </c>
      <c r="K813" s="3470" t="s">
        <v>8097</v>
      </c>
      <c r="L813" s="3495">
        <v>87.1</v>
      </c>
      <c r="M813" s="3495">
        <v>15</v>
      </c>
      <c r="N813" s="3470" t="s">
        <v>3564</v>
      </c>
      <c r="O813" s="3495">
        <v>72.13</v>
      </c>
      <c r="P813" s="3470" t="s">
        <v>3452</v>
      </c>
      <c r="Q813" s="3457">
        <v>435500</v>
      </c>
      <c r="R813" s="3470">
        <v>5000</v>
      </c>
      <c r="S813" s="3472">
        <v>43.11</v>
      </c>
      <c r="T813" s="3602">
        <v>431100</v>
      </c>
      <c r="U813" s="3470">
        <v>4950</v>
      </c>
      <c r="V813" s="3474">
        <v>0.05</v>
      </c>
      <c r="W813" s="3475">
        <v>40.950000000000003</v>
      </c>
      <c r="X813" s="3602">
        <v>409500</v>
      </c>
      <c r="Y813" s="3470">
        <v>2003</v>
      </c>
      <c r="Z813" s="3470">
        <v>9</v>
      </c>
      <c r="AA813" s="3441">
        <v>25</v>
      </c>
      <c r="AB813" s="3477">
        <v>2155</v>
      </c>
      <c r="AC813" s="3490" t="s">
        <v>8971</v>
      </c>
      <c r="AE813" s="3456" t="s">
        <v>3663</v>
      </c>
      <c r="AF813" s="3470" t="s">
        <v>3493</v>
      </c>
      <c r="AG813" s="3470" t="s">
        <v>3466</v>
      </c>
      <c r="AI813" s="3470" t="s">
        <v>5021</v>
      </c>
      <c r="AJ813" s="3478">
        <v>37790</v>
      </c>
      <c r="AK813" s="3603">
        <v>9</v>
      </c>
      <c r="AL813" s="3495">
        <v>67641700</v>
      </c>
      <c r="AN813" s="3480" t="s">
        <v>3680</v>
      </c>
      <c r="AO813" s="3441"/>
      <c r="AP813" s="3456" t="s">
        <v>3476</v>
      </c>
      <c r="AQ813" s="3456" t="s">
        <v>3571</v>
      </c>
      <c r="AV813" s="3519" t="s">
        <v>3568</v>
      </c>
      <c r="AW813" s="3470" t="s">
        <v>3572</v>
      </c>
      <c r="AX813" s="3470" t="s">
        <v>2511</v>
      </c>
      <c r="AY813" s="3453">
        <v>145474</v>
      </c>
      <c r="AZ813" s="3470" t="s">
        <v>8097</v>
      </c>
      <c r="BA813" s="3470" t="s">
        <v>8100</v>
      </c>
      <c r="BB813" s="3470" t="s">
        <v>8101</v>
      </c>
      <c r="BC813" s="3470" t="s">
        <v>8102</v>
      </c>
      <c r="BD813" s="3470">
        <v>100010</v>
      </c>
      <c r="BE813" s="3470">
        <v>65233356</v>
      </c>
      <c r="BF813" s="3520">
        <v>2.7</v>
      </c>
      <c r="BG813" s="3478">
        <v>37842</v>
      </c>
      <c r="BI813" s="3441" t="s">
        <v>3476</v>
      </c>
      <c r="BJ813" s="3478">
        <v>37882</v>
      </c>
      <c r="BK813" s="3478"/>
      <c r="BL813" s="3441" t="s">
        <v>3670</v>
      </c>
      <c r="BM813" s="3441"/>
      <c r="BN813" s="3441"/>
      <c r="BO813" s="3441"/>
      <c r="BP813" s="3441"/>
      <c r="BQ813" s="3441"/>
      <c r="BR813" s="3441"/>
    </row>
    <row r="814" spans="1:253" s="3470" customFormat="1" ht="12" hidden="1">
      <c r="A814" s="3470" t="s">
        <v>9039</v>
      </c>
      <c r="B814" s="3470" t="s">
        <v>9040</v>
      </c>
      <c r="C814" s="3481" t="s">
        <v>9041</v>
      </c>
      <c r="D814" s="3470">
        <v>13521126616</v>
      </c>
      <c r="E814" s="3470" t="s">
        <v>3558</v>
      </c>
      <c r="F814" s="3470" t="s">
        <v>3559</v>
      </c>
      <c r="H814" s="3470" t="s">
        <v>3581</v>
      </c>
      <c r="I814" s="3470" t="s">
        <v>3726</v>
      </c>
      <c r="J814" s="3481" t="s">
        <v>3492</v>
      </c>
      <c r="K814" s="3470" t="s">
        <v>7737</v>
      </c>
      <c r="L814" s="3470">
        <v>73.680000000000007</v>
      </c>
      <c r="M814" s="3470">
        <v>6</v>
      </c>
      <c r="N814" s="3470" t="s">
        <v>3709</v>
      </c>
      <c r="O814" s="3470">
        <v>59.69</v>
      </c>
      <c r="P814" s="3470" t="s">
        <v>3452</v>
      </c>
      <c r="Q814" s="3457">
        <v>351453.60000000003</v>
      </c>
      <c r="R814" s="3470">
        <v>4770</v>
      </c>
      <c r="S814" s="3472">
        <v>34.79</v>
      </c>
      <c r="T814" s="3527">
        <v>347900</v>
      </c>
      <c r="U814" s="3470">
        <v>4723</v>
      </c>
      <c r="V814" s="3474">
        <v>0.1</v>
      </c>
      <c r="W814" s="3475">
        <v>31.31</v>
      </c>
      <c r="X814" s="3476">
        <v>313100</v>
      </c>
      <c r="Y814" s="3441">
        <v>2003</v>
      </c>
      <c r="Z814" s="3441">
        <v>9</v>
      </c>
      <c r="AA814" s="3470">
        <v>16</v>
      </c>
      <c r="AB814" s="3477">
        <v>1735</v>
      </c>
      <c r="AC814" s="3470" t="s">
        <v>9042</v>
      </c>
      <c r="AE814" s="3470" t="s">
        <v>3663</v>
      </c>
      <c r="AF814" s="3470" t="s">
        <v>4126</v>
      </c>
      <c r="AG814" s="3470" t="s">
        <v>3466</v>
      </c>
      <c r="AH814" s="3470" t="s">
        <v>3568</v>
      </c>
      <c r="AI814" s="3470" t="s">
        <v>6972</v>
      </c>
      <c r="AJ814" s="3478">
        <v>37894</v>
      </c>
      <c r="AK814" s="3500">
        <v>9</v>
      </c>
      <c r="AL814" s="3470">
        <v>67641700</v>
      </c>
      <c r="AM814" s="3470" t="s">
        <v>3568</v>
      </c>
      <c r="AN814" s="3456" t="s">
        <v>3739</v>
      </c>
      <c r="AO814" s="3470" t="s">
        <v>3568</v>
      </c>
      <c r="AP814" s="3470" t="s">
        <v>3476</v>
      </c>
      <c r="AQ814" s="3470" t="s">
        <v>3571</v>
      </c>
      <c r="AW814" s="3470" t="s">
        <v>3572</v>
      </c>
      <c r="AY814" s="3481" t="s">
        <v>9043</v>
      </c>
      <c r="AZ814" s="3470" t="s">
        <v>7737</v>
      </c>
      <c r="BA814" s="3470" t="s">
        <v>9044</v>
      </c>
      <c r="BB814" s="3481" t="s">
        <v>9045</v>
      </c>
      <c r="BC814" s="3470" t="s">
        <v>3576</v>
      </c>
      <c r="BD814" s="3482">
        <v>100037</v>
      </c>
      <c r="BE814" s="3470">
        <v>84050046</v>
      </c>
      <c r="BF814" s="3483">
        <v>2.8</v>
      </c>
      <c r="BG814" s="3478">
        <v>37852</v>
      </c>
      <c r="BI814" s="3441" t="s">
        <v>3476</v>
      </c>
      <c r="BJ814" s="3508">
        <v>37879</v>
      </c>
      <c r="BK814" s="3478" t="s">
        <v>3715</v>
      </c>
      <c r="BL814" s="3441" t="s">
        <v>3670</v>
      </c>
      <c r="BM814" s="3441"/>
      <c r="BN814" s="3441"/>
      <c r="BO814" s="3441"/>
      <c r="BP814" s="3441"/>
      <c r="BQ814" s="3441"/>
      <c r="BR814" s="3441"/>
    </row>
    <row r="815" spans="1:253" s="3441" customFormat="1" ht="12" hidden="1">
      <c r="A815" s="3470" t="s">
        <v>9046</v>
      </c>
      <c r="B815" s="3470" t="s">
        <v>9047</v>
      </c>
      <c r="C815" s="3481" t="s">
        <v>9048</v>
      </c>
      <c r="D815" s="3481" t="s">
        <v>9049</v>
      </c>
      <c r="E815" s="3470" t="s">
        <v>2736</v>
      </c>
      <c r="F815" s="3528" t="s">
        <v>9050</v>
      </c>
      <c r="G815" s="3470"/>
      <c r="H815" s="3470" t="s">
        <v>3540</v>
      </c>
      <c r="I815" s="3470" t="s">
        <v>9051</v>
      </c>
      <c r="J815" s="3481" t="s">
        <v>9052</v>
      </c>
      <c r="K815" s="3470" t="s">
        <v>9053</v>
      </c>
      <c r="L815" s="3470">
        <v>62.6</v>
      </c>
      <c r="M815" s="3470">
        <v>5</v>
      </c>
      <c r="N815" s="3470" t="s">
        <v>3489</v>
      </c>
      <c r="O815" s="3470"/>
      <c r="P815" s="3470" t="s">
        <v>3452</v>
      </c>
      <c r="Q815" s="3457">
        <v>353690</v>
      </c>
      <c r="R815" s="3495">
        <v>5650</v>
      </c>
      <c r="S815" s="3472">
        <v>35.03</v>
      </c>
      <c r="T815" s="3527">
        <v>350300</v>
      </c>
      <c r="U815" s="3495">
        <v>5596</v>
      </c>
      <c r="V815" s="3529">
        <v>0.05</v>
      </c>
      <c r="W815" s="3475">
        <v>33.270000000000003</v>
      </c>
      <c r="X815" s="3473">
        <v>332700.00000000006</v>
      </c>
      <c r="Y815" s="3495">
        <v>2003</v>
      </c>
      <c r="Z815" s="3441">
        <v>9</v>
      </c>
      <c r="AA815" s="3470">
        <v>17</v>
      </c>
      <c r="AB815" s="3477">
        <v>1750</v>
      </c>
      <c r="AC815" s="3470" t="s">
        <v>6891</v>
      </c>
      <c r="AD815" s="3485"/>
      <c r="AE815" s="3441" t="s">
        <v>3663</v>
      </c>
      <c r="AF815" s="3453" t="s">
        <v>3493</v>
      </c>
      <c r="AG815" s="3522" t="s">
        <v>3466</v>
      </c>
      <c r="AH815" s="3485" t="s">
        <v>3568</v>
      </c>
      <c r="AI815" s="3470" t="s">
        <v>3664</v>
      </c>
      <c r="AJ815" s="3523" t="s">
        <v>2420</v>
      </c>
      <c r="AK815" s="3500">
        <v>9</v>
      </c>
      <c r="AL815" s="3441">
        <v>67641700</v>
      </c>
      <c r="AN815" s="3441" t="s">
        <v>4210</v>
      </c>
      <c r="AO815" s="3441" t="s">
        <v>3568</v>
      </c>
      <c r="AP815" s="3470" t="s">
        <v>3665</v>
      </c>
      <c r="AQ815" s="3441" t="s">
        <v>3714</v>
      </c>
      <c r="AV815" s="3441" t="s">
        <v>3568</v>
      </c>
      <c r="AW815" s="3441" t="s">
        <v>3458</v>
      </c>
      <c r="AY815" s="3524"/>
      <c r="AZ815" s="3441" t="s">
        <v>9054</v>
      </c>
      <c r="BA815" s="3441" t="s">
        <v>9055</v>
      </c>
      <c r="BB815" s="3524" t="s">
        <v>3668</v>
      </c>
      <c r="BC815" s="3441" t="s">
        <v>6443</v>
      </c>
      <c r="BD815" s="3525">
        <v>100037</v>
      </c>
      <c r="BE815" s="3441">
        <v>88118245</v>
      </c>
      <c r="BF815" s="3526">
        <v>2.7</v>
      </c>
      <c r="BG815" s="3518">
        <v>37792</v>
      </c>
      <c r="BI815" s="3441" t="s">
        <v>9056</v>
      </c>
      <c r="BJ815" s="3478">
        <v>37879</v>
      </c>
      <c r="BK815" s="3518" t="s">
        <v>3568</v>
      </c>
      <c r="BL815" s="3470" t="s">
        <v>3670</v>
      </c>
      <c r="BS815" s="3470"/>
      <c r="BT815" s="3470"/>
      <c r="BU815" s="3470"/>
      <c r="BV815" s="3472"/>
      <c r="BW815" s="3472"/>
      <c r="BX815" s="3472"/>
      <c r="BY815" s="3472"/>
      <c r="BZ815" s="3472"/>
      <c r="CA815" s="3472"/>
      <c r="CB815" s="3472"/>
      <c r="CC815" s="3472"/>
      <c r="CD815" s="3472"/>
      <c r="CE815" s="3472"/>
      <c r="CF815" s="3472"/>
      <c r="CG815" s="3472"/>
      <c r="CH815" s="3472"/>
      <c r="CI815" s="3472"/>
      <c r="CJ815" s="3472"/>
      <c r="CK815" s="3472"/>
      <c r="CL815" s="3472"/>
      <c r="CM815" s="3472"/>
      <c r="CN815" s="3472"/>
      <c r="CO815" s="3472"/>
      <c r="CP815" s="3472"/>
      <c r="CQ815" s="3472"/>
      <c r="CR815" s="3472"/>
      <c r="CS815" s="3472"/>
      <c r="CT815" s="3472"/>
      <c r="CU815" s="3472"/>
      <c r="CV815" s="3472"/>
      <c r="CW815" s="3472"/>
      <c r="CX815" s="3472"/>
      <c r="CY815" s="3472"/>
      <c r="CZ815" s="3472"/>
      <c r="DA815" s="3472"/>
      <c r="DB815" s="3472"/>
      <c r="DC815" s="3472"/>
      <c r="DD815" s="3472"/>
      <c r="DE815" s="3472"/>
      <c r="DF815" s="3472"/>
      <c r="DG815" s="3472"/>
      <c r="DH815" s="3472"/>
      <c r="DI815" s="3472"/>
      <c r="DJ815" s="3472"/>
      <c r="DK815" s="3472"/>
      <c r="DL815" s="3472"/>
      <c r="DM815" s="3472"/>
      <c r="DN815" s="3472"/>
      <c r="DO815" s="3472"/>
      <c r="DP815" s="3472"/>
      <c r="DQ815" s="3472"/>
      <c r="DR815" s="3472"/>
      <c r="DS815" s="3472"/>
      <c r="DT815" s="3472"/>
      <c r="DU815" s="3472"/>
      <c r="DV815" s="3472"/>
      <c r="DW815" s="3472"/>
      <c r="DX815" s="3472"/>
      <c r="DY815" s="3472"/>
      <c r="DZ815" s="3472"/>
      <c r="EA815" s="3472"/>
      <c r="EB815" s="3472"/>
      <c r="EC815" s="3472"/>
      <c r="ED815" s="3472"/>
      <c r="EE815" s="3472"/>
      <c r="EF815" s="3472"/>
      <c r="EG815" s="3472"/>
      <c r="EH815" s="3472"/>
      <c r="EI815" s="3472"/>
      <c r="EJ815" s="3472"/>
      <c r="EK815" s="3472"/>
      <c r="EL815" s="3472"/>
      <c r="EM815" s="3472"/>
      <c r="EN815" s="3472"/>
      <c r="EO815" s="3472"/>
      <c r="EP815" s="3472"/>
      <c r="EQ815" s="3472"/>
      <c r="ER815" s="3472"/>
      <c r="ES815" s="3472"/>
      <c r="ET815" s="3472"/>
      <c r="EU815" s="3472"/>
      <c r="EV815" s="3472"/>
      <c r="EW815" s="3472"/>
      <c r="EX815" s="3472"/>
      <c r="EY815" s="3472"/>
      <c r="EZ815" s="3472"/>
      <c r="FA815" s="3472"/>
      <c r="FB815" s="3472"/>
      <c r="FC815" s="3472"/>
      <c r="FD815" s="3472"/>
      <c r="FE815" s="3472"/>
      <c r="FF815" s="3472"/>
      <c r="FG815" s="3472"/>
      <c r="FH815" s="3472"/>
      <c r="FI815" s="3472"/>
      <c r="FJ815" s="3472"/>
      <c r="FK815" s="3472"/>
      <c r="FL815" s="3472"/>
      <c r="FM815" s="3472"/>
      <c r="FN815" s="3472"/>
      <c r="FO815" s="3472"/>
      <c r="FP815" s="3472"/>
      <c r="FQ815" s="3472"/>
      <c r="FR815" s="3472"/>
      <c r="FS815" s="3472"/>
      <c r="FT815" s="3472"/>
      <c r="FU815" s="3472"/>
      <c r="FV815" s="3472"/>
      <c r="FW815" s="3472"/>
      <c r="FX815" s="3472"/>
      <c r="FY815" s="3472"/>
      <c r="FZ815" s="3472"/>
      <c r="GA815" s="3472"/>
      <c r="GB815" s="3472"/>
      <c r="GC815" s="3472"/>
      <c r="GD815" s="3472"/>
      <c r="GE815" s="3472"/>
      <c r="GF815" s="3472"/>
      <c r="GG815" s="3472"/>
      <c r="GH815" s="3472"/>
      <c r="GI815" s="3472"/>
      <c r="GJ815" s="3472"/>
      <c r="GK815" s="3472"/>
      <c r="GL815" s="3472"/>
      <c r="GM815" s="3472"/>
      <c r="GN815" s="3472"/>
      <c r="GO815" s="3472"/>
      <c r="GP815" s="3472"/>
      <c r="GQ815" s="3472"/>
      <c r="GR815" s="3472"/>
      <c r="GS815" s="3472"/>
      <c r="GT815" s="3472"/>
      <c r="GU815" s="3472"/>
      <c r="GV815" s="3472"/>
      <c r="GW815" s="3472"/>
      <c r="GX815" s="3472"/>
      <c r="GY815" s="3472"/>
      <c r="GZ815" s="3472"/>
      <c r="HA815" s="3472"/>
      <c r="HB815" s="3472"/>
      <c r="HC815" s="3472"/>
      <c r="HD815" s="3472"/>
      <c r="HE815" s="3472"/>
      <c r="HF815" s="3472"/>
      <c r="HG815" s="3472"/>
      <c r="HH815" s="3472"/>
      <c r="HI815" s="3472"/>
      <c r="HJ815" s="3472"/>
      <c r="HK815" s="3472"/>
      <c r="HL815" s="3472"/>
      <c r="HM815" s="3472"/>
      <c r="HN815" s="3472"/>
      <c r="HO815" s="3472"/>
      <c r="HP815" s="3472"/>
      <c r="HQ815" s="3472"/>
      <c r="HR815" s="3472"/>
      <c r="HS815" s="3472"/>
      <c r="HT815" s="3472"/>
      <c r="HU815" s="3472"/>
      <c r="HV815" s="3472"/>
      <c r="HW815" s="3472"/>
      <c r="HX815" s="3472"/>
      <c r="HY815" s="3472"/>
      <c r="HZ815" s="3472"/>
      <c r="IA815" s="3472"/>
      <c r="IB815" s="3472"/>
      <c r="IC815" s="3472"/>
      <c r="ID815" s="3472"/>
      <c r="IE815" s="3472"/>
      <c r="IF815" s="3472"/>
      <c r="IG815" s="3472"/>
      <c r="IH815" s="3472"/>
      <c r="II815" s="3472"/>
      <c r="IJ815" s="3472"/>
      <c r="IK815" s="3472"/>
      <c r="IL815" s="3472"/>
      <c r="IM815" s="3472"/>
      <c r="IN815" s="3472"/>
      <c r="IO815" s="3472"/>
      <c r="IP815" s="3472"/>
      <c r="IQ815" s="3472"/>
      <c r="IR815" s="3472"/>
      <c r="IS815" s="3472"/>
    </row>
    <row r="816" spans="1:253" s="3470" customFormat="1" ht="12" hidden="1">
      <c r="A816" s="3453" t="s">
        <v>9057</v>
      </c>
      <c r="B816" s="3470" t="s">
        <v>9058</v>
      </c>
      <c r="C816" s="3481" t="s">
        <v>9059</v>
      </c>
      <c r="D816" s="3470">
        <v>13801011727</v>
      </c>
      <c r="E816" s="3470" t="s">
        <v>3558</v>
      </c>
      <c r="F816" s="3470" t="s">
        <v>4758</v>
      </c>
      <c r="H816" s="3453" t="s">
        <v>3979</v>
      </c>
      <c r="I816" s="3453" t="s">
        <v>3464</v>
      </c>
      <c r="J816" s="3453" t="s">
        <v>3871</v>
      </c>
      <c r="K816" s="3470" t="s">
        <v>4760</v>
      </c>
      <c r="L816" s="3495">
        <v>142.63</v>
      </c>
      <c r="M816" s="3495">
        <v>4</v>
      </c>
      <c r="N816" s="3470" t="s">
        <v>4003</v>
      </c>
      <c r="O816" s="3495">
        <v>123.96</v>
      </c>
      <c r="P816" s="3470" t="s">
        <v>3452</v>
      </c>
      <c r="Q816" s="3457">
        <v>696034.4</v>
      </c>
      <c r="R816" s="3470">
        <v>4880</v>
      </c>
      <c r="S816" s="3472">
        <v>68.91</v>
      </c>
      <c r="T816" s="3527">
        <v>689100</v>
      </c>
      <c r="U816" s="3470">
        <v>4832</v>
      </c>
      <c r="V816" s="3474">
        <v>0.1</v>
      </c>
      <c r="W816" s="3475">
        <v>62.01</v>
      </c>
      <c r="X816" s="3476">
        <v>620100</v>
      </c>
      <c r="Y816" s="3441">
        <v>2003</v>
      </c>
      <c r="Z816" s="3441">
        <v>9</v>
      </c>
      <c r="AA816" s="3470">
        <v>16</v>
      </c>
      <c r="AB816" s="3477">
        <v>3445</v>
      </c>
      <c r="AC816" s="3470" t="s">
        <v>9060</v>
      </c>
      <c r="AE816" s="3456" t="s">
        <v>3663</v>
      </c>
      <c r="AF816" s="3453" t="s">
        <v>4032</v>
      </c>
      <c r="AG816" s="3470" t="s">
        <v>3466</v>
      </c>
      <c r="AH816" s="3470" t="s">
        <v>3568</v>
      </c>
      <c r="AI816" s="3456" t="s">
        <v>5021</v>
      </c>
      <c r="AJ816" s="3478">
        <v>38107</v>
      </c>
      <c r="AK816" s="3500">
        <v>9</v>
      </c>
      <c r="AL816" s="3441">
        <v>67641700</v>
      </c>
      <c r="AM816" s="3441"/>
      <c r="AN816" s="3456" t="s">
        <v>3739</v>
      </c>
      <c r="AO816" s="3441"/>
      <c r="AP816" s="3441" t="s">
        <v>3476</v>
      </c>
      <c r="AQ816" s="3456" t="s">
        <v>3571</v>
      </c>
      <c r="AV816" s="3519" t="s">
        <v>3568</v>
      </c>
      <c r="AW816" s="3470" t="s">
        <v>3572</v>
      </c>
      <c r="AX816" s="3470" t="s">
        <v>6879</v>
      </c>
      <c r="AY816" s="3495">
        <v>531366</v>
      </c>
      <c r="AZ816" s="3470" t="s">
        <v>4760</v>
      </c>
      <c r="BA816" s="3470" t="s">
        <v>4763</v>
      </c>
      <c r="BB816" s="3470" t="s">
        <v>4764</v>
      </c>
      <c r="BC816" s="3470" t="s">
        <v>4765</v>
      </c>
      <c r="BD816" s="3470">
        <v>102607</v>
      </c>
      <c r="BE816" s="3470">
        <v>68156287</v>
      </c>
      <c r="BF816" s="3520">
        <v>2.8</v>
      </c>
      <c r="BG816" s="3478">
        <v>37866</v>
      </c>
      <c r="BI816" s="3470" t="s">
        <v>3476</v>
      </c>
      <c r="BJ816" s="3508">
        <v>37879</v>
      </c>
      <c r="BK816" s="3478"/>
      <c r="BL816" s="3470" t="s">
        <v>3670</v>
      </c>
      <c r="BP816" s="3441"/>
      <c r="BQ816" s="3441"/>
      <c r="BR816" s="3441"/>
    </row>
    <row r="817" spans="1:253" s="3441" customFormat="1" ht="12" hidden="1">
      <c r="A817" s="3485" t="s">
        <v>9061</v>
      </c>
      <c r="B817" s="3470" t="s">
        <v>9062</v>
      </c>
      <c r="C817" s="3481" t="s">
        <v>9063</v>
      </c>
      <c r="D817" s="3481" t="s">
        <v>9064</v>
      </c>
      <c r="E817" s="3470" t="s">
        <v>3558</v>
      </c>
      <c r="F817" s="3528" t="s">
        <v>3733</v>
      </c>
      <c r="G817" s="3470"/>
      <c r="H817" s="3470" t="s">
        <v>8962</v>
      </c>
      <c r="I817" s="3470" t="s">
        <v>4624</v>
      </c>
      <c r="J817" s="3481" t="s">
        <v>8731</v>
      </c>
      <c r="K817" s="3470" t="s">
        <v>3737</v>
      </c>
      <c r="L817" s="3470">
        <v>54.88</v>
      </c>
      <c r="M817" s="3470">
        <v>6</v>
      </c>
      <c r="N817" s="3485" t="s">
        <v>3584</v>
      </c>
      <c r="O817" s="3470">
        <v>43.84</v>
      </c>
      <c r="P817" s="3470" t="s">
        <v>3452</v>
      </c>
      <c r="Q817" s="3492">
        <v>322694.40000000002</v>
      </c>
      <c r="R817" s="3470">
        <v>5880</v>
      </c>
      <c r="S817" s="3472">
        <v>31.83</v>
      </c>
      <c r="T817" s="3527">
        <v>318300</v>
      </c>
      <c r="U817" s="3470">
        <v>5800</v>
      </c>
      <c r="V817" s="3474">
        <v>0.1</v>
      </c>
      <c r="W817" s="3475">
        <v>28.64</v>
      </c>
      <c r="X817" s="3494">
        <v>286400</v>
      </c>
      <c r="Y817" s="3441">
        <v>2003</v>
      </c>
      <c r="Z817" s="3441">
        <v>9</v>
      </c>
      <c r="AA817" s="3441">
        <v>16</v>
      </c>
      <c r="AB817" s="3477">
        <v>1590</v>
      </c>
      <c r="AC817" s="3470" t="s">
        <v>6891</v>
      </c>
      <c r="AD817" s="3485"/>
      <c r="AE817" s="3441" t="s">
        <v>3663</v>
      </c>
      <c r="AF817" s="3470" t="s">
        <v>3604</v>
      </c>
      <c r="AG817" s="3522" t="s">
        <v>3466</v>
      </c>
      <c r="AH817" s="3485"/>
      <c r="AI817" s="3470" t="s">
        <v>5021</v>
      </c>
      <c r="AJ817" s="3523">
        <v>38045</v>
      </c>
      <c r="AK817" s="3500">
        <v>9</v>
      </c>
      <c r="AL817" s="3441">
        <v>67641700</v>
      </c>
      <c r="AN817" s="3456" t="s">
        <v>3739</v>
      </c>
      <c r="AO817" s="3441" t="s">
        <v>3568</v>
      </c>
      <c r="AP817" s="3441" t="s">
        <v>3476</v>
      </c>
      <c r="AQ817" s="3441" t="s">
        <v>3571</v>
      </c>
      <c r="AW817" s="3441" t="s">
        <v>3572</v>
      </c>
      <c r="AY817" s="3524" t="s">
        <v>9065</v>
      </c>
      <c r="AZ817" s="3441" t="s">
        <v>3737</v>
      </c>
      <c r="BA817" s="3441" t="s">
        <v>3742</v>
      </c>
      <c r="BB817" s="3524" t="s">
        <v>3743</v>
      </c>
      <c r="BC817" s="3441" t="s">
        <v>3744</v>
      </c>
      <c r="BD817" s="3525">
        <v>100088</v>
      </c>
      <c r="BE817" s="3441">
        <v>82058259</v>
      </c>
      <c r="BF817" s="3526" t="s">
        <v>8595</v>
      </c>
      <c r="BG817" s="3518">
        <v>37864</v>
      </c>
      <c r="BH817" s="3441" t="s">
        <v>4753</v>
      </c>
      <c r="BI817" s="3441" t="s">
        <v>3476</v>
      </c>
      <c r="BJ817" s="3508">
        <v>37879</v>
      </c>
      <c r="BK817" s="3518" t="s">
        <v>2420</v>
      </c>
      <c r="BL817" s="3470" t="s">
        <v>3670</v>
      </c>
      <c r="BS817" s="3470"/>
      <c r="BT817" s="3470"/>
      <c r="BU817" s="3470"/>
    </row>
    <row r="818" spans="1:253" s="3470" customFormat="1" ht="12" hidden="1">
      <c r="A818" s="3470" t="s">
        <v>9066</v>
      </c>
      <c r="B818" s="3470" t="s">
        <v>9067</v>
      </c>
      <c r="C818" s="3481" t="s">
        <v>9068</v>
      </c>
      <c r="D818" s="3470">
        <v>13601244900</v>
      </c>
      <c r="E818" s="3470" t="s">
        <v>3558</v>
      </c>
      <c r="F818" s="3470" t="s">
        <v>3559</v>
      </c>
      <c r="H818" s="3470" t="s">
        <v>3581</v>
      </c>
      <c r="I818" s="3470" t="s">
        <v>4995</v>
      </c>
      <c r="J818" s="3481" t="s">
        <v>9069</v>
      </c>
      <c r="K818" s="3470" t="s">
        <v>7737</v>
      </c>
      <c r="L818" s="3470">
        <v>104.74</v>
      </c>
      <c r="M818" s="3470">
        <v>6</v>
      </c>
      <c r="N818" s="3470" t="s">
        <v>3486</v>
      </c>
      <c r="O818" s="3470">
        <v>84.86</v>
      </c>
      <c r="P818" s="3470" t="s">
        <v>3452</v>
      </c>
      <c r="Q818" s="3457">
        <v>488685.41799999995</v>
      </c>
      <c r="R818" s="3470">
        <v>4665.7</v>
      </c>
      <c r="S818" s="3472">
        <v>48.36</v>
      </c>
      <c r="T818" s="3527">
        <v>483600</v>
      </c>
      <c r="U818" s="3470">
        <v>4618</v>
      </c>
      <c r="V818" s="3474">
        <v>0.1</v>
      </c>
      <c r="W818" s="3475">
        <v>43.52</v>
      </c>
      <c r="X818" s="3476">
        <v>435200.00000000006</v>
      </c>
      <c r="Y818" s="3441">
        <v>2003</v>
      </c>
      <c r="Z818" s="3441">
        <v>9</v>
      </c>
      <c r="AA818" s="3470">
        <v>16</v>
      </c>
      <c r="AB818" s="3477">
        <v>2415</v>
      </c>
      <c r="AC818" s="3470" t="s">
        <v>3544</v>
      </c>
      <c r="AE818" s="3470" t="s">
        <v>3663</v>
      </c>
      <c r="AF818" s="3470" t="s">
        <v>4126</v>
      </c>
      <c r="AG818" s="3470" t="s">
        <v>3466</v>
      </c>
      <c r="AH818" s="3470" t="s">
        <v>3568</v>
      </c>
      <c r="AI818" s="3470" t="s">
        <v>3664</v>
      </c>
      <c r="AJ818" s="3478">
        <v>37894</v>
      </c>
      <c r="AK818" s="3500">
        <v>9</v>
      </c>
      <c r="AL818" s="3470">
        <v>67641700</v>
      </c>
      <c r="AM818" s="3470" t="s">
        <v>3568</v>
      </c>
      <c r="AN818" s="3456" t="s">
        <v>3739</v>
      </c>
      <c r="AO818" s="3470" t="s">
        <v>3568</v>
      </c>
      <c r="AP818" s="3470" t="s">
        <v>3476</v>
      </c>
      <c r="AQ818" s="3470" t="s">
        <v>3571</v>
      </c>
      <c r="AW818" s="3470" t="s">
        <v>3572</v>
      </c>
      <c r="AY818" s="3481" t="s">
        <v>9070</v>
      </c>
      <c r="AZ818" s="3470" t="s">
        <v>7737</v>
      </c>
      <c r="BA818" s="3470" t="s">
        <v>9071</v>
      </c>
      <c r="BB818" s="3481" t="s">
        <v>3683</v>
      </c>
      <c r="BC818" s="3470" t="s">
        <v>3576</v>
      </c>
      <c r="BD818" s="3482">
        <v>100037</v>
      </c>
      <c r="BE818" s="3470">
        <v>84050046</v>
      </c>
      <c r="BF818" s="3483">
        <v>2.8</v>
      </c>
      <c r="BG818" s="3478">
        <v>37847</v>
      </c>
      <c r="BI818" s="3441" t="s">
        <v>3476</v>
      </c>
      <c r="BJ818" s="3508">
        <v>37879</v>
      </c>
      <c r="BK818" s="3478" t="s">
        <v>2420</v>
      </c>
      <c r="BL818" s="3441" t="s">
        <v>3670</v>
      </c>
      <c r="BM818" s="3441"/>
      <c r="BN818" s="3441"/>
      <c r="BO818" s="3441"/>
      <c r="BP818" s="3441"/>
      <c r="BQ818" s="3441"/>
      <c r="BR818" s="3441"/>
    </row>
    <row r="819" spans="1:253" s="3441" customFormat="1" ht="12" hidden="1">
      <c r="A819" s="3485" t="s">
        <v>9072</v>
      </c>
      <c r="B819" s="3470" t="s">
        <v>9073</v>
      </c>
      <c r="C819" s="3481" t="s">
        <v>9074</v>
      </c>
      <c r="D819" s="3481" t="s">
        <v>9075</v>
      </c>
      <c r="E819" s="3470" t="s">
        <v>3558</v>
      </c>
      <c r="F819" s="3470" t="s">
        <v>7153</v>
      </c>
      <c r="G819" s="3470" t="s">
        <v>3568</v>
      </c>
      <c r="H819" s="3470" t="s">
        <v>5608</v>
      </c>
      <c r="I819" s="3453" t="s">
        <v>9076</v>
      </c>
      <c r="J819" s="3481" t="s">
        <v>7169</v>
      </c>
      <c r="K819" s="3470" t="s">
        <v>6117</v>
      </c>
      <c r="L819" s="3470">
        <v>98.22</v>
      </c>
      <c r="M819" s="3470">
        <v>7</v>
      </c>
      <c r="N819" s="3542" t="s">
        <v>7255</v>
      </c>
      <c r="O819" s="3470">
        <v>83.29</v>
      </c>
      <c r="P819" s="3470" t="s">
        <v>3452</v>
      </c>
      <c r="Q819" s="3457">
        <v>391897.8</v>
      </c>
      <c r="R819" s="3470">
        <v>3990</v>
      </c>
      <c r="S819" s="3472">
        <v>38.69</v>
      </c>
      <c r="T819" s="3527">
        <v>386900</v>
      </c>
      <c r="U819" s="3470">
        <v>3940</v>
      </c>
      <c r="V819" s="3474">
        <v>0.1</v>
      </c>
      <c r="W819" s="3475">
        <v>34.82</v>
      </c>
      <c r="X819" s="3476">
        <v>348200</v>
      </c>
      <c r="Y819" s="3441">
        <v>2003</v>
      </c>
      <c r="Z819" s="3441">
        <v>10</v>
      </c>
      <c r="AA819" s="3470">
        <v>17</v>
      </c>
      <c r="AB819" s="3477">
        <v>1930</v>
      </c>
      <c r="AC819" s="3470" t="s">
        <v>9077</v>
      </c>
      <c r="AD819" s="3485"/>
      <c r="AE819" s="3441" t="s">
        <v>3663</v>
      </c>
      <c r="AF819" s="3470" t="s">
        <v>7751</v>
      </c>
      <c r="AG819" s="3522" t="s">
        <v>3466</v>
      </c>
      <c r="AH819" s="3485"/>
      <c r="AI819" s="3470" t="s">
        <v>5021</v>
      </c>
      <c r="AJ819" s="3523">
        <v>38108</v>
      </c>
      <c r="AK819" s="3500" t="s">
        <v>4752</v>
      </c>
      <c r="AL819" s="3441">
        <v>67641700</v>
      </c>
      <c r="AN819" s="3456" t="s">
        <v>3468</v>
      </c>
      <c r="AO819" s="3441" t="s">
        <v>9078</v>
      </c>
      <c r="AP819" s="3441" t="s">
        <v>3476</v>
      </c>
      <c r="AQ819" s="3441" t="s">
        <v>3571</v>
      </c>
      <c r="AW819" s="3441" t="s">
        <v>3572</v>
      </c>
      <c r="AX819" s="3441" t="s">
        <v>3568</v>
      </c>
      <c r="AY819" s="3524" t="s">
        <v>9079</v>
      </c>
      <c r="AZ819" s="3441" t="s">
        <v>6117</v>
      </c>
      <c r="BA819" s="3441" t="s">
        <v>7157</v>
      </c>
      <c r="BB819" s="3524">
        <v>1102281326100</v>
      </c>
      <c r="BC819" s="3441" t="s">
        <v>7158</v>
      </c>
      <c r="BD819" s="3525">
        <v>100055</v>
      </c>
      <c r="BE819" s="3441">
        <v>82951881</v>
      </c>
      <c r="BF819" s="3526">
        <v>2.8</v>
      </c>
      <c r="BG819" s="3518">
        <v>37879</v>
      </c>
      <c r="BH819" s="3441" t="s">
        <v>4753</v>
      </c>
      <c r="BI819" s="3441" t="s">
        <v>3476</v>
      </c>
      <c r="BJ819" s="3484">
        <v>37908</v>
      </c>
      <c r="BK819" s="3484"/>
      <c r="BL819" s="3470" t="s">
        <v>3670</v>
      </c>
    </row>
    <row r="820" spans="1:253" s="3470" customFormat="1" ht="12" hidden="1">
      <c r="A820" s="3470" t="s">
        <v>9080</v>
      </c>
      <c r="B820" s="3470" t="s">
        <v>9081</v>
      </c>
      <c r="C820" s="3481" t="s">
        <v>9082</v>
      </c>
      <c r="D820" s="3487" t="s">
        <v>9083</v>
      </c>
      <c r="E820" s="3470" t="s">
        <v>3558</v>
      </c>
      <c r="F820" s="3470" t="s">
        <v>7153</v>
      </c>
      <c r="G820" s="3470" t="s">
        <v>3568</v>
      </c>
      <c r="H820" s="3453" t="s">
        <v>7162</v>
      </c>
      <c r="I820" s="3453" t="s">
        <v>3735</v>
      </c>
      <c r="J820" s="3453" t="s">
        <v>7613</v>
      </c>
      <c r="K820" s="3470" t="s">
        <v>6117</v>
      </c>
      <c r="L820" s="3495">
        <v>98.22</v>
      </c>
      <c r="M820" s="3495">
        <v>9</v>
      </c>
      <c r="N820" s="3470" t="s">
        <v>4030</v>
      </c>
      <c r="O820" s="3495">
        <v>83.29</v>
      </c>
      <c r="P820" s="3470" t="s">
        <v>3452</v>
      </c>
      <c r="Q820" s="3457">
        <v>395826.6</v>
      </c>
      <c r="R820" s="3470">
        <v>4030</v>
      </c>
      <c r="S820" s="3472">
        <v>39.090000000000003</v>
      </c>
      <c r="T820" s="3602">
        <v>390900</v>
      </c>
      <c r="U820" s="3470">
        <v>3980</v>
      </c>
      <c r="V820" s="3474">
        <v>0.1</v>
      </c>
      <c r="W820" s="3475">
        <v>35.18</v>
      </c>
      <c r="X820" s="3602">
        <v>351800</v>
      </c>
      <c r="Y820" s="3470">
        <v>2003</v>
      </c>
      <c r="Z820" s="3470">
        <v>9</v>
      </c>
      <c r="AA820" s="3441">
        <v>23</v>
      </c>
      <c r="AB820" s="3477">
        <v>1950</v>
      </c>
      <c r="AC820" s="3490" t="s">
        <v>8971</v>
      </c>
      <c r="AE820" s="3456" t="s">
        <v>3663</v>
      </c>
      <c r="AF820" s="3470" t="s">
        <v>4721</v>
      </c>
      <c r="AG820" s="3470" t="s">
        <v>3466</v>
      </c>
      <c r="AI820" s="3470" t="s">
        <v>5021</v>
      </c>
      <c r="AJ820" s="3478">
        <v>38108</v>
      </c>
      <c r="AK820" s="3603">
        <v>9</v>
      </c>
      <c r="AL820" s="3495">
        <v>67641700</v>
      </c>
      <c r="AN820" s="3480" t="s">
        <v>3680</v>
      </c>
      <c r="AO820" s="3441" t="s">
        <v>9084</v>
      </c>
      <c r="AP820" s="3456" t="s">
        <v>3476</v>
      </c>
      <c r="AQ820" s="3456" t="s">
        <v>3571</v>
      </c>
      <c r="AV820" s="3519"/>
      <c r="AW820" s="3470" t="s">
        <v>3572</v>
      </c>
      <c r="AX820" s="3470" t="s">
        <v>3568</v>
      </c>
      <c r="AY820" s="3453" t="s">
        <v>9085</v>
      </c>
      <c r="AZ820" s="3470" t="s">
        <v>6117</v>
      </c>
      <c r="BA820" s="3470" t="s">
        <v>7157</v>
      </c>
      <c r="BB820" s="3470">
        <v>1102281326100</v>
      </c>
      <c r="BC820" s="3470" t="s">
        <v>7158</v>
      </c>
      <c r="BD820" s="3470">
        <v>100055</v>
      </c>
      <c r="BE820" s="3470">
        <v>82951881</v>
      </c>
      <c r="BF820" s="3520">
        <v>2.8</v>
      </c>
      <c r="BG820" s="3478">
        <v>37862</v>
      </c>
      <c r="BH820" s="3470" t="s">
        <v>4753</v>
      </c>
      <c r="BI820" s="3441" t="s">
        <v>3476</v>
      </c>
      <c r="BJ820" s="3478">
        <v>37882</v>
      </c>
      <c r="BK820" s="3478"/>
      <c r="BL820" s="3441" t="s">
        <v>3670</v>
      </c>
      <c r="BM820" s="3441"/>
      <c r="BN820" s="3441"/>
      <c r="BO820" s="3441"/>
      <c r="BP820" s="3441"/>
      <c r="BQ820" s="3441"/>
      <c r="BR820" s="3441"/>
    </row>
    <row r="821" spans="1:253" s="3441" customFormat="1" ht="12" hidden="1">
      <c r="A821" s="3485" t="s">
        <v>9086</v>
      </c>
      <c r="B821" s="3470" t="s">
        <v>9087</v>
      </c>
      <c r="C821" s="3481" t="s">
        <v>9088</v>
      </c>
      <c r="D821" s="3481" t="s">
        <v>9089</v>
      </c>
      <c r="E821" s="3470" t="s">
        <v>3558</v>
      </c>
      <c r="F821" s="3528" t="s">
        <v>3733</v>
      </c>
      <c r="G821" s="3470"/>
      <c r="H821" s="3470" t="s">
        <v>4706</v>
      </c>
      <c r="I821" s="3470" t="s">
        <v>4707</v>
      </c>
      <c r="J821" s="3481" t="s">
        <v>5263</v>
      </c>
      <c r="K821" s="3470" t="s">
        <v>3737</v>
      </c>
      <c r="L821" s="3470">
        <v>88.96</v>
      </c>
      <c r="M821" s="3470">
        <v>14</v>
      </c>
      <c r="N821" s="3470" t="s">
        <v>7246</v>
      </c>
      <c r="O821" s="3470">
        <v>71.069999999999993</v>
      </c>
      <c r="P821" s="3470" t="s">
        <v>3452</v>
      </c>
      <c r="Q821" s="3492">
        <v>551552</v>
      </c>
      <c r="R821" s="3470">
        <v>6200</v>
      </c>
      <c r="S821" s="3472">
        <v>53.64</v>
      </c>
      <c r="T821" s="3527">
        <v>536400</v>
      </c>
      <c r="U821" s="3470">
        <v>6030</v>
      </c>
      <c r="V821" s="3474">
        <v>0.1</v>
      </c>
      <c r="W821" s="3475">
        <v>48.27</v>
      </c>
      <c r="X821" s="3494">
        <v>482700.00000000006</v>
      </c>
      <c r="Y821" s="3441">
        <v>2003</v>
      </c>
      <c r="Z821" s="3441">
        <v>9</v>
      </c>
      <c r="AA821" s="3470">
        <v>17</v>
      </c>
      <c r="AB821" s="3477">
        <v>2680</v>
      </c>
      <c r="AC821" s="3470" t="s">
        <v>4800</v>
      </c>
      <c r="AD821" s="3485"/>
      <c r="AE821" s="3441" t="s">
        <v>3663</v>
      </c>
      <c r="AF821" s="3470" t="s">
        <v>8923</v>
      </c>
      <c r="AG821" s="3522" t="s">
        <v>3466</v>
      </c>
      <c r="AH821" s="3485" t="s">
        <v>9090</v>
      </c>
      <c r="AI821" s="3470" t="s">
        <v>5021</v>
      </c>
      <c r="AJ821" s="3523">
        <v>38045</v>
      </c>
      <c r="AK821" s="3500">
        <v>9</v>
      </c>
      <c r="AL821" s="3441">
        <v>67641700</v>
      </c>
      <c r="AN821" s="3456" t="s">
        <v>3739</v>
      </c>
      <c r="AO821" s="3441" t="s">
        <v>3715</v>
      </c>
      <c r="AP821" s="3441" t="s">
        <v>3476</v>
      </c>
      <c r="AQ821" s="3441" t="s">
        <v>3571</v>
      </c>
      <c r="AW821" s="3441" t="s">
        <v>3572</v>
      </c>
      <c r="AY821" s="3524" t="s">
        <v>9091</v>
      </c>
      <c r="AZ821" s="3441" t="s">
        <v>3737</v>
      </c>
      <c r="BA821" s="3441" t="s">
        <v>3742</v>
      </c>
      <c r="BB821" s="3524" t="s">
        <v>3743</v>
      </c>
      <c r="BC821" s="3441" t="s">
        <v>3744</v>
      </c>
      <c r="BD821" s="3525">
        <v>100088</v>
      </c>
      <c r="BE821" s="3441">
        <v>82058259</v>
      </c>
      <c r="BF821" s="3526" t="s">
        <v>8595</v>
      </c>
      <c r="BG821" s="3518">
        <v>37858</v>
      </c>
      <c r="BH821" s="3441" t="s">
        <v>4753</v>
      </c>
      <c r="BI821" s="3441" t="s">
        <v>3476</v>
      </c>
      <c r="BJ821" s="3508">
        <v>37879</v>
      </c>
      <c r="BK821" s="3518" t="s">
        <v>6879</v>
      </c>
      <c r="BL821" s="3470" t="s">
        <v>3670</v>
      </c>
      <c r="BS821" s="3470"/>
      <c r="BT821" s="3470"/>
      <c r="BU821" s="3470"/>
    </row>
    <row r="822" spans="1:253" s="3441" customFormat="1" ht="12" hidden="1">
      <c r="A822" s="3470" t="s">
        <v>9092</v>
      </c>
      <c r="B822" s="3470" t="s">
        <v>9093</v>
      </c>
      <c r="C822" s="3481" t="s">
        <v>9094</v>
      </c>
      <c r="D822" s="3481" t="s">
        <v>9095</v>
      </c>
      <c r="E822" s="3470" t="s">
        <v>2736</v>
      </c>
      <c r="F822" s="3528" t="s">
        <v>9096</v>
      </c>
      <c r="G822" s="3470"/>
      <c r="H822" s="3470" t="s">
        <v>3540</v>
      </c>
      <c r="I822" s="3470" t="s">
        <v>9097</v>
      </c>
      <c r="J822" s="3481" t="s">
        <v>9098</v>
      </c>
      <c r="K822" s="3470" t="s">
        <v>9053</v>
      </c>
      <c r="L822" s="3470">
        <v>104.82</v>
      </c>
      <c r="M822" s="3470">
        <v>7</v>
      </c>
      <c r="N822" s="3470" t="s">
        <v>7070</v>
      </c>
      <c r="O822" s="3470"/>
      <c r="P822" s="3470" t="s">
        <v>3452</v>
      </c>
      <c r="Q822" s="3457">
        <v>576510</v>
      </c>
      <c r="R822" s="3495">
        <v>5500</v>
      </c>
      <c r="S822" s="3472">
        <v>57.08</v>
      </c>
      <c r="T822" s="3527">
        <v>570800</v>
      </c>
      <c r="U822" s="3495">
        <v>5446</v>
      </c>
      <c r="V822" s="3529">
        <v>0.05</v>
      </c>
      <c r="W822" s="3475">
        <v>54.22</v>
      </c>
      <c r="X822" s="3473">
        <v>542200</v>
      </c>
      <c r="Y822" s="3495">
        <v>2003</v>
      </c>
      <c r="Z822" s="3441">
        <v>9</v>
      </c>
      <c r="AA822" s="3470">
        <v>17</v>
      </c>
      <c r="AB822" s="3477">
        <v>2850</v>
      </c>
      <c r="AC822" s="3470" t="s">
        <v>4800</v>
      </c>
      <c r="AD822" s="3485"/>
      <c r="AE822" s="3441" t="s">
        <v>3663</v>
      </c>
      <c r="AF822" s="3453" t="s">
        <v>3493</v>
      </c>
      <c r="AG822" s="3522" t="s">
        <v>3466</v>
      </c>
      <c r="AH822" s="3485" t="s">
        <v>3568</v>
      </c>
      <c r="AI822" s="3470" t="s">
        <v>6972</v>
      </c>
      <c r="AJ822" s="3523" t="s">
        <v>3715</v>
      </c>
      <c r="AK822" s="3500">
        <v>9</v>
      </c>
      <c r="AL822" s="3441">
        <v>67641700</v>
      </c>
      <c r="AN822" s="3441" t="s">
        <v>3482</v>
      </c>
      <c r="AO822" s="3441" t="s">
        <v>3568</v>
      </c>
      <c r="AP822" s="3470" t="s">
        <v>3665</v>
      </c>
      <c r="AQ822" s="3441" t="s">
        <v>3457</v>
      </c>
      <c r="AV822" s="3441" t="s">
        <v>3568</v>
      </c>
      <c r="AW822" s="3441" t="s">
        <v>3458</v>
      </c>
      <c r="AY822" s="3524"/>
      <c r="AZ822" s="3441" t="s">
        <v>9054</v>
      </c>
      <c r="BA822" s="3441" t="s">
        <v>9099</v>
      </c>
      <c r="BB822" s="3524" t="s">
        <v>9100</v>
      </c>
      <c r="BC822" s="3441" t="s">
        <v>9101</v>
      </c>
      <c r="BD822" s="3525">
        <v>100037</v>
      </c>
      <c r="BE822" s="3441">
        <v>88118245</v>
      </c>
      <c r="BF822" s="3526">
        <v>2.7</v>
      </c>
      <c r="BG822" s="3518">
        <v>37754</v>
      </c>
      <c r="BI822" s="3441" t="s">
        <v>3665</v>
      </c>
      <c r="BJ822" s="3478">
        <v>37876</v>
      </c>
      <c r="BK822" s="3518" t="s">
        <v>3568</v>
      </c>
      <c r="BL822" s="3470" t="s">
        <v>3670</v>
      </c>
      <c r="BS822" s="3470"/>
      <c r="BT822" s="3470"/>
      <c r="BU822" s="3470"/>
      <c r="BV822" s="3472"/>
      <c r="BW822" s="3472"/>
      <c r="BX822" s="3472"/>
      <c r="BY822" s="3472"/>
      <c r="BZ822" s="3472"/>
      <c r="CA822" s="3472"/>
      <c r="CB822" s="3472"/>
      <c r="CC822" s="3472"/>
      <c r="CD822" s="3472"/>
      <c r="CE822" s="3472"/>
      <c r="CF822" s="3472"/>
      <c r="CG822" s="3472"/>
      <c r="CH822" s="3472"/>
      <c r="CI822" s="3472"/>
      <c r="CJ822" s="3472"/>
      <c r="CK822" s="3472"/>
      <c r="CL822" s="3472"/>
      <c r="CM822" s="3472"/>
      <c r="CN822" s="3472"/>
      <c r="CO822" s="3472"/>
      <c r="CP822" s="3472"/>
      <c r="CQ822" s="3472"/>
      <c r="CR822" s="3472"/>
      <c r="CS822" s="3472"/>
      <c r="CT822" s="3472"/>
      <c r="CU822" s="3472"/>
      <c r="CV822" s="3472"/>
      <c r="CW822" s="3472"/>
      <c r="CX822" s="3472"/>
      <c r="CY822" s="3472"/>
      <c r="CZ822" s="3472"/>
      <c r="DA822" s="3472"/>
      <c r="DB822" s="3472"/>
      <c r="DC822" s="3472"/>
      <c r="DD822" s="3472"/>
      <c r="DE822" s="3472"/>
      <c r="DF822" s="3472"/>
      <c r="DG822" s="3472"/>
      <c r="DH822" s="3472"/>
      <c r="DI822" s="3472"/>
      <c r="DJ822" s="3472"/>
      <c r="DK822" s="3472"/>
      <c r="DL822" s="3472"/>
      <c r="DM822" s="3472"/>
      <c r="DN822" s="3472"/>
      <c r="DO822" s="3472"/>
      <c r="DP822" s="3472"/>
      <c r="DQ822" s="3472"/>
      <c r="DR822" s="3472"/>
      <c r="DS822" s="3472"/>
      <c r="DT822" s="3472"/>
      <c r="DU822" s="3472"/>
      <c r="DV822" s="3472"/>
      <c r="DW822" s="3472"/>
      <c r="DX822" s="3472"/>
      <c r="DY822" s="3472"/>
      <c r="DZ822" s="3472"/>
      <c r="EA822" s="3472"/>
      <c r="EB822" s="3472"/>
      <c r="EC822" s="3472"/>
      <c r="ED822" s="3472"/>
      <c r="EE822" s="3472"/>
      <c r="EF822" s="3472"/>
      <c r="EG822" s="3472"/>
      <c r="EH822" s="3472"/>
      <c r="EI822" s="3472"/>
      <c r="EJ822" s="3472"/>
      <c r="EK822" s="3472"/>
      <c r="EL822" s="3472"/>
      <c r="EM822" s="3472"/>
      <c r="EN822" s="3472"/>
      <c r="EO822" s="3472"/>
      <c r="EP822" s="3472"/>
      <c r="EQ822" s="3472"/>
      <c r="ER822" s="3472"/>
      <c r="ES822" s="3472"/>
      <c r="ET822" s="3472"/>
      <c r="EU822" s="3472"/>
      <c r="EV822" s="3472"/>
      <c r="EW822" s="3472"/>
      <c r="EX822" s="3472"/>
      <c r="EY822" s="3472"/>
      <c r="EZ822" s="3472"/>
      <c r="FA822" s="3472"/>
      <c r="FB822" s="3472"/>
      <c r="FC822" s="3472"/>
      <c r="FD822" s="3472"/>
      <c r="FE822" s="3472"/>
      <c r="FF822" s="3472"/>
      <c r="FG822" s="3472"/>
      <c r="FH822" s="3472"/>
      <c r="FI822" s="3472"/>
      <c r="FJ822" s="3472"/>
      <c r="FK822" s="3472"/>
      <c r="FL822" s="3472"/>
      <c r="FM822" s="3472"/>
      <c r="FN822" s="3472"/>
      <c r="FO822" s="3472"/>
      <c r="FP822" s="3472"/>
      <c r="FQ822" s="3472"/>
      <c r="FR822" s="3472"/>
      <c r="FS822" s="3472"/>
      <c r="FT822" s="3472"/>
      <c r="FU822" s="3472"/>
      <c r="FV822" s="3472"/>
      <c r="FW822" s="3472"/>
      <c r="FX822" s="3472"/>
      <c r="FY822" s="3472"/>
      <c r="FZ822" s="3472"/>
      <c r="GA822" s="3472"/>
      <c r="GB822" s="3472"/>
      <c r="GC822" s="3472"/>
      <c r="GD822" s="3472"/>
      <c r="GE822" s="3472"/>
      <c r="GF822" s="3472"/>
      <c r="GG822" s="3472"/>
      <c r="GH822" s="3472"/>
      <c r="GI822" s="3472"/>
      <c r="GJ822" s="3472"/>
      <c r="GK822" s="3472"/>
      <c r="GL822" s="3472"/>
      <c r="GM822" s="3472"/>
      <c r="GN822" s="3472"/>
      <c r="GO822" s="3472"/>
      <c r="GP822" s="3472"/>
      <c r="GQ822" s="3472"/>
      <c r="GR822" s="3472"/>
      <c r="GS822" s="3472"/>
      <c r="GT822" s="3472"/>
      <c r="GU822" s="3472"/>
      <c r="GV822" s="3472"/>
      <c r="GW822" s="3472"/>
      <c r="GX822" s="3472"/>
      <c r="GY822" s="3472"/>
      <c r="GZ822" s="3472"/>
      <c r="HA822" s="3472"/>
      <c r="HB822" s="3472"/>
      <c r="HC822" s="3472"/>
      <c r="HD822" s="3472"/>
      <c r="HE822" s="3472"/>
      <c r="HF822" s="3472"/>
      <c r="HG822" s="3472"/>
      <c r="HH822" s="3472"/>
      <c r="HI822" s="3472"/>
      <c r="HJ822" s="3472"/>
      <c r="HK822" s="3472"/>
      <c r="HL822" s="3472"/>
      <c r="HM822" s="3472"/>
      <c r="HN822" s="3472"/>
      <c r="HO822" s="3472"/>
      <c r="HP822" s="3472"/>
      <c r="HQ822" s="3472"/>
      <c r="HR822" s="3472"/>
      <c r="HS822" s="3472"/>
      <c r="HT822" s="3472"/>
      <c r="HU822" s="3472"/>
      <c r="HV822" s="3472"/>
      <c r="HW822" s="3472"/>
      <c r="HX822" s="3472"/>
      <c r="HY822" s="3472"/>
      <c r="HZ822" s="3472"/>
      <c r="IA822" s="3472"/>
      <c r="IB822" s="3472"/>
      <c r="IC822" s="3472"/>
      <c r="ID822" s="3472"/>
      <c r="IE822" s="3472"/>
      <c r="IF822" s="3472"/>
      <c r="IG822" s="3472"/>
      <c r="IH822" s="3472"/>
      <c r="II822" s="3472"/>
      <c r="IJ822" s="3472"/>
      <c r="IK822" s="3472"/>
      <c r="IL822" s="3472"/>
      <c r="IM822" s="3472"/>
      <c r="IN822" s="3472"/>
      <c r="IO822" s="3472"/>
      <c r="IP822" s="3472"/>
      <c r="IQ822" s="3472"/>
      <c r="IR822" s="3472"/>
      <c r="IS822" s="3472"/>
    </row>
    <row r="823" spans="1:253" s="3441" customFormat="1" ht="12" hidden="1">
      <c r="A823" s="3453" t="s">
        <v>9102</v>
      </c>
      <c r="B823" s="3470" t="s">
        <v>9103</v>
      </c>
      <c r="C823" s="3481" t="s">
        <v>9104</v>
      </c>
      <c r="D823" s="3481" t="s">
        <v>9105</v>
      </c>
      <c r="E823" s="3470" t="s">
        <v>3558</v>
      </c>
      <c r="F823" s="3470" t="s">
        <v>4693</v>
      </c>
      <c r="G823" s="3470"/>
      <c r="H823" s="3470" t="s">
        <v>9019</v>
      </c>
      <c r="I823" s="3470" t="s">
        <v>8846</v>
      </c>
      <c r="J823" s="3481" t="s">
        <v>9106</v>
      </c>
      <c r="K823" s="3470" t="s">
        <v>4697</v>
      </c>
      <c r="L823" s="3470">
        <v>34.22</v>
      </c>
      <c r="M823" s="3470">
        <v>10</v>
      </c>
      <c r="N823" s="3470" t="s">
        <v>3692</v>
      </c>
      <c r="O823" s="3470">
        <v>25.42</v>
      </c>
      <c r="P823" s="3470" t="s">
        <v>3452</v>
      </c>
      <c r="Q823" s="3457">
        <v>300896.45999999996</v>
      </c>
      <c r="R823" s="3470">
        <v>8793</v>
      </c>
      <c r="S823" s="3472">
        <v>30.02</v>
      </c>
      <c r="T823" s="3527">
        <v>300200</v>
      </c>
      <c r="U823" s="3491">
        <v>8773</v>
      </c>
      <c r="V823" s="3529">
        <v>0.1</v>
      </c>
      <c r="W823" s="3475">
        <v>27.01</v>
      </c>
      <c r="X823" s="3473">
        <v>270100</v>
      </c>
      <c r="Y823" s="3501">
        <v>2003</v>
      </c>
      <c r="Z823" s="3441">
        <v>9</v>
      </c>
      <c r="AA823" s="3470">
        <v>17</v>
      </c>
      <c r="AB823" s="3477">
        <v>1500</v>
      </c>
      <c r="AC823" s="3470" t="s">
        <v>9107</v>
      </c>
      <c r="AD823" s="3485"/>
      <c r="AE823" s="3441" t="s">
        <v>3663</v>
      </c>
      <c r="AF823" s="3470" t="s">
        <v>4721</v>
      </c>
      <c r="AG823" s="3522" t="s">
        <v>3466</v>
      </c>
      <c r="AH823" s="3485" t="s">
        <v>3463</v>
      </c>
      <c r="AI823" s="3470" t="s">
        <v>5021</v>
      </c>
      <c r="AJ823" s="3523">
        <v>38138</v>
      </c>
      <c r="AK823" s="3500">
        <v>9</v>
      </c>
      <c r="AL823" s="3441">
        <v>67641700</v>
      </c>
      <c r="AN823" s="3456" t="s">
        <v>3739</v>
      </c>
      <c r="AP823" s="3441" t="s">
        <v>3476</v>
      </c>
      <c r="AQ823" s="3441" t="s">
        <v>3571</v>
      </c>
      <c r="AV823" s="3441" t="s">
        <v>3568</v>
      </c>
      <c r="AW823" s="3441" t="s">
        <v>3572</v>
      </c>
      <c r="AX823" s="3441" t="s">
        <v>3568</v>
      </c>
      <c r="AY823" s="3524" t="s">
        <v>9108</v>
      </c>
      <c r="AZ823" s="3441" t="s">
        <v>4697</v>
      </c>
      <c r="BA823" s="3441" t="s">
        <v>4700</v>
      </c>
      <c r="BB823" s="3524" t="s">
        <v>4701</v>
      </c>
      <c r="BC823" s="3441" t="s">
        <v>4702</v>
      </c>
      <c r="BD823" s="3525">
        <v>100011</v>
      </c>
      <c r="BE823" s="3441">
        <v>62351476</v>
      </c>
      <c r="BF823" s="3526">
        <v>2.8</v>
      </c>
      <c r="BG823" s="3518">
        <v>37867</v>
      </c>
      <c r="BI823" s="3441" t="s">
        <v>3476</v>
      </c>
      <c r="BJ823" s="3508">
        <v>37879</v>
      </c>
      <c r="BK823" s="3518"/>
      <c r="BL823" s="3470" t="s">
        <v>3670</v>
      </c>
      <c r="BS823" s="3470"/>
      <c r="BT823" s="3470"/>
      <c r="BU823" s="3470"/>
    </row>
    <row r="824" spans="1:253" s="3441" customFormat="1" ht="12" hidden="1">
      <c r="A824" s="3485" t="s">
        <v>9109</v>
      </c>
      <c r="B824" s="3470" t="s">
        <v>9110</v>
      </c>
      <c r="C824" s="3481" t="s">
        <v>9111</v>
      </c>
      <c r="D824" s="3481" t="s">
        <v>9112</v>
      </c>
      <c r="E824" s="3470" t="s">
        <v>3558</v>
      </c>
      <c r="F824" s="3528" t="s">
        <v>3733</v>
      </c>
      <c r="G824" s="3470"/>
      <c r="H824" s="3470" t="s">
        <v>8777</v>
      </c>
      <c r="I824" s="3470" t="s">
        <v>8768</v>
      </c>
      <c r="J824" s="3481" t="s">
        <v>9113</v>
      </c>
      <c r="K824" s="3470" t="s">
        <v>3737</v>
      </c>
      <c r="L824" s="3470">
        <v>88.96</v>
      </c>
      <c r="M824" s="3470">
        <v>16</v>
      </c>
      <c r="N824" s="3470" t="s">
        <v>3491</v>
      </c>
      <c r="O824" s="3470">
        <v>71.069999999999993</v>
      </c>
      <c r="P824" s="3470" t="s">
        <v>3452</v>
      </c>
      <c r="Q824" s="3492">
        <v>571123.19999999995</v>
      </c>
      <c r="R824" s="3470">
        <v>6420</v>
      </c>
      <c r="S824" s="3472">
        <v>55.68</v>
      </c>
      <c r="T824" s="3527">
        <v>556800</v>
      </c>
      <c r="U824" s="3470">
        <v>6260</v>
      </c>
      <c r="V824" s="3474">
        <v>0.1</v>
      </c>
      <c r="W824" s="3475">
        <v>50.11</v>
      </c>
      <c r="X824" s="3494">
        <v>501100</v>
      </c>
      <c r="Y824" s="3441">
        <v>2003</v>
      </c>
      <c r="Z824" s="3441">
        <v>9</v>
      </c>
      <c r="AA824" s="3470">
        <v>17</v>
      </c>
      <c r="AB824" s="3477">
        <v>2780</v>
      </c>
      <c r="AC824" s="3470" t="s">
        <v>8770</v>
      </c>
      <c r="AD824" s="3485"/>
      <c r="AE824" s="3441" t="s">
        <v>3663</v>
      </c>
      <c r="AF824" s="3470" t="s">
        <v>4295</v>
      </c>
      <c r="AG824" s="3522" t="s">
        <v>3466</v>
      </c>
      <c r="AH824" s="3485"/>
      <c r="AI824" s="3470" t="s">
        <v>5021</v>
      </c>
      <c r="AJ824" s="3523">
        <v>38045</v>
      </c>
      <c r="AK824" s="3500">
        <v>9</v>
      </c>
      <c r="AL824" s="3441">
        <v>67641700</v>
      </c>
      <c r="AN824" s="3456" t="s">
        <v>3739</v>
      </c>
      <c r="AO824" s="3441" t="s">
        <v>2420</v>
      </c>
      <c r="AP824" s="3441" t="s">
        <v>3476</v>
      </c>
      <c r="AQ824" s="3441" t="s">
        <v>3571</v>
      </c>
      <c r="AW824" s="3441" t="s">
        <v>3572</v>
      </c>
      <c r="AY824" s="3524" t="s">
        <v>9114</v>
      </c>
      <c r="AZ824" s="3441" t="s">
        <v>3737</v>
      </c>
      <c r="BA824" s="3441" t="s">
        <v>3742</v>
      </c>
      <c r="BB824" s="3524" t="s">
        <v>3743</v>
      </c>
      <c r="BC824" s="3441" t="s">
        <v>3744</v>
      </c>
      <c r="BD824" s="3525">
        <v>100088</v>
      </c>
      <c r="BE824" s="3441">
        <v>82058259</v>
      </c>
      <c r="BF824" s="3526" t="s">
        <v>8595</v>
      </c>
      <c r="BG824" s="3518">
        <v>37860</v>
      </c>
      <c r="BH824" s="3441" t="s">
        <v>4753</v>
      </c>
      <c r="BI824" s="3441" t="s">
        <v>3476</v>
      </c>
      <c r="BJ824" s="3508">
        <v>37879</v>
      </c>
      <c r="BK824" s="3518" t="s">
        <v>3715</v>
      </c>
      <c r="BL824" s="3470" t="s">
        <v>3670</v>
      </c>
      <c r="BS824" s="3470"/>
      <c r="BT824" s="3470"/>
      <c r="BU824" s="3470"/>
    </row>
    <row r="825" spans="1:253" s="3441" customFormat="1" ht="12" hidden="1">
      <c r="A825" s="3485" t="s">
        <v>9115</v>
      </c>
      <c r="B825" s="3470" t="s">
        <v>9116</v>
      </c>
      <c r="C825" s="3481" t="s">
        <v>9117</v>
      </c>
      <c r="D825" s="3481" t="s">
        <v>9118</v>
      </c>
      <c r="E825" s="3470" t="s">
        <v>3558</v>
      </c>
      <c r="F825" s="3470" t="s">
        <v>7153</v>
      </c>
      <c r="G825" s="3470" t="s">
        <v>3568</v>
      </c>
      <c r="H825" s="3470" t="s">
        <v>9119</v>
      </c>
      <c r="I825" s="3453" t="s">
        <v>6989</v>
      </c>
      <c r="J825" s="3481" t="s">
        <v>5327</v>
      </c>
      <c r="K825" s="3470" t="s">
        <v>6117</v>
      </c>
      <c r="L825" s="3470">
        <v>88.8</v>
      </c>
      <c r="M825" s="3470">
        <v>16</v>
      </c>
      <c r="N825" s="3470" t="s">
        <v>3486</v>
      </c>
      <c r="O825" s="3470">
        <v>72.58</v>
      </c>
      <c r="P825" s="3470" t="s">
        <v>3452</v>
      </c>
      <c r="Q825" s="3457">
        <v>368520</v>
      </c>
      <c r="R825" s="3470">
        <v>4150</v>
      </c>
      <c r="S825" s="3472">
        <v>36.4</v>
      </c>
      <c r="T825" s="3527">
        <v>364000</v>
      </c>
      <c r="U825" s="3470">
        <v>4100</v>
      </c>
      <c r="V825" s="3474">
        <v>0.1</v>
      </c>
      <c r="W825" s="3475">
        <v>32.76</v>
      </c>
      <c r="X825" s="3476">
        <v>327600</v>
      </c>
      <c r="Y825" s="3441">
        <v>2003</v>
      </c>
      <c r="Z825" s="3441">
        <v>10</v>
      </c>
      <c r="AA825" s="3470">
        <v>21</v>
      </c>
      <c r="AB825" s="3477">
        <v>1820</v>
      </c>
      <c r="AC825" s="3470" t="s">
        <v>9120</v>
      </c>
      <c r="AD825" s="3485"/>
      <c r="AE825" s="3441" t="s">
        <v>3663</v>
      </c>
      <c r="AF825" s="3470" t="s">
        <v>3752</v>
      </c>
      <c r="AG825" s="3522" t="s">
        <v>3466</v>
      </c>
      <c r="AH825" s="3485"/>
      <c r="AI825" s="3470" t="s">
        <v>5021</v>
      </c>
      <c r="AJ825" s="3523">
        <v>38352</v>
      </c>
      <c r="AK825" s="3500" t="s">
        <v>4752</v>
      </c>
      <c r="AL825" s="3441">
        <v>67641700</v>
      </c>
      <c r="AN825" s="3469" t="s">
        <v>4210</v>
      </c>
      <c r="AO825" s="3441" t="s">
        <v>9121</v>
      </c>
      <c r="AP825" s="3441" t="s">
        <v>3476</v>
      </c>
      <c r="AQ825" s="3441" t="s">
        <v>3571</v>
      </c>
      <c r="AW825" s="3441" t="s">
        <v>3572</v>
      </c>
      <c r="AX825" s="3441" t="s">
        <v>3568</v>
      </c>
      <c r="AY825" s="3524" t="s">
        <v>9122</v>
      </c>
      <c r="AZ825" s="3441" t="s">
        <v>6117</v>
      </c>
      <c r="BA825" s="3441" t="s">
        <v>7157</v>
      </c>
      <c r="BB825" s="3524">
        <v>1102281326100</v>
      </c>
      <c r="BC825" s="3441" t="s">
        <v>7158</v>
      </c>
      <c r="BD825" s="3525">
        <v>100055</v>
      </c>
      <c r="BE825" s="3441">
        <v>82951881</v>
      </c>
      <c r="BF825" s="3526">
        <v>2.8</v>
      </c>
      <c r="BG825" s="3518">
        <v>37877</v>
      </c>
      <c r="BH825" s="3441" t="s">
        <v>4753</v>
      </c>
      <c r="BI825" s="3441" t="s">
        <v>3476</v>
      </c>
      <c r="BJ825" s="3484">
        <v>37911</v>
      </c>
      <c r="BK825" s="3484"/>
      <c r="BL825" s="3470" t="s">
        <v>3670</v>
      </c>
    </row>
    <row r="826" spans="1:253" s="3441" customFormat="1" ht="12" hidden="1">
      <c r="A826" s="3485" t="s">
        <v>9123</v>
      </c>
      <c r="B826" s="3470" t="s">
        <v>9124</v>
      </c>
      <c r="C826" s="3481" t="s">
        <v>9125</v>
      </c>
      <c r="D826" s="3481" t="s">
        <v>9126</v>
      </c>
      <c r="E826" s="3470" t="s">
        <v>3558</v>
      </c>
      <c r="F826" s="3470" t="s">
        <v>7803</v>
      </c>
      <c r="G826" s="3470"/>
      <c r="H826" s="3470" t="s">
        <v>4281</v>
      </c>
      <c r="I826" s="3470" t="s">
        <v>4309</v>
      </c>
      <c r="J826" s="3481" t="s">
        <v>3479</v>
      </c>
      <c r="K826" s="3470" t="s">
        <v>7804</v>
      </c>
      <c r="L826" s="3470">
        <v>111.06</v>
      </c>
      <c r="M826" s="3470">
        <v>1</v>
      </c>
      <c r="N826" s="3470" t="s">
        <v>4003</v>
      </c>
      <c r="O826" s="3470">
        <v>98.9</v>
      </c>
      <c r="P826" s="3470" t="s">
        <v>3452</v>
      </c>
      <c r="Q826" s="3457">
        <v>470228.04000000004</v>
      </c>
      <c r="R826" s="3470">
        <v>4234</v>
      </c>
      <c r="S826" s="3472">
        <v>46.47</v>
      </c>
      <c r="T826" s="3527">
        <v>464700</v>
      </c>
      <c r="U826" s="3470">
        <v>4185</v>
      </c>
      <c r="V826" s="3474">
        <v>0.1</v>
      </c>
      <c r="W826" s="3475">
        <v>41.82</v>
      </c>
      <c r="X826" s="3476">
        <v>418200</v>
      </c>
      <c r="Y826" s="3441">
        <v>2003</v>
      </c>
      <c r="Z826" s="3441">
        <v>9</v>
      </c>
      <c r="AA826" s="3470">
        <v>17</v>
      </c>
      <c r="AB826" s="3477">
        <v>2320</v>
      </c>
      <c r="AC826" s="3470" t="s">
        <v>3693</v>
      </c>
      <c r="AD826" s="3485"/>
      <c r="AE826" s="3441" t="s">
        <v>3663</v>
      </c>
      <c r="AF826" s="3470" t="s">
        <v>4721</v>
      </c>
      <c r="AG826" s="3522" t="s">
        <v>3466</v>
      </c>
      <c r="AH826" s="3485"/>
      <c r="AI826" s="3470" t="s">
        <v>5021</v>
      </c>
      <c r="AJ826" s="3523">
        <v>38077</v>
      </c>
      <c r="AK826" s="3500">
        <v>9</v>
      </c>
      <c r="AL826" s="3495">
        <v>67641700</v>
      </c>
      <c r="AM826" s="3470"/>
      <c r="AN826" s="3456" t="s">
        <v>3739</v>
      </c>
      <c r="AO826" s="3441" t="s">
        <v>3568</v>
      </c>
      <c r="AP826" s="3441" t="s">
        <v>3476</v>
      </c>
      <c r="AQ826" s="3441" t="s">
        <v>3571</v>
      </c>
      <c r="AW826" s="3441" t="s">
        <v>3572</v>
      </c>
      <c r="AX826" s="3441" t="s">
        <v>3568</v>
      </c>
      <c r="AY826" s="3524" t="s">
        <v>9127</v>
      </c>
      <c r="AZ826" s="3441" t="s">
        <v>7804</v>
      </c>
      <c r="BA826" s="3441" t="s">
        <v>7807</v>
      </c>
      <c r="BB826" s="3524">
        <v>1102281149818</v>
      </c>
      <c r="BC826" s="3441" t="s">
        <v>7808</v>
      </c>
      <c r="BD826" s="3525">
        <v>100044</v>
      </c>
      <c r="BE826" s="3441">
        <v>88018575</v>
      </c>
      <c r="BF826" s="3526">
        <v>2.7</v>
      </c>
      <c r="BG826" s="3518">
        <v>37765</v>
      </c>
      <c r="BI826" s="3441" t="s">
        <v>3476</v>
      </c>
      <c r="BJ826" s="3484">
        <v>37880</v>
      </c>
      <c r="BK826" s="3518"/>
      <c r="BL826" s="3470" t="s">
        <v>3670</v>
      </c>
      <c r="BS826" s="3470"/>
      <c r="BT826" s="3470"/>
      <c r="BU826" s="3470"/>
    </row>
    <row r="827" spans="1:253" s="3441" customFormat="1" ht="12" hidden="1">
      <c r="A827" s="3453" t="s">
        <v>9128</v>
      </c>
      <c r="B827" s="3470" t="s">
        <v>9129</v>
      </c>
      <c r="C827" s="3481" t="s">
        <v>9130</v>
      </c>
      <c r="D827" s="3481" t="s">
        <v>9131</v>
      </c>
      <c r="E827" s="3470" t="s">
        <v>3558</v>
      </c>
      <c r="F827" s="3528" t="s">
        <v>3733</v>
      </c>
      <c r="G827" s="3470"/>
      <c r="H827" s="3470" t="s">
        <v>8962</v>
      </c>
      <c r="I827" s="3470" t="s">
        <v>4581</v>
      </c>
      <c r="J827" s="3481" t="s">
        <v>4473</v>
      </c>
      <c r="K827" s="3470" t="s">
        <v>3737</v>
      </c>
      <c r="L827" s="3470">
        <v>75.45</v>
      </c>
      <c r="M827" s="3470">
        <v>5</v>
      </c>
      <c r="N827" s="3470" t="s">
        <v>4030</v>
      </c>
      <c r="O827" s="3470">
        <v>60.28</v>
      </c>
      <c r="P827" s="3470" t="s">
        <v>3452</v>
      </c>
      <c r="Q827" s="3492">
        <v>440628</v>
      </c>
      <c r="R827" s="3470">
        <v>5840</v>
      </c>
      <c r="S827" s="3472">
        <v>42.44</v>
      </c>
      <c r="T827" s="3527">
        <v>424400</v>
      </c>
      <c r="U827" s="3470">
        <v>5626</v>
      </c>
      <c r="V827" s="3474">
        <v>0.1</v>
      </c>
      <c r="W827" s="3475">
        <v>38.19</v>
      </c>
      <c r="X827" s="3494">
        <v>381900</v>
      </c>
      <c r="Y827" s="3441">
        <v>2003</v>
      </c>
      <c r="Z827" s="3441">
        <v>9</v>
      </c>
      <c r="AA827" s="3470">
        <v>18</v>
      </c>
      <c r="AB827" s="3477">
        <v>2120</v>
      </c>
      <c r="AC827" s="3470" t="s">
        <v>9107</v>
      </c>
      <c r="AD827" s="3485"/>
      <c r="AE827" s="3441" t="s">
        <v>3663</v>
      </c>
      <c r="AF827" s="3470" t="s">
        <v>4295</v>
      </c>
      <c r="AG827" s="3522" t="s">
        <v>3466</v>
      </c>
      <c r="AH827" s="3485"/>
      <c r="AI827" s="3470" t="s">
        <v>5021</v>
      </c>
      <c r="AJ827" s="3523">
        <v>38045</v>
      </c>
      <c r="AK827" s="3500">
        <v>9</v>
      </c>
      <c r="AL827" s="3441">
        <v>67641700</v>
      </c>
      <c r="AN827" s="3456" t="s">
        <v>3739</v>
      </c>
      <c r="AO827" s="3441" t="s">
        <v>2420</v>
      </c>
      <c r="AP827" s="3441" t="s">
        <v>3476</v>
      </c>
      <c r="AQ827" s="3441" t="s">
        <v>3571</v>
      </c>
      <c r="AW827" s="3441" t="s">
        <v>3572</v>
      </c>
      <c r="AY827" s="3524" t="s">
        <v>9132</v>
      </c>
      <c r="AZ827" s="3441" t="s">
        <v>3737</v>
      </c>
      <c r="BA827" s="3441" t="s">
        <v>3742</v>
      </c>
      <c r="BB827" s="3524" t="s">
        <v>3743</v>
      </c>
      <c r="BC827" s="3441" t="s">
        <v>3744</v>
      </c>
      <c r="BD827" s="3525">
        <v>100088</v>
      </c>
      <c r="BE827" s="3441">
        <v>82058259</v>
      </c>
      <c r="BF827" s="3526" t="s">
        <v>8595</v>
      </c>
      <c r="BG827" s="3518">
        <v>37862</v>
      </c>
      <c r="BH827" s="3441" t="s">
        <v>4753</v>
      </c>
      <c r="BI827" s="3441" t="s">
        <v>3476</v>
      </c>
      <c r="BJ827" s="3508">
        <v>37880</v>
      </c>
      <c r="BK827" s="3518" t="s">
        <v>2420</v>
      </c>
      <c r="BL827" s="3470" t="s">
        <v>3670</v>
      </c>
      <c r="BS827" s="3470"/>
      <c r="BT827" s="3470"/>
      <c r="BU827" s="3470"/>
    </row>
    <row r="828" spans="1:253" s="3441" customFormat="1" ht="12" hidden="1">
      <c r="A828" s="3453" t="s">
        <v>9133</v>
      </c>
      <c r="B828" s="3470" t="s">
        <v>9134</v>
      </c>
      <c r="C828" s="3481" t="s">
        <v>9135</v>
      </c>
      <c r="D828" s="3481" t="s">
        <v>9136</v>
      </c>
      <c r="E828" s="3470" t="s">
        <v>3558</v>
      </c>
      <c r="F828" s="3528" t="s">
        <v>3733</v>
      </c>
      <c r="G828" s="3470"/>
      <c r="H828" s="3470" t="s">
        <v>9137</v>
      </c>
      <c r="I828" s="3470" t="s">
        <v>4027</v>
      </c>
      <c r="J828" s="3481" t="s">
        <v>9138</v>
      </c>
      <c r="K828" s="3470" t="s">
        <v>3737</v>
      </c>
      <c r="L828" s="3470">
        <v>54.88</v>
      </c>
      <c r="M828" s="3470">
        <v>6</v>
      </c>
      <c r="N828" s="3470" t="s">
        <v>6871</v>
      </c>
      <c r="O828" s="3470">
        <v>43.84</v>
      </c>
      <c r="P828" s="3470" t="s">
        <v>3452</v>
      </c>
      <c r="Q828" s="3492">
        <v>328182.40000000002</v>
      </c>
      <c r="R828" s="3470">
        <v>5980</v>
      </c>
      <c r="S828" s="3472">
        <v>31.31</v>
      </c>
      <c r="T828" s="3527">
        <v>313100</v>
      </c>
      <c r="U828" s="3470">
        <v>5706</v>
      </c>
      <c r="V828" s="3474">
        <v>0.1</v>
      </c>
      <c r="W828" s="3475">
        <v>28.17</v>
      </c>
      <c r="X828" s="3494">
        <v>281700</v>
      </c>
      <c r="Y828" s="3441">
        <v>2003</v>
      </c>
      <c r="Z828" s="3441">
        <v>9</v>
      </c>
      <c r="AA828" s="3470">
        <v>18</v>
      </c>
      <c r="AB828" s="3477">
        <v>1565</v>
      </c>
      <c r="AC828" s="3470" t="s">
        <v>4800</v>
      </c>
      <c r="AD828" s="3485"/>
      <c r="AE828" s="3441" t="s">
        <v>3663</v>
      </c>
      <c r="AF828" s="3470" t="s">
        <v>4295</v>
      </c>
      <c r="AG828" s="3522" t="s">
        <v>3466</v>
      </c>
      <c r="AH828" s="3485"/>
      <c r="AI828" s="3470" t="s">
        <v>5021</v>
      </c>
      <c r="AJ828" s="3523">
        <v>38045</v>
      </c>
      <c r="AK828" s="3500">
        <v>9</v>
      </c>
      <c r="AL828" s="3441">
        <v>67641700</v>
      </c>
      <c r="AN828" s="3456" t="s">
        <v>3739</v>
      </c>
      <c r="AO828" s="3441" t="s">
        <v>6879</v>
      </c>
      <c r="AP828" s="3441" t="s">
        <v>3476</v>
      </c>
      <c r="AQ828" s="3441" t="s">
        <v>3571</v>
      </c>
      <c r="AW828" s="3441" t="s">
        <v>3572</v>
      </c>
      <c r="AY828" s="3524" t="s">
        <v>9139</v>
      </c>
      <c r="AZ828" s="3441" t="s">
        <v>3737</v>
      </c>
      <c r="BA828" s="3441" t="s">
        <v>3742</v>
      </c>
      <c r="BB828" s="3524" t="s">
        <v>3743</v>
      </c>
      <c r="BC828" s="3441" t="s">
        <v>3744</v>
      </c>
      <c r="BD828" s="3525">
        <v>100088</v>
      </c>
      <c r="BE828" s="3441">
        <v>82058259</v>
      </c>
      <c r="BF828" s="3526" t="s">
        <v>8595</v>
      </c>
      <c r="BG828" s="3518">
        <v>37863</v>
      </c>
      <c r="BH828" s="3441" t="s">
        <v>4753</v>
      </c>
      <c r="BI828" s="3441" t="s">
        <v>3476</v>
      </c>
      <c r="BJ828" s="3508">
        <v>37880</v>
      </c>
      <c r="BK828" s="3518" t="s">
        <v>3715</v>
      </c>
      <c r="BL828" s="3470" t="s">
        <v>3670</v>
      </c>
      <c r="BS828" s="3470"/>
      <c r="BT828" s="3470"/>
      <c r="BU828" s="3470"/>
    </row>
    <row r="829" spans="1:253" s="3441" customFormat="1" ht="12" hidden="1">
      <c r="A829" s="3485" t="s">
        <v>9140</v>
      </c>
      <c r="B829" s="3470" t="s">
        <v>9141</v>
      </c>
      <c r="C829" s="3481" t="s">
        <v>9142</v>
      </c>
      <c r="D829" s="3481" t="s">
        <v>9143</v>
      </c>
      <c r="E829" s="3470" t="s">
        <v>3558</v>
      </c>
      <c r="F829" s="3470" t="s">
        <v>7803</v>
      </c>
      <c r="G829" s="3470"/>
      <c r="H829" s="3470" t="s">
        <v>7369</v>
      </c>
      <c r="I829" s="3470" t="s">
        <v>7244</v>
      </c>
      <c r="J829" s="3481" t="s">
        <v>9144</v>
      </c>
      <c r="K829" s="3470" t="s">
        <v>7804</v>
      </c>
      <c r="L829" s="3470">
        <v>59.68</v>
      </c>
      <c r="M829" s="3470">
        <v>2</v>
      </c>
      <c r="N829" s="3470" t="s">
        <v>3489</v>
      </c>
      <c r="O829" s="3470">
        <v>52.08</v>
      </c>
      <c r="P829" s="3470" t="s">
        <v>3452</v>
      </c>
      <c r="Q829" s="3457">
        <v>269395.52</v>
      </c>
      <c r="R829" s="3470">
        <v>4514</v>
      </c>
      <c r="S829" s="3472">
        <v>26.65</v>
      </c>
      <c r="T829" s="3527">
        <v>266500</v>
      </c>
      <c r="U829" s="3470">
        <v>4466</v>
      </c>
      <c r="V829" s="3474">
        <v>0.1</v>
      </c>
      <c r="W829" s="3475">
        <v>23.98</v>
      </c>
      <c r="X829" s="3476">
        <v>239800</v>
      </c>
      <c r="Y829" s="3441">
        <v>2003</v>
      </c>
      <c r="Z829" s="3441">
        <v>9</v>
      </c>
      <c r="AA829" s="3470">
        <v>18</v>
      </c>
      <c r="AB829" s="3477">
        <v>1330</v>
      </c>
      <c r="AC829" s="3470" t="s">
        <v>3693</v>
      </c>
      <c r="AD829" s="3485"/>
      <c r="AE829" s="3441" t="s">
        <v>3663</v>
      </c>
      <c r="AF829" s="3470" t="s">
        <v>4721</v>
      </c>
      <c r="AG829" s="3522" t="s">
        <v>3466</v>
      </c>
      <c r="AH829" s="3485"/>
      <c r="AI829" s="3470" t="s">
        <v>5021</v>
      </c>
      <c r="AJ829" s="3523">
        <v>38077</v>
      </c>
      <c r="AK829" s="3500">
        <v>9</v>
      </c>
      <c r="AL829" s="3495">
        <v>67641700</v>
      </c>
      <c r="AM829" s="3470"/>
      <c r="AN829" s="3456" t="s">
        <v>3739</v>
      </c>
      <c r="AO829" s="3441" t="s">
        <v>3568</v>
      </c>
      <c r="AP829" s="3441" t="s">
        <v>3476</v>
      </c>
      <c r="AQ829" s="3441" t="s">
        <v>3571</v>
      </c>
      <c r="AW829" s="3441" t="s">
        <v>3572</v>
      </c>
      <c r="AX829" s="3441" t="s">
        <v>3568</v>
      </c>
      <c r="AY829" s="3524" t="s">
        <v>9145</v>
      </c>
      <c r="AZ829" s="3441" t="s">
        <v>7804</v>
      </c>
      <c r="BA829" s="3441" t="s">
        <v>7807</v>
      </c>
      <c r="BB829" s="3524">
        <v>1102281149818</v>
      </c>
      <c r="BC829" s="3441" t="s">
        <v>7808</v>
      </c>
      <c r="BD829" s="3525">
        <v>100044</v>
      </c>
      <c r="BE829" s="3441">
        <v>88018575</v>
      </c>
      <c r="BF829" s="3526">
        <v>2.7</v>
      </c>
      <c r="BG829" s="3518">
        <v>37850</v>
      </c>
      <c r="BI829" s="3441" t="s">
        <v>3476</v>
      </c>
      <c r="BJ829" s="3508">
        <v>37881</v>
      </c>
      <c r="BK829" s="3518"/>
      <c r="BL829" s="3470" t="s">
        <v>3670</v>
      </c>
      <c r="BS829" s="3470"/>
      <c r="BT829" s="3470"/>
      <c r="BU829" s="3470"/>
    </row>
    <row r="830" spans="1:253" s="3441" customFormat="1" ht="12" hidden="1">
      <c r="A830" s="3485" t="s">
        <v>9146</v>
      </c>
      <c r="B830" s="3470" t="s">
        <v>9147</v>
      </c>
      <c r="C830" s="3481" t="s">
        <v>9148</v>
      </c>
      <c r="D830" s="3481" t="s">
        <v>9149</v>
      </c>
      <c r="E830" s="3470" t="s">
        <v>3558</v>
      </c>
      <c r="F830" s="3470" t="s">
        <v>7803</v>
      </c>
      <c r="G830" s="3470"/>
      <c r="H830" s="3470" t="s">
        <v>3952</v>
      </c>
      <c r="I830" s="3470" t="s">
        <v>4854</v>
      </c>
      <c r="J830" s="3481" t="s">
        <v>7435</v>
      </c>
      <c r="K830" s="3470" t="s">
        <v>7804</v>
      </c>
      <c r="L830" s="3470">
        <v>60.47</v>
      </c>
      <c r="M830" s="3470">
        <v>5</v>
      </c>
      <c r="N830" s="3470" t="s">
        <v>6871</v>
      </c>
      <c r="O830" s="3470">
        <v>53</v>
      </c>
      <c r="P830" s="3470" t="s">
        <v>3452</v>
      </c>
      <c r="Q830" s="3457">
        <v>273808.15999999997</v>
      </c>
      <c r="R830" s="3470">
        <v>4528</v>
      </c>
      <c r="S830" s="3472">
        <v>27.07</v>
      </c>
      <c r="T830" s="3527">
        <v>270700</v>
      </c>
      <c r="U830" s="3470">
        <v>4478</v>
      </c>
      <c r="V830" s="3474">
        <v>0.1</v>
      </c>
      <c r="W830" s="3475">
        <v>24.36</v>
      </c>
      <c r="X830" s="3476">
        <v>243600</v>
      </c>
      <c r="Y830" s="3441">
        <v>2003</v>
      </c>
      <c r="Z830" s="3441">
        <v>9</v>
      </c>
      <c r="AA830" s="3470">
        <v>18</v>
      </c>
      <c r="AB830" s="3477">
        <v>1350</v>
      </c>
      <c r="AC830" s="3470" t="s">
        <v>3693</v>
      </c>
      <c r="AD830" s="3485"/>
      <c r="AE830" s="3441" t="s">
        <v>3663</v>
      </c>
      <c r="AF830" s="3470" t="s">
        <v>4721</v>
      </c>
      <c r="AG830" s="3522" t="s">
        <v>3466</v>
      </c>
      <c r="AH830" s="3485"/>
      <c r="AI830" s="3470" t="s">
        <v>5021</v>
      </c>
      <c r="AJ830" s="3523">
        <v>38077</v>
      </c>
      <c r="AK830" s="3500">
        <v>9</v>
      </c>
      <c r="AL830" s="3495">
        <v>67641700</v>
      </c>
      <c r="AM830" s="3470"/>
      <c r="AN830" s="3456" t="s">
        <v>3739</v>
      </c>
      <c r="AO830" s="3441" t="s">
        <v>3568</v>
      </c>
      <c r="AP830" s="3441" t="s">
        <v>3476</v>
      </c>
      <c r="AQ830" s="3441" t="s">
        <v>3571</v>
      </c>
      <c r="AW830" s="3441" t="s">
        <v>3572</v>
      </c>
      <c r="AX830" s="3441" t="s">
        <v>3568</v>
      </c>
      <c r="AY830" s="3524" t="s">
        <v>9150</v>
      </c>
      <c r="AZ830" s="3441" t="s">
        <v>7804</v>
      </c>
      <c r="BA830" s="3441" t="s">
        <v>7807</v>
      </c>
      <c r="BB830" s="3524">
        <v>1102281149818</v>
      </c>
      <c r="BC830" s="3441" t="s">
        <v>7808</v>
      </c>
      <c r="BD830" s="3525">
        <v>100044</v>
      </c>
      <c r="BE830" s="3441">
        <v>88018575</v>
      </c>
      <c r="BF830" s="3526">
        <v>2.7</v>
      </c>
      <c r="BG830" s="3518">
        <v>37857</v>
      </c>
      <c r="BI830" s="3441" t="s">
        <v>3476</v>
      </c>
      <c r="BJ830" s="3508">
        <v>37881</v>
      </c>
      <c r="BK830" s="3518"/>
      <c r="BL830" s="3470" t="s">
        <v>3670</v>
      </c>
      <c r="BS830" s="3470"/>
      <c r="BT830" s="3470"/>
      <c r="BU830" s="3470"/>
    </row>
    <row r="831" spans="1:253" s="3441" customFormat="1" ht="12" hidden="1">
      <c r="A831" s="3485" t="s">
        <v>9151</v>
      </c>
      <c r="B831" s="3470" t="s">
        <v>9152</v>
      </c>
      <c r="C831" s="3481" t="s">
        <v>9153</v>
      </c>
      <c r="D831" s="3481" t="s">
        <v>9154</v>
      </c>
      <c r="E831" s="3470" t="s">
        <v>3558</v>
      </c>
      <c r="F831" s="3470" t="s">
        <v>7803</v>
      </c>
      <c r="G831" s="3470"/>
      <c r="H831" s="3470" t="s">
        <v>7369</v>
      </c>
      <c r="I831" s="3470" t="s">
        <v>3676</v>
      </c>
      <c r="J831" s="3481" t="s">
        <v>4405</v>
      </c>
      <c r="K831" s="3470" t="s">
        <v>7804</v>
      </c>
      <c r="L831" s="3470">
        <v>60.04</v>
      </c>
      <c r="M831" s="3470">
        <v>3</v>
      </c>
      <c r="N831" s="3470" t="s">
        <v>3584</v>
      </c>
      <c r="O831" s="3470">
        <v>52.39</v>
      </c>
      <c r="P831" s="3470" t="s">
        <v>3452</v>
      </c>
      <c r="Q831" s="3457">
        <v>280026.56</v>
      </c>
      <c r="R831" s="3470">
        <v>4664</v>
      </c>
      <c r="S831" s="3472">
        <v>27.7</v>
      </c>
      <c r="T831" s="3527">
        <v>277000</v>
      </c>
      <c r="U831" s="3470">
        <v>4615</v>
      </c>
      <c r="V831" s="3474">
        <v>0.1</v>
      </c>
      <c r="W831" s="3475">
        <v>24.93</v>
      </c>
      <c r="X831" s="3476">
        <v>249300</v>
      </c>
      <c r="Y831" s="3441">
        <v>2003</v>
      </c>
      <c r="Z831" s="3441">
        <v>9</v>
      </c>
      <c r="AA831" s="3470">
        <v>18</v>
      </c>
      <c r="AB831" s="3477">
        <v>1385</v>
      </c>
      <c r="AC831" s="3470" t="s">
        <v>3693</v>
      </c>
      <c r="AD831" s="3485"/>
      <c r="AE831" s="3441" t="s">
        <v>3663</v>
      </c>
      <c r="AF831" s="3470" t="s">
        <v>4721</v>
      </c>
      <c r="AG831" s="3522" t="s">
        <v>3466</v>
      </c>
      <c r="AH831" s="3485"/>
      <c r="AI831" s="3470" t="s">
        <v>5021</v>
      </c>
      <c r="AJ831" s="3523">
        <v>38077</v>
      </c>
      <c r="AK831" s="3500">
        <v>9</v>
      </c>
      <c r="AL831" s="3495">
        <v>67641700</v>
      </c>
      <c r="AM831" s="3470"/>
      <c r="AN831" s="3456" t="s">
        <v>3739</v>
      </c>
      <c r="AO831" s="3441" t="s">
        <v>3568</v>
      </c>
      <c r="AP831" s="3441" t="s">
        <v>3476</v>
      </c>
      <c r="AQ831" s="3441" t="s">
        <v>3571</v>
      </c>
      <c r="AW831" s="3441" t="s">
        <v>3572</v>
      </c>
      <c r="AX831" s="3441" t="s">
        <v>3568</v>
      </c>
      <c r="AY831" s="3524" t="s">
        <v>9155</v>
      </c>
      <c r="AZ831" s="3441" t="s">
        <v>7804</v>
      </c>
      <c r="BA831" s="3441" t="s">
        <v>7807</v>
      </c>
      <c r="BB831" s="3524">
        <v>1102281149818</v>
      </c>
      <c r="BC831" s="3441" t="s">
        <v>7808</v>
      </c>
      <c r="BD831" s="3525">
        <v>100044</v>
      </c>
      <c r="BE831" s="3441">
        <v>88018575</v>
      </c>
      <c r="BF831" s="3526">
        <v>2.7</v>
      </c>
      <c r="BG831" s="3518">
        <v>37857</v>
      </c>
      <c r="BI831" s="3441" t="s">
        <v>3476</v>
      </c>
      <c r="BJ831" s="3508">
        <v>37881</v>
      </c>
      <c r="BK831" s="3518"/>
      <c r="BL831" s="3470" t="s">
        <v>3670</v>
      </c>
      <c r="BS831" s="3470"/>
      <c r="BT831" s="3470"/>
      <c r="BU831" s="3470"/>
    </row>
    <row r="832" spans="1:253" s="3470" customFormat="1" ht="12" hidden="1">
      <c r="A832" s="3470" t="s">
        <v>9156</v>
      </c>
      <c r="B832" s="3470" t="s">
        <v>9157</v>
      </c>
      <c r="C832" s="3481" t="s">
        <v>9158</v>
      </c>
      <c r="D832" s="3487" t="s">
        <v>9159</v>
      </c>
      <c r="E832" s="3470" t="s">
        <v>3558</v>
      </c>
      <c r="F832" s="3470" t="s">
        <v>3733</v>
      </c>
      <c r="H832" s="3453" t="s">
        <v>4748</v>
      </c>
      <c r="I832" s="3453" t="s">
        <v>4733</v>
      </c>
      <c r="J832" s="3453" t="s">
        <v>3690</v>
      </c>
      <c r="K832" s="3470" t="s">
        <v>3737</v>
      </c>
      <c r="L832" s="3495">
        <v>88.96</v>
      </c>
      <c r="M832" s="3495">
        <v>17</v>
      </c>
      <c r="N832" s="3470" t="s">
        <v>4189</v>
      </c>
      <c r="O832" s="3495">
        <v>71.069999999999993</v>
      </c>
      <c r="P832" s="3470" t="s">
        <v>3452</v>
      </c>
      <c r="Q832" s="3457">
        <v>560448</v>
      </c>
      <c r="R832" s="3470">
        <v>6300</v>
      </c>
      <c r="S832" s="3472">
        <v>54.51</v>
      </c>
      <c r="T832" s="3602">
        <v>545100</v>
      </c>
      <c r="U832" s="3470">
        <v>6128</v>
      </c>
      <c r="V832" s="3474">
        <v>0.1</v>
      </c>
      <c r="W832" s="3475">
        <v>49.05</v>
      </c>
      <c r="X832" s="3602">
        <v>490500</v>
      </c>
      <c r="Y832" s="3470">
        <v>2003</v>
      </c>
      <c r="Z832" s="3470">
        <v>9</v>
      </c>
      <c r="AA832" s="3441">
        <v>24</v>
      </c>
      <c r="AB832" s="3477">
        <v>2725</v>
      </c>
      <c r="AC832" s="3490" t="s">
        <v>3693</v>
      </c>
      <c r="AE832" s="3456" t="s">
        <v>3663</v>
      </c>
      <c r="AF832" s="3470" t="s">
        <v>4032</v>
      </c>
      <c r="AG832" s="3470" t="s">
        <v>3466</v>
      </c>
      <c r="AI832" s="3470" t="s">
        <v>5021</v>
      </c>
      <c r="AJ832" s="3478">
        <v>38045</v>
      </c>
      <c r="AK832" s="3603">
        <v>9</v>
      </c>
      <c r="AL832" s="3495">
        <v>67641700</v>
      </c>
      <c r="AN832" s="3480" t="s">
        <v>3680</v>
      </c>
      <c r="AO832" s="3441" t="s">
        <v>9160</v>
      </c>
      <c r="AP832" s="3456" t="s">
        <v>3476</v>
      </c>
      <c r="AQ832" s="3456" t="s">
        <v>3571</v>
      </c>
      <c r="AV832" s="3519"/>
      <c r="AW832" s="3470" t="s">
        <v>3572</v>
      </c>
      <c r="AY832" s="3453" t="s">
        <v>9161</v>
      </c>
      <c r="AZ832" s="3470" t="s">
        <v>3737</v>
      </c>
      <c r="BA832" s="3470" t="s">
        <v>3742</v>
      </c>
      <c r="BB832" s="3470" t="s">
        <v>3743</v>
      </c>
      <c r="BC832" s="3470" t="s">
        <v>3744</v>
      </c>
      <c r="BD832" s="3470">
        <v>100088</v>
      </c>
      <c r="BE832" s="3470">
        <v>82058259</v>
      </c>
      <c r="BF832" s="3520" t="s">
        <v>8595</v>
      </c>
      <c r="BG832" s="3478">
        <v>37873</v>
      </c>
      <c r="BH832" s="3470" t="s">
        <v>4753</v>
      </c>
      <c r="BI832" s="3441" t="s">
        <v>3476</v>
      </c>
      <c r="BJ832" s="3478">
        <v>37886</v>
      </c>
      <c r="BK832" s="3478" t="s">
        <v>3568</v>
      </c>
      <c r="BL832" s="3441" t="s">
        <v>3670</v>
      </c>
      <c r="BM832" s="3441"/>
      <c r="BN832" s="3441"/>
      <c r="BO832" s="3441"/>
      <c r="BP832" s="3441"/>
      <c r="BQ832" s="3441"/>
      <c r="BR832" s="3441"/>
    </row>
    <row r="833" spans="1:73" s="3470" customFormat="1" ht="12" hidden="1">
      <c r="A833" s="3470" t="s">
        <v>9162</v>
      </c>
      <c r="B833" s="3470" t="s">
        <v>9163</v>
      </c>
      <c r="C833" s="3481" t="s">
        <v>9164</v>
      </c>
      <c r="D833" s="3487" t="s">
        <v>9165</v>
      </c>
      <c r="E833" s="3470" t="s">
        <v>3558</v>
      </c>
      <c r="F833" s="3470" t="s">
        <v>3733</v>
      </c>
      <c r="H833" s="3453" t="s">
        <v>8822</v>
      </c>
      <c r="I833" s="3453" t="s">
        <v>7922</v>
      </c>
      <c r="J833" s="3453" t="s">
        <v>8970</v>
      </c>
      <c r="K833" s="3470" t="s">
        <v>3737</v>
      </c>
      <c r="L833" s="3495">
        <v>54.88</v>
      </c>
      <c r="M833" s="3495">
        <v>13</v>
      </c>
      <c r="N833" s="3470" t="s">
        <v>3564</v>
      </c>
      <c r="O833" s="3495">
        <v>43.84</v>
      </c>
      <c r="P833" s="3470" t="s">
        <v>3452</v>
      </c>
      <c r="Q833" s="3457">
        <v>334768</v>
      </c>
      <c r="R833" s="3470">
        <v>6100</v>
      </c>
      <c r="S833" s="3472">
        <v>32.14</v>
      </c>
      <c r="T833" s="3602">
        <v>321400</v>
      </c>
      <c r="U833" s="3470">
        <v>5858</v>
      </c>
      <c r="V833" s="3474">
        <v>0.1</v>
      </c>
      <c r="W833" s="3475">
        <v>28.92</v>
      </c>
      <c r="X833" s="3602">
        <v>289200</v>
      </c>
      <c r="Y833" s="3470">
        <v>2003</v>
      </c>
      <c r="Z833" s="3470">
        <v>9</v>
      </c>
      <c r="AA833" s="3441">
        <v>24</v>
      </c>
      <c r="AB833" s="3477">
        <v>1605</v>
      </c>
      <c r="AC833" s="3490" t="s">
        <v>3693</v>
      </c>
      <c r="AE833" s="3456" t="s">
        <v>3663</v>
      </c>
      <c r="AF833" s="3470" t="s">
        <v>4032</v>
      </c>
      <c r="AG833" s="3470" t="s">
        <v>3466</v>
      </c>
      <c r="AI833" s="3470" t="s">
        <v>5021</v>
      </c>
      <c r="AJ833" s="3478">
        <v>38045</v>
      </c>
      <c r="AK833" s="3603">
        <v>9</v>
      </c>
      <c r="AL833" s="3495">
        <v>67641700</v>
      </c>
      <c r="AN833" s="3480" t="s">
        <v>3680</v>
      </c>
      <c r="AO833" s="3441" t="s">
        <v>9166</v>
      </c>
      <c r="AP833" s="3456" t="s">
        <v>3476</v>
      </c>
      <c r="AQ833" s="3456" t="s">
        <v>3571</v>
      </c>
      <c r="AV833" s="3519"/>
      <c r="AW833" s="3470" t="s">
        <v>3572</v>
      </c>
      <c r="AY833" s="3453" t="s">
        <v>9167</v>
      </c>
      <c r="AZ833" s="3470" t="s">
        <v>3737</v>
      </c>
      <c r="BA833" s="3470" t="s">
        <v>3742</v>
      </c>
      <c r="BB833" s="3470" t="s">
        <v>3743</v>
      </c>
      <c r="BC833" s="3470" t="s">
        <v>3744</v>
      </c>
      <c r="BD833" s="3470">
        <v>100088</v>
      </c>
      <c r="BE833" s="3470">
        <v>82058259</v>
      </c>
      <c r="BF833" s="3520" t="s">
        <v>8595</v>
      </c>
      <c r="BG833" s="3478">
        <v>37874</v>
      </c>
      <c r="BH833" s="3470" t="s">
        <v>4753</v>
      </c>
      <c r="BI833" s="3441" t="s">
        <v>3476</v>
      </c>
      <c r="BJ833" s="3478">
        <v>37886</v>
      </c>
      <c r="BK833" s="3478" t="s">
        <v>3568</v>
      </c>
      <c r="BL833" s="3441" t="s">
        <v>3670</v>
      </c>
      <c r="BM833" s="3441"/>
      <c r="BN833" s="3441"/>
      <c r="BO833" s="3441"/>
      <c r="BP833" s="3441"/>
      <c r="BQ833" s="3441"/>
      <c r="BR833" s="3441"/>
    </row>
    <row r="834" spans="1:73" s="3470" customFormat="1" ht="12" hidden="1">
      <c r="A834" s="3470" t="s">
        <v>9168</v>
      </c>
      <c r="B834" s="3470" t="s">
        <v>9169</v>
      </c>
      <c r="C834" s="3481" t="s">
        <v>9170</v>
      </c>
      <c r="D834" s="3487" t="s">
        <v>9171</v>
      </c>
      <c r="E834" s="3470" t="s">
        <v>3558</v>
      </c>
      <c r="F834" s="3470" t="s">
        <v>3733</v>
      </c>
      <c r="H834" s="3453" t="s">
        <v>8822</v>
      </c>
      <c r="I834" s="3453" t="s">
        <v>5088</v>
      </c>
      <c r="J834" s="3453" t="s">
        <v>9172</v>
      </c>
      <c r="K834" s="3470" t="s">
        <v>3737</v>
      </c>
      <c r="L834" s="3495">
        <v>75.45</v>
      </c>
      <c r="M834" s="3495">
        <v>5</v>
      </c>
      <c r="N834" s="3470" t="s">
        <v>4030</v>
      </c>
      <c r="O834" s="3495">
        <v>60.28</v>
      </c>
      <c r="P834" s="3470" t="s">
        <v>3452</v>
      </c>
      <c r="Q834" s="3457">
        <v>433083</v>
      </c>
      <c r="R834" s="3470">
        <v>5740</v>
      </c>
      <c r="S834" s="3472">
        <v>41.92</v>
      </c>
      <c r="T834" s="3602">
        <v>419200</v>
      </c>
      <c r="U834" s="3470">
        <v>5557</v>
      </c>
      <c r="V834" s="3474">
        <v>0.1</v>
      </c>
      <c r="W834" s="3475">
        <v>37.72</v>
      </c>
      <c r="X834" s="3602">
        <v>377200</v>
      </c>
      <c r="Y834" s="3470">
        <v>2003</v>
      </c>
      <c r="Z834" s="3470">
        <v>9</v>
      </c>
      <c r="AA834" s="3441">
        <v>25</v>
      </c>
      <c r="AB834" s="3477">
        <v>2095</v>
      </c>
      <c r="AC834" s="3490" t="s">
        <v>3565</v>
      </c>
      <c r="AE834" s="3456" t="s">
        <v>3663</v>
      </c>
      <c r="AF834" s="3470" t="s">
        <v>4032</v>
      </c>
      <c r="AG834" s="3470" t="s">
        <v>3466</v>
      </c>
      <c r="AI834" s="3470" t="s">
        <v>5021</v>
      </c>
      <c r="AJ834" s="3478">
        <v>38045</v>
      </c>
      <c r="AK834" s="3603">
        <v>9</v>
      </c>
      <c r="AL834" s="3495">
        <v>67641700</v>
      </c>
      <c r="AN834" s="3480" t="s">
        <v>3680</v>
      </c>
      <c r="AO834" s="3441" t="s">
        <v>9173</v>
      </c>
      <c r="AP834" s="3456" t="s">
        <v>3476</v>
      </c>
      <c r="AQ834" s="3456" t="s">
        <v>3571</v>
      </c>
      <c r="AV834" s="3519"/>
      <c r="AW834" s="3470" t="s">
        <v>3572</v>
      </c>
      <c r="AY834" s="3453" t="s">
        <v>9174</v>
      </c>
      <c r="AZ834" s="3470" t="s">
        <v>3737</v>
      </c>
      <c r="BA834" s="3470" t="s">
        <v>3742</v>
      </c>
      <c r="BB834" s="3470" t="s">
        <v>3743</v>
      </c>
      <c r="BC834" s="3470" t="s">
        <v>3744</v>
      </c>
      <c r="BD834" s="3470">
        <v>100088</v>
      </c>
      <c r="BE834" s="3470">
        <v>82058259</v>
      </c>
      <c r="BF834" s="3520" t="s">
        <v>8595</v>
      </c>
      <c r="BG834" s="3478">
        <v>37869</v>
      </c>
      <c r="BH834" s="3470" t="s">
        <v>4753</v>
      </c>
      <c r="BI834" s="3441" t="s">
        <v>3476</v>
      </c>
      <c r="BJ834" s="3478">
        <v>37887</v>
      </c>
      <c r="BK834" s="3478" t="s">
        <v>3568</v>
      </c>
      <c r="BL834" s="3441" t="s">
        <v>3670</v>
      </c>
      <c r="BM834" s="3441"/>
      <c r="BN834" s="3441"/>
      <c r="BO834" s="3441"/>
      <c r="BP834" s="3441"/>
      <c r="BQ834" s="3441"/>
      <c r="BR834" s="3441"/>
    </row>
    <row r="835" spans="1:73" s="3470" customFormat="1" ht="12" hidden="1">
      <c r="A835" s="3470" t="s">
        <v>9175</v>
      </c>
      <c r="B835" s="3470" t="s">
        <v>9176</v>
      </c>
      <c r="C835" s="3481" t="s">
        <v>9177</v>
      </c>
      <c r="D835" s="3487" t="s">
        <v>9178</v>
      </c>
      <c r="E835" s="3470" t="s">
        <v>3558</v>
      </c>
      <c r="F835" s="3470" t="s">
        <v>3733</v>
      </c>
      <c r="H835" s="3453" t="s">
        <v>8822</v>
      </c>
      <c r="I835" s="3453" t="s">
        <v>3689</v>
      </c>
      <c r="J835" s="3453" t="s">
        <v>9172</v>
      </c>
      <c r="K835" s="3470" t="s">
        <v>3737</v>
      </c>
      <c r="L835" s="3495">
        <v>75.45</v>
      </c>
      <c r="M835" s="3495">
        <v>11</v>
      </c>
      <c r="N835" s="3470" t="s">
        <v>4030</v>
      </c>
      <c r="O835" s="3495">
        <v>60.28</v>
      </c>
      <c r="P835" s="3470" t="s">
        <v>3452</v>
      </c>
      <c r="Q835" s="3457">
        <v>451191</v>
      </c>
      <c r="R835" s="3470">
        <v>5980</v>
      </c>
      <c r="S835" s="3472">
        <v>43.66</v>
      </c>
      <c r="T835" s="3602">
        <v>436600</v>
      </c>
      <c r="U835" s="3470">
        <v>5787</v>
      </c>
      <c r="V835" s="3474">
        <v>0.1</v>
      </c>
      <c r="W835" s="3475">
        <v>39.29</v>
      </c>
      <c r="X835" s="3602">
        <v>392900</v>
      </c>
      <c r="Y835" s="3470">
        <v>2003</v>
      </c>
      <c r="Z835" s="3470">
        <v>9</v>
      </c>
      <c r="AA835" s="3441">
        <v>24</v>
      </c>
      <c r="AB835" s="3477">
        <v>2180</v>
      </c>
      <c r="AC835" s="3490" t="s">
        <v>3693</v>
      </c>
      <c r="AE835" s="3456" t="s">
        <v>3663</v>
      </c>
      <c r="AF835" s="3470" t="s">
        <v>4032</v>
      </c>
      <c r="AG835" s="3470" t="s">
        <v>3466</v>
      </c>
      <c r="AI835" s="3470" t="s">
        <v>5021</v>
      </c>
      <c r="AJ835" s="3478">
        <v>38045</v>
      </c>
      <c r="AK835" s="3603">
        <v>9</v>
      </c>
      <c r="AL835" s="3495">
        <v>67641700</v>
      </c>
      <c r="AN835" s="3480" t="s">
        <v>3680</v>
      </c>
      <c r="AO835" s="3441" t="s">
        <v>9179</v>
      </c>
      <c r="AP835" s="3456" t="s">
        <v>3476</v>
      </c>
      <c r="AQ835" s="3456" t="s">
        <v>3571</v>
      </c>
      <c r="AV835" s="3519"/>
      <c r="AW835" s="3470" t="s">
        <v>3572</v>
      </c>
      <c r="AY835" s="3453" t="s">
        <v>9180</v>
      </c>
      <c r="AZ835" s="3470" t="s">
        <v>3737</v>
      </c>
      <c r="BA835" s="3470" t="s">
        <v>3742</v>
      </c>
      <c r="BB835" s="3470" t="s">
        <v>3743</v>
      </c>
      <c r="BC835" s="3470" t="s">
        <v>3744</v>
      </c>
      <c r="BD835" s="3470">
        <v>100088</v>
      </c>
      <c r="BE835" s="3470">
        <v>82058259</v>
      </c>
      <c r="BF835" s="3520" t="s">
        <v>8595</v>
      </c>
      <c r="BG835" s="3478">
        <v>37874</v>
      </c>
      <c r="BH835" s="3470" t="s">
        <v>4753</v>
      </c>
      <c r="BI835" s="3441" t="s">
        <v>3476</v>
      </c>
      <c r="BJ835" s="3478">
        <v>37886</v>
      </c>
      <c r="BK835" s="3478" t="s">
        <v>3568</v>
      </c>
      <c r="BL835" s="3441" t="s">
        <v>3670</v>
      </c>
      <c r="BM835" s="3441"/>
      <c r="BN835" s="3441"/>
      <c r="BO835" s="3441"/>
      <c r="BP835" s="3441"/>
      <c r="BQ835" s="3441"/>
      <c r="BR835" s="3441"/>
    </row>
    <row r="836" spans="1:73" s="3441" customFormat="1" ht="12" hidden="1">
      <c r="A836" s="3485" t="s">
        <v>9181</v>
      </c>
      <c r="B836" s="3470" t="s">
        <v>9182</v>
      </c>
      <c r="C836" s="3481" t="s">
        <v>9183</v>
      </c>
      <c r="D836" s="3481" t="s">
        <v>9184</v>
      </c>
      <c r="E836" s="3470" t="s">
        <v>3558</v>
      </c>
      <c r="F836" s="3528" t="s">
        <v>3733</v>
      </c>
      <c r="G836" s="3470"/>
      <c r="H836" s="3470" t="s">
        <v>4706</v>
      </c>
      <c r="I836" s="3470" t="s">
        <v>6702</v>
      </c>
      <c r="J836" s="3481" t="s">
        <v>9138</v>
      </c>
      <c r="K836" s="3470" t="s">
        <v>3737</v>
      </c>
      <c r="L836" s="3470">
        <v>54.88</v>
      </c>
      <c r="M836" s="3470">
        <v>1</v>
      </c>
      <c r="N836" s="3470" t="s">
        <v>3489</v>
      </c>
      <c r="O836" s="3470">
        <v>43.84</v>
      </c>
      <c r="P836" s="3470" t="s">
        <v>3452</v>
      </c>
      <c r="Q836" s="3492">
        <v>297449.60000000003</v>
      </c>
      <c r="R836" s="3470">
        <v>5420</v>
      </c>
      <c r="S836" s="3472">
        <v>29.45</v>
      </c>
      <c r="T836" s="3527">
        <v>294500</v>
      </c>
      <c r="U836" s="3470">
        <v>5368</v>
      </c>
      <c r="V836" s="3474">
        <v>0.1</v>
      </c>
      <c r="W836" s="3475">
        <v>26.5</v>
      </c>
      <c r="X836" s="3494">
        <v>265000</v>
      </c>
      <c r="Y836" s="3441">
        <v>2003</v>
      </c>
      <c r="Z836" s="3441">
        <v>9</v>
      </c>
      <c r="AA836" s="3441">
        <v>19</v>
      </c>
      <c r="AB836" s="3477">
        <v>1470</v>
      </c>
      <c r="AC836" s="3470" t="s">
        <v>5110</v>
      </c>
      <c r="AD836" s="3485"/>
      <c r="AE836" s="3441" t="s">
        <v>3663</v>
      </c>
      <c r="AF836" s="3470" t="s">
        <v>8923</v>
      </c>
      <c r="AG836" s="3522" t="s">
        <v>3466</v>
      </c>
      <c r="AH836" s="3485"/>
      <c r="AI836" s="3470" t="s">
        <v>5021</v>
      </c>
      <c r="AJ836" s="3523">
        <v>38045</v>
      </c>
      <c r="AK836" s="3500">
        <v>9</v>
      </c>
      <c r="AL836" s="3441">
        <v>67641700</v>
      </c>
      <c r="AN836" s="3456" t="s">
        <v>7284</v>
      </c>
      <c r="AO836" s="3441" t="s">
        <v>3568</v>
      </c>
      <c r="AP836" s="3441" t="s">
        <v>3476</v>
      </c>
      <c r="AQ836" s="3441" t="s">
        <v>3571</v>
      </c>
      <c r="AW836" s="3441" t="s">
        <v>3572</v>
      </c>
      <c r="AY836" s="3524" t="s">
        <v>9185</v>
      </c>
      <c r="AZ836" s="3441" t="s">
        <v>3737</v>
      </c>
      <c r="BA836" s="3441" t="s">
        <v>3742</v>
      </c>
      <c r="BB836" s="3524" t="s">
        <v>3743</v>
      </c>
      <c r="BC836" s="3441" t="s">
        <v>3744</v>
      </c>
      <c r="BD836" s="3525">
        <v>100088</v>
      </c>
      <c r="BE836" s="3441">
        <v>82058259</v>
      </c>
      <c r="BF836" s="3526">
        <v>2.7</v>
      </c>
      <c r="BG836" s="3518">
        <v>37858</v>
      </c>
      <c r="BI836" s="3470" t="s">
        <v>8464</v>
      </c>
      <c r="BJ836" s="3484">
        <v>37882</v>
      </c>
      <c r="BK836" s="3518" t="s">
        <v>2420</v>
      </c>
      <c r="BL836" s="3470" t="s">
        <v>3670</v>
      </c>
      <c r="BS836" s="3470"/>
      <c r="BT836" s="3470"/>
      <c r="BU836" s="3470"/>
    </row>
    <row r="837" spans="1:73" s="3470" customFormat="1" ht="12" hidden="1">
      <c r="A837" s="3470" t="s">
        <v>9186</v>
      </c>
      <c r="B837" s="3470" t="s">
        <v>9187</v>
      </c>
      <c r="C837" s="3481" t="s">
        <v>9188</v>
      </c>
      <c r="D837" s="3487">
        <v>13651337774</v>
      </c>
      <c r="E837" s="3470" t="s">
        <v>3558</v>
      </c>
      <c r="F837" s="3470" t="s">
        <v>3559</v>
      </c>
      <c r="H837" s="3453" t="s">
        <v>3979</v>
      </c>
      <c r="I837" s="3453" t="s">
        <v>4309</v>
      </c>
      <c r="J837" s="3453" t="s">
        <v>7858</v>
      </c>
      <c r="K837" s="3470" t="s">
        <v>7737</v>
      </c>
      <c r="L837" s="3495">
        <v>104.74</v>
      </c>
      <c r="M837" s="3495">
        <v>7</v>
      </c>
      <c r="N837" s="3470" t="s">
        <v>5032</v>
      </c>
      <c r="O837" s="3495">
        <v>84.86</v>
      </c>
      <c r="P837" s="3470" t="s">
        <v>3452</v>
      </c>
      <c r="Q837" s="3457">
        <v>490717.37400000001</v>
      </c>
      <c r="R837" s="3470">
        <v>4685.1000000000004</v>
      </c>
      <c r="S837" s="3472">
        <v>48.58</v>
      </c>
      <c r="T837" s="3602">
        <v>485800</v>
      </c>
      <c r="U837" s="3470">
        <v>4639</v>
      </c>
      <c r="V837" s="3474">
        <v>0.1</v>
      </c>
      <c r="W837" s="3475">
        <v>43.72</v>
      </c>
      <c r="X837" s="3602">
        <v>437200</v>
      </c>
      <c r="Y837" s="3470">
        <v>2003</v>
      </c>
      <c r="Z837" s="3470">
        <v>9</v>
      </c>
      <c r="AA837" s="3441">
        <v>22</v>
      </c>
      <c r="AB837" s="3477">
        <v>2425</v>
      </c>
      <c r="AC837" s="3490" t="s">
        <v>8971</v>
      </c>
      <c r="AE837" s="3456" t="s">
        <v>3663</v>
      </c>
      <c r="AF837" s="3470" t="s">
        <v>4200</v>
      </c>
      <c r="AG837" s="3470" t="s">
        <v>3466</v>
      </c>
      <c r="AH837" s="3470" t="s">
        <v>3568</v>
      </c>
      <c r="AI837" s="3470" t="s">
        <v>5021</v>
      </c>
      <c r="AJ837" s="3478">
        <v>37894</v>
      </c>
      <c r="AK837" s="3603">
        <v>9</v>
      </c>
      <c r="AL837" s="3495">
        <v>67641700</v>
      </c>
      <c r="AM837" s="3470" t="s">
        <v>3568</v>
      </c>
      <c r="AN837" s="3480" t="s">
        <v>3680</v>
      </c>
      <c r="AO837" s="3441" t="s">
        <v>3568</v>
      </c>
      <c r="AP837" s="3456" t="s">
        <v>3476</v>
      </c>
      <c r="AQ837" s="3456" t="s">
        <v>3571</v>
      </c>
      <c r="AV837" s="3519"/>
      <c r="AW837" s="3470" t="s">
        <v>3572</v>
      </c>
      <c r="AY837" s="3453" t="s">
        <v>9189</v>
      </c>
      <c r="AZ837" s="3470" t="s">
        <v>7737</v>
      </c>
      <c r="BA837" s="3470" t="s">
        <v>3574</v>
      </c>
      <c r="BB837" s="3470" t="s">
        <v>3575</v>
      </c>
      <c r="BC837" s="3470" t="s">
        <v>3576</v>
      </c>
      <c r="BD837" s="3470">
        <v>100037</v>
      </c>
      <c r="BE837" s="3470">
        <v>84050046</v>
      </c>
      <c r="BF837" s="3520">
        <v>2.8</v>
      </c>
      <c r="BG837" s="3478">
        <v>37861</v>
      </c>
      <c r="BI837" s="3441" t="s">
        <v>3476</v>
      </c>
      <c r="BJ837" s="3478">
        <v>37882</v>
      </c>
      <c r="BK837" s="3478" t="s">
        <v>3568</v>
      </c>
      <c r="BL837" s="3441" t="s">
        <v>3670</v>
      </c>
      <c r="BM837" s="3441"/>
      <c r="BN837" s="3441"/>
      <c r="BO837" s="3441"/>
      <c r="BP837" s="3441"/>
      <c r="BQ837" s="3441"/>
      <c r="BR837" s="3441"/>
    </row>
    <row r="838" spans="1:73" s="3441" customFormat="1" ht="12" hidden="1">
      <c r="A838" s="3485" t="s">
        <v>9190</v>
      </c>
      <c r="B838" s="3470" t="s">
        <v>9191</v>
      </c>
      <c r="C838" s="3481" t="s">
        <v>9192</v>
      </c>
      <c r="D838" s="3481" t="s">
        <v>9193</v>
      </c>
      <c r="E838" s="3470" t="s">
        <v>3558</v>
      </c>
      <c r="F838" s="3470" t="s">
        <v>7153</v>
      </c>
      <c r="G838" s="3470" t="s">
        <v>3568</v>
      </c>
      <c r="H838" s="3470" t="s">
        <v>9119</v>
      </c>
      <c r="I838" s="3453" t="s">
        <v>6989</v>
      </c>
      <c r="J838" s="3481" t="s">
        <v>9194</v>
      </c>
      <c r="K838" s="3470" t="s">
        <v>6117</v>
      </c>
      <c r="L838" s="3470">
        <v>86.9</v>
      </c>
      <c r="M838" s="3470">
        <v>8</v>
      </c>
      <c r="N838" s="3542" t="s">
        <v>7255</v>
      </c>
      <c r="O838" s="3470">
        <v>71.03</v>
      </c>
      <c r="P838" s="3470" t="s">
        <v>3452</v>
      </c>
      <c r="Q838" s="3457">
        <v>345862</v>
      </c>
      <c r="R838" s="3470">
        <v>3980</v>
      </c>
      <c r="S838" s="3472">
        <v>34.22</v>
      </c>
      <c r="T838" s="3527">
        <v>342200</v>
      </c>
      <c r="U838" s="3470">
        <v>3938</v>
      </c>
      <c r="V838" s="3474">
        <v>0.1</v>
      </c>
      <c r="W838" s="3475">
        <v>30.79</v>
      </c>
      <c r="X838" s="3476">
        <v>307900</v>
      </c>
      <c r="Y838" s="3441">
        <v>2003</v>
      </c>
      <c r="Z838" s="3441">
        <v>9</v>
      </c>
      <c r="AA838" s="3470">
        <v>29</v>
      </c>
      <c r="AB838" s="3477">
        <v>1710</v>
      </c>
      <c r="AC838" s="3470" t="s">
        <v>9120</v>
      </c>
      <c r="AD838" s="3485"/>
      <c r="AE838" s="3441" t="s">
        <v>3663</v>
      </c>
      <c r="AF838" s="3470" t="s">
        <v>7283</v>
      </c>
      <c r="AG838" s="3522" t="s">
        <v>3466</v>
      </c>
      <c r="AH838" s="3485"/>
      <c r="AI838" s="3470" t="s">
        <v>5021</v>
      </c>
      <c r="AJ838" s="3523">
        <v>38352</v>
      </c>
      <c r="AK838" s="3500">
        <v>9</v>
      </c>
      <c r="AL838" s="3441">
        <v>67641700</v>
      </c>
      <c r="AN838" s="3456" t="s">
        <v>3680</v>
      </c>
      <c r="AO838" s="3441" t="s">
        <v>2420</v>
      </c>
      <c r="AP838" s="3441" t="s">
        <v>3476</v>
      </c>
      <c r="AQ838" s="3441" t="s">
        <v>3571</v>
      </c>
      <c r="AW838" s="3441" t="s">
        <v>3572</v>
      </c>
      <c r="AX838" s="3441" t="s">
        <v>3568</v>
      </c>
      <c r="AY838" s="3524" t="s">
        <v>9195</v>
      </c>
      <c r="AZ838" s="3441" t="s">
        <v>6117</v>
      </c>
      <c r="BA838" s="3441" t="s">
        <v>7157</v>
      </c>
      <c r="BB838" s="3524">
        <v>1102281326100</v>
      </c>
      <c r="BC838" s="3441" t="s">
        <v>7158</v>
      </c>
      <c r="BD838" s="3525">
        <v>100055</v>
      </c>
      <c r="BE838" s="3441">
        <v>82951881</v>
      </c>
      <c r="BF838" s="3526">
        <v>2.8</v>
      </c>
      <c r="BG838" s="3518">
        <v>37875</v>
      </c>
      <c r="BH838" s="3441" t="s">
        <v>4753</v>
      </c>
      <c r="BI838" s="3441" t="s">
        <v>3476</v>
      </c>
      <c r="BJ838" s="3484">
        <v>37882</v>
      </c>
      <c r="BK838" s="3518"/>
      <c r="BL838" s="3470" t="s">
        <v>3670</v>
      </c>
      <c r="BS838" s="3470"/>
      <c r="BT838" s="3470"/>
      <c r="BU838" s="3470"/>
    </row>
    <row r="839" spans="1:73" s="3470" customFormat="1" ht="12" hidden="1">
      <c r="A839" s="3470" t="s">
        <v>9196</v>
      </c>
      <c r="B839" s="3470" t="s">
        <v>9197</v>
      </c>
      <c r="C839" s="3481" t="s">
        <v>9198</v>
      </c>
      <c r="D839" s="3487" t="s">
        <v>9199</v>
      </c>
      <c r="E839" s="3470" t="s">
        <v>3558</v>
      </c>
      <c r="F839" s="3470" t="s">
        <v>3733</v>
      </c>
      <c r="H839" s="3453" t="s">
        <v>8822</v>
      </c>
      <c r="I839" s="3453" t="s">
        <v>5066</v>
      </c>
      <c r="J839" s="3453" t="s">
        <v>5619</v>
      </c>
      <c r="K839" s="3470" t="s">
        <v>3737</v>
      </c>
      <c r="L839" s="3495">
        <v>54.88</v>
      </c>
      <c r="M839" s="3495">
        <v>7</v>
      </c>
      <c r="N839" s="3470" t="s">
        <v>3564</v>
      </c>
      <c r="O839" s="3495">
        <v>43.84</v>
      </c>
      <c r="P839" s="3470" t="s">
        <v>3452</v>
      </c>
      <c r="Q839" s="3457">
        <v>322694.40000000002</v>
      </c>
      <c r="R839" s="3470">
        <v>5880</v>
      </c>
      <c r="S839" s="3472">
        <v>30.97</v>
      </c>
      <c r="T839" s="3602">
        <v>309700</v>
      </c>
      <c r="U839" s="3470">
        <v>5644</v>
      </c>
      <c r="V839" s="3474">
        <v>0.1</v>
      </c>
      <c r="W839" s="3475">
        <v>27.87</v>
      </c>
      <c r="X839" s="3602">
        <v>278700</v>
      </c>
      <c r="Y839" s="3470">
        <v>2003</v>
      </c>
      <c r="Z839" s="3470">
        <v>9</v>
      </c>
      <c r="AA839" s="3441">
        <v>22</v>
      </c>
      <c r="AB839" s="3477">
        <v>1545</v>
      </c>
      <c r="AC839" s="3490" t="s">
        <v>8971</v>
      </c>
      <c r="AE839" s="3456" t="s">
        <v>3663</v>
      </c>
      <c r="AF839" s="3470" t="s">
        <v>4200</v>
      </c>
      <c r="AG839" s="3470" t="s">
        <v>3466</v>
      </c>
      <c r="AI839" s="3470" t="s">
        <v>5021</v>
      </c>
      <c r="AJ839" s="3478">
        <v>38045</v>
      </c>
      <c r="AK839" s="3603">
        <v>9</v>
      </c>
      <c r="AL839" s="3495">
        <v>67641700</v>
      </c>
      <c r="AN839" s="3480" t="s">
        <v>3680</v>
      </c>
      <c r="AO839" s="3441" t="s">
        <v>3568</v>
      </c>
      <c r="AP839" s="3456" t="s">
        <v>3476</v>
      </c>
      <c r="AQ839" s="3456" t="s">
        <v>3571</v>
      </c>
      <c r="AV839" s="3519"/>
      <c r="AW839" s="3470" t="s">
        <v>3572</v>
      </c>
      <c r="AY839" s="3453" t="s">
        <v>9200</v>
      </c>
      <c r="AZ839" s="3470" t="s">
        <v>3737</v>
      </c>
      <c r="BA839" s="3470" t="s">
        <v>3742</v>
      </c>
      <c r="BB839" s="3470" t="s">
        <v>3743</v>
      </c>
      <c r="BC839" s="3470" t="s">
        <v>3744</v>
      </c>
      <c r="BD839" s="3470">
        <v>100088</v>
      </c>
      <c r="BE839" s="3470">
        <v>82058259</v>
      </c>
      <c r="BF839" s="3520" t="s">
        <v>8595</v>
      </c>
      <c r="BG839" s="3478">
        <v>37864</v>
      </c>
      <c r="BH839" s="3470" t="s">
        <v>4753</v>
      </c>
      <c r="BI839" s="3441" t="s">
        <v>3476</v>
      </c>
      <c r="BJ839" s="3478">
        <v>37882</v>
      </c>
      <c r="BK839" s="3478" t="s">
        <v>3568</v>
      </c>
      <c r="BL839" s="3441" t="s">
        <v>3670</v>
      </c>
      <c r="BM839" s="3441"/>
      <c r="BN839" s="3441"/>
      <c r="BO839" s="3441"/>
      <c r="BP839" s="3441"/>
      <c r="BQ839" s="3441"/>
      <c r="BR839" s="3441"/>
    </row>
    <row r="840" spans="1:73" s="3470" customFormat="1" ht="12" hidden="1">
      <c r="A840" s="3470" t="s">
        <v>9201</v>
      </c>
      <c r="B840" s="3470" t="s">
        <v>9202</v>
      </c>
      <c r="C840" s="3481" t="s">
        <v>9203</v>
      </c>
      <c r="D840" s="3487" t="s">
        <v>9204</v>
      </c>
      <c r="E840" s="3470" t="s">
        <v>3558</v>
      </c>
      <c r="F840" s="3470" t="s">
        <v>4645</v>
      </c>
      <c r="H840" s="3453" t="s">
        <v>4732</v>
      </c>
      <c r="I840" s="3453" t="s">
        <v>5088</v>
      </c>
      <c r="J840" s="3453" t="s">
        <v>9205</v>
      </c>
      <c r="K840" s="3470" t="s">
        <v>4649</v>
      </c>
      <c r="L840" s="3495">
        <v>59.99</v>
      </c>
      <c r="M840" s="3495">
        <v>5</v>
      </c>
      <c r="N840" s="3470" t="s">
        <v>3564</v>
      </c>
      <c r="O840" s="3495">
        <v>47.29</v>
      </c>
      <c r="P840" s="3470" t="s">
        <v>3452</v>
      </c>
      <c r="Q840" s="3457">
        <v>450704.87</v>
      </c>
      <c r="R840" s="3470">
        <v>7513</v>
      </c>
      <c r="S840" s="3472">
        <v>44.69</v>
      </c>
      <c r="T840" s="3602">
        <v>446900</v>
      </c>
      <c r="U840" s="3470">
        <v>7450</v>
      </c>
      <c r="V840" s="3474">
        <v>0.1</v>
      </c>
      <c r="W840" s="3475">
        <v>40.22</v>
      </c>
      <c r="X840" s="3602">
        <v>402200</v>
      </c>
      <c r="Y840" s="3470">
        <v>2003</v>
      </c>
      <c r="Z840" s="3470">
        <v>9</v>
      </c>
      <c r="AA840" s="3441">
        <v>22</v>
      </c>
      <c r="AB840" s="3477">
        <v>2230</v>
      </c>
      <c r="AC840" s="3490" t="s">
        <v>8971</v>
      </c>
      <c r="AE840" s="3456" t="s">
        <v>3663</v>
      </c>
      <c r="AF840" s="3470" t="s">
        <v>3728</v>
      </c>
      <c r="AG840" s="3470" t="s">
        <v>3466</v>
      </c>
      <c r="AI840" s="3470" t="s">
        <v>5021</v>
      </c>
      <c r="AJ840" s="3478">
        <v>38199</v>
      </c>
      <c r="AK840" s="3603">
        <v>9</v>
      </c>
      <c r="AL840" s="3495">
        <v>67641700</v>
      </c>
      <c r="AN840" s="3480" t="s">
        <v>3680</v>
      </c>
      <c r="AO840" s="3441"/>
      <c r="AP840" s="3456" t="s">
        <v>3476</v>
      </c>
      <c r="AQ840" s="3456" t="s">
        <v>3571</v>
      </c>
      <c r="AV840" s="3519"/>
      <c r="AW840" s="3470" t="s">
        <v>3572</v>
      </c>
      <c r="AX840" s="3470" t="s">
        <v>3568</v>
      </c>
      <c r="AY840" s="3453" t="s">
        <v>9206</v>
      </c>
      <c r="AZ840" s="3470" t="s">
        <v>4654</v>
      </c>
      <c r="BA840" s="3470" t="s">
        <v>4688</v>
      </c>
      <c r="BB840" s="3470" t="s">
        <v>4689</v>
      </c>
      <c r="BC840" s="3470" t="s">
        <v>4656</v>
      </c>
      <c r="BD840" s="3470">
        <v>100037</v>
      </c>
      <c r="BE840" s="3470">
        <v>68347718</v>
      </c>
      <c r="BF840" s="3520">
        <v>2.8</v>
      </c>
      <c r="BG840" s="3478">
        <v>37866</v>
      </c>
      <c r="BH840" s="3470" t="s">
        <v>4681</v>
      </c>
      <c r="BI840" s="3441" t="s">
        <v>3476</v>
      </c>
      <c r="BJ840" s="3478">
        <v>37882</v>
      </c>
      <c r="BK840" s="3478"/>
      <c r="BL840" s="3441" t="s">
        <v>3670</v>
      </c>
      <c r="BM840" s="3441"/>
      <c r="BN840" s="3441"/>
      <c r="BO840" s="3441"/>
      <c r="BP840" s="3441"/>
      <c r="BQ840" s="3441"/>
      <c r="BR840" s="3441"/>
    </row>
    <row r="841" spans="1:73" s="3470" customFormat="1" ht="12" hidden="1">
      <c r="A841" s="3470" t="s">
        <v>9207</v>
      </c>
      <c r="B841" s="3470" t="s">
        <v>9208</v>
      </c>
      <c r="C841" s="3481" t="s">
        <v>9209</v>
      </c>
      <c r="D841" s="3487" t="s">
        <v>9210</v>
      </c>
      <c r="E841" s="3470" t="s">
        <v>3558</v>
      </c>
      <c r="F841" s="3470" t="s">
        <v>3559</v>
      </c>
      <c r="H841" s="3453" t="s">
        <v>7743</v>
      </c>
      <c r="I841" s="3453" t="s">
        <v>3735</v>
      </c>
      <c r="J841" s="3453" t="s">
        <v>9211</v>
      </c>
      <c r="K841" s="3470" t="s">
        <v>7737</v>
      </c>
      <c r="L841" s="3495">
        <v>73.680000000000007</v>
      </c>
      <c r="M841" s="3495">
        <v>5</v>
      </c>
      <c r="N841" s="3470" t="s">
        <v>5032</v>
      </c>
      <c r="O841" s="3495">
        <v>59.69</v>
      </c>
      <c r="P841" s="3470" t="s">
        <v>3452</v>
      </c>
      <c r="Q841" s="3457">
        <v>352190.4</v>
      </c>
      <c r="R841" s="3470">
        <v>4780</v>
      </c>
      <c r="S841" s="3472">
        <v>34.880000000000003</v>
      </c>
      <c r="T841" s="3602">
        <v>348800</v>
      </c>
      <c r="U841" s="3470">
        <v>4735</v>
      </c>
      <c r="V841" s="3474">
        <v>0.1</v>
      </c>
      <c r="W841" s="3475">
        <v>31.39</v>
      </c>
      <c r="X841" s="3602">
        <v>313900</v>
      </c>
      <c r="Y841" s="3470">
        <v>2003</v>
      </c>
      <c r="Z841" s="3470">
        <v>9</v>
      </c>
      <c r="AA841" s="3441">
        <v>22</v>
      </c>
      <c r="AB841" s="3477">
        <v>1740</v>
      </c>
      <c r="AC841" s="3490" t="s">
        <v>3603</v>
      </c>
      <c r="AE841" s="3456" t="s">
        <v>3663</v>
      </c>
      <c r="AF841" s="3470" t="s">
        <v>4200</v>
      </c>
      <c r="AG841" s="3470" t="s">
        <v>3466</v>
      </c>
      <c r="AH841" s="3470" t="s">
        <v>3568</v>
      </c>
      <c r="AI841" s="3470" t="s">
        <v>5021</v>
      </c>
      <c r="AJ841" s="3478">
        <v>37894</v>
      </c>
      <c r="AK841" s="3603">
        <v>9</v>
      </c>
      <c r="AL841" s="3495">
        <v>67641700</v>
      </c>
      <c r="AM841" s="3470" t="s">
        <v>3568</v>
      </c>
      <c r="AN841" s="3480" t="s">
        <v>3680</v>
      </c>
      <c r="AO841" s="3441" t="s">
        <v>3568</v>
      </c>
      <c r="AP841" s="3456" t="s">
        <v>3476</v>
      </c>
      <c r="AQ841" s="3456" t="s">
        <v>3571</v>
      </c>
      <c r="AV841" s="3519"/>
      <c r="AW841" s="3470" t="s">
        <v>3572</v>
      </c>
      <c r="AY841" s="3453" t="s">
        <v>9212</v>
      </c>
      <c r="AZ841" s="3470" t="s">
        <v>7737</v>
      </c>
      <c r="BA841" s="3470" t="s">
        <v>3574</v>
      </c>
      <c r="BB841" s="3470" t="s">
        <v>3575</v>
      </c>
      <c r="BC841" s="3470" t="s">
        <v>3576</v>
      </c>
      <c r="BD841" s="3470">
        <v>100037</v>
      </c>
      <c r="BE841" s="3470">
        <v>84050046</v>
      </c>
      <c r="BF841" s="3520">
        <v>2.8</v>
      </c>
      <c r="BG841" s="3478">
        <v>37847</v>
      </c>
      <c r="BI841" s="3441" t="s">
        <v>3476</v>
      </c>
      <c r="BJ841" s="3478">
        <v>37879</v>
      </c>
      <c r="BK841" s="3478" t="s">
        <v>3568</v>
      </c>
      <c r="BL841" s="3441" t="s">
        <v>3670</v>
      </c>
      <c r="BM841" s="3441"/>
      <c r="BN841" s="3441"/>
      <c r="BO841" s="3441"/>
      <c r="BP841" s="3441"/>
      <c r="BQ841" s="3441"/>
      <c r="BR841" s="3441"/>
    </row>
    <row r="842" spans="1:73" s="3441" customFormat="1" ht="12" hidden="1">
      <c r="A842" s="3485" t="s">
        <v>9213</v>
      </c>
      <c r="B842" s="3470" t="s">
        <v>9214</v>
      </c>
      <c r="C842" s="3481" t="s">
        <v>9215</v>
      </c>
      <c r="D842" s="3481" t="s">
        <v>9216</v>
      </c>
      <c r="E842" s="3470" t="s">
        <v>3558</v>
      </c>
      <c r="F842" s="3470" t="s">
        <v>7153</v>
      </c>
      <c r="G842" s="3470" t="s">
        <v>3568</v>
      </c>
      <c r="H842" s="3470" t="s">
        <v>9119</v>
      </c>
      <c r="I842" s="3453" t="s">
        <v>3676</v>
      </c>
      <c r="J842" s="3481" t="s">
        <v>6084</v>
      </c>
      <c r="K842" s="3470" t="s">
        <v>6117</v>
      </c>
      <c r="L842" s="3470">
        <v>69.42</v>
      </c>
      <c r="M842" s="3470">
        <v>11</v>
      </c>
      <c r="N842" s="3542" t="s">
        <v>3486</v>
      </c>
      <c r="O842" s="3470">
        <v>56.84</v>
      </c>
      <c r="P842" s="3470" t="s">
        <v>3452</v>
      </c>
      <c r="Q842" s="3457">
        <v>281845.2</v>
      </c>
      <c r="R842" s="3470">
        <v>4060</v>
      </c>
      <c r="S842" s="3472">
        <v>27.87</v>
      </c>
      <c r="T842" s="3527">
        <v>278700</v>
      </c>
      <c r="U842" s="3470">
        <v>4015</v>
      </c>
      <c r="V842" s="3474">
        <v>0.1</v>
      </c>
      <c r="W842" s="3475">
        <v>25.08</v>
      </c>
      <c r="X842" s="3476">
        <v>250799.99999999997</v>
      </c>
      <c r="Y842" s="3441">
        <v>2003</v>
      </c>
      <c r="Z842" s="3441">
        <v>10</v>
      </c>
      <c r="AA842" s="3470">
        <v>14</v>
      </c>
      <c r="AB842" s="3477">
        <v>1390</v>
      </c>
      <c r="AC842" s="3470" t="s">
        <v>9077</v>
      </c>
      <c r="AD842" s="3485"/>
      <c r="AE842" s="3441" t="s">
        <v>3663</v>
      </c>
      <c r="AF842" s="3470" t="s">
        <v>3799</v>
      </c>
      <c r="AG842" s="3522" t="s">
        <v>3466</v>
      </c>
      <c r="AH842" s="3485"/>
      <c r="AI842" s="3470" t="s">
        <v>5021</v>
      </c>
      <c r="AJ842" s="3523">
        <v>38352</v>
      </c>
      <c r="AK842" s="3500" t="s">
        <v>4752</v>
      </c>
      <c r="AL842" s="3441">
        <v>67641700</v>
      </c>
      <c r="AN842" s="3456" t="s">
        <v>3468</v>
      </c>
      <c r="AO842" s="3441" t="s">
        <v>9217</v>
      </c>
      <c r="AP842" s="3441" t="s">
        <v>3476</v>
      </c>
      <c r="AQ842" s="3441" t="s">
        <v>3571</v>
      </c>
      <c r="AW842" s="3441" t="s">
        <v>3572</v>
      </c>
      <c r="AX842" s="3441" t="s">
        <v>3568</v>
      </c>
      <c r="AY842" s="3524" t="s">
        <v>9218</v>
      </c>
      <c r="AZ842" s="3441" t="s">
        <v>6117</v>
      </c>
      <c r="BA842" s="3441" t="s">
        <v>7157</v>
      </c>
      <c r="BB842" s="3524">
        <v>1102281326100</v>
      </c>
      <c r="BC842" s="3441" t="s">
        <v>7158</v>
      </c>
      <c r="BD842" s="3525">
        <v>100055</v>
      </c>
      <c r="BE842" s="3441">
        <v>82951881</v>
      </c>
      <c r="BF842" s="3526">
        <v>2.8</v>
      </c>
      <c r="BG842" s="3518">
        <v>37885</v>
      </c>
      <c r="BH842" s="3441" t="s">
        <v>4753</v>
      </c>
      <c r="BI842" s="3441" t="s">
        <v>3476</v>
      </c>
      <c r="BJ842" s="3484">
        <v>37903</v>
      </c>
      <c r="BK842" s="3484"/>
      <c r="BL842" s="3470" t="s">
        <v>3670</v>
      </c>
    </row>
    <row r="843" spans="1:73" s="3470" customFormat="1" ht="12" hidden="1">
      <c r="A843" s="3453" t="s">
        <v>9219</v>
      </c>
      <c r="B843" s="3470" t="s">
        <v>9220</v>
      </c>
      <c r="C843" s="3481" t="s">
        <v>9221</v>
      </c>
      <c r="D843" s="3470" t="s">
        <v>9222</v>
      </c>
      <c r="E843" s="3470" t="s">
        <v>2736</v>
      </c>
      <c r="F843" s="3470" t="s">
        <v>5592</v>
      </c>
      <c r="H843" s="3453" t="s">
        <v>9223</v>
      </c>
      <c r="I843" s="3453" t="s">
        <v>3726</v>
      </c>
      <c r="J843" s="3453" t="s">
        <v>5441</v>
      </c>
      <c r="K843" s="3470" t="s">
        <v>6880</v>
      </c>
      <c r="L843" s="3495">
        <v>40.86</v>
      </c>
      <c r="M843" s="3495">
        <v>8</v>
      </c>
      <c r="N843" s="3470" t="s">
        <v>3692</v>
      </c>
      <c r="O843" s="3495">
        <v>33.28</v>
      </c>
      <c r="P843" s="3470" t="s">
        <v>3452</v>
      </c>
      <c r="Q843" s="3492">
        <v>161805.6</v>
      </c>
      <c r="R843" s="3495">
        <v>3960</v>
      </c>
      <c r="S843" s="3472">
        <v>16</v>
      </c>
      <c r="T843" s="3527">
        <v>160000</v>
      </c>
      <c r="U843" s="3495">
        <v>3918</v>
      </c>
      <c r="V843" s="3512">
        <v>0.1</v>
      </c>
      <c r="W843" s="3475">
        <v>14.4</v>
      </c>
      <c r="X843" s="3494">
        <v>144000</v>
      </c>
      <c r="Y843" s="3495">
        <v>2003</v>
      </c>
      <c r="Z843" s="3495">
        <v>9</v>
      </c>
      <c r="AA843" s="3495">
        <v>29</v>
      </c>
      <c r="AB843" s="3477">
        <v>800</v>
      </c>
      <c r="AC843" s="3470" t="s">
        <v>9077</v>
      </c>
      <c r="AE843" s="3456" t="s">
        <v>3663</v>
      </c>
      <c r="AF843" s="3470" t="s">
        <v>4721</v>
      </c>
      <c r="AG843" s="3470" t="s">
        <v>3466</v>
      </c>
      <c r="AI843" s="3456" t="s">
        <v>5021</v>
      </c>
      <c r="AJ843" s="3478">
        <v>38352</v>
      </c>
      <c r="AK843" s="3500">
        <v>9</v>
      </c>
      <c r="AL843" s="3495">
        <v>67641700</v>
      </c>
      <c r="AN843" s="3456" t="s">
        <v>3487</v>
      </c>
      <c r="AO843" s="3441" t="s">
        <v>9224</v>
      </c>
      <c r="AP843" s="3456" t="s">
        <v>3476</v>
      </c>
      <c r="AQ843" s="3456" t="s">
        <v>3571</v>
      </c>
      <c r="AV843" s="3519"/>
      <c r="AW843" s="3470" t="s">
        <v>3572</v>
      </c>
      <c r="AY843" s="3495">
        <v>555863</v>
      </c>
      <c r="AZ843" s="3470" t="s">
        <v>6117</v>
      </c>
      <c r="BA843" s="3470" t="s">
        <v>5595</v>
      </c>
      <c r="BB843" s="3481" t="s">
        <v>9225</v>
      </c>
      <c r="BC843" s="3470" t="s">
        <v>5588</v>
      </c>
      <c r="BD843" s="3470">
        <v>100055</v>
      </c>
      <c r="BE843" s="3470">
        <v>82951881</v>
      </c>
      <c r="BF843" s="3520">
        <v>2.8</v>
      </c>
      <c r="BG843" s="3478">
        <v>37875</v>
      </c>
      <c r="BI843" s="3441" t="s">
        <v>8464</v>
      </c>
      <c r="BJ843" s="3478">
        <v>37888</v>
      </c>
      <c r="BK843" s="3478"/>
      <c r="BL843" s="3470" t="s">
        <v>3670</v>
      </c>
      <c r="BP843" s="3441"/>
      <c r="BQ843" s="3441"/>
      <c r="BR843" s="3441"/>
    </row>
    <row r="844" spans="1:73" s="3441" customFormat="1" ht="12" hidden="1">
      <c r="A844" s="3485" t="s">
        <v>9226</v>
      </c>
      <c r="B844" s="3470" t="s">
        <v>9227</v>
      </c>
      <c r="C844" s="3481" t="s">
        <v>9228</v>
      </c>
      <c r="D844" s="3481" t="s">
        <v>9229</v>
      </c>
      <c r="E844" s="3470" t="s">
        <v>3558</v>
      </c>
      <c r="F844" s="3470" t="s">
        <v>7153</v>
      </c>
      <c r="G844" s="3470" t="s">
        <v>3568</v>
      </c>
      <c r="H844" s="3470" t="s">
        <v>9230</v>
      </c>
      <c r="I844" s="3453" t="s">
        <v>4433</v>
      </c>
      <c r="J844" s="3481" t="s">
        <v>6219</v>
      </c>
      <c r="K844" s="3470" t="s">
        <v>6117</v>
      </c>
      <c r="L844" s="3470">
        <v>69.42</v>
      </c>
      <c r="M844" s="3470">
        <v>11</v>
      </c>
      <c r="N844" s="3542" t="s">
        <v>7255</v>
      </c>
      <c r="O844" s="3470">
        <v>56.84</v>
      </c>
      <c r="P844" s="3470" t="s">
        <v>3452</v>
      </c>
      <c r="Q844" s="3457">
        <v>281151</v>
      </c>
      <c r="R844" s="3470">
        <v>4050</v>
      </c>
      <c r="S844" s="3472">
        <v>27.82</v>
      </c>
      <c r="T844" s="3527">
        <v>278200</v>
      </c>
      <c r="U844" s="3470">
        <v>4008</v>
      </c>
      <c r="V844" s="3474">
        <v>0.1</v>
      </c>
      <c r="W844" s="3475">
        <v>25.03</v>
      </c>
      <c r="X844" s="3476">
        <v>250300</v>
      </c>
      <c r="Y844" s="3441">
        <v>2003</v>
      </c>
      <c r="Z844" s="3441">
        <v>10</v>
      </c>
      <c r="AA844" s="3470">
        <v>15</v>
      </c>
      <c r="AB844" s="3477">
        <v>1390</v>
      </c>
      <c r="AC844" s="3470" t="s">
        <v>4800</v>
      </c>
      <c r="AD844" s="3485"/>
      <c r="AE844" s="3441" t="s">
        <v>3663</v>
      </c>
      <c r="AF844" s="3470" t="s">
        <v>3799</v>
      </c>
      <c r="AG844" s="3522" t="s">
        <v>3466</v>
      </c>
      <c r="AH844" s="3485"/>
      <c r="AI844" s="3470" t="s">
        <v>5021</v>
      </c>
      <c r="AJ844" s="3523">
        <v>38352</v>
      </c>
      <c r="AK844" s="3500" t="s">
        <v>8786</v>
      </c>
      <c r="AL844" s="3441">
        <v>67641700</v>
      </c>
      <c r="AN844" s="3456" t="s">
        <v>3468</v>
      </c>
      <c r="AO844" s="3441" t="s">
        <v>8956</v>
      </c>
      <c r="AP844" s="3441" t="s">
        <v>3476</v>
      </c>
      <c r="AQ844" s="3441" t="s">
        <v>3571</v>
      </c>
      <c r="AW844" s="3441" t="s">
        <v>3572</v>
      </c>
      <c r="AX844" s="3441" t="s">
        <v>3568</v>
      </c>
      <c r="AY844" s="3524" t="s">
        <v>9231</v>
      </c>
      <c r="AZ844" s="3441" t="s">
        <v>6117</v>
      </c>
      <c r="BA844" s="3441" t="s">
        <v>7157</v>
      </c>
      <c r="BB844" s="3524">
        <v>1102281326100</v>
      </c>
      <c r="BC844" s="3441" t="s">
        <v>7158</v>
      </c>
      <c r="BD844" s="3525">
        <v>100055</v>
      </c>
      <c r="BE844" s="3441">
        <v>82951881</v>
      </c>
      <c r="BF844" s="3526">
        <v>2.8</v>
      </c>
      <c r="BG844" s="3518">
        <v>37875</v>
      </c>
      <c r="BH844" s="3441" t="s">
        <v>4753</v>
      </c>
      <c r="BI844" s="3441" t="s">
        <v>3476</v>
      </c>
      <c r="BJ844" s="3484">
        <v>37903</v>
      </c>
      <c r="BK844" s="3484"/>
      <c r="BL844" s="3470" t="s">
        <v>3670</v>
      </c>
    </row>
    <row r="845" spans="1:73" s="3470" customFormat="1" ht="12" hidden="1">
      <c r="A845" s="3453" t="s">
        <v>9232</v>
      </c>
      <c r="B845" s="3470" t="s">
        <v>9233</v>
      </c>
      <c r="C845" s="3454" t="s">
        <v>9234</v>
      </c>
      <c r="D845" s="3470">
        <v>13611102599</v>
      </c>
      <c r="E845" s="3470" t="s">
        <v>6987</v>
      </c>
      <c r="F845" s="3470" t="s">
        <v>6878</v>
      </c>
      <c r="G845" s="3470" t="s">
        <v>6879</v>
      </c>
      <c r="H845" s="3470" t="s">
        <v>9235</v>
      </c>
      <c r="I845" s="3453" t="s">
        <v>7143</v>
      </c>
      <c r="J845" s="3453" t="s">
        <v>9236</v>
      </c>
      <c r="K845" s="3470" t="s">
        <v>5601</v>
      </c>
      <c r="L845" s="3495">
        <v>53.97</v>
      </c>
      <c r="M845" s="3495">
        <v>12</v>
      </c>
      <c r="N845" s="3470" t="s">
        <v>3489</v>
      </c>
      <c r="O845" s="3495">
        <v>44.19</v>
      </c>
      <c r="P845" s="3470" t="s">
        <v>3452</v>
      </c>
      <c r="Q845" s="3457">
        <v>218038.8</v>
      </c>
      <c r="R845" s="3470">
        <v>4040</v>
      </c>
      <c r="S845" s="3472">
        <v>21.56</v>
      </c>
      <c r="T845" s="3550">
        <v>215600</v>
      </c>
      <c r="U845" s="3470">
        <v>3995</v>
      </c>
      <c r="V845" s="3474">
        <v>0.1</v>
      </c>
      <c r="W845" s="3475">
        <v>19.399999999999999</v>
      </c>
      <c r="X845" s="3511">
        <v>194000</v>
      </c>
      <c r="Y845" s="3441">
        <v>2003</v>
      </c>
      <c r="Z845" s="3441">
        <v>11</v>
      </c>
      <c r="AA845" s="3470">
        <v>21</v>
      </c>
      <c r="AB845" s="3485">
        <v>1075</v>
      </c>
      <c r="AC845" s="3470" t="s">
        <v>9237</v>
      </c>
      <c r="AE845" s="3456" t="s">
        <v>3663</v>
      </c>
      <c r="AF845" s="3470" t="s">
        <v>4721</v>
      </c>
      <c r="AG845" s="3470" t="s">
        <v>3466</v>
      </c>
      <c r="AI845" s="3470" t="s">
        <v>3664</v>
      </c>
      <c r="AJ845" s="3478">
        <v>38352</v>
      </c>
      <c r="AK845" s="3612" t="s">
        <v>4788</v>
      </c>
      <c r="AL845" s="3495">
        <v>67641700</v>
      </c>
      <c r="AN845" s="3480" t="s">
        <v>3739</v>
      </c>
      <c r="AO845" s="3470" t="s">
        <v>9238</v>
      </c>
      <c r="AP845" s="3456" t="s">
        <v>3476</v>
      </c>
      <c r="AQ845" s="3456" t="s">
        <v>3571</v>
      </c>
      <c r="AV845" s="3519"/>
      <c r="AW845" s="3470" t="s">
        <v>3572</v>
      </c>
      <c r="AX845" s="3470" t="s">
        <v>3715</v>
      </c>
      <c r="AY845" s="3495">
        <v>555856</v>
      </c>
      <c r="AZ845" s="3470" t="s">
        <v>5601</v>
      </c>
      <c r="BA845" s="3470" t="s">
        <v>5587</v>
      </c>
      <c r="BB845" s="3619">
        <v>1102281326100</v>
      </c>
      <c r="BC845" s="3470" t="s">
        <v>5588</v>
      </c>
      <c r="BD845" s="3470">
        <v>100055</v>
      </c>
      <c r="BE845" s="3470">
        <v>82951881</v>
      </c>
      <c r="BF845" s="3520">
        <v>2.8</v>
      </c>
      <c r="BG845" s="3478">
        <v>37879</v>
      </c>
      <c r="BI845" s="3441" t="s">
        <v>3476</v>
      </c>
      <c r="BJ845" s="3478">
        <v>37943</v>
      </c>
      <c r="BK845" s="3478"/>
      <c r="BL845" s="3441" t="s">
        <v>3670</v>
      </c>
      <c r="BM845" s="3441"/>
      <c r="BN845" s="3441"/>
      <c r="BO845" s="3441"/>
      <c r="BP845" s="3441"/>
      <c r="BQ845" s="3441"/>
      <c r="BR845" s="3441"/>
    </row>
    <row r="846" spans="1:73" s="3441" customFormat="1" ht="12" hidden="1">
      <c r="A846" s="3485" t="s">
        <v>9239</v>
      </c>
      <c r="B846" s="3470" t="s">
        <v>9240</v>
      </c>
      <c r="C846" s="3481" t="s">
        <v>9241</v>
      </c>
      <c r="D846" s="3481" t="s">
        <v>9242</v>
      </c>
      <c r="E846" s="3470" t="s">
        <v>3558</v>
      </c>
      <c r="F846" s="3470" t="s">
        <v>7153</v>
      </c>
      <c r="G846" s="3470" t="s">
        <v>3568</v>
      </c>
      <c r="H846" s="3470" t="s">
        <v>7162</v>
      </c>
      <c r="I846" s="3470" t="s">
        <v>3726</v>
      </c>
      <c r="J846" s="3481" t="s">
        <v>6219</v>
      </c>
      <c r="K846" s="3470" t="s">
        <v>6117</v>
      </c>
      <c r="L846" s="3470">
        <v>114.33</v>
      </c>
      <c r="M846" s="3470">
        <v>11</v>
      </c>
      <c r="N846" s="3470" t="s">
        <v>3632</v>
      </c>
      <c r="O846" s="3470">
        <v>96.96</v>
      </c>
      <c r="P846" s="3470" t="s">
        <v>3452</v>
      </c>
      <c r="Q846" s="3457">
        <v>455033.39999999997</v>
      </c>
      <c r="R846" s="3470">
        <v>3980</v>
      </c>
      <c r="S846" s="3472">
        <v>44.95</v>
      </c>
      <c r="T846" s="3527">
        <v>449500</v>
      </c>
      <c r="U846" s="3470">
        <v>3932</v>
      </c>
      <c r="V846" s="3474">
        <v>0.1</v>
      </c>
      <c r="W846" s="3475">
        <v>40.450000000000003</v>
      </c>
      <c r="X846" s="3476">
        <v>404500</v>
      </c>
      <c r="Y846" s="3441">
        <v>2003</v>
      </c>
      <c r="Z846" s="3441">
        <v>9</v>
      </c>
      <c r="AA846" s="3470">
        <v>28</v>
      </c>
      <c r="AB846" s="3477">
        <v>2245</v>
      </c>
      <c r="AC846" s="3470" t="s">
        <v>9243</v>
      </c>
      <c r="AD846" s="3485"/>
      <c r="AE846" s="3441" t="s">
        <v>3663</v>
      </c>
      <c r="AF846" s="3470" t="s">
        <v>4721</v>
      </c>
      <c r="AG846" s="3522" t="s">
        <v>3466</v>
      </c>
      <c r="AH846" s="3485"/>
      <c r="AI846" s="3470" t="s">
        <v>5021</v>
      </c>
      <c r="AJ846" s="3523">
        <v>38108</v>
      </c>
      <c r="AK846" s="3500">
        <v>9</v>
      </c>
      <c r="AL846" s="3441">
        <v>67641700</v>
      </c>
      <c r="AN846" s="3456" t="s">
        <v>3680</v>
      </c>
      <c r="AO846" s="3441" t="s">
        <v>9244</v>
      </c>
      <c r="AP846" s="3441" t="s">
        <v>3476</v>
      </c>
      <c r="AQ846" s="3441" t="s">
        <v>3571</v>
      </c>
      <c r="AW846" s="3441" t="s">
        <v>3572</v>
      </c>
      <c r="AX846" s="3441" t="s">
        <v>3568</v>
      </c>
      <c r="AY846" s="3524" t="s">
        <v>9245</v>
      </c>
      <c r="AZ846" s="3441" t="s">
        <v>6117</v>
      </c>
      <c r="BA846" s="3441" t="s">
        <v>7157</v>
      </c>
      <c r="BB846" s="3524">
        <v>1102281326100</v>
      </c>
      <c r="BC846" s="3441" t="s">
        <v>7158</v>
      </c>
      <c r="BD846" s="3525">
        <v>100055</v>
      </c>
      <c r="BE846" s="3441">
        <v>82951881</v>
      </c>
      <c r="BF846" s="3526">
        <v>2.8</v>
      </c>
      <c r="BG846" s="3518">
        <v>37866</v>
      </c>
      <c r="BH846" s="3441" t="s">
        <v>4753</v>
      </c>
      <c r="BI846" s="3441" t="s">
        <v>3476</v>
      </c>
      <c r="BJ846" s="3484">
        <v>37891</v>
      </c>
      <c r="BK846" s="3518"/>
      <c r="BL846" s="3470" t="s">
        <v>3670</v>
      </c>
      <c r="BS846" s="3470"/>
      <c r="BT846" s="3470"/>
      <c r="BU846" s="3470"/>
    </row>
    <row r="847" spans="1:73" s="3441" customFormat="1" ht="12" hidden="1">
      <c r="A847" s="3485" t="s">
        <v>9246</v>
      </c>
      <c r="B847" s="3470" t="s">
        <v>9247</v>
      </c>
      <c r="C847" s="3481" t="s">
        <v>9248</v>
      </c>
      <c r="D847" s="3481" t="s">
        <v>9249</v>
      </c>
      <c r="E847" s="3470" t="s">
        <v>3558</v>
      </c>
      <c r="F847" s="3470" t="s">
        <v>7153</v>
      </c>
      <c r="G847" s="3470" t="s">
        <v>3568</v>
      </c>
      <c r="H847" s="3470" t="s">
        <v>9119</v>
      </c>
      <c r="I847" s="3453" t="s">
        <v>3676</v>
      </c>
      <c r="J847" s="3481" t="s">
        <v>9250</v>
      </c>
      <c r="K847" s="3470" t="s">
        <v>6117</v>
      </c>
      <c r="L847" s="3470">
        <v>44.92</v>
      </c>
      <c r="M847" s="3470">
        <v>3</v>
      </c>
      <c r="N847" s="3470" t="s">
        <v>3692</v>
      </c>
      <c r="O847" s="3470">
        <v>36.72</v>
      </c>
      <c r="P847" s="3470" t="s">
        <v>3452</v>
      </c>
      <c r="Q847" s="3457">
        <v>172492.80000000002</v>
      </c>
      <c r="R847" s="3470">
        <v>3840</v>
      </c>
      <c r="S847" s="3472">
        <v>17.05</v>
      </c>
      <c r="T847" s="3527">
        <v>170500</v>
      </c>
      <c r="U847" s="3470">
        <v>3796</v>
      </c>
      <c r="V847" s="3474">
        <v>0.1</v>
      </c>
      <c r="W847" s="3475">
        <v>15.34</v>
      </c>
      <c r="X847" s="3476">
        <v>153400</v>
      </c>
      <c r="Y847" s="3441">
        <v>2003</v>
      </c>
      <c r="Z847" s="3441">
        <v>10</v>
      </c>
      <c r="AA847" s="3470">
        <v>14</v>
      </c>
      <c r="AB847" s="3477">
        <v>850</v>
      </c>
      <c r="AC847" s="3470" t="s">
        <v>3585</v>
      </c>
      <c r="AD847" s="3485"/>
      <c r="AE847" s="3441" t="s">
        <v>3663</v>
      </c>
      <c r="AF847" s="3470" t="s">
        <v>7283</v>
      </c>
      <c r="AG847" s="3522" t="s">
        <v>3466</v>
      </c>
      <c r="AH847" s="3485"/>
      <c r="AI847" s="3470" t="s">
        <v>5021</v>
      </c>
      <c r="AJ847" s="3523">
        <v>38352</v>
      </c>
      <c r="AK847" s="3500" t="s">
        <v>4752</v>
      </c>
      <c r="AL847" s="3441">
        <v>67641700</v>
      </c>
      <c r="AN847" s="3456" t="s">
        <v>3468</v>
      </c>
      <c r="AO847" s="3441" t="s">
        <v>9251</v>
      </c>
      <c r="AP847" s="3441" t="s">
        <v>3476</v>
      </c>
      <c r="AQ847" s="3441" t="s">
        <v>3571</v>
      </c>
      <c r="AW847" s="3441" t="s">
        <v>3572</v>
      </c>
      <c r="AX847" s="3441" t="s">
        <v>3568</v>
      </c>
      <c r="AY847" s="3524" t="s">
        <v>9252</v>
      </c>
      <c r="AZ847" s="3441" t="s">
        <v>6117</v>
      </c>
      <c r="BA847" s="3441" t="s">
        <v>7157</v>
      </c>
      <c r="BB847" s="3524">
        <v>1102281326100</v>
      </c>
      <c r="BC847" s="3441" t="s">
        <v>7158</v>
      </c>
      <c r="BD847" s="3525">
        <v>100055</v>
      </c>
      <c r="BE847" s="3441">
        <v>82951881</v>
      </c>
      <c r="BF847" s="3526">
        <v>2.8</v>
      </c>
      <c r="BG847" s="3518">
        <v>37882</v>
      </c>
      <c r="BH847" s="3441" t="s">
        <v>4753</v>
      </c>
      <c r="BI847" s="3441" t="s">
        <v>3476</v>
      </c>
      <c r="BJ847" s="3484">
        <v>37904</v>
      </c>
      <c r="BK847" s="3484"/>
      <c r="BL847" s="3470" t="s">
        <v>3670</v>
      </c>
    </row>
    <row r="848" spans="1:73" s="3441" customFormat="1" ht="12" hidden="1">
      <c r="A848" s="3485" t="s">
        <v>9253</v>
      </c>
      <c r="B848" s="3470" t="s">
        <v>9254</v>
      </c>
      <c r="C848" s="3481" t="s">
        <v>9255</v>
      </c>
      <c r="D848" s="3481" t="s">
        <v>9256</v>
      </c>
      <c r="E848" s="3470" t="s">
        <v>3558</v>
      </c>
      <c r="F848" s="3470" t="s">
        <v>7153</v>
      </c>
      <c r="G848" s="3470" t="s">
        <v>3568</v>
      </c>
      <c r="H848" s="3470" t="s">
        <v>7162</v>
      </c>
      <c r="I848" s="3470" t="s">
        <v>4001</v>
      </c>
      <c r="J848" s="3481" t="s">
        <v>4549</v>
      </c>
      <c r="K848" s="3470" t="s">
        <v>6117</v>
      </c>
      <c r="L848" s="3470">
        <v>98.22</v>
      </c>
      <c r="M848" s="3470">
        <v>3</v>
      </c>
      <c r="N848" s="3470" t="s">
        <v>4871</v>
      </c>
      <c r="O848" s="3470">
        <v>83.29</v>
      </c>
      <c r="P848" s="3470" t="s">
        <v>3452</v>
      </c>
      <c r="Q848" s="3457">
        <v>386004.6</v>
      </c>
      <c r="R848" s="3470">
        <v>3930</v>
      </c>
      <c r="S848" s="3472">
        <v>38.119999999999997</v>
      </c>
      <c r="T848" s="3527">
        <v>381200</v>
      </c>
      <c r="U848" s="3470">
        <v>3882</v>
      </c>
      <c r="V848" s="3474">
        <v>0.1</v>
      </c>
      <c r="W848" s="3475">
        <v>34.299999999999997</v>
      </c>
      <c r="X848" s="3476">
        <v>343000</v>
      </c>
      <c r="Y848" s="3441">
        <v>2003</v>
      </c>
      <c r="Z848" s="3441">
        <v>9</v>
      </c>
      <c r="AA848" s="3470">
        <v>28</v>
      </c>
      <c r="AB848" s="3477">
        <v>1905</v>
      </c>
      <c r="AC848" s="3470" t="s">
        <v>9077</v>
      </c>
      <c r="AD848" s="3485"/>
      <c r="AE848" s="3441" t="s">
        <v>3663</v>
      </c>
      <c r="AF848" s="3470" t="s">
        <v>4721</v>
      </c>
      <c r="AG848" s="3522" t="s">
        <v>3466</v>
      </c>
      <c r="AH848" s="3485"/>
      <c r="AI848" s="3470" t="s">
        <v>5021</v>
      </c>
      <c r="AJ848" s="3523">
        <v>38108</v>
      </c>
      <c r="AK848" s="3500">
        <v>9</v>
      </c>
      <c r="AL848" s="3441">
        <v>67641700</v>
      </c>
      <c r="AN848" s="3456" t="s">
        <v>3680</v>
      </c>
      <c r="AO848" s="3441" t="s">
        <v>9257</v>
      </c>
      <c r="AP848" s="3441" t="s">
        <v>3476</v>
      </c>
      <c r="AQ848" s="3441" t="s">
        <v>3571</v>
      </c>
      <c r="AW848" s="3441" t="s">
        <v>3572</v>
      </c>
      <c r="AX848" s="3441" t="s">
        <v>3568</v>
      </c>
      <c r="AY848" s="3524" t="s">
        <v>9258</v>
      </c>
      <c r="AZ848" s="3441" t="s">
        <v>6117</v>
      </c>
      <c r="BA848" s="3441" t="s">
        <v>7157</v>
      </c>
      <c r="BB848" s="3524">
        <v>1102281326100</v>
      </c>
      <c r="BC848" s="3441" t="s">
        <v>7158</v>
      </c>
      <c r="BD848" s="3525">
        <v>100055</v>
      </c>
      <c r="BE848" s="3441">
        <v>82951881</v>
      </c>
      <c r="BF848" s="3526">
        <v>2.8</v>
      </c>
      <c r="BG848" s="3518">
        <v>37868</v>
      </c>
      <c r="BH848" s="3441" t="s">
        <v>4753</v>
      </c>
      <c r="BI848" s="3441" t="s">
        <v>3476</v>
      </c>
      <c r="BJ848" s="3484">
        <v>37888</v>
      </c>
      <c r="BK848" s="3518"/>
      <c r="BL848" s="3470" t="s">
        <v>3670</v>
      </c>
      <c r="BS848" s="3470"/>
      <c r="BT848" s="3470"/>
      <c r="BU848" s="3470"/>
    </row>
    <row r="849" spans="1:73" s="3470" customFormat="1" ht="12" hidden="1">
      <c r="A849" s="3453" t="s">
        <v>9259</v>
      </c>
      <c r="B849" s="3470" t="s">
        <v>9260</v>
      </c>
      <c r="C849" s="3481" t="s">
        <v>9261</v>
      </c>
      <c r="D849" s="3470">
        <v>13911668772</v>
      </c>
      <c r="E849" s="3470" t="s">
        <v>6987</v>
      </c>
      <c r="F849" s="3470" t="s">
        <v>5583</v>
      </c>
      <c r="H849" s="3453" t="s">
        <v>9230</v>
      </c>
      <c r="I849" s="3453" t="s">
        <v>4854</v>
      </c>
      <c r="J849" s="3453" t="s">
        <v>9262</v>
      </c>
      <c r="K849" s="3470" t="s">
        <v>5586</v>
      </c>
      <c r="L849" s="3495">
        <v>69.42</v>
      </c>
      <c r="M849" s="3495">
        <v>10</v>
      </c>
      <c r="N849" s="3470" t="s">
        <v>7017</v>
      </c>
      <c r="O849" s="3495">
        <v>56.84</v>
      </c>
      <c r="P849" s="3470" t="s">
        <v>3452</v>
      </c>
      <c r="Q849" s="3492">
        <v>280456.8</v>
      </c>
      <c r="R849" s="3495">
        <v>4040</v>
      </c>
      <c r="S849" s="3472">
        <v>27.75</v>
      </c>
      <c r="T849" s="3527">
        <v>277500</v>
      </c>
      <c r="U849" s="3495">
        <v>3998</v>
      </c>
      <c r="V849" s="3512">
        <v>0.1</v>
      </c>
      <c r="W849" s="3475">
        <v>24.97</v>
      </c>
      <c r="X849" s="3494">
        <v>249700</v>
      </c>
      <c r="Y849" s="3495">
        <v>2003</v>
      </c>
      <c r="Z849" s="3495">
        <v>9</v>
      </c>
      <c r="AA849" s="3495">
        <v>29</v>
      </c>
      <c r="AB849" s="3477">
        <v>1385</v>
      </c>
      <c r="AC849" s="3470" t="s">
        <v>9007</v>
      </c>
      <c r="AE849" s="3456" t="s">
        <v>3663</v>
      </c>
      <c r="AF849" s="3470" t="s">
        <v>4721</v>
      </c>
      <c r="AG849" s="3470" t="s">
        <v>3466</v>
      </c>
      <c r="AI849" s="3456" t="s">
        <v>5021</v>
      </c>
      <c r="AJ849" s="3478">
        <v>38352</v>
      </c>
      <c r="AK849" s="3500">
        <v>9</v>
      </c>
      <c r="AL849" s="3495">
        <v>67641700</v>
      </c>
      <c r="AN849" s="3456" t="s">
        <v>3487</v>
      </c>
      <c r="AO849" s="3441" t="s">
        <v>9263</v>
      </c>
      <c r="AP849" s="3456" t="s">
        <v>3476</v>
      </c>
      <c r="AQ849" s="3456" t="s">
        <v>3571</v>
      </c>
      <c r="AV849" s="3519"/>
      <c r="AW849" s="3470" t="s">
        <v>3572</v>
      </c>
      <c r="AY849" s="3495">
        <v>555869</v>
      </c>
      <c r="AZ849" s="3470" t="s">
        <v>6117</v>
      </c>
      <c r="BA849" s="3470" t="s">
        <v>5587</v>
      </c>
      <c r="BB849" s="3481" t="s">
        <v>9264</v>
      </c>
      <c r="BC849" s="3470" t="s">
        <v>5588</v>
      </c>
      <c r="BD849" s="3470">
        <v>100055</v>
      </c>
      <c r="BE849" s="3470">
        <v>82951881</v>
      </c>
      <c r="BF849" s="3520">
        <v>2.8</v>
      </c>
      <c r="BG849" s="3478">
        <v>37874</v>
      </c>
      <c r="BI849" s="3441" t="s">
        <v>8464</v>
      </c>
      <c r="BJ849" s="3478">
        <v>37891</v>
      </c>
      <c r="BK849" s="3478"/>
      <c r="BL849" s="3470" t="s">
        <v>3670</v>
      </c>
      <c r="BP849" s="3441"/>
      <c r="BQ849" s="3441"/>
      <c r="BR849" s="3441"/>
    </row>
    <row r="850" spans="1:73" s="3441" customFormat="1" ht="12" hidden="1">
      <c r="A850" s="3485" t="s">
        <v>9265</v>
      </c>
      <c r="B850" s="3470" t="s">
        <v>9266</v>
      </c>
      <c r="C850" s="3481" t="s">
        <v>9267</v>
      </c>
      <c r="D850" s="3481" t="s">
        <v>9268</v>
      </c>
      <c r="E850" s="3470" t="s">
        <v>3558</v>
      </c>
      <c r="F850" s="3470" t="s">
        <v>7153</v>
      </c>
      <c r="G850" s="3470" t="s">
        <v>3568</v>
      </c>
      <c r="H850" s="3470" t="s">
        <v>9119</v>
      </c>
      <c r="I850" s="3453" t="s">
        <v>4433</v>
      </c>
      <c r="J850" s="3481" t="s">
        <v>9269</v>
      </c>
      <c r="K850" s="3470" t="s">
        <v>6117</v>
      </c>
      <c r="L850" s="3470">
        <v>86.9</v>
      </c>
      <c r="M850" s="3470">
        <v>9</v>
      </c>
      <c r="N850" s="3542" t="s">
        <v>3486</v>
      </c>
      <c r="O850" s="3470">
        <v>71.03</v>
      </c>
      <c r="P850" s="3470" t="s">
        <v>3452</v>
      </c>
      <c r="Q850" s="3457">
        <v>347600</v>
      </c>
      <c r="R850" s="3470">
        <v>4000</v>
      </c>
      <c r="S850" s="3472">
        <v>34.36</v>
      </c>
      <c r="T850" s="3527">
        <v>343600</v>
      </c>
      <c r="U850" s="3470">
        <v>3955</v>
      </c>
      <c r="V850" s="3474">
        <v>0.1</v>
      </c>
      <c r="W850" s="3475">
        <v>30.92</v>
      </c>
      <c r="X850" s="3476">
        <v>309200</v>
      </c>
      <c r="Y850" s="3441">
        <v>2003</v>
      </c>
      <c r="Z850" s="3441">
        <v>10</v>
      </c>
      <c r="AA850" s="3470">
        <v>14</v>
      </c>
      <c r="AB850" s="3477">
        <v>1715</v>
      </c>
      <c r="AC850" s="3470" t="s">
        <v>9077</v>
      </c>
      <c r="AD850" s="3485"/>
      <c r="AE850" s="3441" t="s">
        <v>3663</v>
      </c>
      <c r="AF850" s="3470" t="s">
        <v>3799</v>
      </c>
      <c r="AG850" s="3522" t="s">
        <v>3466</v>
      </c>
      <c r="AH850" s="3485"/>
      <c r="AI850" s="3470" t="s">
        <v>5021</v>
      </c>
      <c r="AJ850" s="3523">
        <v>38352</v>
      </c>
      <c r="AK850" s="3500" t="s">
        <v>8786</v>
      </c>
      <c r="AL850" s="3441">
        <v>67641700</v>
      </c>
      <c r="AN850" s="3456" t="s">
        <v>3468</v>
      </c>
      <c r="AO850" s="3441" t="s">
        <v>9270</v>
      </c>
      <c r="AP850" s="3441" t="s">
        <v>3476</v>
      </c>
      <c r="AQ850" s="3441" t="s">
        <v>3571</v>
      </c>
      <c r="AW850" s="3441" t="s">
        <v>3572</v>
      </c>
      <c r="AX850" s="3441" t="s">
        <v>3568</v>
      </c>
      <c r="AY850" s="3524" t="s">
        <v>9271</v>
      </c>
      <c r="AZ850" s="3441" t="s">
        <v>6117</v>
      </c>
      <c r="BA850" s="3441" t="s">
        <v>7157</v>
      </c>
      <c r="BB850" s="3524">
        <v>1102281326100</v>
      </c>
      <c r="BC850" s="3441" t="s">
        <v>7158</v>
      </c>
      <c r="BD850" s="3525">
        <v>100055</v>
      </c>
      <c r="BE850" s="3441">
        <v>82951881</v>
      </c>
      <c r="BF850" s="3526">
        <v>2.8</v>
      </c>
      <c r="BG850" s="3518">
        <v>37874</v>
      </c>
      <c r="BH850" s="3441" t="s">
        <v>4753</v>
      </c>
      <c r="BI850" s="3441" t="s">
        <v>3476</v>
      </c>
      <c r="BJ850" s="3484">
        <v>37903</v>
      </c>
      <c r="BK850" s="3484"/>
      <c r="BL850" s="3470" t="s">
        <v>3670</v>
      </c>
    </row>
    <row r="851" spans="1:73" s="3441" customFormat="1" ht="12" hidden="1">
      <c r="A851" s="3485" t="s">
        <v>9272</v>
      </c>
      <c r="B851" s="3470" t="s">
        <v>9273</v>
      </c>
      <c r="C851" s="3481" t="s">
        <v>9274</v>
      </c>
      <c r="D851" s="3481" t="s">
        <v>9275</v>
      </c>
      <c r="E851" s="3470" t="s">
        <v>3558</v>
      </c>
      <c r="F851" s="3470" t="s">
        <v>7153</v>
      </c>
      <c r="G851" s="3470" t="s">
        <v>3568</v>
      </c>
      <c r="H851" s="3470" t="s">
        <v>9223</v>
      </c>
      <c r="I851" s="3453" t="s">
        <v>6989</v>
      </c>
      <c r="J851" s="3481" t="s">
        <v>9276</v>
      </c>
      <c r="K851" s="3470" t="s">
        <v>6117</v>
      </c>
      <c r="L851" s="3470">
        <v>69.42</v>
      </c>
      <c r="M851" s="3470">
        <v>7</v>
      </c>
      <c r="N851" s="3542" t="s">
        <v>7255</v>
      </c>
      <c r="O851" s="3470">
        <v>56.84</v>
      </c>
      <c r="P851" s="3470" t="s">
        <v>3452</v>
      </c>
      <c r="Q851" s="3457">
        <v>275597.40000000002</v>
      </c>
      <c r="R851" s="3470">
        <v>3970</v>
      </c>
      <c r="S851" s="3472">
        <v>27.24</v>
      </c>
      <c r="T851" s="3527">
        <v>272400</v>
      </c>
      <c r="U851" s="3470">
        <v>3925</v>
      </c>
      <c r="V851" s="3474">
        <v>0.1</v>
      </c>
      <c r="W851" s="3475">
        <v>24.51</v>
      </c>
      <c r="X851" s="3476">
        <v>245100.00000000003</v>
      </c>
      <c r="Y851" s="3441">
        <v>2003</v>
      </c>
      <c r="Z851" s="3441">
        <v>10</v>
      </c>
      <c r="AA851" s="3470">
        <v>16</v>
      </c>
      <c r="AB851" s="3477">
        <v>1360</v>
      </c>
      <c r="AC851" s="3470" t="s">
        <v>8931</v>
      </c>
      <c r="AD851" s="3485"/>
      <c r="AE851" s="3441" t="s">
        <v>3663</v>
      </c>
      <c r="AF851" s="3470" t="s">
        <v>7283</v>
      </c>
      <c r="AG851" s="3522" t="s">
        <v>3466</v>
      </c>
      <c r="AH851" s="3485"/>
      <c r="AI851" s="3470" t="s">
        <v>5021</v>
      </c>
      <c r="AJ851" s="3523">
        <v>38352</v>
      </c>
      <c r="AK851" s="3500" t="s">
        <v>4752</v>
      </c>
      <c r="AL851" s="3441">
        <v>67641700</v>
      </c>
      <c r="AN851" s="3456" t="s">
        <v>3791</v>
      </c>
      <c r="AO851" s="3441" t="s">
        <v>9277</v>
      </c>
      <c r="AP851" s="3441" t="s">
        <v>3476</v>
      </c>
      <c r="AQ851" s="3441" t="s">
        <v>3571</v>
      </c>
      <c r="AW851" s="3441" t="s">
        <v>3572</v>
      </c>
      <c r="AX851" s="3441" t="s">
        <v>3568</v>
      </c>
      <c r="AY851" s="3524" t="s">
        <v>9278</v>
      </c>
      <c r="AZ851" s="3441" t="s">
        <v>6117</v>
      </c>
      <c r="BA851" s="3441" t="s">
        <v>7157</v>
      </c>
      <c r="BB851" s="3524">
        <v>1102281326100</v>
      </c>
      <c r="BC851" s="3441" t="s">
        <v>7158</v>
      </c>
      <c r="BD851" s="3525">
        <v>100055</v>
      </c>
      <c r="BE851" s="3441">
        <v>82951881</v>
      </c>
      <c r="BF851" s="3526">
        <v>2.8</v>
      </c>
      <c r="BG851" s="3518">
        <v>37883</v>
      </c>
      <c r="BH851" s="3441" t="s">
        <v>4753</v>
      </c>
      <c r="BI851" s="3441" t="s">
        <v>3476</v>
      </c>
      <c r="BJ851" s="3484">
        <v>37908</v>
      </c>
      <c r="BK851" s="3484"/>
      <c r="BL851" s="3470" t="s">
        <v>3670</v>
      </c>
    </row>
    <row r="852" spans="1:73" s="3441" customFormat="1" ht="12" hidden="1">
      <c r="A852" s="3441" t="s">
        <v>9279</v>
      </c>
      <c r="B852" s="3441" t="s">
        <v>9280</v>
      </c>
      <c r="C852" s="3441" t="s">
        <v>9281</v>
      </c>
      <c r="D852" s="3441">
        <v>13311392745</v>
      </c>
      <c r="E852" s="3441" t="s">
        <v>2736</v>
      </c>
      <c r="F852" s="3441" t="s">
        <v>5592</v>
      </c>
      <c r="G852" s="3441" t="s">
        <v>3715</v>
      </c>
      <c r="H852" s="3441" t="s">
        <v>9235</v>
      </c>
      <c r="I852" s="3441" t="s">
        <v>4433</v>
      </c>
      <c r="J852" s="3441" t="s">
        <v>7441</v>
      </c>
      <c r="K852" s="3441" t="s">
        <v>5586</v>
      </c>
      <c r="L852" s="3441">
        <v>69.42</v>
      </c>
      <c r="M852" s="3441">
        <v>6</v>
      </c>
      <c r="N852" s="3441" t="s">
        <v>3451</v>
      </c>
      <c r="O852" s="3441">
        <v>56.84</v>
      </c>
      <c r="P852" s="3441" t="s">
        <v>3452</v>
      </c>
      <c r="Q852" s="3441">
        <v>274209</v>
      </c>
      <c r="R852" s="3441">
        <v>3950</v>
      </c>
      <c r="S852" s="3441">
        <v>27.08</v>
      </c>
      <c r="T852" s="3550">
        <v>270800</v>
      </c>
      <c r="U852" s="3441">
        <v>3902</v>
      </c>
      <c r="V852" s="3474">
        <v>0.1</v>
      </c>
      <c r="W852" s="3441">
        <v>24.37</v>
      </c>
      <c r="X852" s="3602">
        <v>243700</v>
      </c>
      <c r="Y852" s="3441">
        <v>2003</v>
      </c>
      <c r="Z852" s="3441">
        <v>10</v>
      </c>
      <c r="AA852" s="3441">
        <v>20</v>
      </c>
      <c r="AB852" s="3441">
        <v>1350</v>
      </c>
      <c r="AC852" s="3441" t="s">
        <v>9282</v>
      </c>
      <c r="AE852" s="3441" t="s">
        <v>3663</v>
      </c>
      <c r="AF852" s="3441" t="s">
        <v>7751</v>
      </c>
      <c r="AG852" s="3441" t="s">
        <v>3466</v>
      </c>
      <c r="AI852" s="3441" t="s">
        <v>6972</v>
      </c>
      <c r="AJ852" s="3523">
        <v>38352</v>
      </c>
      <c r="AK852" s="3441" t="s">
        <v>9283</v>
      </c>
      <c r="AL852" s="3441">
        <v>67641700</v>
      </c>
      <c r="AN852" s="3441" t="s">
        <v>7284</v>
      </c>
      <c r="AO852" s="3441" t="s">
        <v>9284</v>
      </c>
      <c r="AP852" s="3441" t="s">
        <v>7144</v>
      </c>
      <c r="AQ852" s="3441" t="s">
        <v>3571</v>
      </c>
      <c r="AW852" s="3441" t="s">
        <v>3572</v>
      </c>
      <c r="AX852" s="3441" t="s">
        <v>2420</v>
      </c>
      <c r="AY852" s="3441">
        <v>555859</v>
      </c>
      <c r="AZ852" s="3441" t="s">
        <v>6117</v>
      </c>
      <c r="BA852" s="3441" t="s">
        <v>5587</v>
      </c>
      <c r="BB852" s="3524" t="s">
        <v>9285</v>
      </c>
      <c r="BC852" s="3441" t="s">
        <v>5588</v>
      </c>
      <c r="BD852" s="3441">
        <v>100055</v>
      </c>
      <c r="BE852" s="3441">
        <v>82951881</v>
      </c>
      <c r="BF852" s="3441">
        <v>2.8</v>
      </c>
      <c r="BG852" s="3518">
        <v>37879</v>
      </c>
      <c r="BI852" s="3441" t="s">
        <v>8757</v>
      </c>
      <c r="BJ852" s="3478">
        <v>37910</v>
      </c>
      <c r="BL852" s="3441" t="s">
        <v>3670</v>
      </c>
    </row>
    <row r="853" spans="1:73" s="3470" customFormat="1" ht="12" hidden="1">
      <c r="A853" s="3470" t="s">
        <v>9286</v>
      </c>
      <c r="B853" s="3470" t="s">
        <v>9287</v>
      </c>
      <c r="C853" s="3481" t="s">
        <v>9288</v>
      </c>
      <c r="D853" s="3487">
        <v>13910793113</v>
      </c>
      <c r="E853" s="3470" t="s">
        <v>3558</v>
      </c>
      <c r="F853" s="3470" t="s">
        <v>9289</v>
      </c>
      <c r="H853" s="3453" t="s">
        <v>4168</v>
      </c>
      <c r="I853" s="3453" t="s">
        <v>4741</v>
      </c>
      <c r="J853" s="3453" t="s">
        <v>9290</v>
      </c>
      <c r="K853" s="3470" t="s">
        <v>6499</v>
      </c>
      <c r="L853" s="3495">
        <v>116.49</v>
      </c>
      <c r="M853" s="3495">
        <v>15</v>
      </c>
      <c r="N853" s="3470" t="s">
        <v>4003</v>
      </c>
      <c r="O853" s="3495">
        <v>94.19</v>
      </c>
      <c r="P853" s="3470" t="s">
        <v>3452</v>
      </c>
      <c r="Q853" s="3457">
        <v>448486.5</v>
      </c>
      <c r="R853" s="3470">
        <v>3850</v>
      </c>
      <c r="S853" s="3472">
        <v>44.26</v>
      </c>
      <c r="T853" s="3602">
        <v>442600</v>
      </c>
      <c r="U853" s="3470">
        <v>3800</v>
      </c>
      <c r="V853" s="3474">
        <v>0.1</v>
      </c>
      <c r="W853" s="3475">
        <v>39.83</v>
      </c>
      <c r="X853" s="3602">
        <v>398300</v>
      </c>
      <c r="Y853" s="3470">
        <v>2003</v>
      </c>
      <c r="Z853" s="3470">
        <v>9</v>
      </c>
      <c r="AA853" s="3441">
        <v>24</v>
      </c>
      <c r="AB853" s="3477">
        <v>2210</v>
      </c>
      <c r="AC853" s="3490" t="s">
        <v>4743</v>
      </c>
      <c r="AE853" s="3456" t="s">
        <v>3663</v>
      </c>
      <c r="AF853" s="3470" t="s">
        <v>4721</v>
      </c>
      <c r="AG853" s="3470" t="s">
        <v>3466</v>
      </c>
      <c r="AH853" s="3470" t="s">
        <v>3463</v>
      </c>
      <c r="AI853" s="3470" t="s">
        <v>5021</v>
      </c>
      <c r="AJ853" s="3478">
        <v>38352</v>
      </c>
      <c r="AK853" s="3603">
        <v>9</v>
      </c>
      <c r="AL853" s="3495">
        <v>67641700</v>
      </c>
      <c r="AN853" s="3480" t="s">
        <v>3680</v>
      </c>
      <c r="AO853" s="3441" t="s">
        <v>3568</v>
      </c>
      <c r="AP853" s="3456" t="s">
        <v>3476</v>
      </c>
      <c r="AQ853" s="3456" t="s">
        <v>3571</v>
      </c>
      <c r="AV853" s="3519"/>
      <c r="AW853" s="3470" t="s">
        <v>3572</v>
      </c>
      <c r="AX853" s="3470" t="s">
        <v>3568</v>
      </c>
      <c r="AY853" s="3453" t="s">
        <v>9291</v>
      </c>
      <c r="AZ853" s="3470" t="s">
        <v>6499</v>
      </c>
      <c r="BA853" s="3470" t="s">
        <v>3984</v>
      </c>
      <c r="BB853" s="3470" t="s">
        <v>9292</v>
      </c>
      <c r="BC853" s="3470" t="s">
        <v>9293</v>
      </c>
      <c r="BD853" s="3470">
        <v>100096</v>
      </c>
      <c r="BE853" s="3470">
        <v>82903819</v>
      </c>
      <c r="BF853" s="3520">
        <v>2.8</v>
      </c>
      <c r="BG853" s="3478">
        <v>37827</v>
      </c>
      <c r="BI853" s="3441" t="s">
        <v>3476</v>
      </c>
      <c r="BJ853" s="3478">
        <v>37886</v>
      </c>
      <c r="BK853" s="3478"/>
      <c r="BL853" s="3441" t="s">
        <v>3670</v>
      </c>
      <c r="BM853" s="3441"/>
      <c r="BN853" s="3441"/>
      <c r="BO853" s="3441"/>
      <c r="BP853" s="3441"/>
      <c r="BQ853" s="3441"/>
      <c r="BR853" s="3441"/>
    </row>
    <row r="854" spans="1:73" s="3470" customFormat="1" ht="12" hidden="1">
      <c r="A854" s="3470" t="s">
        <v>9294</v>
      </c>
      <c r="B854" s="3470" t="s">
        <v>9295</v>
      </c>
      <c r="C854" s="3481" t="s">
        <v>9296</v>
      </c>
      <c r="D854" s="3487" t="s">
        <v>9297</v>
      </c>
      <c r="E854" s="3470" t="s">
        <v>3558</v>
      </c>
      <c r="F854" s="3470" t="s">
        <v>3733</v>
      </c>
      <c r="H854" s="3453" t="s">
        <v>8969</v>
      </c>
      <c r="I854" s="3453" t="s">
        <v>7630</v>
      </c>
      <c r="J854" s="3453" t="s">
        <v>8878</v>
      </c>
      <c r="K854" s="3470" t="s">
        <v>3737</v>
      </c>
      <c r="L854" s="3495">
        <v>88.96</v>
      </c>
      <c r="M854" s="3495">
        <v>2</v>
      </c>
      <c r="N854" s="3470" t="s">
        <v>4189</v>
      </c>
      <c r="O854" s="3495">
        <v>71.069999999999993</v>
      </c>
      <c r="P854" s="3470" t="s">
        <v>3452</v>
      </c>
      <c r="Q854" s="3457">
        <v>521305.59999999998</v>
      </c>
      <c r="R854" s="3470">
        <v>5860</v>
      </c>
      <c r="S854" s="3472">
        <v>50.68</v>
      </c>
      <c r="T854" s="3602">
        <v>506800</v>
      </c>
      <c r="U854" s="3470">
        <v>5698</v>
      </c>
      <c r="V854" s="3474">
        <v>0.1</v>
      </c>
      <c r="W854" s="3475">
        <v>45.61</v>
      </c>
      <c r="X854" s="3602">
        <v>456100</v>
      </c>
      <c r="Y854" s="3470">
        <v>2003</v>
      </c>
      <c r="Z854" s="3470">
        <v>9</v>
      </c>
      <c r="AA854" s="3441">
        <v>23</v>
      </c>
      <c r="AB854" s="3477">
        <v>2530</v>
      </c>
      <c r="AC854" s="3490" t="s">
        <v>4743</v>
      </c>
      <c r="AE854" s="3456" t="s">
        <v>3663</v>
      </c>
      <c r="AF854" s="3470" t="s">
        <v>4032</v>
      </c>
      <c r="AG854" s="3470" t="s">
        <v>3466</v>
      </c>
      <c r="AI854" s="3470" t="s">
        <v>5021</v>
      </c>
      <c r="AJ854" s="3478">
        <v>38045</v>
      </c>
      <c r="AK854" s="3603">
        <v>9</v>
      </c>
      <c r="AL854" s="3495">
        <v>67641700</v>
      </c>
      <c r="AN854" s="3480" t="s">
        <v>3680</v>
      </c>
      <c r="AO854" s="3441" t="s">
        <v>3568</v>
      </c>
      <c r="AP854" s="3456" t="s">
        <v>3476</v>
      </c>
      <c r="AQ854" s="3456" t="s">
        <v>3571</v>
      </c>
      <c r="AV854" s="3519"/>
      <c r="AW854" s="3470" t="s">
        <v>3572</v>
      </c>
      <c r="AY854" s="3453" t="s">
        <v>9298</v>
      </c>
      <c r="AZ854" s="3470" t="s">
        <v>3737</v>
      </c>
      <c r="BA854" s="3470" t="s">
        <v>3742</v>
      </c>
      <c r="BB854" s="3470" t="s">
        <v>3743</v>
      </c>
      <c r="BC854" s="3470" t="s">
        <v>3744</v>
      </c>
      <c r="BD854" s="3470">
        <v>100088</v>
      </c>
      <c r="BE854" s="3470">
        <v>82058259</v>
      </c>
      <c r="BF854" s="3520" t="s">
        <v>8595</v>
      </c>
      <c r="BG854" s="3478">
        <v>37873</v>
      </c>
      <c r="BH854" s="3470" t="s">
        <v>4753</v>
      </c>
      <c r="BI854" s="3441" t="s">
        <v>3476</v>
      </c>
      <c r="BJ854" s="3478">
        <v>37883</v>
      </c>
      <c r="BK854" s="3478" t="s">
        <v>3568</v>
      </c>
      <c r="BL854" s="3441" t="s">
        <v>3670</v>
      </c>
      <c r="BM854" s="3441"/>
      <c r="BN854" s="3441"/>
      <c r="BO854" s="3441"/>
      <c r="BP854" s="3441"/>
      <c r="BQ854" s="3441"/>
      <c r="BR854" s="3441"/>
    </row>
    <row r="855" spans="1:73" s="3470" customFormat="1" ht="12" hidden="1">
      <c r="A855" s="3470" t="s">
        <v>9299</v>
      </c>
      <c r="B855" s="3470" t="s">
        <v>9300</v>
      </c>
      <c r="C855" s="3481" t="s">
        <v>9301</v>
      </c>
      <c r="D855" s="3487" t="s">
        <v>9302</v>
      </c>
      <c r="E855" s="3470" t="s">
        <v>3558</v>
      </c>
      <c r="F855" s="3470" t="s">
        <v>3733</v>
      </c>
      <c r="H855" s="3453" t="s">
        <v>8969</v>
      </c>
      <c r="I855" s="3453" t="s">
        <v>7673</v>
      </c>
      <c r="J855" s="3453" t="s">
        <v>9303</v>
      </c>
      <c r="K855" s="3470" t="s">
        <v>3737</v>
      </c>
      <c r="L855" s="3495">
        <v>75.599999999999994</v>
      </c>
      <c r="M855" s="3495">
        <v>14</v>
      </c>
      <c r="N855" s="3470" t="s">
        <v>4030</v>
      </c>
      <c r="O855" s="3495">
        <v>60.4</v>
      </c>
      <c r="P855" s="3470" t="s">
        <v>3452</v>
      </c>
      <c r="Q855" s="3457">
        <v>435456</v>
      </c>
      <c r="R855" s="3470">
        <v>5760</v>
      </c>
      <c r="S855" s="3472">
        <v>42.16</v>
      </c>
      <c r="T855" s="3602">
        <v>421600</v>
      </c>
      <c r="U855" s="3470">
        <v>5578</v>
      </c>
      <c r="V855" s="3474">
        <v>0.1</v>
      </c>
      <c r="W855" s="3475">
        <v>37.94</v>
      </c>
      <c r="X855" s="3602">
        <v>379400</v>
      </c>
      <c r="Y855" s="3470">
        <v>2003</v>
      </c>
      <c r="Z855" s="3470">
        <v>9</v>
      </c>
      <c r="AA855" s="3441">
        <v>24</v>
      </c>
      <c r="AB855" s="3477">
        <v>2105</v>
      </c>
      <c r="AC855" s="3490" t="s">
        <v>4743</v>
      </c>
      <c r="AE855" s="3456" t="s">
        <v>3663</v>
      </c>
      <c r="AF855" s="3470" t="s">
        <v>4032</v>
      </c>
      <c r="AG855" s="3470" t="s">
        <v>3466</v>
      </c>
      <c r="AI855" s="3470" t="s">
        <v>5021</v>
      </c>
      <c r="AJ855" s="3478">
        <v>38045</v>
      </c>
      <c r="AK855" s="3603">
        <v>9</v>
      </c>
      <c r="AL855" s="3495">
        <v>67641700</v>
      </c>
      <c r="AN855" s="3480" t="s">
        <v>3680</v>
      </c>
      <c r="AO855" s="3441" t="s">
        <v>3568</v>
      </c>
      <c r="AP855" s="3456" t="s">
        <v>3476</v>
      </c>
      <c r="AQ855" s="3456" t="s">
        <v>3571</v>
      </c>
      <c r="AV855" s="3519"/>
      <c r="AW855" s="3470" t="s">
        <v>3572</v>
      </c>
      <c r="AY855" s="3453" t="s">
        <v>9304</v>
      </c>
      <c r="AZ855" s="3470" t="s">
        <v>3737</v>
      </c>
      <c r="BA855" s="3470" t="s">
        <v>3742</v>
      </c>
      <c r="BB855" s="3470" t="s">
        <v>3743</v>
      </c>
      <c r="BC855" s="3470" t="s">
        <v>3744</v>
      </c>
      <c r="BD855" s="3470">
        <v>100088</v>
      </c>
      <c r="BE855" s="3470">
        <v>82058259</v>
      </c>
      <c r="BF855" s="3520" t="s">
        <v>8595</v>
      </c>
      <c r="BG855" s="3478">
        <v>37876</v>
      </c>
      <c r="BH855" s="3470" t="s">
        <v>4753</v>
      </c>
      <c r="BI855" s="3441" t="s">
        <v>3476</v>
      </c>
      <c r="BJ855" s="3478">
        <v>37886</v>
      </c>
      <c r="BK855" s="3478" t="s">
        <v>3568</v>
      </c>
      <c r="BL855" s="3441" t="s">
        <v>3670</v>
      </c>
      <c r="BM855" s="3441"/>
      <c r="BN855" s="3441"/>
      <c r="BO855" s="3441"/>
      <c r="BP855" s="3441"/>
      <c r="BQ855" s="3441"/>
      <c r="BR855" s="3441"/>
    </row>
    <row r="856" spans="1:73" s="3470" customFormat="1" ht="12" hidden="1">
      <c r="A856" s="3470" t="s">
        <v>9305</v>
      </c>
      <c r="B856" s="3470" t="s">
        <v>9306</v>
      </c>
      <c r="C856" s="3481" t="s">
        <v>9307</v>
      </c>
      <c r="D856" s="3487" t="s">
        <v>9308</v>
      </c>
      <c r="E856" s="3470" t="s">
        <v>3558</v>
      </c>
      <c r="F856" s="3470" t="s">
        <v>4645</v>
      </c>
      <c r="H856" s="3453" t="s">
        <v>4684</v>
      </c>
      <c r="I856" s="3453" t="s">
        <v>5088</v>
      </c>
      <c r="J856" s="3453" t="s">
        <v>9309</v>
      </c>
      <c r="K856" s="3470" t="s">
        <v>4649</v>
      </c>
      <c r="L856" s="3495">
        <v>59.94</v>
      </c>
      <c r="M856" s="3495">
        <v>5</v>
      </c>
      <c r="N856" s="3470" t="s">
        <v>3564</v>
      </c>
      <c r="O856" s="3495">
        <v>47.25</v>
      </c>
      <c r="P856" s="3470" t="s">
        <v>3452</v>
      </c>
      <c r="Q856" s="3457">
        <v>450269.28</v>
      </c>
      <c r="R856" s="3470">
        <v>7512</v>
      </c>
      <c r="S856" s="3472">
        <v>44.65</v>
      </c>
      <c r="T856" s="3602">
        <v>446500</v>
      </c>
      <c r="U856" s="3470">
        <v>7450</v>
      </c>
      <c r="V856" s="3474">
        <v>0.1</v>
      </c>
      <c r="W856" s="3475">
        <v>40.18</v>
      </c>
      <c r="X856" s="3602">
        <v>401800</v>
      </c>
      <c r="Y856" s="3470">
        <v>2003</v>
      </c>
      <c r="Z856" s="3470">
        <v>9</v>
      </c>
      <c r="AA856" s="3441">
        <v>24</v>
      </c>
      <c r="AB856" s="3477">
        <v>2230</v>
      </c>
      <c r="AC856" s="3490" t="s">
        <v>4743</v>
      </c>
      <c r="AE856" s="3456" t="s">
        <v>3663</v>
      </c>
      <c r="AF856" s="3470" t="s">
        <v>3728</v>
      </c>
      <c r="AG856" s="3470" t="s">
        <v>3466</v>
      </c>
      <c r="AI856" s="3470" t="s">
        <v>5021</v>
      </c>
      <c r="AJ856" s="3478">
        <v>38199</v>
      </c>
      <c r="AK856" s="3603">
        <v>9</v>
      </c>
      <c r="AL856" s="3495">
        <v>67641700</v>
      </c>
      <c r="AN856" s="3480" t="s">
        <v>3680</v>
      </c>
      <c r="AO856" s="3441"/>
      <c r="AP856" s="3456" t="s">
        <v>3476</v>
      </c>
      <c r="AQ856" s="3456" t="s">
        <v>3571</v>
      </c>
      <c r="AV856" s="3519"/>
      <c r="AW856" s="3470" t="s">
        <v>3572</v>
      </c>
      <c r="AX856" s="3470" t="s">
        <v>3568</v>
      </c>
      <c r="AY856" s="3453" t="s">
        <v>9310</v>
      </c>
      <c r="AZ856" s="3470" t="s">
        <v>4654</v>
      </c>
      <c r="BA856" s="3470" t="s">
        <v>4688</v>
      </c>
      <c r="BB856" s="3470" t="s">
        <v>4689</v>
      </c>
      <c r="BC856" s="3470" t="s">
        <v>4656</v>
      </c>
      <c r="BD856" s="3470">
        <v>100037</v>
      </c>
      <c r="BE856" s="3470">
        <v>68347718</v>
      </c>
      <c r="BF856" s="3520">
        <v>2.8</v>
      </c>
      <c r="BG856" s="3478">
        <v>37874</v>
      </c>
      <c r="BH856" s="3470" t="s">
        <v>4681</v>
      </c>
      <c r="BI856" s="3441" t="s">
        <v>3476</v>
      </c>
      <c r="BJ856" s="3478">
        <v>37887</v>
      </c>
      <c r="BK856" s="3478"/>
      <c r="BL856" s="3441" t="s">
        <v>3670</v>
      </c>
      <c r="BM856" s="3441"/>
      <c r="BN856" s="3441"/>
      <c r="BO856" s="3441"/>
      <c r="BP856" s="3441"/>
      <c r="BQ856" s="3441"/>
      <c r="BR856" s="3441"/>
    </row>
    <row r="857" spans="1:73" s="3470" customFormat="1" ht="12">
      <c r="A857" s="3470" t="s">
        <v>9311</v>
      </c>
      <c r="B857" s="3470" t="s">
        <v>9312</v>
      </c>
      <c r="C857" s="3481" t="s">
        <v>9313</v>
      </c>
      <c r="D857" s="3487" t="s">
        <v>9314</v>
      </c>
      <c r="E857" s="3470" t="s">
        <v>3558</v>
      </c>
      <c r="F857" s="3687" t="s">
        <v>9315</v>
      </c>
      <c r="H857" s="3453" t="s">
        <v>3568</v>
      </c>
      <c r="I857" s="3453" t="s">
        <v>9316</v>
      </c>
      <c r="J857" s="3453" t="s">
        <v>9317</v>
      </c>
      <c r="K857" s="3470" t="s">
        <v>9318</v>
      </c>
      <c r="L857" s="3495">
        <v>49.81</v>
      </c>
      <c r="M857" s="3495">
        <v>12</v>
      </c>
      <c r="N857" s="3470" t="s">
        <v>3692</v>
      </c>
      <c r="O857" s="3495">
        <v>38.67</v>
      </c>
      <c r="P857" s="3470" t="s">
        <v>3452</v>
      </c>
      <c r="Q857" s="3457">
        <v>346179.5</v>
      </c>
      <c r="R857" s="3470">
        <v>6950</v>
      </c>
      <c r="S857" s="3472">
        <v>33.409999999999997</v>
      </c>
      <c r="T857" s="3602">
        <v>334100</v>
      </c>
      <c r="U857" s="3470">
        <v>6708</v>
      </c>
      <c r="V857" s="3474">
        <v>0.1</v>
      </c>
      <c r="W857" s="3475">
        <v>30.06</v>
      </c>
      <c r="X857" s="3602">
        <v>300600</v>
      </c>
      <c r="Y857" s="3470">
        <v>2003</v>
      </c>
      <c r="Z857" s="3470">
        <v>9</v>
      </c>
      <c r="AA857" s="3441">
        <v>25</v>
      </c>
      <c r="AB857" s="3477">
        <v>1670</v>
      </c>
      <c r="AC857" s="3490" t="s">
        <v>8971</v>
      </c>
      <c r="AE857" s="3456" t="s">
        <v>3663</v>
      </c>
      <c r="AF857" s="3470" t="s">
        <v>3728</v>
      </c>
      <c r="AG857" s="3470" t="s">
        <v>3466</v>
      </c>
      <c r="AI857" s="3470" t="s">
        <v>5021</v>
      </c>
      <c r="AJ857" s="3478">
        <v>38107</v>
      </c>
      <c r="AK857" s="3603">
        <v>9</v>
      </c>
      <c r="AL857" s="3495">
        <v>67641700</v>
      </c>
      <c r="AN857" s="3480" t="s">
        <v>3680</v>
      </c>
      <c r="AO857" s="3441" t="s">
        <v>3568</v>
      </c>
      <c r="AP857" s="3456" t="s">
        <v>3476</v>
      </c>
      <c r="AQ857" s="3456" t="s">
        <v>3571</v>
      </c>
      <c r="AV857" s="3519"/>
      <c r="AW857" s="3470" t="s">
        <v>3572</v>
      </c>
      <c r="AY857" s="3453" t="s">
        <v>9319</v>
      </c>
      <c r="AZ857" s="3470" t="s">
        <v>9318</v>
      </c>
      <c r="BA857" s="3470" t="s">
        <v>9320</v>
      </c>
      <c r="BB857" s="3470" t="s">
        <v>9321</v>
      </c>
      <c r="BC857" s="3470" t="s">
        <v>9322</v>
      </c>
      <c r="BD857" s="3470" t="s">
        <v>3568</v>
      </c>
      <c r="BE857" s="3470" t="s">
        <v>3568</v>
      </c>
      <c r="BF857" s="3520">
        <v>2.8</v>
      </c>
      <c r="BG857" s="3478">
        <v>37849</v>
      </c>
      <c r="BH857" s="3470" t="s">
        <v>9323</v>
      </c>
      <c r="BI857" s="3441" t="s">
        <v>3476</v>
      </c>
      <c r="BJ857" s="3478">
        <v>37887</v>
      </c>
      <c r="BK857" s="3478">
        <v>37874</v>
      </c>
      <c r="BL857" s="3441" t="s">
        <v>3670</v>
      </c>
      <c r="BM857" s="3441"/>
      <c r="BN857" s="3441"/>
      <c r="BO857" s="3441"/>
      <c r="BP857" s="3441"/>
      <c r="BQ857" s="3441"/>
      <c r="BR857" s="3441"/>
    </row>
    <row r="858" spans="1:73" s="3470" customFormat="1" ht="12" hidden="1">
      <c r="A858" s="3470" t="s">
        <v>9324</v>
      </c>
      <c r="B858" s="3470" t="s">
        <v>9325</v>
      </c>
      <c r="C858" s="3481" t="s">
        <v>9326</v>
      </c>
      <c r="D858" s="3487" t="s">
        <v>9327</v>
      </c>
      <c r="E858" s="3470" t="s">
        <v>3558</v>
      </c>
      <c r="F858" s="3470" t="s">
        <v>7803</v>
      </c>
      <c r="H858" s="3453" t="s">
        <v>7661</v>
      </c>
      <c r="I858" s="3453" t="s">
        <v>7690</v>
      </c>
      <c r="J858" s="3453" t="s">
        <v>7697</v>
      </c>
      <c r="K858" s="3470" t="s">
        <v>7804</v>
      </c>
      <c r="L858" s="3495">
        <v>69.290000000000006</v>
      </c>
      <c r="M858" s="3495">
        <v>4</v>
      </c>
      <c r="N858" s="3470" t="s">
        <v>3564</v>
      </c>
      <c r="O858" s="3495">
        <v>61.7</v>
      </c>
      <c r="P858" s="3470" t="s">
        <v>3452</v>
      </c>
      <c r="Q858" s="3457">
        <v>316239.56</v>
      </c>
      <c r="R858" s="3470">
        <v>4564</v>
      </c>
      <c r="S858" s="3472">
        <v>31.29</v>
      </c>
      <c r="T858" s="3602">
        <v>312900</v>
      </c>
      <c r="U858" s="3470">
        <v>4516</v>
      </c>
      <c r="V858" s="3474">
        <v>0.1</v>
      </c>
      <c r="W858" s="3475">
        <v>28.16</v>
      </c>
      <c r="X858" s="3602">
        <v>281600</v>
      </c>
      <c r="Y858" s="3470">
        <v>2003</v>
      </c>
      <c r="Z858" s="3470">
        <v>9</v>
      </c>
      <c r="AA858" s="3441">
        <v>25</v>
      </c>
      <c r="AB858" s="3477">
        <v>1560</v>
      </c>
      <c r="AC858" s="3490" t="s">
        <v>9328</v>
      </c>
      <c r="AE858" s="3456" t="s">
        <v>3663</v>
      </c>
      <c r="AF858" s="3470" t="s">
        <v>4721</v>
      </c>
      <c r="AG858" s="3470" t="s">
        <v>3466</v>
      </c>
      <c r="AI858" s="3470" t="s">
        <v>5021</v>
      </c>
      <c r="AJ858" s="3478">
        <v>38077</v>
      </c>
      <c r="AK858" s="3603">
        <v>9</v>
      </c>
      <c r="AL858" s="3495">
        <v>67641700</v>
      </c>
      <c r="AN858" s="3480" t="s">
        <v>3680</v>
      </c>
      <c r="AO858" s="3441" t="s">
        <v>3568</v>
      </c>
      <c r="AP858" s="3456" t="s">
        <v>3476</v>
      </c>
      <c r="AQ858" s="3456" t="s">
        <v>3571</v>
      </c>
      <c r="AV858" s="3519"/>
      <c r="AW858" s="3470" t="s">
        <v>3572</v>
      </c>
      <c r="AX858" s="3470" t="s">
        <v>3568</v>
      </c>
      <c r="AY858" s="3453" t="s">
        <v>9329</v>
      </c>
      <c r="AZ858" s="3470" t="s">
        <v>7804</v>
      </c>
      <c r="BA858" s="3470" t="s">
        <v>7807</v>
      </c>
      <c r="BB858" s="3470" t="s">
        <v>9330</v>
      </c>
      <c r="BC858" s="3470" t="s">
        <v>7808</v>
      </c>
      <c r="BD858" s="3470">
        <v>100044</v>
      </c>
      <c r="BE858" s="3470">
        <v>88018575</v>
      </c>
      <c r="BF858" s="3520">
        <v>2.7</v>
      </c>
      <c r="BG858" s="3478">
        <v>37867</v>
      </c>
      <c r="BI858" s="3441" t="s">
        <v>8007</v>
      </c>
      <c r="BJ858" s="3478">
        <v>37888</v>
      </c>
      <c r="BK858" s="3478"/>
      <c r="BL858" s="3441" t="s">
        <v>3670</v>
      </c>
      <c r="BM858" s="3441"/>
      <c r="BN858" s="3441"/>
      <c r="BO858" s="3441"/>
      <c r="BP858" s="3441"/>
      <c r="BQ858" s="3441"/>
      <c r="BR858" s="3441"/>
    </row>
    <row r="859" spans="1:73" s="3441" customFormat="1" ht="12" hidden="1">
      <c r="A859" s="3485" t="s">
        <v>9331</v>
      </c>
      <c r="B859" s="3470" t="s">
        <v>9332</v>
      </c>
      <c r="C859" s="3481" t="s">
        <v>9333</v>
      </c>
      <c r="D859" s="3481" t="s">
        <v>9334</v>
      </c>
      <c r="E859" s="3470" t="s">
        <v>3558</v>
      </c>
      <c r="F859" s="3470" t="s">
        <v>7153</v>
      </c>
      <c r="G859" s="3470" t="s">
        <v>3568</v>
      </c>
      <c r="H859" s="3470" t="s">
        <v>9223</v>
      </c>
      <c r="I859" s="3453" t="s">
        <v>6989</v>
      </c>
      <c r="J859" s="3481" t="s">
        <v>9335</v>
      </c>
      <c r="K859" s="3470" t="s">
        <v>6117</v>
      </c>
      <c r="L859" s="3470">
        <v>53.97</v>
      </c>
      <c r="M859" s="3470">
        <v>8</v>
      </c>
      <c r="N859" s="3470" t="s">
        <v>3564</v>
      </c>
      <c r="O859" s="3470">
        <v>44.19</v>
      </c>
      <c r="P859" s="3470" t="s">
        <v>3452</v>
      </c>
      <c r="Q859" s="3457">
        <v>213721.19999999998</v>
      </c>
      <c r="R859" s="3470">
        <v>3960</v>
      </c>
      <c r="S859" s="3472">
        <v>21.14</v>
      </c>
      <c r="T859" s="3527">
        <v>211400</v>
      </c>
      <c r="U859" s="3470">
        <v>3918</v>
      </c>
      <c r="V859" s="3474">
        <v>0.1</v>
      </c>
      <c r="W859" s="3475">
        <v>19.02</v>
      </c>
      <c r="X859" s="3476">
        <v>190200</v>
      </c>
      <c r="Y859" s="3441">
        <v>2003</v>
      </c>
      <c r="Z859" s="3441">
        <v>9</v>
      </c>
      <c r="AA859" s="3470">
        <v>29</v>
      </c>
      <c r="AB859" s="3477">
        <v>1055</v>
      </c>
      <c r="AC859" s="3470" t="s">
        <v>9336</v>
      </c>
      <c r="AD859" s="3485"/>
      <c r="AE859" s="3441" t="s">
        <v>3663</v>
      </c>
      <c r="AF859" s="3470" t="s">
        <v>3799</v>
      </c>
      <c r="AG859" s="3522" t="s">
        <v>3466</v>
      </c>
      <c r="AH859" s="3485"/>
      <c r="AI859" s="3470" t="s">
        <v>5021</v>
      </c>
      <c r="AJ859" s="3523">
        <v>38352</v>
      </c>
      <c r="AK859" s="3500">
        <v>9</v>
      </c>
      <c r="AL859" s="3441">
        <v>67641700</v>
      </c>
      <c r="AN859" s="3456" t="s">
        <v>3680</v>
      </c>
      <c r="AO859" s="3441" t="s">
        <v>6879</v>
      </c>
      <c r="AP859" s="3441" t="s">
        <v>3476</v>
      </c>
      <c r="AQ859" s="3441" t="s">
        <v>3571</v>
      </c>
      <c r="AW859" s="3441" t="s">
        <v>3572</v>
      </c>
      <c r="AX859" s="3441" t="s">
        <v>3568</v>
      </c>
      <c r="AY859" s="3524" t="s">
        <v>9337</v>
      </c>
      <c r="AZ859" s="3441" t="s">
        <v>6117</v>
      </c>
      <c r="BA859" s="3441" t="s">
        <v>7157</v>
      </c>
      <c r="BB859" s="3524">
        <v>1102281326100</v>
      </c>
      <c r="BC859" s="3441" t="s">
        <v>7158</v>
      </c>
      <c r="BD859" s="3525">
        <v>100055</v>
      </c>
      <c r="BE859" s="3441">
        <v>82951881</v>
      </c>
      <c r="BF859" s="3526">
        <v>2.8</v>
      </c>
      <c r="BG859" s="3518">
        <v>37882</v>
      </c>
      <c r="BH859" s="3441" t="s">
        <v>4753</v>
      </c>
      <c r="BI859" s="3441" t="s">
        <v>3476</v>
      </c>
      <c r="BJ859" s="3484">
        <v>37883</v>
      </c>
      <c r="BK859" s="3518"/>
      <c r="BL859" s="3470" t="s">
        <v>3670</v>
      </c>
      <c r="BS859" s="3470"/>
      <c r="BT859" s="3470"/>
      <c r="BU859" s="3470"/>
    </row>
    <row r="860" spans="1:73" s="3441" customFormat="1" ht="12" hidden="1">
      <c r="A860" s="3485" t="s">
        <v>9338</v>
      </c>
      <c r="B860" s="3470" t="s">
        <v>9339</v>
      </c>
      <c r="C860" s="3481" t="s">
        <v>9340</v>
      </c>
      <c r="D860" s="3481" t="s">
        <v>9341</v>
      </c>
      <c r="E860" s="3470" t="s">
        <v>3558</v>
      </c>
      <c r="F860" s="3528" t="s">
        <v>4716</v>
      </c>
      <c r="G860" s="3470"/>
      <c r="H860" s="3470" t="s">
        <v>4453</v>
      </c>
      <c r="I860" s="3470" t="s">
        <v>9342</v>
      </c>
      <c r="J860" s="3481" t="s">
        <v>9343</v>
      </c>
      <c r="K860" s="3470" t="s">
        <v>4720</v>
      </c>
      <c r="L860" s="3470">
        <v>153.79</v>
      </c>
      <c r="M860" s="3470">
        <v>14</v>
      </c>
      <c r="N860" s="3470" t="s">
        <v>3632</v>
      </c>
      <c r="O860" s="3470">
        <v>120.96</v>
      </c>
      <c r="P860" s="3470" t="s">
        <v>3633</v>
      </c>
      <c r="Q860" s="3492">
        <v>633614.79999999993</v>
      </c>
      <c r="R860" s="3470">
        <v>4120</v>
      </c>
      <c r="S860" s="3472">
        <v>62.59</v>
      </c>
      <c r="T860" s="3527">
        <v>625900</v>
      </c>
      <c r="U860" s="3470">
        <v>4070</v>
      </c>
      <c r="V860" s="3474">
        <v>0.1</v>
      </c>
      <c r="W860" s="3475">
        <v>56.33</v>
      </c>
      <c r="X860" s="3494">
        <v>563300</v>
      </c>
      <c r="Y860" s="3441">
        <v>2003</v>
      </c>
      <c r="Z860" s="3441">
        <v>9</v>
      </c>
      <c r="AA860" s="3470">
        <v>26</v>
      </c>
      <c r="AB860" s="3477">
        <v>3125</v>
      </c>
      <c r="AC860" s="3470" t="s">
        <v>8752</v>
      </c>
      <c r="AD860" s="3485"/>
      <c r="AE860" s="3441" t="s">
        <v>3663</v>
      </c>
      <c r="AF860" s="3470" t="s">
        <v>4721</v>
      </c>
      <c r="AG860" s="3522" t="s">
        <v>3466</v>
      </c>
      <c r="AH860" s="3485"/>
      <c r="AI860" s="3470" t="s">
        <v>5021</v>
      </c>
      <c r="AJ860" s="3523">
        <v>38230</v>
      </c>
      <c r="AK860" s="3500">
        <v>9</v>
      </c>
      <c r="AL860" s="3441">
        <v>67641700</v>
      </c>
      <c r="AN860" s="3456" t="s">
        <v>3680</v>
      </c>
      <c r="AO860" s="3441" t="s">
        <v>3568</v>
      </c>
      <c r="AP860" s="3441" t="s">
        <v>3476</v>
      </c>
      <c r="AQ860" s="3441" t="s">
        <v>3571</v>
      </c>
      <c r="AW860" s="3441" t="s">
        <v>3572</v>
      </c>
      <c r="AY860" s="3524" t="s">
        <v>9344</v>
      </c>
      <c r="AZ860" s="3441" t="s">
        <v>4720</v>
      </c>
      <c r="BA860" s="3441" t="s">
        <v>4725</v>
      </c>
      <c r="BB860" s="3524" t="s">
        <v>4726</v>
      </c>
      <c r="BC860" s="3441" t="s">
        <v>4727</v>
      </c>
      <c r="BD860" s="3525">
        <v>100005</v>
      </c>
      <c r="BE860" s="3441">
        <v>65128628</v>
      </c>
      <c r="BF860" s="3526">
        <v>2.8</v>
      </c>
      <c r="BG860" s="3518">
        <v>37815</v>
      </c>
      <c r="BI860" s="3441" t="s">
        <v>3476</v>
      </c>
      <c r="BJ860" s="3484">
        <v>37882</v>
      </c>
      <c r="BK860" s="3518" t="s">
        <v>3568</v>
      </c>
      <c r="BL860" s="3470" t="s">
        <v>3670</v>
      </c>
      <c r="BS860" s="3470"/>
      <c r="BT860" s="3470"/>
      <c r="BU860" s="3470"/>
    </row>
    <row r="861" spans="1:73" s="3441" customFormat="1" ht="12" hidden="1">
      <c r="A861" s="3485" t="s">
        <v>9345</v>
      </c>
      <c r="B861" s="3470" t="s">
        <v>9346</v>
      </c>
      <c r="C861" s="3481" t="s">
        <v>9347</v>
      </c>
      <c r="D861" s="3481" t="s">
        <v>9348</v>
      </c>
      <c r="E861" s="3470" t="s">
        <v>3558</v>
      </c>
      <c r="F861" s="3528" t="s">
        <v>4716</v>
      </c>
      <c r="G861" s="3470"/>
      <c r="H861" s="3470" t="s">
        <v>4453</v>
      </c>
      <c r="I861" s="3470" t="s">
        <v>9349</v>
      </c>
      <c r="J861" s="3481" t="s">
        <v>9350</v>
      </c>
      <c r="K861" s="3470" t="s">
        <v>4720</v>
      </c>
      <c r="L861" s="3470">
        <v>153.79</v>
      </c>
      <c r="M861" s="3470">
        <v>18</v>
      </c>
      <c r="N861" s="3470" t="s">
        <v>7229</v>
      </c>
      <c r="O861" s="3470">
        <v>120.96</v>
      </c>
      <c r="P861" s="3470" t="s">
        <v>3633</v>
      </c>
      <c r="Q861" s="3492">
        <v>672953.70239999995</v>
      </c>
      <c r="R861" s="3470">
        <v>5563.44</v>
      </c>
      <c r="S861" s="3472">
        <v>66.52</v>
      </c>
      <c r="T861" s="3527">
        <v>665200</v>
      </c>
      <c r="U861" s="3470">
        <v>4326</v>
      </c>
      <c r="V861" s="3474">
        <v>0.1</v>
      </c>
      <c r="W861" s="3475">
        <v>59.86</v>
      </c>
      <c r="X861" s="3494">
        <v>598600</v>
      </c>
      <c r="Y861" s="3441">
        <v>2003</v>
      </c>
      <c r="Z861" s="3441">
        <v>9</v>
      </c>
      <c r="AA861" s="3470">
        <v>26</v>
      </c>
      <c r="AB861" s="3477">
        <v>3325</v>
      </c>
      <c r="AC861" s="3470" t="s">
        <v>9007</v>
      </c>
      <c r="AD861" s="3485"/>
      <c r="AE861" s="3441" t="s">
        <v>3663</v>
      </c>
      <c r="AF861" s="3470" t="s">
        <v>4721</v>
      </c>
      <c r="AG861" s="3522" t="s">
        <v>3466</v>
      </c>
      <c r="AH861" s="3485"/>
      <c r="AI861" s="3470" t="s">
        <v>5021</v>
      </c>
      <c r="AJ861" s="3523">
        <v>38230</v>
      </c>
      <c r="AK861" s="3500">
        <v>9</v>
      </c>
      <c r="AL861" s="3441">
        <v>67641700</v>
      </c>
      <c r="AN861" s="3456" t="s">
        <v>3680</v>
      </c>
      <c r="AO861" s="3441" t="s">
        <v>3568</v>
      </c>
      <c r="AP861" s="3441" t="s">
        <v>3476</v>
      </c>
      <c r="AQ861" s="3441" t="s">
        <v>3571</v>
      </c>
      <c r="AW861" s="3441" t="s">
        <v>3572</v>
      </c>
      <c r="AY861" s="3524" t="s">
        <v>9351</v>
      </c>
      <c r="AZ861" s="3441" t="s">
        <v>4720</v>
      </c>
      <c r="BA861" s="3441" t="s">
        <v>4725</v>
      </c>
      <c r="BB861" s="3524" t="s">
        <v>4726</v>
      </c>
      <c r="BC861" s="3441" t="s">
        <v>4727</v>
      </c>
      <c r="BD861" s="3525">
        <v>100005</v>
      </c>
      <c r="BE861" s="3441">
        <v>65128628</v>
      </c>
      <c r="BF861" s="3526">
        <v>2.8</v>
      </c>
      <c r="BG861" s="3518">
        <v>37876</v>
      </c>
      <c r="BI861" s="3441" t="s">
        <v>3476</v>
      </c>
      <c r="BJ861" s="3484">
        <v>37889</v>
      </c>
      <c r="BK861" s="3518" t="s">
        <v>3568</v>
      </c>
      <c r="BL861" s="3470" t="s">
        <v>3670</v>
      </c>
      <c r="BS861" s="3470"/>
      <c r="BT861" s="3470"/>
      <c r="BU861" s="3470"/>
    </row>
    <row r="862" spans="1:73" s="3470" customFormat="1" ht="12" hidden="1">
      <c r="A862" s="3470" t="s">
        <v>9352</v>
      </c>
      <c r="B862" s="3470" t="s">
        <v>9353</v>
      </c>
      <c r="C862" s="3481" t="s">
        <v>9354</v>
      </c>
      <c r="D862" s="3470">
        <v>13661303063</v>
      </c>
      <c r="E862" s="3470" t="s">
        <v>2736</v>
      </c>
      <c r="F862" s="3470" t="s">
        <v>8990</v>
      </c>
      <c r="H862" s="3470" t="s">
        <v>4281</v>
      </c>
      <c r="I862" s="3470" t="s">
        <v>4624</v>
      </c>
      <c r="J862" s="3470" t="s">
        <v>9355</v>
      </c>
      <c r="K862" s="3470" t="s">
        <v>4789</v>
      </c>
      <c r="L862" s="3470">
        <v>72.33</v>
      </c>
      <c r="M862" s="3470">
        <v>6</v>
      </c>
      <c r="N862" s="3470" t="s">
        <v>3584</v>
      </c>
      <c r="O862" s="3470">
        <v>56.74</v>
      </c>
      <c r="P862" s="3470" t="s">
        <v>3452</v>
      </c>
      <c r="Q862" s="3457">
        <v>370329.59999999998</v>
      </c>
      <c r="R862" s="3470">
        <v>5120</v>
      </c>
      <c r="S862" s="3472">
        <v>36.67</v>
      </c>
      <c r="T862" s="3527">
        <v>366700</v>
      </c>
      <c r="U862" s="3470">
        <v>5070</v>
      </c>
      <c r="V862" s="3474">
        <v>0.1</v>
      </c>
      <c r="W862" s="3475">
        <v>33</v>
      </c>
      <c r="X862" s="3476">
        <v>330000</v>
      </c>
      <c r="Y862" s="3470">
        <v>2003</v>
      </c>
      <c r="Z862" s="3470">
        <v>9</v>
      </c>
      <c r="AA862" s="3470">
        <v>28</v>
      </c>
      <c r="AB862" s="3477">
        <v>1830</v>
      </c>
      <c r="AC862" s="3470" t="s">
        <v>9356</v>
      </c>
      <c r="AE862" s="3470" t="s">
        <v>3663</v>
      </c>
      <c r="AF862" s="3453" t="s">
        <v>4787</v>
      </c>
      <c r="AG862" s="3470" t="s">
        <v>3466</v>
      </c>
      <c r="AI862" s="3470" t="s">
        <v>3664</v>
      </c>
      <c r="AJ862" s="3478">
        <v>38261</v>
      </c>
      <c r="AK862" s="3500">
        <v>9</v>
      </c>
      <c r="AL862" s="3470">
        <v>67641700</v>
      </c>
      <c r="AN862" s="3470" t="s">
        <v>3487</v>
      </c>
      <c r="AP862" s="3470" t="s">
        <v>2153</v>
      </c>
      <c r="AQ862" s="3470" t="s">
        <v>3457</v>
      </c>
      <c r="AW862" s="3470" t="s">
        <v>3458</v>
      </c>
      <c r="AX862" s="3508"/>
      <c r="AY862" s="3470">
        <v>552365</v>
      </c>
      <c r="AZ862" s="3470" t="s">
        <v>4789</v>
      </c>
      <c r="BA862" s="3470" t="s">
        <v>8741</v>
      </c>
      <c r="BB862" s="3470" t="s">
        <v>4791</v>
      </c>
      <c r="BC862" s="3470" t="s">
        <v>8742</v>
      </c>
      <c r="BD862" s="3470">
        <v>102308</v>
      </c>
      <c r="BE862" s="3470">
        <v>68041987</v>
      </c>
      <c r="BF862" s="3470">
        <v>2.8</v>
      </c>
      <c r="BG862" s="3478">
        <v>37866</v>
      </c>
      <c r="BH862" s="3470" t="s">
        <v>7021</v>
      </c>
      <c r="BI862" s="3470" t="s">
        <v>2153</v>
      </c>
      <c r="BJ862" s="3508">
        <v>37887</v>
      </c>
      <c r="BK862" s="3478"/>
      <c r="BL862" s="3470" t="s">
        <v>3594</v>
      </c>
      <c r="BP862" s="3441"/>
      <c r="BQ862" s="3441"/>
      <c r="BR862" s="3441"/>
    </row>
    <row r="863" spans="1:73" s="3441" customFormat="1" ht="12" hidden="1">
      <c r="A863" s="3470" t="s">
        <v>9357</v>
      </c>
      <c r="B863" s="3470" t="s">
        <v>9358</v>
      </c>
      <c r="C863" s="3481" t="s">
        <v>9359</v>
      </c>
      <c r="D863" s="3481" t="s">
        <v>9360</v>
      </c>
      <c r="E863" s="3470" t="s">
        <v>3558</v>
      </c>
      <c r="F863" s="3628" t="s">
        <v>5958</v>
      </c>
      <c r="G863" s="3470"/>
      <c r="H863" s="3470" t="s">
        <v>9361</v>
      </c>
      <c r="I863" s="3470" t="s">
        <v>9362</v>
      </c>
      <c r="J863" s="3481" t="s">
        <v>9363</v>
      </c>
      <c r="K863" s="3470" t="s">
        <v>5961</v>
      </c>
      <c r="L863" s="3470">
        <v>136.56</v>
      </c>
      <c r="M863" s="3470">
        <v>3</v>
      </c>
      <c r="N863" s="3470" t="s">
        <v>3488</v>
      </c>
      <c r="O863" s="3470">
        <v>114.54</v>
      </c>
      <c r="P863" s="3470" t="s">
        <v>3452</v>
      </c>
      <c r="Q863" s="3600">
        <v>849999.96719999996</v>
      </c>
      <c r="R863" s="3470">
        <v>6224.37</v>
      </c>
      <c r="S863" s="3472">
        <v>84.18</v>
      </c>
      <c r="T863" s="3527">
        <v>841800.00000000012</v>
      </c>
      <c r="U863" s="3470">
        <v>6165</v>
      </c>
      <c r="V863" s="3529">
        <v>0.05</v>
      </c>
      <c r="W863" s="3475">
        <v>79.97</v>
      </c>
      <c r="X863" s="3473">
        <v>799700</v>
      </c>
      <c r="Y863" s="3441">
        <v>2003</v>
      </c>
      <c r="Z863" s="3441">
        <v>9</v>
      </c>
      <c r="AA863" s="3470">
        <v>27</v>
      </c>
      <c r="AB863" s="3485">
        <v>4205</v>
      </c>
      <c r="AC863" s="3470" t="s">
        <v>9364</v>
      </c>
      <c r="AD863" s="3485"/>
      <c r="AE863" s="3441" t="s">
        <v>3663</v>
      </c>
      <c r="AF863" s="3453" t="s">
        <v>3453</v>
      </c>
      <c r="AG863" s="3522" t="s">
        <v>3466</v>
      </c>
      <c r="AH863" s="3485"/>
      <c r="AI863" s="3470" t="s">
        <v>3664</v>
      </c>
      <c r="AJ863" s="3523">
        <v>37695</v>
      </c>
      <c r="AK863" s="3500">
        <v>9</v>
      </c>
      <c r="AL863" s="3441">
        <v>67641700</v>
      </c>
      <c r="AN863" s="3456" t="s">
        <v>3680</v>
      </c>
      <c r="AP863" s="3441" t="s">
        <v>3476</v>
      </c>
      <c r="AQ863" s="3470" t="s">
        <v>3571</v>
      </c>
      <c r="AW863" s="3441" t="s">
        <v>3572</v>
      </c>
      <c r="AX863" s="3441" t="s">
        <v>2420</v>
      </c>
      <c r="AY863" s="3524" t="s">
        <v>9365</v>
      </c>
      <c r="AZ863" s="3441" t="s">
        <v>5961</v>
      </c>
      <c r="BA863" s="3441" t="s">
        <v>5963</v>
      </c>
      <c r="BB863" s="3524" t="s">
        <v>5964</v>
      </c>
      <c r="BC863" s="3441" t="s">
        <v>5965</v>
      </c>
      <c r="BD863" s="3525">
        <v>100044</v>
      </c>
      <c r="BE863" s="3441">
        <v>62270195</v>
      </c>
      <c r="BF863" s="3526">
        <v>2.8</v>
      </c>
      <c r="BG863" s="3518">
        <v>37886</v>
      </c>
      <c r="BI863" s="3441" t="s">
        <v>3476</v>
      </c>
      <c r="BJ863" s="3484">
        <v>37889</v>
      </c>
      <c r="BK863" s="3518"/>
      <c r="BL863" s="3470" t="s">
        <v>3670</v>
      </c>
      <c r="BS863" s="3470"/>
      <c r="BT863" s="3470"/>
      <c r="BU863" s="3470"/>
    </row>
    <row r="864" spans="1:73" s="3441" customFormat="1" ht="12" hidden="1">
      <c r="A864" s="3453" t="s">
        <v>9366</v>
      </c>
      <c r="B864" s="3470" t="s">
        <v>9367</v>
      </c>
      <c r="C864" s="3481" t="s">
        <v>9368</v>
      </c>
      <c r="D864" s="3481" t="s">
        <v>9369</v>
      </c>
      <c r="E864" s="3470" t="s">
        <v>3558</v>
      </c>
      <c r="F864" s="3528" t="s">
        <v>3733</v>
      </c>
      <c r="G864" s="3470"/>
      <c r="H864" s="3470" t="s">
        <v>9137</v>
      </c>
      <c r="I864" s="3470" t="s">
        <v>4301</v>
      </c>
      <c r="J864" s="3470" t="s">
        <v>6333</v>
      </c>
      <c r="K864" s="3470" t="s">
        <v>3737</v>
      </c>
      <c r="L864" s="3470">
        <v>75.599999999999994</v>
      </c>
      <c r="M864" s="3470">
        <v>8</v>
      </c>
      <c r="N864" s="3542" t="s">
        <v>3451</v>
      </c>
      <c r="O864" s="3470">
        <v>60.4</v>
      </c>
      <c r="P864" s="3470" t="s">
        <v>3452</v>
      </c>
      <c r="Q864" s="3492">
        <v>422603.99999999994</v>
      </c>
      <c r="R864" s="3470">
        <v>5590</v>
      </c>
      <c r="S864" s="3472">
        <v>40.86</v>
      </c>
      <c r="T864" s="3527">
        <v>408600</v>
      </c>
      <c r="U864" s="3470">
        <v>5406</v>
      </c>
      <c r="V864" s="3474">
        <v>0.1</v>
      </c>
      <c r="W864" s="3475">
        <v>36.770000000000003</v>
      </c>
      <c r="X864" s="3494">
        <v>367700.00000000006</v>
      </c>
      <c r="Y864" s="3441">
        <v>2003</v>
      </c>
      <c r="Z864" s="3441">
        <v>10</v>
      </c>
      <c r="AA864" s="3470">
        <v>13</v>
      </c>
      <c r="AB864" s="3477">
        <v>2040</v>
      </c>
      <c r="AC864" s="3470" t="s">
        <v>4761</v>
      </c>
      <c r="AD864" s="3485"/>
      <c r="AE864" s="3441" t="s">
        <v>3663</v>
      </c>
      <c r="AF864" s="3470" t="s">
        <v>3604</v>
      </c>
      <c r="AG864" s="3522" t="s">
        <v>3466</v>
      </c>
      <c r="AH864" s="3485"/>
      <c r="AI864" s="3470" t="s">
        <v>5021</v>
      </c>
      <c r="AJ864" s="3523">
        <v>38045</v>
      </c>
      <c r="AK864" s="3500" t="s">
        <v>4752</v>
      </c>
      <c r="AL864" s="3441">
        <v>67641700</v>
      </c>
      <c r="AN864" s="3456" t="s">
        <v>3695</v>
      </c>
      <c r="AO864" s="3441" t="s">
        <v>9370</v>
      </c>
      <c r="AP864" s="3441" t="s">
        <v>3476</v>
      </c>
      <c r="AQ864" s="3441" t="s">
        <v>3571</v>
      </c>
      <c r="AW864" s="3441" t="s">
        <v>3572</v>
      </c>
      <c r="AY864" s="3524" t="s">
        <v>9371</v>
      </c>
      <c r="AZ864" s="3441" t="s">
        <v>3737</v>
      </c>
      <c r="BA864" s="3441" t="s">
        <v>3742</v>
      </c>
      <c r="BB864" s="3524" t="s">
        <v>3743</v>
      </c>
      <c r="BC864" s="3441" t="s">
        <v>3744</v>
      </c>
      <c r="BD864" s="3525">
        <v>100088</v>
      </c>
      <c r="BE864" s="3441">
        <v>82058259</v>
      </c>
      <c r="BF864" s="3526" t="s">
        <v>8595</v>
      </c>
      <c r="BG864" s="3478">
        <v>37812</v>
      </c>
      <c r="BH864" s="3441" t="s">
        <v>4753</v>
      </c>
      <c r="BI864" s="3441" t="s">
        <v>3476</v>
      </c>
      <c r="BJ864" s="3484">
        <v>37903</v>
      </c>
      <c r="BK864" s="3484" t="s">
        <v>6879</v>
      </c>
      <c r="BL864" s="3470" t="s">
        <v>3670</v>
      </c>
    </row>
    <row r="865" spans="1:73" s="3441" customFormat="1" ht="12" hidden="1">
      <c r="A865" s="3485" t="s">
        <v>9372</v>
      </c>
      <c r="B865" s="3470" t="s">
        <v>9373</v>
      </c>
      <c r="C865" s="3481" t="s">
        <v>9374</v>
      </c>
      <c r="D865" s="3481" t="s">
        <v>9375</v>
      </c>
      <c r="E865" s="3470" t="s">
        <v>3558</v>
      </c>
      <c r="F865" s="3528" t="s">
        <v>4716</v>
      </c>
      <c r="G865" s="3470"/>
      <c r="H865" s="3470" t="s">
        <v>4635</v>
      </c>
      <c r="I865" s="3470" t="s">
        <v>9376</v>
      </c>
      <c r="J865" s="3481" t="s">
        <v>9377</v>
      </c>
      <c r="K865" s="3470" t="s">
        <v>4720</v>
      </c>
      <c r="L865" s="3470">
        <v>60.63</v>
      </c>
      <c r="M865" s="3470">
        <v>15</v>
      </c>
      <c r="N865" s="3470" t="s">
        <v>3489</v>
      </c>
      <c r="O865" s="3470">
        <v>47.69</v>
      </c>
      <c r="P865" s="3470" t="s">
        <v>3452</v>
      </c>
      <c r="Q865" s="3492">
        <v>261103.22690000001</v>
      </c>
      <c r="R865" s="3470">
        <v>5475.01</v>
      </c>
      <c r="S865" s="3472">
        <v>25.81</v>
      </c>
      <c r="T865" s="3527">
        <v>258100</v>
      </c>
      <c r="U865" s="3470">
        <v>4258</v>
      </c>
      <c r="V865" s="3474">
        <v>0.1</v>
      </c>
      <c r="W865" s="3475">
        <v>23.22</v>
      </c>
      <c r="X865" s="3494">
        <v>232200</v>
      </c>
      <c r="Y865" s="3441">
        <v>2003</v>
      </c>
      <c r="Z865" s="3441">
        <v>9</v>
      </c>
      <c r="AA865" s="3470">
        <v>27</v>
      </c>
      <c r="AB865" s="3477">
        <v>1290</v>
      </c>
      <c r="AC865" s="3470" t="s">
        <v>4761</v>
      </c>
      <c r="AD865" s="3485"/>
      <c r="AE865" s="3441" t="s">
        <v>3663</v>
      </c>
      <c r="AF865" s="3470" t="s">
        <v>4721</v>
      </c>
      <c r="AG865" s="3522" t="s">
        <v>3466</v>
      </c>
      <c r="AH865" s="3485"/>
      <c r="AI865" s="3470" t="s">
        <v>5021</v>
      </c>
      <c r="AJ865" s="3523">
        <v>38230</v>
      </c>
      <c r="AK865" s="3500">
        <v>9</v>
      </c>
      <c r="AL865" s="3441">
        <v>67641700</v>
      </c>
      <c r="AN865" s="3441" t="s">
        <v>3680</v>
      </c>
      <c r="AO865" s="3441" t="s">
        <v>3568</v>
      </c>
      <c r="AP865" s="3441" t="s">
        <v>3476</v>
      </c>
      <c r="AQ865" s="3441" t="s">
        <v>3571</v>
      </c>
      <c r="AW865" s="3441" t="s">
        <v>3572</v>
      </c>
      <c r="AY865" s="3524" t="s">
        <v>9378</v>
      </c>
      <c r="AZ865" s="3441" t="s">
        <v>4720</v>
      </c>
      <c r="BA865" s="3441" t="s">
        <v>4725</v>
      </c>
      <c r="BB865" s="3524" t="s">
        <v>4726</v>
      </c>
      <c r="BC865" s="3441" t="s">
        <v>4727</v>
      </c>
      <c r="BD865" s="3525">
        <v>100005</v>
      </c>
      <c r="BE865" s="3441">
        <v>65128628</v>
      </c>
      <c r="BF865" s="3526">
        <v>2.8</v>
      </c>
      <c r="BG865" s="3518">
        <v>37828</v>
      </c>
      <c r="BI865" s="3441" t="s">
        <v>8464</v>
      </c>
      <c r="BJ865" s="3508">
        <v>37889</v>
      </c>
      <c r="BK865" s="3518" t="s">
        <v>3568</v>
      </c>
      <c r="BL865" s="3470" t="s">
        <v>3670</v>
      </c>
      <c r="BS865" s="3470"/>
      <c r="BT865" s="3470"/>
      <c r="BU865" s="3470"/>
    </row>
    <row r="866" spans="1:73" s="3441" customFormat="1" ht="12" hidden="1">
      <c r="A866" s="3485" t="s">
        <v>9379</v>
      </c>
      <c r="B866" s="3470" t="s">
        <v>9380</v>
      </c>
      <c r="C866" s="3481" t="s">
        <v>9381</v>
      </c>
      <c r="D866" s="3481" t="s">
        <v>9382</v>
      </c>
      <c r="E866" s="3470" t="s">
        <v>3558</v>
      </c>
      <c r="F866" s="3470" t="s">
        <v>4770</v>
      </c>
      <c r="G866" s="3470"/>
      <c r="H866" s="3470" t="s">
        <v>7881</v>
      </c>
      <c r="I866" s="3453" t="s">
        <v>6989</v>
      </c>
      <c r="J866" s="3481" t="s">
        <v>5862</v>
      </c>
      <c r="K866" s="3470" t="s">
        <v>4772</v>
      </c>
      <c r="L866" s="3470">
        <v>112.11</v>
      </c>
      <c r="M866" s="3470">
        <v>3</v>
      </c>
      <c r="N866" s="3470" t="s">
        <v>7246</v>
      </c>
      <c r="O866" s="3470">
        <v>94.05</v>
      </c>
      <c r="P866" s="3470" t="s">
        <v>3452</v>
      </c>
      <c r="Q866" s="3457">
        <v>484315.2</v>
      </c>
      <c r="R866" s="3470">
        <v>4320</v>
      </c>
      <c r="S866" s="3472">
        <v>47.87</v>
      </c>
      <c r="T866" s="3527">
        <v>478700</v>
      </c>
      <c r="U866" s="3470">
        <v>4270</v>
      </c>
      <c r="V866" s="3474">
        <v>0.05</v>
      </c>
      <c r="W866" s="3475">
        <v>45.47</v>
      </c>
      <c r="X866" s="3476">
        <v>454700</v>
      </c>
      <c r="Y866" s="3441">
        <v>2003</v>
      </c>
      <c r="Z866" s="3441">
        <v>9</v>
      </c>
      <c r="AA866" s="3470">
        <v>29</v>
      </c>
      <c r="AB866" s="3477">
        <v>2390</v>
      </c>
      <c r="AC866" s="3470" t="s">
        <v>9383</v>
      </c>
      <c r="AD866" s="3485"/>
      <c r="AE866" s="3441" t="s">
        <v>3663</v>
      </c>
      <c r="AF866" s="3470" t="s">
        <v>4063</v>
      </c>
      <c r="AG866" s="3522" t="s">
        <v>3466</v>
      </c>
      <c r="AH866" s="3485"/>
      <c r="AI866" s="3470" t="s">
        <v>7643</v>
      </c>
      <c r="AJ866" s="3523">
        <v>37881</v>
      </c>
      <c r="AK866" s="3500">
        <v>9</v>
      </c>
      <c r="AL866" s="3470">
        <v>67641700</v>
      </c>
      <c r="AM866" s="3470" t="s">
        <v>3568</v>
      </c>
      <c r="AN866" s="3456" t="s">
        <v>3680</v>
      </c>
      <c r="AP866" s="3441" t="s">
        <v>3476</v>
      </c>
      <c r="AQ866" s="3441" t="s">
        <v>3571</v>
      </c>
      <c r="AW866" s="3441" t="s">
        <v>3572</v>
      </c>
      <c r="AY866" s="3524" t="s">
        <v>9384</v>
      </c>
      <c r="AZ866" s="3441" t="s">
        <v>4772</v>
      </c>
      <c r="BA866" s="3441" t="s">
        <v>4775</v>
      </c>
      <c r="BB866" s="3524" t="s">
        <v>4776</v>
      </c>
      <c r="BC866" s="3441" t="s">
        <v>4777</v>
      </c>
      <c r="BD866" s="3525">
        <v>100083</v>
      </c>
      <c r="BE866" s="3441">
        <v>82355171</v>
      </c>
      <c r="BF866" s="3526">
        <v>2.7</v>
      </c>
      <c r="BG866" s="3518">
        <v>37819</v>
      </c>
      <c r="BH866" s="3441" t="s">
        <v>4681</v>
      </c>
      <c r="BI866" s="3441" t="s">
        <v>3476</v>
      </c>
      <c r="BJ866" s="3484">
        <v>37890</v>
      </c>
      <c r="BK866" s="3518"/>
      <c r="BL866" s="3470" t="s">
        <v>3670</v>
      </c>
      <c r="BS866" s="3470"/>
      <c r="BT866" s="3470"/>
      <c r="BU866" s="3470"/>
    </row>
    <row r="867" spans="1:73" s="3441" customFormat="1" ht="12" hidden="1">
      <c r="A867" s="3485" t="s">
        <v>9385</v>
      </c>
      <c r="B867" s="3470" t="s">
        <v>9386</v>
      </c>
      <c r="C867" s="3481" t="s">
        <v>9387</v>
      </c>
      <c r="D867" s="3481" t="s">
        <v>9388</v>
      </c>
      <c r="E867" s="3470" t="s">
        <v>3558</v>
      </c>
      <c r="F867" s="3470" t="s">
        <v>9389</v>
      </c>
      <c r="G867" s="3470"/>
      <c r="H867" s="3470" t="s">
        <v>9390</v>
      </c>
      <c r="I867" s="3453" t="s">
        <v>4019</v>
      </c>
      <c r="J867" s="3481" t="s">
        <v>3495</v>
      </c>
      <c r="K867" s="3470" t="s">
        <v>4772</v>
      </c>
      <c r="L867" s="3470">
        <v>104.73</v>
      </c>
      <c r="M867" s="3470">
        <v>2</v>
      </c>
      <c r="N867" s="3542" t="s">
        <v>3486</v>
      </c>
      <c r="O867" s="3470">
        <v>94.06</v>
      </c>
      <c r="P867" s="3470" t="s">
        <v>3452</v>
      </c>
      <c r="Q867" s="3457">
        <v>457146.45</v>
      </c>
      <c r="R867" s="3470">
        <v>4365</v>
      </c>
      <c r="S867" s="3472">
        <v>45.19</v>
      </c>
      <c r="T867" s="3527">
        <v>451900</v>
      </c>
      <c r="U867" s="3470">
        <v>4315</v>
      </c>
      <c r="V867" s="3474">
        <v>0.1</v>
      </c>
      <c r="W867" s="3475">
        <v>40.67</v>
      </c>
      <c r="X867" s="3476">
        <v>406700</v>
      </c>
      <c r="Y867" s="3441">
        <v>2003</v>
      </c>
      <c r="Z867" s="3441">
        <v>9</v>
      </c>
      <c r="AA867" s="3470">
        <v>29</v>
      </c>
      <c r="AB867" s="3477">
        <v>2255</v>
      </c>
      <c r="AC867" s="3470" t="s">
        <v>9282</v>
      </c>
      <c r="AD867" s="3485"/>
      <c r="AE867" s="3441" t="s">
        <v>3663</v>
      </c>
      <c r="AF867" s="3470" t="s">
        <v>4449</v>
      </c>
      <c r="AG867" s="3522" t="s">
        <v>3466</v>
      </c>
      <c r="AH867" s="3485"/>
      <c r="AI867" s="3470" t="s">
        <v>7643</v>
      </c>
      <c r="AJ867" s="3523">
        <v>37958</v>
      </c>
      <c r="AK867" s="3500">
        <v>9</v>
      </c>
      <c r="AL867" s="3470">
        <v>67641700</v>
      </c>
      <c r="AM867" s="3470" t="s">
        <v>3568</v>
      </c>
      <c r="AN867" s="3456" t="s">
        <v>3680</v>
      </c>
      <c r="AP867" s="3441" t="s">
        <v>3476</v>
      </c>
      <c r="AQ867" s="3441" t="s">
        <v>3571</v>
      </c>
      <c r="AW867" s="3441" t="s">
        <v>3572</v>
      </c>
      <c r="AY867" s="3524" t="s">
        <v>9391</v>
      </c>
      <c r="AZ867" s="3441" t="s">
        <v>4772</v>
      </c>
      <c r="BA867" s="3441" t="s">
        <v>4775</v>
      </c>
      <c r="BB867" s="3524" t="s">
        <v>4776</v>
      </c>
      <c r="BC867" s="3441" t="s">
        <v>4777</v>
      </c>
      <c r="BD867" s="3525">
        <v>100083</v>
      </c>
      <c r="BE867" s="3441">
        <v>82355171</v>
      </c>
      <c r="BF867" s="3526">
        <v>2.7</v>
      </c>
      <c r="BG867" s="3518">
        <v>37873</v>
      </c>
      <c r="BH867" s="3441" t="s">
        <v>4681</v>
      </c>
      <c r="BI867" s="3441" t="s">
        <v>3476</v>
      </c>
      <c r="BJ867" s="3484">
        <v>37890</v>
      </c>
      <c r="BK867" s="3518"/>
      <c r="BL867" s="3470" t="s">
        <v>3670</v>
      </c>
      <c r="BS867" s="3470"/>
      <c r="BT867" s="3470"/>
      <c r="BU867" s="3470"/>
    </row>
    <row r="868" spans="1:73" s="3441" customFormat="1" ht="12" hidden="1">
      <c r="A868" s="3453" t="s">
        <v>9392</v>
      </c>
      <c r="B868" s="3470" t="s">
        <v>9393</v>
      </c>
      <c r="C868" s="3481" t="s">
        <v>9394</v>
      </c>
      <c r="D868" s="3481" t="s">
        <v>9395</v>
      </c>
      <c r="E868" s="3470" t="s">
        <v>3558</v>
      </c>
      <c r="F868" s="3528" t="s">
        <v>3733</v>
      </c>
      <c r="G868" s="3470"/>
      <c r="H868" s="3470" t="s">
        <v>9396</v>
      </c>
      <c r="I868" s="3470" t="s">
        <v>8846</v>
      </c>
      <c r="J868" s="3470" t="s">
        <v>9397</v>
      </c>
      <c r="K868" s="3470" t="s">
        <v>3737</v>
      </c>
      <c r="L868" s="3470">
        <v>88.96</v>
      </c>
      <c r="M868" s="3470">
        <v>10</v>
      </c>
      <c r="N868" s="3470" t="s">
        <v>5890</v>
      </c>
      <c r="O868" s="3470">
        <v>71.069999999999993</v>
      </c>
      <c r="P868" s="3470" t="s">
        <v>3452</v>
      </c>
      <c r="Q868" s="3492">
        <v>571123.19999999995</v>
      </c>
      <c r="R868" s="3470">
        <v>6420</v>
      </c>
      <c r="S868" s="3472">
        <v>55.43</v>
      </c>
      <c r="T868" s="3527">
        <v>554300</v>
      </c>
      <c r="U868" s="3470">
        <v>6232</v>
      </c>
      <c r="V868" s="3474">
        <v>0.1</v>
      </c>
      <c r="W868" s="3475">
        <v>49.88</v>
      </c>
      <c r="X868" s="3494">
        <v>498800</v>
      </c>
      <c r="Y868" s="3441">
        <v>2003</v>
      </c>
      <c r="Z868" s="3441">
        <v>9</v>
      </c>
      <c r="AA868" s="3470">
        <v>28</v>
      </c>
      <c r="AB868" s="3477">
        <v>2770</v>
      </c>
      <c r="AC868" s="3470" t="s">
        <v>4800</v>
      </c>
      <c r="AD868" s="3485"/>
      <c r="AE868" s="3441" t="s">
        <v>3663</v>
      </c>
      <c r="AF868" s="3470" t="s">
        <v>8923</v>
      </c>
      <c r="AG868" s="3522" t="s">
        <v>3466</v>
      </c>
      <c r="AH868" s="3485"/>
      <c r="AI868" s="3470" t="s">
        <v>5021</v>
      </c>
      <c r="AJ868" s="3523">
        <v>38045</v>
      </c>
      <c r="AK868" s="3500">
        <v>9</v>
      </c>
      <c r="AL868" s="3441">
        <v>67641700</v>
      </c>
      <c r="AN868" s="3456" t="s">
        <v>3680</v>
      </c>
      <c r="AO868" s="3441" t="s">
        <v>2420</v>
      </c>
      <c r="AP868" s="3441" t="s">
        <v>3476</v>
      </c>
      <c r="AQ868" s="3441" t="s">
        <v>3571</v>
      </c>
      <c r="AW868" s="3441" t="s">
        <v>3572</v>
      </c>
      <c r="AY868" s="3524" t="s">
        <v>9398</v>
      </c>
      <c r="AZ868" s="3441" t="s">
        <v>3737</v>
      </c>
      <c r="BA868" s="3441" t="s">
        <v>3742</v>
      </c>
      <c r="BB868" s="3524" t="s">
        <v>3743</v>
      </c>
      <c r="BC868" s="3441" t="s">
        <v>3744</v>
      </c>
      <c r="BD868" s="3525">
        <v>100088</v>
      </c>
      <c r="BE868" s="3441">
        <v>82058259</v>
      </c>
      <c r="BF868" s="3526" t="s">
        <v>8595</v>
      </c>
      <c r="BG868" s="3478">
        <v>37869</v>
      </c>
      <c r="BH868" s="3441" t="s">
        <v>4753</v>
      </c>
      <c r="BI868" s="3441" t="s">
        <v>3476</v>
      </c>
      <c r="BJ868" s="3484">
        <v>37889</v>
      </c>
      <c r="BK868" s="3518" t="s">
        <v>2420</v>
      </c>
      <c r="BL868" s="3470" t="s">
        <v>3670</v>
      </c>
      <c r="BS868" s="3470"/>
      <c r="BT868" s="3470"/>
      <c r="BU868" s="3470"/>
    </row>
    <row r="869" spans="1:73" s="3441" customFormat="1" ht="12" hidden="1">
      <c r="A869" s="3485" t="s">
        <v>9399</v>
      </c>
      <c r="B869" s="3470" t="s">
        <v>9400</v>
      </c>
      <c r="C869" s="3481" t="s">
        <v>9401</v>
      </c>
      <c r="D869" s="3481" t="s">
        <v>9402</v>
      </c>
      <c r="E869" s="3470" t="s">
        <v>3558</v>
      </c>
      <c r="F869" s="3470" t="s">
        <v>7153</v>
      </c>
      <c r="G869" s="3470" t="s">
        <v>3568</v>
      </c>
      <c r="H869" s="3470" t="s">
        <v>9403</v>
      </c>
      <c r="I869" s="3453" t="s">
        <v>4433</v>
      </c>
      <c r="J869" s="3481" t="s">
        <v>9404</v>
      </c>
      <c r="K869" s="3470" t="s">
        <v>6117</v>
      </c>
      <c r="L869" s="3470">
        <v>71.31</v>
      </c>
      <c r="M869" s="3470">
        <v>18</v>
      </c>
      <c r="N869" s="3470" t="s">
        <v>3451</v>
      </c>
      <c r="O869" s="3470">
        <v>58.39</v>
      </c>
      <c r="P869" s="3470" t="s">
        <v>3452</v>
      </c>
      <c r="Q869" s="3457">
        <v>295223.40000000002</v>
      </c>
      <c r="R869" s="3470">
        <v>4140</v>
      </c>
      <c r="S869" s="3472">
        <v>29.16</v>
      </c>
      <c r="T869" s="3527">
        <v>291600</v>
      </c>
      <c r="U869" s="3470">
        <v>4090</v>
      </c>
      <c r="V869" s="3474">
        <v>0.1</v>
      </c>
      <c r="W869" s="3475">
        <v>26.24</v>
      </c>
      <c r="X869" s="3476">
        <v>262400</v>
      </c>
      <c r="Y869" s="3441">
        <v>2003</v>
      </c>
      <c r="Z869" s="3441">
        <v>10</v>
      </c>
      <c r="AA869" s="3470">
        <v>29</v>
      </c>
      <c r="AB869" s="3477">
        <v>1455</v>
      </c>
      <c r="AC869" s="3470" t="s">
        <v>8718</v>
      </c>
      <c r="AD869" s="3485"/>
      <c r="AE869" s="3441" t="s">
        <v>3663</v>
      </c>
      <c r="AF869" s="3470" t="s">
        <v>4787</v>
      </c>
      <c r="AG869" s="3522" t="s">
        <v>3466</v>
      </c>
      <c r="AH869" s="3485"/>
      <c r="AI869" s="3470" t="s">
        <v>5021</v>
      </c>
      <c r="AJ869" s="3523">
        <v>38352</v>
      </c>
      <c r="AK869" s="3500" t="s">
        <v>4752</v>
      </c>
      <c r="AL869" s="3441">
        <v>67641700</v>
      </c>
      <c r="AN869" s="3456" t="s">
        <v>3680</v>
      </c>
      <c r="AO869" s="3441" t="s">
        <v>9405</v>
      </c>
      <c r="AP869" s="3441" t="s">
        <v>3476</v>
      </c>
      <c r="AQ869" s="3441" t="s">
        <v>3571</v>
      </c>
      <c r="AW869" s="3441" t="s">
        <v>3572</v>
      </c>
      <c r="AY869" s="3524" t="s">
        <v>9406</v>
      </c>
      <c r="AZ869" s="3441" t="s">
        <v>6117</v>
      </c>
      <c r="BA869" s="3441" t="s">
        <v>7157</v>
      </c>
      <c r="BB869" s="3524">
        <v>1102281326100</v>
      </c>
      <c r="BC869" s="3441" t="s">
        <v>7158</v>
      </c>
      <c r="BD869" s="3525">
        <v>100055</v>
      </c>
      <c r="BE869" s="3441">
        <v>82951881</v>
      </c>
      <c r="BF869" s="3526">
        <v>2.8</v>
      </c>
      <c r="BG869" s="3518">
        <v>37880</v>
      </c>
      <c r="BH869" s="3441" t="s">
        <v>4753</v>
      </c>
      <c r="BI869" s="3441" t="s">
        <v>3476</v>
      </c>
      <c r="BJ869" s="3484">
        <v>37921</v>
      </c>
      <c r="BK869" s="3484"/>
      <c r="BL869" s="3470" t="s">
        <v>3670</v>
      </c>
    </row>
    <row r="870" spans="1:73" s="3441" customFormat="1" ht="12" hidden="1">
      <c r="A870" s="3485" t="s">
        <v>9407</v>
      </c>
      <c r="B870" s="3470" t="s">
        <v>9408</v>
      </c>
      <c r="C870" s="3481" t="s">
        <v>9409</v>
      </c>
      <c r="D870" s="3481" t="s">
        <v>9410</v>
      </c>
      <c r="E870" s="3470" t="s">
        <v>3558</v>
      </c>
      <c r="F870" s="3528" t="s">
        <v>7652</v>
      </c>
      <c r="G870" s="3470"/>
      <c r="H870" s="3470" t="s">
        <v>7772</v>
      </c>
      <c r="I870" s="3470" t="s">
        <v>9411</v>
      </c>
      <c r="J870" s="3481" t="s">
        <v>9412</v>
      </c>
      <c r="K870" s="3470" t="s">
        <v>7653</v>
      </c>
      <c r="L870" s="3470">
        <v>66.56</v>
      </c>
      <c r="M870" s="3470">
        <v>11</v>
      </c>
      <c r="N870" s="3470" t="s">
        <v>3564</v>
      </c>
      <c r="O870" s="3470">
        <v>52.64</v>
      </c>
      <c r="P870" s="3470" t="s">
        <v>3452</v>
      </c>
      <c r="Q870" s="3457">
        <v>290201.60000000003</v>
      </c>
      <c r="R870" s="3470">
        <v>4360</v>
      </c>
      <c r="S870" s="3472">
        <v>28.71</v>
      </c>
      <c r="T870" s="3527">
        <v>287100</v>
      </c>
      <c r="U870" s="3470">
        <v>4314</v>
      </c>
      <c r="V870" s="3512">
        <v>0.1</v>
      </c>
      <c r="W870" s="3475">
        <v>25.83</v>
      </c>
      <c r="X870" s="3473">
        <v>258299.99999999997</v>
      </c>
      <c r="Y870" s="3441">
        <v>2003</v>
      </c>
      <c r="Z870" s="3441">
        <v>9</v>
      </c>
      <c r="AA870" s="3470">
        <v>29</v>
      </c>
      <c r="AB870" s="3485">
        <v>1435</v>
      </c>
      <c r="AC870" s="3470" t="s">
        <v>9413</v>
      </c>
      <c r="AD870" s="3485"/>
      <c r="AE870" s="3441" t="s">
        <v>3663</v>
      </c>
      <c r="AF870" s="3470" t="s">
        <v>3618</v>
      </c>
      <c r="AG870" s="3522" t="s">
        <v>3466</v>
      </c>
      <c r="AH870" s="3485" t="s">
        <v>3568</v>
      </c>
      <c r="AI870" s="3470" t="s">
        <v>5021</v>
      </c>
      <c r="AJ870" s="3523">
        <v>38077</v>
      </c>
      <c r="AK870" s="3500">
        <v>9</v>
      </c>
      <c r="AL870" s="3470">
        <v>67641700</v>
      </c>
      <c r="AM870" s="3470"/>
      <c r="AN870" s="3456" t="s">
        <v>3680</v>
      </c>
      <c r="AP870" s="3441" t="s">
        <v>3476</v>
      </c>
      <c r="AQ870" s="3441" t="s">
        <v>3571</v>
      </c>
      <c r="AV870" s="3441" t="s">
        <v>3568</v>
      </c>
      <c r="AW870" s="3441" t="s">
        <v>3572</v>
      </c>
      <c r="AY870" s="3524" t="s">
        <v>9414</v>
      </c>
      <c r="AZ870" s="3441" t="s">
        <v>7653</v>
      </c>
      <c r="BA870" s="3441" t="s">
        <v>7655</v>
      </c>
      <c r="BB870" s="3524" t="s">
        <v>7656</v>
      </c>
      <c r="BC870" s="3441" t="s">
        <v>7657</v>
      </c>
      <c r="BD870" s="3525">
        <v>100025</v>
      </c>
      <c r="BE870" s="3441">
        <v>62908858</v>
      </c>
      <c r="BF870" s="3526">
        <v>2.7</v>
      </c>
      <c r="BG870" s="3518">
        <v>37856</v>
      </c>
      <c r="BH870" s="3441" t="s">
        <v>4681</v>
      </c>
      <c r="BI870" s="3441" t="s">
        <v>3476</v>
      </c>
      <c r="BJ870" s="3508">
        <v>37891</v>
      </c>
      <c r="BK870" s="3518"/>
      <c r="BL870" s="3470" t="s">
        <v>3670</v>
      </c>
      <c r="BS870" s="3470"/>
      <c r="BT870" s="3470"/>
      <c r="BU870" s="3470"/>
    </row>
    <row r="871" spans="1:73" s="3441" customFormat="1" ht="12" hidden="1">
      <c r="A871" s="3485" t="s">
        <v>9415</v>
      </c>
      <c r="B871" s="3470" t="s">
        <v>9416</v>
      </c>
      <c r="C871" s="3481" t="s">
        <v>9417</v>
      </c>
      <c r="D871" s="3481" t="s">
        <v>9418</v>
      </c>
      <c r="E871" s="3470" t="s">
        <v>3558</v>
      </c>
      <c r="F871" s="3470" t="s">
        <v>9419</v>
      </c>
      <c r="G871" s="3470"/>
      <c r="H871" s="3470" t="s">
        <v>9420</v>
      </c>
      <c r="I871" s="3470" t="s">
        <v>7339</v>
      </c>
      <c r="J871" s="3481" t="s">
        <v>9421</v>
      </c>
      <c r="K871" s="3470" t="s">
        <v>5786</v>
      </c>
      <c r="L871" s="3470">
        <v>159.12</v>
      </c>
      <c r="M871" s="3470">
        <v>21</v>
      </c>
      <c r="N871" s="3470" t="s">
        <v>4003</v>
      </c>
      <c r="O871" s="3470">
        <v>138.21</v>
      </c>
      <c r="P871" s="3470" t="s">
        <v>3452</v>
      </c>
      <c r="Q871" s="3457">
        <v>832083.03359999997</v>
      </c>
      <c r="R871" s="3470">
        <v>5229.28</v>
      </c>
      <c r="S871" s="3472">
        <v>82.39</v>
      </c>
      <c r="T871" s="3527">
        <v>823900</v>
      </c>
      <c r="U871" s="3495">
        <v>5178</v>
      </c>
      <c r="V871" s="3474">
        <v>0.1</v>
      </c>
      <c r="W871" s="3475">
        <v>74.150000000000006</v>
      </c>
      <c r="X871" s="3473">
        <v>741500</v>
      </c>
      <c r="Y871" s="3495">
        <v>2003</v>
      </c>
      <c r="Z871" s="3441">
        <v>10</v>
      </c>
      <c r="AA871" s="3441">
        <v>24</v>
      </c>
      <c r="AB871" s="3477">
        <v>4115</v>
      </c>
      <c r="AC871" s="3470" t="s">
        <v>9007</v>
      </c>
      <c r="AD871" s="3485"/>
      <c r="AE871" s="3441" t="s">
        <v>3663</v>
      </c>
      <c r="AF871" s="3470" t="s">
        <v>6065</v>
      </c>
      <c r="AG871" s="3522" t="s">
        <v>3466</v>
      </c>
      <c r="AH871" s="3485" t="s">
        <v>3568</v>
      </c>
      <c r="AI871" s="3470" t="s">
        <v>5021</v>
      </c>
      <c r="AJ871" s="3523">
        <v>37986</v>
      </c>
      <c r="AK871" s="3500" t="s">
        <v>4752</v>
      </c>
      <c r="AL871" s="3441">
        <v>67641700</v>
      </c>
      <c r="AN871" s="3456" t="s">
        <v>3739</v>
      </c>
      <c r="AO871" s="3441" t="s">
        <v>3568</v>
      </c>
      <c r="AP871" s="3441" t="s">
        <v>3476</v>
      </c>
      <c r="AQ871" s="3441" t="s">
        <v>3571</v>
      </c>
      <c r="AR871" s="3441" t="s">
        <v>3568</v>
      </c>
      <c r="AS871" s="3441" t="s">
        <v>3568</v>
      </c>
      <c r="AT871" s="3441" t="s">
        <v>3568</v>
      </c>
      <c r="AW871" s="3441" t="s">
        <v>3572</v>
      </c>
      <c r="AX871" s="3441" t="s">
        <v>6879</v>
      </c>
      <c r="AY871" s="3524" t="s">
        <v>9422</v>
      </c>
      <c r="AZ871" s="3441" t="s">
        <v>5786</v>
      </c>
      <c r="BA871" s="3441" t="s">
        <v>7527</v>
      </c>
      <c r="BB871" s="3524">
        <v>1101082131202</v>
      </c>
      <c r="BC871" s="3441" t="s">
        <v>5436</v>
      </c>
      <c r="BD871" s="3525">
        <v>102400</v>
      </c>
      <c r="BE871" s="3441">
        <v>62842753</v>
      </c>
      <c r="BF871" s="3526">
        <v>2.8</v>
      </c>
      <c r="BG871" s="3518">
        <v>37864</v>
      </c>
      <c r="BH871" s="3441" t="s">
        <v>3568</v>
      </c>
      <c r="BI871" s="3441" t="s">
        <v>3476</v>
      </c>
      <c r="BJ871" s="3484">
        <v>37892</v>
      </c>
      <c r="BK871" s="3484"/>
      <c r="BL871" s="3470" t="s">
        <v>3670</v>
      </c>
    </row>
    <row r="872" spans="1:73" s="3441" customFormat="1" ht="12" hidden="1">
      <c r="A872" s="3485" t="s">
        <v>9423</v>
      </c>
      <c r="B872" s="3470" t="s">
        <v>9424</v>
      </c>
      <c r="C872" s="3481" t="s">
        <v>9425</v>
      </c>
      <c r="D872" s="3481" t="s">
        <v>9426</v>
      </c>
      <c r="E872" s="3470" t="s">
        <v>3558</v>
      </c>
      <c r="F872" s="3528" t="s">
        <v>7652</v>
      </c>
      <c r="G872" s="3470"/>
      <c r="H872" s="3470" t="s">
        <v>7772</v>
      </c>
      <c r="I872" s="3470" t="s">
        <v>4113</v>
      </c>
      <c r="J872" s="3481" t="s">
        <v>9427</v>
      </c>
      <c r="K872" s="3470" t="s">
        <v>7653</v>
      </c>
      <c r="L872" s="3470">
        <v>87.59</v>
      </c>
      <c r="M872" s="3470">
        <v>9</v>
      </c>
      <c r="N872" s="3453" t="s">
        <v>3709</v>
      </c>
      <c r="O872" s="3470">
        <v>69.27</v>
      </c>
      <c r="P872" s="3470" t="s">
        <v>3452</v>
      </c>
      <c r="Q872" s="3457">
        <v>397658.60000000003</v>
      </c>
      <c r="R872" s="3470">
        <v>4540</v>
      </c>
      <c r="S872" s="3472">
        <v>39.369999999999997</v>
      </c>
      <c r="T872" s="3527">
        <v>393700</v>
      </c>
      <c r="U872" s="3470">
        <v>4495</v>
      </c>
      <c r="V872" s="3512">
        <v>0.1</v>
      </c>
      <c r="W872" s="3475">
        <v>35.43</v>
      </c>
      <c r="X872" s="3473">
        <v>354300</v>
      </c>
      <c r="Y872" s="3441">
        <v>2003</v>
      </c>
      <c r="Z872" s="3441">
        <v>9</v>
      </c>
      <c r="AA872" s="3470">
        <v>29</v>
      </c>
      <c r="AB872" s="3485">
        <v>1965</v>
      </c>
      <c r="AC872" s="3470" t="s">
        <v>3585</v>
      </c>
      <c r="AD872" s="3485"/>
      <c r="AE872" s="3441" t="s">
        <v>3663</v>
      </c>
      <c r="AF872" s="3470" t="s">
        <v>7198</v>
      </c>
      <c r="AG872" s="3522" t="s">
        <v>3466</v>
      </c>
      <c r="AH872" s="3485" t="s">
        <v>3568</v>
      </c>
      <c r="AI872" s="3470" t="s">
        <v>5021</v>
      </c>
      <c r="AJ872" s="3523">
        <v>38077</v>
      </c>
      <c r="AK872" s="3500">
        <v>9</v>
      </c>
      <c r="AL872" s="3470">
        <v>67641700</v>
      </c>
      <c r="AM872" s="3470"/>
      <c r="AN872" s="3456" t="s">
        <v>3680</v>
      </c>
      <c r="AP872" s="3441" t="s">
        <v>3476</v>
      </c>
      <c r="AQ872" s="3441" t="s">
        <v>3571</v>
      </c>
      <c r="AV872" s="3441" t="s">
        <v>3568</v>
      </c>
      <c r="AW872" s="3441" t="s">
        <v>3572</v>
      </c>
      <c r="AY872" s="3524" t="s">
        <v>9428</v>
      </c>
      <c r="AZ872" s="3441" t="s">
        <v>7653</v>
      </c>
      <c r="BA872" s="3441" t="s">
        <v>7655</v>
      </c>
      <c r="BB872" s="3524" t="s">
        <v>7656</v>
      </c>
      <c r="BC872" s="3441" t="s">
        <v>7657</v>
      </c>
      <c r="BD872" s="3525">
        <v>100025</v>
      </c>
      <c r="BE872" s="3441">
        <v>62908858</v>
      </c>
      <c r="BF872" s="3526">
        <v>2.7</v>
      </c>
      <c r="BG872" s="3518">
        <v>37833</v>
      </c>
      <c r="BH872" s="3441" t="s">
        <v>4681</v>
      </c>
      <c r="BI872" s="3441" t="s">
        <v>3476</v>
      </c>
      <c r="BJ872" s="3508">
        <v>37890</v>
      </c>
      <c r="BK872" s="3518"/>
      <c r="BL872" s="3470" t="s">
        <v>3670</v>
      </c>
      <c r="BS872" s="3470"/>
      <c r="BT872" s="3470"/>
      <c r="BU872" s="3470"/>
    </row>
    <row r="873" spans="1:73" s="3441" customFormat="1" ht="12" hidden="1">
      <c r="A873" s="3453" t="s">
        <v>9429</v>
      </c>
      <c r="B873" s="3470" t="s">
        <v>9430</v>
      </c>
      <c r="C873" s="3481" t="s">
        <v>9431</v>
      </c>
      <c r="D873" s="3481" t="s">
        <v>9432</v>
      </c>
      <c r="E873" s="3470" t="s">
        <v>3558</v>
      </c>
      <c r="F873" s="3528" t="s">
        <v>3733</v>
      </c>
      <c r="G873" s="3470"/>
      <c r="H873" s="3470" t="s">
        <v>9137</v>
      </c>
      <c r="I873" s="3470" t="s">
        <v>4447</v>
      </c>
      <c r="J873" s="3470" t="s">
        <v>9138</v>
      </c>
      <c r="K873" s="3470" t="s">
        <v>3737</v>
      </c>
      <c r="L873" s="3470">
        <v>54.88</v>
      </c>
      <c r="M873" s="3470">
        <v>12</v>
      </c>
      <c r="N873" s="3470" t="s">
        <v>3564</v>
      </c>
      <c r="O873" s="3470">
        <v>43.84</v>
      </c>
      <c r="P873" s="3470" t="s">
        <v>3452</v>
      </c>
      <c r="Q873" s="3492">
        <v>334768</v>
      </c>
      <c r="R873" s="3470">
        <v>6100</v>
      </c>
      <c r="S873" s="3472">
        <v>32.200000000000003</v>
      </c>
      <c r="T873" s="3527">
        <v>322000</v>
      </c>
      <c r="U873" s="3470">
        <v>5868</v>
      </c>
      <c r="V873" s="3474">
        <v>0.1</v>
      </c>
      <c r="W873" s="3475">
        <v>28.98</v>
      </c>
      <c r="X873" s="3494">
        <v>289800</v>
      </c>
      <c r="Y873" s="3441">
        <v>2003</v>
      </c>
      <c r="Z873" s="3441">
        <v>9</v>
      </c>
      <c r="AA873" s="3470">
        <v>29</v>
      </c>
      <c r="AB873" s="3477">
        <v>1610</v>
      </c>
      <c r="AC873" s="3470" t="s">
        <v>9077</v>
      </c>
      <c r="AD873" s="3485"/>
      <c r="AE873" s="3441" t="s">
        <v>3663</v>
      </c>
      <c r="AF873" s="3470" t="s">
        <v>8923</v>
      </c>
      <c r="AG873" s="3522" t="s">
        <v>3466</v>
      </c>
      <c r="AH873" s="3485"/>
      <c r="AI873" s="3470" t="s">
        <v>5021</v>
      </c>
      <c r="AJ873" s="3523">
        <v>38045</v>
      </c>
      <c r="AK873" s="3500">
        <v>9</v>
      </c>
      <c r="AL873" s="3441">
        <v>67641700</v>
      </c>
      <c r="AN873" s="3456" t="s">
        <v>3680</v>
      </c>
      <c r="AO873" s="3441" t="s">
        <v>2420</v>
      </c>
      <c r="AP873" s="3441" t="s">
        <v>3476</v>
      </c>
      <c r="AQ873" s="3441" t="s">
        <v>3571</v>
      </c>
      <c r="AW873" s="3441" t="s">
        <v>3572</v>
      </c>
      <c r="AY873" s="3524" t="s">
        <v>9433</v>
      </c>
      <c r="AZ873" s="3441" t="s">
        <v>3737</v>
      </c>
      <c r="BA873" s="3441" t="s">
        <v>3742</v>
      </c>
      <c r="BB873" s="3524" t="s">
        <v>3743</v>
      </c>
      <c r="BC873" s="3441" t="s">
        <v>3744</v>
      </c>
      <c r="BD873" s="3525">
        <v>100088</v>
      </c>
      <c r="BE873" s="3441">
        <v>82058259</v>
      </c>
      <c r="BF873" s="3526" t="s">
        <v>8595</v>
      </c>
      <c r="BG873" s="3478">
        <v>37859</v>
      </c>
      <c r="BH873" s="3441" t="s">
        <v>4753</v>
      </c>
      <c r="BI873" s="3441" t="s">
        <v>3476</v>
      </c>
      <c r="BJ873" s="3508">
        <v>37890</v>
      </c>
      <c r="BK873" s="3518" t="s">
        <v>6879</v>
      </c>
      <c r="BL873" s="3470" t="s">
        <v>3670</v>
      </c>
      <c r="BS873" s="3470"/>
      <c r="BT873" s="3470"/>
      <c r="BU873" s="3470"/>
    </row>
    <row r="874" spans="1:73" s="3470" customFormat="1" ht="12" hidden="1">
      <c r="A874" s="3470" t="s">
        <v>9434</v>
      </c>
      <c r="B874" s="3470" t="s">
        <v>9435</v>
      </c>
      <c r="C874" s="3470" t="s">
        <v>9436</v>
      </c>
      <c r="D874" s="3470" t="s">
        <v>9437</v>
      </c>
      <c r="E874" s="3470" t="s">
        <v>3558</v>
      </c>
      <c r="F874" s="3470" t="s">
        <v>4716</v>
      </c>
      <c r="H874" s="3470" t="s">
        <v>8697</v>
      </c>
      <c r="I874" s="3470" t="s">
        <v>4965</v>
      </c>
      <c r="J874" s="3470" t="s">
        <v>8520</v>
      </c>
      <c r="K874" s="3470" t="s">
        <v>4720</v>
      </c>
      <c r="L874" s="3470">
        <v>112.37</v>
      </c>
      <c r="M874" s="3470">
        <v>8</v>
      </c>
      <c r="N874" s="3470" t="s">
        <v>8662</v>
      </c>
      <c r="O874" s="3470">
        <v>90.57</v>
      </c>
      <c r="P874" s="3470" t="s">
        <v>3452</v>
      </c>
      <c r="Q874" s="3470">
        <v>533981.70029999991</v>
      </c>
      <c r="R874" s="3470">
        <v>5895.79</v>
      </c>
      <c r="S874" s="3470">
        <v>52.83</v>
      </c>
      <c r="T874" s="3470">
        <v>528300</v>
      </c>
      <c r="U874" s="3470">
        <v>4702</v>
      </c>
      <c r="V874" s="3470">
        <v>0.1</v>
      </c>
      <c r="W874" s="3470">
        <v>47.54</v>
      </c>
      <c r="X874" s="3470">
        <v>475400</v>
      </c>
      <c r="Y874" s="3470">
        <v>2003</v>
      </c>
      <c r="Z874" s="3470">
        <v>9</v>
      </c>
      <c r="AA874" s="3470">
        <v>30</v>
      </c>
      <c r="AB874" s="3470">
        <v>2640</v>
      </c>
      <c r="AC874" s="3470" t="s">
        <v>8971</v>
      </c>
      <c r="AE874" s="3470" t="s">
        <v>3663</v>
      </c>
      <c r="AF874" s="3470" t="s">
        <v>4721</v>
      </c>
      <c r="AG874" s="3470" t="s">
        <v>3466</v>
      </c>
      <c r="AI874" s="3470" t="s">
        <v>5021</v>
      </c>
      <c r="AJ874" s="3470">
        <v>38230</v>
      </c>
      <c r="AK874" s="3470">
        <v>9</v>
      </c>
      <c r="AL874" s="3470">
        <v>67641700</v>
      </c>
      <c r="AN874" s="3470" t="s">
        <v>4699</v>
      </c>
      <c r="AO874" s="3470" t="s">
        <v>3568</v>
      </c>
      <c r="AP874" s="3470" t="s">
        <v>3476</v>
      </c>
      <c r="AQ874" s="3470" t="s">
        <v>3571</v>
      </c>
      <c r="AW874" s="3470" t="s">
        <v>3572</v>
      </c>
      <c r="AY874" s="3481" t="s">
        <v>9438</v>
      </c>
      <c r="AZ874" s="3470" t="s">
        <v>4720</v>
      </c>
      <c r="BA874" s="3470" t="s">
        <v>4725</v>
      </c>
      <c r="BB874" s="3481" t="s">
        <v>4726</v>
      </c>
      <c r="BC874" s="3470" t="s">
        <v>4727</v>
      </c>
      <c r="BD874" s="3482">
        <v>100005</v>
      </c>
      <c r="BE874" s="3470">
        <v>65128628</v>
      </c>
      <c r="BF874" s="3483">
        <v>2.8</v>
      </c>
      <c r="BG874" s="3478">
        <v>37834</v>
      </c>
      <c r="BI874" s="3470" t="s">
        <v>8007</v>
      </c>
      <c r="BJ874" s="3508">
        <v>37893</v>
      </c>
      <c r="BK874" s="3508" t="s">
        <v>3568</v>
      </c>
      <c r="BL874" s="3470" t="s">
        <v>3670</v>
      </c>
      <c r="BP874" s="3441"/>
      <c r="BQ874" s="3441"/>
      <c r="BR874" s="3441"/>
    </row>
    <row r="875" spans="1:73" s="3441" customFormat="1" ht="12" hidden="1">
      <c r="A875" s="3485" t="s">
        <v>9439</v>
      </c>
      <c r="B875" s="3470" t="s">
        <v>9440</v>
      </c>
      <c r="C875" s="3481" t="s">
        <v>9441</v>
      </c>
      <c r="D875" s="3481" t="s">
        <v>9442</v>
      </c>
      <c r="E875" s="3470" t="s">
        <v>3558</v>
      </c>
      <c r="F875" s="3470" t="s">
        <v>7153</v>
      </c>
      <c r="G875" s="3470" t="s">
        <v>3568</v>
      </c>
      <c r="H875" s="3470" t="s">
        <v>5608</v>
      </c>
      <c r="I875" s="3453" t="s">
        <v>3992</v>
      </c>
      <c r="J875" s="3481" t="s">
        <v>9443</v>
      </c>
      <c r="K875" s="3470" t="s">
        <v>6117</v>
      </c>
      <c r="L875" s="3470">
        <v>114.33</v>
      </c>
      <c r="M875" s="3470">
        <v>11</v>
      </c>
      <c r="N875" s="3470" t="s">
        <v>3632</v>
      </c>
      <c r="O875" s="3470">
        <v>96.96</v>
      </c>
      <c r="P875" s="3470" t="s">
        <v>3452</v>
      </c>
      <c r="Q875" s="3457">
        <v>455033.39999999997</v>
      </c>
      <c r="R875" s="3470">
        <v>3980</v>
      </c>
      <c r="S875" s="3472">
        <v>44.95</v>
      </c>
      <c r="T875" s="3527">
        <v>449500</v>
      </c>
      <c r="U875" s="3470">
        <v>3932</v>
      </c>
      <c r="V875" s="3474">
        <v>0.1</v>
      </c>
      <c r="W875" s="3475">
        <v>40.450000000000003</v>
      </c>
      <c r="X875" s="3476">
        <v>404500</v>
      </c>
      <c r="Y875" s="3441">
        <v>2003</v>
      </c>
      <c r="Z875" s="3441">
        <v>10</v>
      </c>
      <c r="AA875" s="3441">
        <v>30</v>
      </c>
      <c r="AB875" s="3477">
        <v>2245</v>
      </c>
      <c r="AC875" s="3470" t="s">
        <v>9007</v>
      </c>
      <c r="AD875" s="3485"/>
      <c r="AE875" s="3441" t="s">
        <v>3663</v>
      </c>
      <c r="AF875" s="3470" t="s">
        <v>7751</v>
      </c>
      <c r="AG875" s="3522" t="s">
        <v>3466</v>
      </c>
      <c r="AH875" s="3485"/>
      <c r="AI875" s="3470" t="s">
        <v>5021</v>
      </c>
      <c r="AJ875" s="3523">
        <v>38108</v>
      </c>
      <c r="AK875" s="3500" t="s">
        <v>8786</v>
      </c>
      <c r="AL875" s="3441">
        <v>67641700</v>
      </c>
      <c r="AN875" s="3456" t="s">
        <v>3680</v>
      </c>
      <c r="AO875" s="3441" t="s">
        <v>9444</v>
      </c>
      <c r="AP875" s="3441" t="s">
        <v>3476</v>
      </c>
      <c r="AQ875" s="3441" t="s">
        <v>3571</v>
      </c>
      <c r="AW875" s="3441" t="s">
        <v>3572</v>
      </c>
      <c r="AY875" s="3524" t="s">
        <v>9445</v>
      </c>
      <c r="AZ875" s="3441" t="s">
        <v>6117</v>
      </c>
      <c r="BA875" s="3441" t="s">
        <v>7157</v>
      </c>
      <c r="BB875" s="3524">
        <v>1102281326100</v>
      </c>
      <c r="BC875" s="3441" t="s">
        <v>7158</v>
      </c>
      <c r="BD875" s="3525">
        <v>100055</v>
      </c>
      <c r="BE875" s="3441">
        <v>82951881</v>
      </c>
      <c r="BF875" s="3526">
        <v>2.8</v>
      </c>
      <c r="BG875" s="3518">
        <v>37893</v>
      </c>
      <c r="BH875" s="3441" t="s">
        <v>4753</v>
      </c>
      <c r="BI875" s="3441" t="s">
        <v>3476</v>
      </c>
      <c r="BJ875" s="3484">
        <v>37922</v>
      </c>
      <c r="BK875" s="3484"/>
      <c r="BL875" s="3470" t="s">
        <v>3670</v>
      </c>
    </row>
    <row r="876" spans="1:73" s="3441" customFormat="1" ht="12" hidden="1">
      <c r="A876" s="3485" t="s">
        <v>9446</v>
      </c>
      <c r="B876" s="3470" t="s">
        <v>9447</v>
      </c>
      <c r="C876" s="3481" t="s">
        <v>9448</v>
      </c>
      <c r="D876" s="3481" t="s">
        <v>9449</v>
      </c>
      <c r="E876" s="3470" t="s">
        <v>3558</v>
      </c>
      <c r="F876" s="3470" t="s">
        <v>7153</v>
      </c>
      <c r="G876" s="3470" t="s">
        <v>3568</v>
      </c>
      <c r="H876" s="3470" t="s">
        <v>9230</v>
      </c>
      <c r="I876" s="3453" t="s">
        <v>4854</v>
      </c>
      <c r="J876" s="3481" t="s">
        <v>9450</v>
      </c>
      <c r="K876" s="3470" t="s">
        <v>6117</v>
      </c>
      <c r="L876" s="3470">
        <v>69.42</v>
      </c>
      <c r="M876" s="3470">
        <v>12</v>
      </c>
      <c r="N876" s="3470" t="s">
        <v>3451</v>
      </c>
      <c r="O876" s="3470">
        <v>56.84</v>
      </c>
      <c r="P876" s="3470" t="s">
        <v>3452</v>
      </c>
      <c r="Q876" s="3457">
        <v>283233.60000000003</v>
      </c>
      <c r="R876" s="3470">
        <v>4080</v>
      </c>
      <c r="S876" s="3472">
        <v>27.97</v>
      </c>
      <c r="T876" s="3527">
        <v>279700</v>
      </c>
      <c r="U876" s="3470">
        <v>4030</v>
      </c>
      <c r="V876" s="3474">
        <v>0.1</v>
      </c>
      <c r="W876" s="3475">
        <v>25.17</v>
      </c>
      <c r="X876" s="3476">
        <v>251700.00000000003</v>
      </c>
      <c r="Y876" s="3441">
        <v>2003</v>
      </c>
      <c r="Z876" s="3441">
        <v>10</v>
      </c>
      <c r="AA876" s="3470">
        <v>29</v>
      </c>
      <c r="AB876" s="3477">
        <v>1395</v>
      </c>
      <c r="AC876" s="3470" t="s">
        <v>8752</v>
      </c>
      <c r="AD876" s="3485"/>
      <c r="AE876" s="3441" t="s">
        <v>3663</v>
      </c>
      <c r="AF876" s="3470" t="s">
        <v>7751</v>
      </c>
      <c r="AG876" s="3522" t="s">
        <v>3466</v>
      </c>
      <c r="AH876" s="3485"/>
      <c r="AI876" s="3470" t="s">
        <v>5021</v>
      </c>
      <c r="AJ876" s="3523">
        <v>38352</v>
      </c>
      <c r="AK876" s="3500" t="s">
        <v>8786</v>
      </c>
      <c r="AL876" s="3441">
        <v>67641700</v>
      </c>
      <c r="AN876" s="3456" t="s">
        <v>3680</v>
      </c>
      <c r="AO876" s="3441" t="s">
        <v>9451</v>
      </c>
      <c r="AP876" s="3441" t="s">
        <v>3476</v>
      </c>
      <c r="AQ876" s="3441" t="s">
        <v>3571</v>
      </c>
      <c r="AW876" s="3441" t="s">
        <v>3572</v>
      </c>
      <c r="AY876" s="3524" t="s">
        <v>9452</v>
      </c>
      <c r="AZ876" s="3441" t="s">
        <v>6117</v>
      </c>
      <c r="BA876" s="3441" t="s">
        <v>7157</v>
      </c>
      <c r="BB876" s="3524">
        <v>1102281326100</v>
      </c>
      <c r="BC876" s="3441" t="s">
        <v>7158</v>
      </c>
      <c r="BD876" s="3525">
        <v>100055</v>
      </c>
      <c r="BE876" s="3441">
        <v>82951881</v>
      </c>
      <c r="BF876" s="3526">
        <v>2.8</v>
      </c>
      <c r="BG876" s="3518">
        <v>37891</v>
      </c>
      <c r="BH876" s="3441" t="s">
        <v>4753</v>
      </c>
      <c r="BI876" s="3441" t="s">
        <v>3476</v>
      </c>
      <c r="BJ876" s="3484">
        <v>37902</v>
      </c>
      <c r="BK876" s="3484"/>
      <c r="BL876" s="3470" t="s">
        <v>3670</v>
      </c>
    </row>
    <row r="877" spans="1:73" s="3441" customFormat="1" ht="12" hidden="1">
      <c r="A877" s="3485" t="s">
        <v>9453</v>
      </c>
      <c r="B877" s="3470" t="s">
        <v>9454</v>
      </c>
      <c r="C877" s="3481" t="s">
        <v>9455</v>
      </c>
      <c r="D877" s="3481" t="s">
        <v>9456</v>
      </c>
      <c r="E877" s="3470" t="s">
        <v>3558</v>
      </c>
      <c r="F877" s="3470" t="s">
        <v>7153</v>
      </c>
      <c r="G877" s="3470" t="s">
        <v>3568</v>
      </c>
      <c r="H877" s="3470" t="s">
        <v>5608</v>
      </c>
      <c r="I877" s="3453" t="s">
        <v>9076</v>
      </c>
      <c r="J877" s="3481" t="s">
        <v>6889</v>
      </c>
      <c r="K877" s="3470" t="s">
        <v>6117</v>
      </c>
      <c r="L877" s="3470">
        <v>114.33</v>
      </c>
      <c r="M877" s="3470">
        <v>10</v>
      </c>
      <c r="N877" s="3470" t="s">
        <v>4336</v>
      </c>
      <c r="O877" s="3470">
        <v>96.96</v>
      </c>
      <c r="P877" s="3470" t="s">
        <v>3452</v>
      </c>
      <c r="Q877" s="3457">
        <v>452746.8</v>
      </c>
      <c r="R877" s="3470">
        <v>3960</v>
      </c>
      <c r="S877" s="3472">
        <v>44.72</v>
      </c>
      <c r="T877" s="3527">
        <v>447200</v>
      </c>
      <c r="U877" s="3470">
        <v>3912</v>
      </c>
      <c r="V877" s="3474">
        <v>0.1</v>
      </c>
      <c r="W877" s="3475">
        <v>40.24</v>
      </c>
      <c r="X877" s="3476">
        <v>402400</v>
      </c>
      <c r="Y877" s="3441">
        <v>2003</v>
      </c>
      <c r="Z877" s="3441">
        <v>10</v>
      </c>
      <c r="AA877" s="3470">
        <v>27</v>
      </c>
      <c r="AB877" s="3477">
        <v>2235</v>
      </c>
      <c r="AC877" s="3470" t="s">
        <v>9107</v>
      </c>
      <c r="AD877" s="3485"/>
      <c r="AE877" s="3441" t="s">
        <v>3663</v>
      </c>
      <c r="AF877" s="3470" t="s">
        <v>8994</v>
      </c>
      <c r="AG877" s="3522" t="s">
        <v>3466</v>
      </c>
      <c r="AH877" s="3485"/>
      <c r="AI877" s="3470" t="s">
        <v>5021</v>
      </c>
      <c r="AJ877" s="3523">
        <v>38108</v>
      </c>
      <c r="AK877" s="3500" t="s">
        <v>9283</v>
      </c>
      <c r="AL877" s="3441">
        <v>67641700</v>
      </c>
      <c r="AN877" s="3456" t="s">
        <v>3680</v>
      </c>
      <c r="AO877" s="3441" t="s">
        <v>9457</v>
      </c>
      <c r="AP877" s="3441" t="s">
        <v>3476</v>
      </c>
      <c r="AQ877" s="3441" t="s">
        <v>3571</v>
      </c>
      <c r="AW877" s="3441" t="s">
        <v>3572</v>
      </c>
      <c r="AY877" s="3524" t="s">
        <v>9458</v>
      </c>
      <c r="AZ877" s="3441" t="s">
        <v>6117</v>
      </c>
      <c r="BA877" s="3441" t="s">
        <v>7157</v>
      </c>
      <c r="BB877" s="3524">
        <v>1102281326100</v>
      </c>
      <c r="BC877" s="3441" t="s">
        <v>7158</v>
      </c>
      <c r="BD877" s="3525">
        <v>100055</v>
      </c>
      <c r="BE877" s="3441">
        <v>82951881</v>
      </c>
      <c r="BF877" s="3526">
        <v>2.8</v>
      </c>
      <c r="BG877" s="3518">
        <v>37891</v>
      </c>
      <c r="BH877" s="3441" t="s">
        <v>4753</v>
      </c>
      <c r="BI877" s="3441" t="s">
        <v>3476</v>
      </c>
      <c r="BJ877" s="3484">
        <v>37902</v>
      </c>
      <c r="BK877" s="3484"/>
      <c r="BL877" s="3470" t="s">
        <v>3670</v>
      </c>
    </row>
    <row r="878" spans="1:73" s="3470" customFormat="1" ht="12" hidden="1">
      <c r="A878" s="3470" t="s">
        <v>9459</v>
      </c>
      <c r="B878" s="3470" t="s">
        <v>9460</v>
      </c>
      <c r="C878" s="3470" t="s">
        <v>9461</v>
      </c>
      <c r="D878" s="3470">
        <v>68170033</v>
      </c>
      <c r="E878" s="3470" t="s">
        <v>3558</v>
      </c>
      <c r="F878" s="3470" t="s">
        <v>4758</v>
      </c>
      <c r="H878" s="3470" t="s">
        <v>3979</v>
      </c>
      <c r="I878" s="3470" t="s">
        <v>4001</v>
      </c>
      <c r="J878" s="3470" t="s">
        <v>5629</v>
      </c>
      <c r="K878" s="3470" t="s">
        <v>4760</v>
      </c>
      <c r="L878" s="3470">
        <v>125.23</v>
      </c>
      <c r="M878" s="3470">
        <v>2</v>
      </c>
      <c r="N878" s="3470" t="s">
        <v>3738</v>
      </c>
      <c r="O878" s="3470">
        <v>108.84</v>
      </c>
      <c r="P878" s="3470" t="s">
        <v>3452</v>
      </c>
      <c r="Q878" s="3470">
        <v>598599.4</v>
      </c>
      <c r="R878" s="3470">
        <v>4780</v>
      </c>
      <c r="S878" s="3470">
        <v>59.25</v>
      </c>
      <c r="T878" s="3470">
        <v>592500</v>
      </c>
      <c r="U878" s="3470">
        <v>4732</v>
      </c>
      <c r="V878" s="3470">
        <v>0.1</v>
      </c>
      <c r="W878" s="3470">
        <v>53.32</v>
      </c>
      <c r="X878" s="3470">
        <v>533200</v>
      </c>
      <c r="Y878" s="3470">
        <v>2003</v>
      </c>
      <c r="Z878" s="3470">
        <v>10</v>
      </c>
      <c r="AA878" s="3470">
        <v>9</v>
      </c>
      <c r="AB878" s="3470">
        <v>2960</v>
      </c>
      <c r="AC878" s="3470" t="s">
        <v>9328</v>
      </c>
      <c r="AE878" s="3470" t="s">
        <v>3663</v>
      </c>
      <c r="AF878" s="3470" t="s">
        <v>4032</v>
      </c>
      <c r="AG878" s="3470" t="s">
        <v>3466</v>
      </c>
      <c r="AH878" s="3470" t="s">
        <v>3568</v>
      </c>
      <c r="AI878" s="3470" t="s">
        <v>5021</v>
      </c>
      <c r="AJ878" s="3470">
        <v>38107</v>
      </c>
      <c r="AK878" s="3470" t="s">
        <v>4744</v>
      </c>
      <c r="AL878" s="3470">
        <v>67641700</v>
      </c>
      <c r="AN878" s="3470" t="s">
        <v>3570</v>
      </c>
      <c r="AP878" s="3470" t="s">
        <v>3476</v>
      </c>
      <c r="AQ878" s="3470" t="s">
        <v>3571</v>
      </c>
      <c r="AV878" s="3470" t="s">
        <v>3568</v>
      </c>
      <c r="AW878" s="3470" t="s">
        <v>3572</v>
      </c>
      <c r="AX878" s="3470" t="s">
        <v>3568</v>
      </c>
      <c r="AY878" s="3481">
        <v>531341</v>
      </c>
      <c r="AZ878" s="3470" t="s">
        <v>4760</v>
      </c>
      <c r="BA878" s="3470" t="s">
        <v>4763</v>
      </c>
      <c r="BB878" s="3481" t="s">
        <v>4764</v>
      </c>
      <c r="BC878" s="3470" t="s">
        <v>4765</v>
      </c>
      <c r="BD878" s="3482">
        <v>102607</v>
      </c>
      <c r="BE878" s="3470">
        <v>68156287</v>
      </c>
      <c r="BF878" s="3483">
        <v>2.8</v>
      </c>
      <c r="BG878" s="3478">
        <v>37856</v>
      </c>
      <c r="BI878" s="3470" t="s">
        <v>3476</v>
      </c>
      <c r="BJ878" s="3508">
        <v>37902</v>
      </c>
      <c r="BK878" s="3508"/>
      <c r="BL878" s="3470" t="s">
        <v>3670</v>
      </c>
      <c r="BP878" s="3441"/>
      <c r="BQ878" s="3441"/>
      <c r="BR878" s="3441"/>
    </row>
    <row r="879" spans="1:73" s="3470" customFormat="1" ht="12" hidden="1">
      <c r="A879" s="3470" t="s">
        <v>9462</v>
      </c>
      <c r="B879" s="3470" t="s">
        <v>9463</v>
      </c>
      <c r="C879" s="3470" t="s">
        <v>9464</v>
      </c>
      <c r="D879" s="3470" t="s">
        <v>9465</v>
      </c>
      <c r="E879" s="3470" t="s">
        <v>3558</v>
      </c>
      <c r="F879" s="3470" t="s">
        <v>4716</v>
      </c>
      <c r="H879" s="3470" t="s">
        <v>8697</v>
      </c>
      <c r="I879" s="3470" t="s">
        <v>4965</v>
      </c>
      <c r="J879" s="3470" t="s">
        <v>7613</v>
      </c>
      <c r="K879" s="3470" t="s">
        <v>4720</v>
      </c>
      <c r="L879" s="3470">
        <v>132.21</v>
      </c>
      <c r="M879" s="3470">
        <v>9</v>
      </c>
      <c r="N879" s="3470" t="s">
        <v>4003</v>
      </c>
      <c r="O879" s="3470">
        <v>106.56</v>
      </c>
      <c r="P879" s="3470" t="s">
        <v>3633</v>
      </c>
      <c r="Q879" s="3470">
        <v>496878.62399999995</v>
      </c>
      <c r="R879" s="3470">
        <v>4662.8999999999996</v>
      </c>
      <c r="S879" s="3470">
        <v>61.01</v>
      </c>
      <c r="T879" s="3470">
        <v>610100</v>
      </c>
      <c r="U879" s="3470">
        <v>4615</v>
      </c>
      <c r="V879" s="3470">
        <v>0.1</v>
      </c>
      <c r="W879" s="3470">
        <v>54.9</v>
      </c>
      <c r="X879" s="3470">
        <v>549000</v>
      </c>
      <c r="Y879" s="3470">
        <v>2003</v>
      </c>
      <c r="Z879" s="3470">
        <v>10</v>
      </c>
      <c r="AA879" s="3470">
        <v>9</v>
      </c>
      <c r="AB879" s="3470">
        <v>3050</v>
      </c>
      <c r="AC879" s="3470" t="s">
        <v>9328</v>
      </c>
      <c r="AE879" s="3470" t="s">
        <v>3663</v>
      </c>
      <c r="AF879" s="3470" t="s">
        <v>4721</v>
      </c>
      <c r="AG879" s="3470" t="s">
        <v>3466</v>
      </c>
      <c r="AI879" s="3470" t="s">
        <v>5021</v>
      </c>
      <c r="AJ879" s="3470">
        <v>38230</v>
      </c>
      <c r="AK879" s="3470" t="s">
        <v>4744</v>
      </c>
      <c r="AL879" s="3470">
        <v>67641700</v>
      </c>
      <c r="AN879" s="3470" t="s">
        <v>3695</v>
      </c>
      <c r="AO879" s="3470" t="s">
        <v>3568</v>
      </c>
      <c r="AP879" s="3470" t="s">
        <v>3476</v>
      </c>
      <c r="AQ879" s="3470" t="s">
        <v>3571</v>
      </c>
      <c r="AW879" s="3470" t="s">
        <v>3572</v>
      </c>
      <c r="AY879" s="3481" t="s">
        <v>9466</v>
      </c>
      <c r="AZ879" s="3470" t="s">
        <v>4720</v>
      </c>
      <c r="BA879" s="3470" t="s">
        <v>4725</v>
      </c>
      <c r="BB879" s="3481" t="s">
        <v>8700</v>
      </c>
      <c r="BC879" s="3470" t="s">
        <v>4727</v>
      </c>
      <c r="BD879" s="3482">
        <v>100005</v>
      </c>
      <c r="BE879" s="3470">
        <v>65128628</v>
      </c>
      <c r="BF879" s="3483">
        <v>2.8</v>
      </c>
      <c r="BG879" s="3478">
        <v>37841</v>
      </c>
      <c r="BI879" s="3470" t="s">
        <v>8007</v>
      </c>
      <c r="BJ879" s="3508">
        <v>37902</v>
      </c>
      <c r="BK879" s="3508" t="s">
        <v>3568</v>
      </c>
      <c r="BL879" s="3470" t="s">
        <v>3670</v>
      </c>
      <c r="BP879" s="3441"/>
      <c r="BQ879" s="3441"/>
      <c r="BR879" s="3441"/>
    </row>
    <row r="880" spans="1:73" s="3441" customFormat="1" ht="12">
      <c r="A880" s="3485" t="s">
        <v>9467</v>
      </c>
      <c r="B880" s="3470" t="s">
        <v>9468</v>
      </c>
      <c r="C880" s="3481" t="s">
        <v>9469</v>
      </c>
      <c r="D880" s="3481" t="s">
        <v>9470</v>
      </c>
      <c r="E880" s="3470" t="s">
        <v>2736</v>
      </c>
      <c r="F880" s="3687" t="s">
        <v>9471</v>
      </c>
      <c r="G880" s="3470"/>
      <c r="H880" s="3470" t="s">
        <v>2420</v>
      </c>
      <c r="I880" s="3470" t="s">
        <v>7204</v>
      </c>
      <c r="J880" s="3481" t="s">
        <v>4708</v>
      </c>
      <c r="K880" s="3470" t="s">
        <v>9472</v>
      </c>
      <c r="L880" s="3470">
        <v>48.03</v>
      </c>
      <c r="M880" s="3470">
        <v>9</v>
      </c>
      <c r="N880" s="3470" t="s">
        <v>7131</v>
      </c>
      <c r="O880" s="3470">
        <v>37.29</v>
      </c>
      <c r="P880" s="3470" t="s">
        <v>3452</v>
      </c>
      <c r="Q880" s="3457">
        <v>333808.5</v>
      </c>
      <c r="R880" s="3470">
        <v>6950</v>
      </c>
      <c r="S880" s="3472">
        <v>31.65</v>
      </c>
      <c r="T880" s="3527">
        <v>316500</v>
      </c>
      <c r="U880" s="3495">
        <v>6591</v>
      </c>
      <c r="V880" s="3474">
        <v>0.1</v>
      </c>
      <c r="W880" s="3475">
        <v>28.48</v>
      </c>
      <c r="X880" s="3473">
        <v>284800</v>
      </c>
      <c r="Y880" s="3495">
        <v>2003</v>
      </c>
      <c r="Z880" s="3441">
        <v>10</v>
      </c>
      <c r="AA880" s="3441">
        <v>24</v>
      </c>
      <c r="AB880" s="3477">
        <v>1580</v>
      </c>
      <c r="AC880" s="3470" t="s">
        <v>4761</v>
      </c>
      <c r="AD880" s="3485"/>
      <c r="AE880" s="3441" t="s">
        <v>3663</v>
      </c>
      <c r="AF880" s="3470" t="s">
        <v>7198</v>
      </c>
      <c r="AG880" s="3522" t="s">
        <v>3466</v>
      </c>
      <c r="AH880" s="3485"/>
      <c r="AI880" s="3470" t="s">
        <v>5021</v>
      </c>
      <c r="AJ880" s="3523">
        <v>38107</v>
      </c>
      <c r="AK880" s="3500" t="s">
        <v>9283</v>
      </c>
      <c r="AL880" s="3441">
        <v>67641700</v>
      </c>
      <c r="AN880" s="3456" t="s">
        <v>3739</v>
      </c>
      <c r="AP880" s="3441" t="s">
        <v>3476</v>
      </c>
      <c r="AQ880" s="3441" t="s">
        <v>3571</v>
      </c>
      <c r="AW880" s="3441" t="s">
        <v>3572</v>
      </c>
      <c r="AY880" s="3524" t="s">
        <v>9473</v>
      </c>
      <c r="AZ880" s="3470" t="s">
        <v>8795</v>
      </c>
      <c r="BA880" s="3441" t="s">
        <v>9474</v>
      </c>
      <c r="BB880" s="3524" t="s">
        <v>8799</v>
      </c>
      <c r="BC880" s="3441" t="s">
        <v>9475</v>
      </c>
      <c r="BD880" s="3525" t="s">
        <v>2420</v>
      </c>
      <c r="BE880" s="3441" t="s">
        <v>2420</v>
      </c>
      <c r="BF880" s="3526">
        <v>2.8</v>
      </c>
      <c r="BG880" s="3518">
        <v>37859</v>
      </c>
      <c r="BH880" s="3441" t="s">
        <v>8865</v>
      </c>
      <c r="BI880" s="3441" t="s">
        <v>3476</v>
      </c>
      <c r="BJ880" s="3484">
        <v>37902</v>
      </c>
      <c r="BK880" s="3484">
        <v>37908</v>
      </c>
      <c r="BL880" s="3470" t="s">
        <v>3670</v>
      </c>
    </row>
    <row r="881" spans="1:71" s="3470" customFormat="1" ht="12" hidden="1">
      <c r="A881" s="3470" t="s">
        <v>9476</v>
      </c>
      <c r="B881" s="3470" t="s">
        <v>9477</v>
      </c>
      <c r="C881" s="3470" t="s">
        <v>9478</v>
      </c>
      <c r="D881" s="3470" t="s">
        <v>9479</v>
      </c>
      <c r="E881" s="3470" t="s">
        <v>3558</v>
      </c>
      <c r="F881" s="3470" t="s">
        <v>4645</v>
      </c>
      <c r="H881" s="3470" t="s">
        <v>4684</v>
      </c>
      <c r="I881" s="3470" t="s">
        <v>9316</v>
      </c>
      <c r="J881" s="3470" t="s">
        <v>9480</v>
      </c>
      <c r="K881" s="3470" t="s">
        <v>4649</v>
      </c>
      <c r="L881" s="3470">
        <v>86.06</v>
      </c>
      <c r="M881" s="3470">
        <v>12</v>
      </c>
      <c r="N881" s="3470" t="s">
        <v>3564</v>
      </c>
      <c r="O881" s="3470">
        <v>67.84</v>
      </c>
      <c r="P881" s="3470" t="s">
        <v>3452</v>
      </c>
      <c r="Q881" s="3470">
        <v>617136.26</v>
      </c>
      <c r="R881" s="3470">
        <v>7171</v>
      </c>
      <c r="S881" s="3470">
        <v>61.29</v>
      </c>
      <c r="T881" s="3470">
        <v>612900</v>
      </c>
      <c r="U881" s="3470">
        <v>7122</v>
      </c>
      <c r="V881" s="3470">
        <v>0.1</v>
      </c>
      <c r="W881" s="3470">
        <v>55.16</v>
      </c>
      <c r="X881" s="3470">
        <v>551600</v>
      </c>
      <c r="Y881" s="3470">
        <v>2003</v>
      </c>
      <c r="Z881" s="3470">
        <v>10</v>
      </c>
      <c r="AA881" s="3470">
        <v>9</v>
      </c>
      <c r="AB881" s="3470">
        <v>3060</v>
      </c>
      <c r="AC881" s="3470" t="s">
        <v>9328</v>
      </c>
      <c r="AE881" s="3470" t="s">
        <v>3663</v>
      </c>
      <c r="AF881" s="3470" t="s">
        <v>3728</v>
      </c>
      <c r="AG881" s="3470" t="s">
        <v>3466</v>
      </c>
      <c r="AI881" s="3470" t="s">
        <v>5021</v>
      </c>
      <c r="AJ881" s="3470">
        <v>38199</v>
      </c>
      <c r="AK881" s="3470" t="s">
        <v>4744</v>
      </c>
      <c r="AL881" s="3470">
        <v>67641700</v>
      </c>
      <c r="AN881" s="3470" t="s">
        <v>3570</v>
      </c>
      <c r="AP881" s="3470" t="s">
        <v>3476</v>
      </c>
      <c r="AQ881" s="3470" t="s">
        <v>3571</v>
      </c>
      <c r="AW881" s="3470" t="s">
        <v>3572</v>
      </c>
      <c r="AX881" s="3470" t="s">
        <v>3568</v>
      </c>
      <c r="AY881" s="3481" t="s">
        <v>9481</v>
      </c>
      <c r="AZ881" s="3470" t="s">
        <v>4654</v>
      </c>
      <c r="BA881" s="3470" t="s">
        <v>4688</v>
      </c>
      <c r="BB881" s="3481" t="s">
        <v>4689</v>
      </c>
      <c r="BC881" s="3470" t="s">
        <v>4656</v>
      </c>
      <c r="BD881" s="3482">
        <v>100037</v>
      </c>
      <c r="BE881" s="3470">
        <v>68347718</v>
      </c>
      <c r="BF881" s="3483">
        <v>2.8</v>
      </c>
      <c r="BG881" s="3478">
        <v>37885</v>
      </c>
      <c r="BH881" s="3470" t="s">
        <v>4681</v>
      </c>
      <c r="BI881" s="3470" t="s">
        <v>3476</v>
      </c>
      <c r="BJ881" s="3508">
        <v>37902</v>
      </c>
      <c r="BK881" s="3508"/>
      <c r="BL881" s="3470" t="s">
        <v>3670</v>
      </c>
      <c r="BP881" s="3441"/>
      <c r="BQ881" s="3441"/>
      <c r="BR881" s="3441"/>
    </row>
    <row r="882" spans="1:71" s="3470" customFormat="1" ht="12" hidden="1">
      <c r="A882" s="3485" t="s">
        <v>9482</v>
      </c>
      <c r="B882" s="3470" t="s">
        <v>9483</v>
      </c>
      <c r="C882" s="3481" t="s">
        <v>9484</v>
      </c>
      <c r="D882" s="3470">
        <v>13501330676</v>
      </c>
      <c r="E882" s="3470" t="s">
        <v>3558</v>
      </c>
      <c r="F882" s="3470" t="s">
        <v>5335</v>
      </c>
      <c r="H882" s="3453" t="s">
        <v>9485</v>
      </c>
      <c r="J882" s="3470" t="s">
        <v>9486</v>
      </c>
      <c r="K882" s="3470" t="s">
        <v>5338</v>
      </c>
      <c r="L882" s="3470">
        <v>147.93</v>
      </c>
      <c r="M882" s="3470">
        <v>10</v>
      </c>
      <c r="N882" s="3470" t="s">
        <v>3816</v>
      </c>
      <c r="O882" s="3470">
        <v>122.02</v>
      </c>
      <c r="P882" s="3470" t="s">
        <v>3452</v>
      </c>
      <c r="Q882" s="3616">
        <v>676668.80249999999</v>
      </c>
      <c r="R882" s="3470">
        <v>4574.25</v>
      </c>
      <c r="S882" s="3472">
        <v>66.98</v>
      </c>
      <c r="T882" s="3550">
        <v>669800</v>
      </c>
      <c r="U882" s="3470">
        <v>4528</v>
      </c>
      <c r="V882" s="3474">
        <v>0.1</v>
      </c>
      <c r="W882" s="3475">
        <v>60.28</v>
      </c>
      <c r="X882" s="3511">
        <v>602800</v>
      </c>
      <c r="Y882" s="3470">
        <v>2003</v>
      </c>
      <c r="Z882" s="3441">
        <v>10</v>
      </c>
      <c r="AA882" s="3470">
        <v>23</v>
      </c>
      <c r="AB882" s="3485">
        <v>3345</v>
      </c>
      <c r="AC882" s="3470" t="s">
        <v>9487</v>
      </c>
      <c r="AE882" s="3470" t="s">
        <v>3663</v>
      </c>
      <c r="AF882" s="3470" t="s">
        <v>4721</v>
      </c>
      <c r="AG882" s="3470" t="s">
        <v>3466</v>
      </c>
      <c r="AH882" s="3470" t="s">
        <v>3568</v>
      </c>
      <c r="AI882" s="3470" t="s">
        <v>5021</v>
      </c>
      <c r="AJ882" s="3478">
        <v>38138</v>
      </c>
      <c r="AK882" s="3500" t="s">
        <v>8786</v>
      </c>
      <c r="AL882" s="3441">
        <v>67641700</v>
      </c>
      <c r="AM882" s="3441"/>
      <c r="AN882" s="3456" t="s">
        <v>3739</v>
      </c>
      <c r="AO882" s="3470" t="s">
        <v>9488</v>
      </c>
      <c r="AP882" s="3456" t="s">
        <v>3476</v>
      </c>
      <c r="AQ882" s="3470" t="s">
        <v>3571</v>
      </c>
      <c r="AV882" s="3470" t="s">
        <v>3568</v>
      </c>
      <c r="AW882" s="3470" t="s">
        <v>3572</v>
      </c>
      <c r="AY882" s="3470">
        <v>267102</v>
      </c>
      <c r="AZ882" s="3470" t="s">
        <v>5338</v>
      </c>
      <c r="BA882" s="3470" t="s">
        <v>5342</v>
      </c>
      <c r="BB882" s="3470" t="s">
        <v>5343</v>
      </c>
      <c r="BC882" s="3470" t="s">
        <v>5344</v>
      </c>
      <c r="BD882" s="3470">
        <v>102488</v>
      </c>
      <c r="BE882" s="3470">
        <v>63023627</v>
      </c>
      <c r="BF882" s="3506">
        <v>2.8</v>
      </c>
      <c r="BG882" s="3478">
        <v>37881</v>
      </c>
      <c r="BI882" s="3441" t="s">
        <v>3476</v>
      </c>
      <c r="BJ882" s="3484">
        <v>37915</v>
      </c>
      <c r="BL882" s="3470" t="s">
        <v>3670</v>
      </c>
      <c r="BP882" s="3441"/>
      <c r="BQ882" s="3441"/>
      <c r="BR882" s="3441"/>
      <c r="BS882" s="3441"/>
    </row>
    <row r="883" spans="1:71" s="3470" customFormat="1" ht="12" hidden="1">
      <c r="A883" s="3470" t="s">
        <v>9489</v>
      </c>
      <c r="B883" s="3470" t="s">
        <v>9490</v>
      </c>
      <c r="C883" s="3470" t="s">
        <v>9491</v>
      </c>
      <c r="D883" s="3470">
        <v>13301173258</v>
      </c>
      <c r="E883" s="3470" t="s">
        <v>3558</v>
      </c>
      <c r="F883" s="3470" t="s">
        <v>9492</v>
      </c>
      <c r="H883" s="3470" t="s">
        <v>5662</v>
      </c>
      <c r="I883" s="3470" t="s">
        <v>4019</v>
      </c>
      <c r="J883" s="3470" t="s">
        <v>5019</v>
      </c>
      <c r="K883" s="3470" t="s">
        <v>9493</v>
      </c>
      <c r="L883" s="3470">
        <v>171.37</v>
      </c>
      <c r="M883" s="3470" t="s">
        <v>5631</v>
      </c>
      <c r="N883" s="3470" t="s">
        <v>4003</v>
      </c>
      <c r="O883" s="3470">
        <v>156.62</v>
      </c>
      <c r="P883" s="3470" t="s">
        <v>4222</v>
      </c>
      <c r="Q883" s="3470">
        <v>1050607.7768000001</v>
      </c>
      <c r="R883" s="3470">
        <v>6130.64</v>
      </c>
      <c r="S883" s="3470">
        <v>105.01</v>
      </c>
      <c r="T883" s="3470">
        <v>1050100</v>
      </c>
      <c r="U883" s="3470">
        <v>6128</v>
      </c>
      <c r="V883" s="3470">
        <v>0.1</v>
      </c>
      <c r="W883" s="3470">
        <v>94.5</v>
      </c>
      <c r="X883" s="3470">
        <v>945000</v>
      </c>
      <c r="Y883" s="3470">
        <v>2003</v>
      </c>
      <c r="Z883" s="3470">
        <v>10</v>
      </c>
      <c r="AA883" s="3470">
        <v>10</v>
      </c>
      <c r="AB883" s="3470">
        <v>5125</v>
      </c>
      <c r="AC883" s="3470" t="s">
        <v>9328</v>
      </c>
      <c r="AE883" s="3470" t="s">
        <v>3663</v>
      </c>
      <c r="AF883" s="3470" t="s">
        <v>4032</v>
      </c>
      <c r="AG883" s="3470" t="s">
        <v>3466</v>
      </c>
      <c r="AI883" s="3470" t="s">
        <v>5021</v>
      </c>
      <c r="AJ883" s="3470">
        <v>37986</v>
      </c>
      <c r="AK883" s="3470" t="s">
        <v>4744</v>
      </c>
      <c r="AL883" s="3470">
        <v>67641700</v>
      </c>
      <c r="AN883" s="3470" t="s">
        <v>3570</v>
      </c>
      <c r="AO883" s="3470" t="s">
        <v>3568</v>
      </c>
      <c r="AP883" s="3470" t="s">
        <v>3476</v>
      </c>
      <c r="AQ883" s="3470" t="s">
        <v>3571</v>
      </c>
      <c r="AW883" s="3470" t="s">
        <v>3572</v>
      </c>
      <c r="AY883" s="3481">
        <v>301101</v>
      </c>
      <c r="AZ883" s="3470" t="s">
        <v>9493</v>
      </c>
      <c r="BA883" s="3470" t="s">
        <v>9494</v>
      </c>
      <c r="BB883" s="3481" t="s">
        <v>9495</v>
      </c>
      <c r="BC883" s="3470" t="s">
        <v>9496</v>
      </c>
      <c r="BD883" s="3482">
        <v>101200</v>
      </c>
      <c r="BE883" s="3470">
        <v>69969345</v>
      </c>
      <c r="BF883" s="3483">
        <v>3.2</v>
      </c>
      <c r="BG883" s="3478">
        <v>37856</v>
      </c>
      <c r="BI883" s="3470" t="s">
        <v>3476</v>
      </c>
      <c r="BJ883" s="3508">
        <v>37903</v>
      </c>
      <c r="BK883" s="3508"/>
      <c r="BL883" s="3470" t="s">
        <v>3670</v>
      </c>
      <c r="BP883" s="3441"/>
      <c r="BQ883" s="3441"/>
      <c r="BR883" s="3441"/>
    </row>
    <row r="884" spans="1:71" s="3441" customFormat="1" ht="12" hidden="1">
      <c r="A884" s="3485" t="s">
        <v>9497</v>
      </c>
      <c r="B884" s="3470" t="s">
        <v>9498</v>
      </c>
      <c r="C884" s="3481" t="s">
        <v>9499</v>
      </c>
      <c r="D884" s="3481" t="s">
        <v>9500</v>
      </c>
      <c r="E884" s="3470" t="s">
        <v>3558</v>
      </c>
      <c r="F884" s="3521" t="s">
        <v>8618</v>
      </c>
      <c r="G884" s="3470"/>
      <c r="H884" s="3470" t="s">
        <v>7226</v>
      </c>
      <c r="I884" s="3470" t="s">
        <v>3992</v>
      </c>
      <c r="J884" s="3481" t="s">
        <v>9501</v>
      </c>
      <c r="K884" s="3470" t="s">
        <v>8620</v>
      </c>
      <c r="L884" s="3470">
        <v>156.12</v>
      </c>
      <c r="M884" s="3470">
        <v>1</v>
      </c>
      <c r="N884" s="3470" t="s">
        <v>4003</v>
      </c>
      <c r="O884" s="3470">
        <v>138.35</v>
      </c>
      <c r="P884" s="3470" t="s">
        <v>3452</v>
      </c>
      <c r="Q884" s="3457">
        <v>1019166.9720000001</v>
      </c>
      <c r="R884" s="3470">
        <v>6528.1</v>
      </c>
      <c r="S884" s="3472">
        <v>101</v>
      </c>
      <c r="T884" s="3527">
        <v>1010000</v>
      </c>
      <c r="U884" s="3470">
        <v>6470</v>
      </c>
      <c r="V884" s="3474">
        <v>0.05</v>
      </c>
      <c r="W884" s="3475">
        <v>95.95</v>
      </c>
      <c r="X884" s="3476">
        <v>959500</v>
      </c>
      <c r="Y884" s="3441">
        <v>2003</v>
      </c>
      <c r="Z884" s="3441">
        <v>10</v>
      </c>
      <c r="AA884" s="3441">
        <v>10</v>
      </c>
      <c r="AB884" s="3477">
        <v>5025</v>
      </c>
      <c r="AC884" s="3470" t="s">
        <v>9502</v>
      </c>
      <c r="AD884" s="3485"/>
      <c r="AE884" s="3441" t="s">
        <v>3663</v>
      </c>
      <c r="AF884" s="3470" t="s">
        <v>3453</v>
      </c>
      <c r="AG884" s="3522" t="s">
        <v>3466</v>
      </c>
      <c r="AH884" s="3485"/>
      <c r="AI884" s="3470" t="s">
        <v>7643</v>
      </c>
      <c r="AJ884" s="3523">
        <v>37955</v>
      </c>
      <c r="AK884" s="3500" t="s">
        <v>8786</v>
      </c>
      <c r="AL884" s="3441">
        <v>67641700</v>
      </c>
      <c r="AN884" s="3441" t="s">
        <v>3695</v>
      </c>
      <c r="AP884" s="3441" t="s">
        <v>3476</v>
      </c>
      <c r="AQ884" s="3441" t="s">
        <v>9503</v>
      </c>
      <c r="AR884" s="3441">
        <v>2003</v>
      </c>
      <c r="AS884" s="3441">
        <v>10</v>
      </c>
      <c r="AT884" s="3441">
        <v>13</v>
      </c>
      <c r="AU884" s="3441" t="s">
        <v>9504</v>
      </c>
      <c r="AW884" s="3441" t="s">
        <v>3572</v>
      </c>
      <c r="AY884" s="3524" t="s">
        <v>9505</v>
      </c>
      <c r="AZ884" s="3441" t="s">
        <v>8620</v>
      </c>
      <c r="BA884" s="3441" t="s">
        <v>8623</v>
      </c>
      <c r="BB884" s="3524" t="s">
        <v>8624</v>
      </c>
      <c r="BC884" s="3441" t="s">
        <v>8625</v>
      </c>
      <c r="BD884" s="3525">
        <v>100091</v>
      </c>
      <c r="BE884" s="3441">
        <v>62898116</v>
      </c>
      <c r="BF884" s="3526">
        <v>3.2</v>
      </c>
      <c r="BG884" s="3518">
        <v>37886</v>
      </c>
      <c r="BH884" s="3441" t="s">
        <v>3568</v>
      </c>
      <c r="BI884" s="3441" t="s">
        <v>9506</v>
      </c>
      <c r="BJ884" s="3484">
        <v>37890</v>
      </c>
      <c r="BK884" s="3484"/>
      <c r="BL884" s="3470" t="s">
        <v>3670</v>
      </c>
    </row>
    <row r="885" spans="1:71" s="3470" customFormat="1" ht="12" hidden="1">
      <c r="A885" s="3470" t="s">
        <v>9507</v>
      </c>
      <c r="B885" s="3470" t="s">
        <v>9508</v>
      </c>
      <c r="C885" s="3470" t="s">
        <v>9509</v>
      </c>
      <c r="D885" s="3470" t="s">
        <v>9510</v>
      </c>
      <c r="E885" s="3470" t="s">
        <v>3558</v>
      </c>
      <c r="F885" s="3470" t="s">
        <v>4645</v>
      </c>
      <c r="H885" s="3470" t="s">
        <v>4646</v>
      </c>
      <c r="I885" s="3470" t="s">
        <v>7943</v>
      </c>
      <c r="J885" s="3470" t="s">
        <v>9511</v>
      </c>
      <c r="K885" s="3470" t="s">
        <v>4649</v>
      </c>
      <c r="L885" s="3470">
        <v>59.94</v>
      </c>
      <c r="M885" s="3470">
        <v>9</v>
      </c>
      <c r="N885" s="3470" t="s">
        <v>3564</v>
      </c>
      <c r="O885" s="3470">
        <v>47.25</v>
      </c>
      <c r="P885" s="3470" t="s">
        <v>3452</v>
      </c>
      <c r="Q885" s="3470">
        <v>458061.48</v>
      </c>
      <c r="R885" s="3470">
        <v>7642</v>
      </c>
      <c r="S885" s="3470">
        <v>45.43</v>
      </c>
      <c r="T885" s="3470">
        <v>454300</v>
      </c>
      <c r="U885" s="3470">
        <v>7580</v>
      </c>
      <c r="V885" s="3470">
        <v>0.1</v>
      </c>
      <c r="W885" s="3470">
        <v>40.880000000000003</v>
      </c>
      <c r="X885" s="3470">
        <v>408800</v>
      </c>
      <c r="Y885" s="3470">
        <v>2003</v>
      </c>
      <c r="Z885" s="3470">
        <v>10</v>
      </c>
      <c r="AA885" s="3470">
        <v>10</v>
      </c>
      <c r="AB885" s="3470">
        <v>2270</v>
      </c>
      <c r="AC885" s="3470" t="s">
        <v>8824</v>
      </c>
      <c r="AE885" s="3470" t="s">
        <v>3663</v>
      </c>
      <c r="AF885" s="3470" t="s">
        <v>3728</v>
      </c>
      <c r="AG885" s="3470" t="s">
        <v>3466</v>
      </c>
      <c r="AI885" s="3470" t="s">
        <v>5021</v>
      </c>
      <c r="AJ885" s="3470">
        <v>38199</v>
      </c>
      <c r="AK885" s="3470" t="s">
        <v>4744</v>
      </c>
      <c r="AL885" s="3470">
        <v>67641700</v>
      </c>
      <c r="AN885" s="3470" t="s">
        <v>3570</v>
      </c>
      <c r="AP885" s="3470" t="s">
        <v>3476</v>
      </c>
      <c r="AQ885" s="3470" t="s">
        <v>3571</v>
      </c>
      <c r="AW885" s="3470" t="s">
        <v>3572</v>
      </c>
      <c r="AX885" s="3470" t="s">
        <v>3568</v>
      </c>
      <c r="AY885" s="3481" t="s">
        <v>9512</v>
      </c>
      <c r="AZ885" s="3470" t="s">
        <v>4654</v>
      </c>
      <c r="BA885" s="3470" t="s">
        <v>4688</v>
      </c>
      <c r="BB885" s="3481" t="s">
        <v>4689</v>
      </c>
      <c r="BC885" s="3470" t="s">
        <v>4656</v>
      </c>
      <c r="BD885" s="3482">
        <v>100037</v>
      </c>
      <c r="BE885" s="3470">
        <v>68347718</v>
      </c>
      <c r="BF885" s="3483">
        <v>2.8</v>
      </c>
      <c r="BG885" s="3478">
        <v>37859</v>
      </c>
      <c r="BH885" s="3470" t="s">
        <v>4681</v>
      </c>
      <c r="BI885" s="3470" t="s">
        <v>3476</v>
      </c>
      <c r="BJ885" s="3508">
        <v>37891</v>
      </c>
      <c r="BK885" s="3508"/>
      <c r="BL885" s="3470" t="s">
        <v>3670</v>
      </c>
      <c r="BP885" s="3441"/>
      <c r="BQ885" s="3441"/>
      <c r="BR885" s="3441"/>
    </row>
    <row r="886" spans="1:71" s="3470" customFormat="1" ht="12" hidden="1">
      <c r="A886" s="3470" t="s">
        <v>9513</v>
      </c>
      <c r="B886" s="3470" t="s">
        <v>9514</v>
      </c>
      <c r="C886" s="3470" t="s">
        <v>9515</v>
      </c>
      <c r="D886" s="3470" t="s">
        <v>9516</v>
      </c>
      <c r="E886" s="3470" t="s">
        <v>3558</v>
      </c>
      <c r="F886" s="3470" t="s">
        <v>7909</v>
      </c>
      <c r="H886" s="3470" t="s">
        <v>3979</v>
      </c>
      <c r="I886" s="3470" t="s">
        <v>7690</v>
      </c>
      <c r="J886" s="3470" t="s">
        <v>7678</v>
      </c>
      <c r="K886" s="3470" t="s">
        <v>7910</v>
      </c>
      <c r="L886" s="3470">
        <v>157.46</v>
      </c>
      <c r="M886" s="3470">
        <v>5</v>
      </c>
      <c r="N886" s="3470" t="s">
        <v>4003</v>
      </c>
      <c r="O886" s="3470">
        <v>137.51</v>
      </c>
      <c r="P886" s="3470" t="s">
        <v>3452</v>
      </c>
      <c r="Q886" s="3470">
        <v>1023490</v>
      </c>
      <c r="R886" s="3470">
        <v>6500</v>
      </c>
      <c r="S886" s="3470">
        <v>101.4</v>
      </c>
      <c r="T886" s="3470">
        <v>1014000</v>
      </c>
      <c r="U886" s="3470">
        <v>6440</v>
      </c>
      <c r="V886" s="3470">
        <v>0.1</v>
      </c>
      <c r="W886" s="3470">
        <v>91.26</v>
      </c>
      <c r="X886" s="3470">
        <v>912600</v>
      </c>
      <c r="Y886" s="3470">
        <v>2003</v>
      </c>
      <c r="Z886" s="3470">
        <v>10</v>
      </c>
      <c r="AA886" s="3470">
        <v>10</v>
      </c>
      <c r="AB886" s="3470">
        <v>5035</v>
      </c>
      <c r="AC886" s="3470" t="s">
        <v>9328</v>
      </c>
      <c r="AE886" s="3470" t="s">
        <v>3663</v>
      </c>
      <c r="AF886" s="3470" t="s">
        <v>3728</v>
      </c>
      <c r="AG886" s="3470" t="s">
        <v>3466</v>
      </c>
      <c r="AI886" s="3470" t="s">
        <v>7643</v>
      </c>
      <c r="AJ886" s="3470">
        <v>37986</v>
      </c>
      <c r="AK886" s="3470" t="s">
        <v>4744</v>
      </c>
      <c r="AL886" s="3470">
        <v>67641700</v>
      </c>
      <c r="AN886" s="3470" t="s">
        <v>3695</v>
      </c>
      <c r="AP886" s="3470" t="s">
        <v>3476</v>
      </c>
      <c r="AQ886" s="3470" t="s">
        <v>3571</v>
      </c>
      <c r="AW886" s="3470" t="s">
        <v>3572</v>
      </c>
      <c r="AY886" s="3481" t="s">
        <v>9517</v>
      </c>
      <c r="AZ886" s="3470" t="s">
        <v>7910</v>
      </c>
      <c r="BA886" s="3470" t="s">
        <v>7911</v>
      </c>
      <c r="BB886" s="3481" t="s">
        <v>7912</v>
      </c>
      <c r="BC886" s="3470" t="s">
        <v>7913</v>
      </c>
      <c r="BD886" s="3482">
        <v>100036</v>
      </c>
      <c r="BE886" s="3470">
        <v>88515522</v>
      </c>
      <c r="BF886" s="3483">
        <v>2.95</v>
      </c>
      <c r="BG886" s="3478">
        <v>37842</v>
      </c>
      <c r="BI886" s="3470" t="s">
        <v>8007</v>
      </c>
      <c r="BJ886" s="3508">
        <v>37903</v>
      </c>
      <c r="BK886" s="3508"/>
      <c r="BL886" s="3470" t="s">
        <v>3670</v>
      </c>
      <c r="BP886" s="3441"/>
      <c r="BQ886" s="3441"/>
      <c r="BR886" s="3441"/>
    </row>
    <row r="887" spans="1:71" s="3470" customFormat="1" ht="12" hidden="1">
      <c r="A887" s="3470" t="s">
        <v>9518</v>
      </c>
      <c r="B887" s="3470" t="s">
        <v>9519</v>
      </c>
      <c r="C887" s="3470" t="s">
        <v>9520</v>
      </c>
      <c r="D887" s="3470" t="s">
        <v>9521</v>
      </c>
      <c r="E887" s="3470" t="s">
        <v>3558</v>
      </c>
      <c r="F887" s="3470" t="s">
        <v>7652</v>
      </c>
      <c r="H887" s="3470" t="s">
        <v>7772</v>
      </c>
      <c r="I887" s="3470" t="s">
        <v>7851</v>
      </c>
      <c r="J887" s="3470" t="s">
        <v>7983</v>
      </c>
      <c r="K887" s="3470" t="s">
        <v>7653</v>
      </c>
      <c r="L887" s="3470">
        <v>104.4</v>
      </c>
      <c r="M887" s="3470">
        <v>8</v>
      </c>
      <c r="N887" s="3470" t="s">
        <v>3480</v>
      </c>
      <c r="O887" s="3470">
        <v>82.57</v>
      </c>
      <c r="P887" s="3470" t="s">
        <v>3452</v>
      </c>
      <c r="Q887" s="3470">
        <v>466668</v>
      </c>
      <c r="R887" s="3470">
        <v>4470</v>
      </c>
      <c r="S887" s="3470">
        <v>46.16</v>
      </c>
      <c r="T887" s="3470">
        <v>461600</v>
      </c>
      <c r="U887" s="3470">
        <v>4422</v>
      </c>
      <c r="V887" s="3470">
        <v>0.1</v>
      </c>
      <c r="W887" s="3470">
        <v>41.54</v>
      </c>
      <c r="X887" s="3470">
        <v>415400</v>
      </c>
      <c r="Y887" s="3470">
        <v>2003</v>
      </c>
      <c r="Z887" s="3470">
        <v>10</v>
      </c>
      <c r="AA887" s="3470">
        <v>10</v>
      </c>
      <c r="AB887" s="3470">
        <v>2305</v>
      </c>
      <c r="AC887" s="3470" t="s">
        <v>8971</v>
      </c>
      <c r="AE887" s="3470" t="s">
        <v>3663</v>
      </c>
      <c r="AF887" s="3470" t="s">
        <v>3728</v>
      </c>
      <c r="AG887" s="3470" t="s">
        <v>3466</v>
      </c>
      <c r="AH887" s="3470" t="s">
        <v>3568</v>
      </c>
      <c r="AI887" s="3470" t="s">
        <v>5021</v>
      </c>
      <c r="AJ887" s="3470">
        <v>38077</v>
      </c>
      <c r="AK887" s="3470" t="s">
        <v>4744</v>
      </c>
      <c r="AL887" s="3470">
        <v>67641700</v>
      </c>
      <c r="AN887" s="3470" t="s">
        <v>3695</v>
      </c>
      <c r="AP887" s="3470" t="s">
        <v>3476</v>
      </c>
      <c r="AQ887" s="3470" t="s">
        <v>3571</v>
      </c>
      <c r="AV887" s="3470" t="s">
        <v>3568</v>
      </c>
      <c r="AW887" s="3470" t="s">
        <v>3572</v>
      </c>
      <c r="AY887" s="3481" t="s">
        <v>9522</v>
      </c>
      <c r="AZ887" s="3470" t="s">
        <v>7653</v>
      </c>
      <c r="BA887" s="3470" t="s">
        <v>7655</v>
      </c>
      <c r="BB887" s="3481" t="s">
        <v>7656</v>
      </c>
      <c r="BC887" s="3470" t="s">
        <v>7657</v>
      </c>
      <c r="BD887" s="3482">
        <v>100025</v>
      </c>
      <c r="BE887" s="3470">
        <v>62908858</v>
      </c>
      <c r="BF887" s="3483">
        <v>2.7</v>
      </c>
      <c r="BG887" s="3478">
        <v>37825</v>
      </c>
      <c r="BI887" s="3470" t="s">
        <v>8007</v>
      </c>
      <c r="BJ887" s="3508">
        <v>37902</v>
      </c>
      <c r="BK887" s="3508"/>
      <c r="BL887" s="3470" t="s">
        <v>3670</v>
      </c>
      <c r="BP887" s="3441"/>
      <c r="BQ887" s="3441"/>
      <c r="BR887" s="3441"/>
    </row>
    <row r="888" spans="1:71" s="3470" customFormat="1" ht="12" hidden="1">
      <c r="A888" s="3470" t="s">
        <v>9523</v>
      </c>
      <c r="B888" s="3470" t="s">
        <v>9524</v>
      </c>
      <c r="C888" s="3470" t="s">
        <v>9525</v>
      </c>
      <c r="D888" s="3470" t="s">
        <v>9526</v>
      </c>
      <c r="E888" s="3470" t="s">
        <v>3558</v>
      </c>
      <c r="F888" s="3470" t="s">
        <v>4669</v>
      </c>
      <c r="H888" s="3470" t="s">
        <v>8030</v>
      </c>
      <c r="I888" s="3470" t="s">
        <v>7796</v>
      </c>
      <c r="J888" s="3470" t="s">
        <v>4672</v>
      </c>
      <c r="K888" s="3470" t="s">
        <v>4673</v>
      </c>
      <c r="L888" s="3470">
        <v>53.71</v>
      </c>
      <c r="M888" s="3470">
        <v>16</v>
      </c>
      <c r="N888" s="3470" t="s">
        <v>3564</v>
      </c>
      <c r="O888" s="3470">
        <v>41.78</v>
      </c>
      <c r="P888" s="3470" t="s">
        <v>3452</v>
      </c>
      <c r="Q888" s="3470">
        <v>361468.02600000001</v>
      </c>
      <c r="R888" s="3470">
        <v>8651.7000000000007</v>
      </c>
      <c r="S888" s="3470">
        <v>35.840000000000003</v>
      </c>
      <c r="T888" s="3470">
        <v>358400</v>
      </c>
      <c r="U888" s="3470">
        <v>6673</v>
      </c>
      <c r="V888" s="3470">
        <v>0.1</v>
      </c>
      <c r="W888" s="3470">
        <v>32.25</v>
      </c>
      <c r="X888" s="3470">
        <v>322500</v>
      </c>
      <c r="Y888" s="3470">
        <v>2003</v>
      </c>
      <c r="Z888" s="3470">
        <v>10</v>
      </c>
      <c r="AA888" s="3470">
        <v>10</v>
      </c>
      <c r="AB888" s="3470">
        <v>1790</v>
      </c>
      <c r="AC888" s="3470" t="s">
        <v>8971</v>
      </c>
      <c r="AE888" s="3470" t="s">
        <v>3663</v>
      </c>
      <c r="AF888" s="3470" t="s">
        <v>4721</v>
      </c>
      <c r="AG888" s="3470" t="s">
        <v>3466</v>
      </c>
      <c r="AI888" s="3470" t="s">
        <v>5021</v>
      </c>
      <c r="AJ888" s="3470">
        <v>38347</v>
      </c>
      <c r="AK888" s="3470" t="s">
        <v>4744</v>
      </c>
      <c r="AL888" s="3470">
        <v>67641700</v>
      </c>
      <c r="AN888" s="3470" t="s">
        <v>3570</v>
      </c>
      <c r="AO888" s="3470" t="s">
        <v>3568</v>
      </c>
      <c r="AP888" s="3470" t="s">
        <v>3476</v>
      </c>
      <c r="AQ888" s="3470" t="s">
        <v>3571</v>
      </c>
      <c r="AW888" s="3470" t="s">
        <v>3572</v>
      </c>
      <c r="AY888" s="3481" t="s">
        <v>9527</v>
      </c>
      <c r="AZ888" s="3470" t="s">
        <v>4677</v>
      </c>
      <c r="BA888" s="3470" t="s">
        <v>4678</v>
      </c>
      <c r="BB888" s="3481" t="s">
        <v>4679</v>
      </c>
      <c r="BC888" s="3470" t="s">
        <v>4680</v>
      </c>
      <c r="BD888" s="3482">
        <v>100089</v>
      </c>
      <c r="BE888" s="3470">
        <v>68719656</v>
      </c>
      <c r="BF888" s="3483">
        <v>2.8</v>
      </c>
      <c r="BG888" s="3478">
        <v>37885</v>
      </c>
      <c r="BH888" s="3470" t="s">
        <v>4681</v>
      </c>
      <c r="BI888" s="3470" t="s">
        <v>3476</v>
      </c>
      <c r="BJ888" s="3508">
        <v>37902</v>
      </c>
      <c r="BK888" s="3508"/>
      <c r="BL888" s="3470" t="s">
        <v>3670</v>
      </c>
      <c r="BP888" s="3441"/>
      <c r="BQ888" s="3441"/>
      <c r="BR888" s="3441"/>
    </row>
    <row r="889" spans="1:71" s="3441" customFormat="1" ht="12">
      <c r="A889" s="3542" t="s">
        <v>9528</v>
      </c>
      <c r="B889" s="3470" t="s">
        <v>9529</v>
      </c>
      <c r="C889" s="3481" t="s">
        <v>9530</v>
      </c>
      <c r="D889" s="3481" t="s">
        <v>9531</v>
      </c>
      <c r="E889" s="3470" t="s">
        <v>2736</v>
      </c>
      <c r="F889" s="3687" t="s">
        <v>9471</v>
      </c>
      <c r="G889" s="3470"/>
      <c r="H889" s="3470" t="s">
        <v>2420</v>
      </c>
      <c r="I889" s="3470" t="s">
        <v>9411</v>
      </c>
      <c r="J889" s="3481" t="s">
        <v>9532</v>
      </c>
      <c r="K889" s="3470" t="s">
        <v>8862</v>
      </c>
      <c r="L889" s="3470">
        <v>48.52</v>
      </c>
      <c r="M889" s="3470">
        <v>11</v>
      </c>
      <c r="N889" s="3470" t="s">
        <v>3678</v>
      </c>
      <c r="O889" s="3470">
        <v>37.67</v>
      </c>
      <c r="P889" s="3470" t="s">
        <v>3452</v>
      </c>
      <c r="Q889" s="3457">
        <v>351770</v>
      </c>
      <c r="R889" s="3470">
        <v>7250</v>
      </c>
      <c r="S889" s="3472">
        <v>33.28</v>
      </c>
      <c r="T889" s="3527">
        <v>332800</v>
      </c>
      <c r="U889" s="3495">
        <v>6860</v>
      </c>
      <c r="V889" s="3474">
        <v>0.1</v>
      </c>
      <c r="W889" s="3475">
        <v>29.95</v>
      </c>
      <c r="X889" s="3473">
        <v>299500</v>
      </c>
      <c r="Y889" s="3495">
        <v>2003</v>
      </c>
      <c r="Z889" s="3441">
        <v>11</v>
      </c>
      <c r="AA889" s="3470">
        <v>3</v>
      </c>
      <c r="AB889" s="3477">
        <v>1660</v>
      </c>
      <c r="AC889" s="3470" t="s">
        <v>9364</v>
      </c>
      <c r="AD889" s="3485"/>
      <c r="AE889" s="3441" t="s">
        <v>3663</v>
      </c>
      <c r="AF889" s="3470" t="s">
        <v>7198</v>
      </c>
      <c r="AG889" s="3522" t="s">
        <v>3466</v>
      </c>
      <c r="AH889" s="3485"/>
      <c r="AI889" s="3470" t="s">
        <v>5021</v>
      </c>
      <c r="AJ889" s="3523">
        <v>38107</v>
      </c>
      <c r="AK889" s="3603" t="s">
        <v>4773</v>
      </c>
      <c r="AL889" s="3441">
        <v>67641700</v>
      </c>
      <c r="AN889" s="3456" t="s">
        <v>3570</v>
      </c>
      <c r="AO889" s="3441" t="s">
        <v>3568</v>
      </c>
      <c r="AP889" s="3441" t="s">
        <v>3476</v>
      </c>
      <c r="AQ889" s="3441" t="s">
        <v>3571</v>
      </c>
      <c r="AW889" s="3441" t="s">
        <v>3572</v>
      </c>
      <c r="AY889" s="3524" t="s">
        <v>9533</v>
      </c>
      <c r="AZ889" s="3470" t="s">
        <v>8862</v>
      </c>
      <c r="BA889" s="3441" t="s">
        <v>9474</v>
      </c>
      <c r="BB889" s="3524" t="s">
        <v>8799</v>
      </c>
      <c r="BC889" s="3441" t="s">
        <v>9534</v>
      </c>
      <c r="BD889" s="3525" t="s">
        <v>3715</v>
      </c>
      <c r="BE889" s="3441" t="s">
        <v>2420</v>
      </c>
      <c r="BF889" s="3526">
        <v>2.8</v>
      </c>
      <c r="BG889" s="3518">
        <v>37871</v>
      </c>
      <c r="BH889" s="3441" t="s">
        <v>8801</v>
      </c>
      <c r="BI889" s="3441" t="s">
        <v>3476</v>
      </c>
      <c r="BJ889" s="3484">
        <v>37903</v>
      </c>
      <c r="BK889" s="3484">
        <v>37918</v>
      </c>
      <c r="BL889" s="3470" t="s">
        <v>3670</v>
      </c>
    </row>
    <row r="890" spans="1:71" s="3470" customFormat="1" ht="12" hidden="1">
      <c r="A890" s="3485" t="s">
        <v>9535</v>
      </c>
      <c r="B890" s="3470" t="s">
        <v>9536</v>
      </c>
      <c r="C890" s="3481" t="s">
        <v>9537</v>
      </c>
      <c r="D890" s="3470">
        <v>82314827</v>
      </c>
      <c r="E890" s="3470" t="s">
        <v>2736</v>
      </c>
      <c r="F890" s="3470" t="s">
        <v>8750</v>
      </c>
      <c r="H890" s="3470" t="s">
        <v>4281</v>
      </c>
      <c r="I890" s="3453" t="s">
        <v>3726</v>
      </c>
      <c r="J890" s="3470" t="s">
        <v>3479</v>
      </c>
      <c r="K890" s="3470" t="s">
        <v>8751</v>
      </c>
      <c r="L890" s="3470">
        <v>136.82</v>
      </c>
      <c r="M890" s="3470">
        <v>1</v>
      </c>
      <c r="N890" s="3470" t="s">
        <v>3661</v>
      </c>
      <c r="O890" s="3470">
        <v>118.74</v>
      </c>
      <c r="P890" s="3470" t="s">
        <v>3452</v>
      </c>
      <c r="Q890" s="3457">
        <v>779874</v>
      </c>
      <c r="R890" s="3495">
        <v>5700</v>
      </c>
      <c r="S890" s="3472">
        <v>77.239999999999995</v>
      </c>
      <c r="T890" s="3527">
        <v>772400</v>
      </c>
      <c r="U890" s="3495">
        <v>5646</v>
      </c>
      <c r="V890" s="3474">
        <v>0.05</v>
      </c>
      <c r="W890" s="3475">
        <v>73.37</v>
      </c>
      <c r="X890" s="3473">
        <v>733700</v>
      </c>
      <c r="Y890" s="3515">
        <v>2003</v>
      </c>
      <c r="Z890" s="3441">
        <v>10</v>
      </c>
      <c r="AA890" s="3470">
        <v>13</v>
      </c>
      <c r="AB890" s="3485">
        <v>3860</v>
      </c>
      <c r="AC890" s="3470" t="s">
        <v>9107</v>
      </c>
      <c r="AE890" s="3441" t="s">
        <v>2156</v>
      </c>
      <c r="AF890" s="3470" t="s">
        <v>7256</v>
      </c>
      <c r="AG890" s="3522" t="s">
        <v>3454</v>
      </c>
      <c r="AI890" s="3470" t="s">
        <v>4849</v>
      </c>
      <c r="AJ890" s="3478">
        <v>37590</v>
      </c>
      <c r="AK890" s="3500" t="s">
        <v>4752</v>
      </c>
      <c r="AL890" s="3441">
        <v>67641700</v>
      </c>
      <c r="AM890" s="3441"/>
      <c r="AN890" s="3456" t="s">
        <v>3695</v>
      </c>
      <c r="AP890" s="3470" t="s">
        <v>3476</v>
      </c>
      <c r="AQ890" s="3441" t="s">
        <v>3457</v>
      </c>
      <c r="AW890" s="3470" t="s">
        <v>3572</v>
      </c>
      <c r="AY890" s="3481" t="s">
        <v>9538</v>
      </c>
      <c r="AZ890" s="3470" t="s">
        <v>3981</v>
      </c>
      <c r="BA890" s="3441" t="s">
        <v>3984</v>
      </c>
      <c r="BB890" s="3524" t="s">
        <v>9539</v>
      </c>
      <c r="BC890" s="3441" t="s">
        <v>3985</v>
      </c>
      <c r="BD890" s="3525">
        <v>100101</v>
      </c>
      <c r="BE890" s="3441">
        <v>64858999</v>
      </c>
      <c r="BF890" s="3526">
        <v>2.8</v>
      </c>
      <c r="BG890" s="3478">
        <v>37843</v>
      </c>
      <c r="BI890" s="3441" t="s">
        <v>3476</v>
      </c>
      <c r="BJ890" s="3484">
        <v>37904</v>
      </c>
      <c r="BK890" s="3478"/>
      <c r="BL890" s="3470" t="s">
        <v>3670</v>
      </c>
      <c r="BM890" s="3441"/>
      <c r="BN890" s="3441"/>
      <c r="BO890" s="3441"/>
      <c r="BP890" s="3441"/>
      <c r="BQ890" s="3441"/>
      <c r="BR890" s="3441"/>
    </row>
    <row r="891" spans="1:71" s="3441" customFormat="1" ht="12" hidden="1">
      <c r="A891" s="3453" t="s">
        <v>9540</v>
      </c>
      <c r="B891" s="3470" t="s">
        <v>9541</v>
      </c>
      <c r="C891" s="3481" t="s">
        <v>9542</v>
      </c>
      <c r="D891" s="3481" t="s">
        <v>9543</v>
      </c>
      <c r="E891" s="3470" t="s">
        <v>3558</v>
      </c>
      <c r="F891" s="3528" t="s">
        <v>7652</v>
      </c>
      <c r="G891" s="3470"/>
      <c r="H891" s="3470" t="s">
        <v>7772</v>
      </c>
      <c r="I891" s="3470" t="s">
        <v>9544</v>
      </c>
      <c r="J891" s="3481" t="s">
        <v>9545</v>
      </c>
      <c r="K891" s="3470" t="s">
        <v>7653</v>
      </c>
      <c r="L891" s="3470">
        <v>85.74</v>
      </c>
      <c r="M891" s="3470">
        <v>16</v>
      </c>
      <c r="N891" s="3470" t="s">
        <v>4030</v>
      </c>
      <c r="O891" s="3470">
        <v>67.81</v>
      </c>
      <c r="P891" s="3470" t="s">
        <v>3452</v>
      </c>
      <c r="Q891" s="3457">
        <v>386687.39999999997</v>
      </c>
      <c r="R891" s="3470">
        <v>4510</v>
      </c>
      <c r="S891" s="3472">
        <v>38.24</v>
      </c>
      <c r="T891" s="3527">
        <v>382400</v>
      </c>
      <c r="U891" s="3470">
        <v>4460</v>
      </c>
      <c r="V891" s="3512">
        <v>0.1</v>
      </c>
      <c r="W891" s="3475">
        <v>34.409999999999997</v>
      </c>
      <c r="X891" s="3473">
        <v>344099.99999999994</v>
      </c>
      <c r="Y891" s="3441">
        <v>2003</v>
      </c>
      <c r="Z891" s="3441">
        <v>10</v>
      </c>
      <c r="AA891" s="3470">
        <v>13</v>
      </c>
      <c r="AB891" s="3485">
        <v>1910</v>
      </c>
      <c r="AC891" s="3470" t="s">
        <v>9120</v>
      </c>
      <c r="AD891" s="3485"/>
      <c r="AE891" s="3441" t="s">
        <v>3663</v>
      </c>
      <c r="AF891" s="3470" t="s">
        <v>3587</v>
      </c>
      <c r="AG891" s="3522" t="s">
        <v>3466</v>
      </c>
      <c r="AH891" s="3485" t="s">
        <v>3568</v>
      </c>
      <c r="AI891" s="3470" t="s">
        <v>5021</v>
      </c>
      <c r="AJ891" s="3523">
        <v>38077</v>
      </c>
      <c r="AK891" s="3500" t="s">
        <v>4752</v>
      </c>
      <c r="AL891" s="3441">
        <v>67641700</v>
      </c>
      <c r="AN891" s="3456" t="s">
        <v>3695</v>
      </c>
      <c r="AP891" s="3441" t="s">
        <v>3476</v>
      </c>
      <c r="AQ891" s="3441" t="s">
        <v>3571</v>
      </c>
      <c r="AV891" s="3441" t="s">
        <v>3568</v>
      </c>
      <c r="AW891" s="3441" t="s">
        <v>3572</v>
      </c>
      <c r="AY891" s="3524" t="s">
        <v>9546</v>
      </c>
      <c r="AZ891" s="3441" t="s">
        <v>7653</v>
      </c>
      <c r="BA891" s="3441" t="s">
        <v>7655</v>
      </c>
      <c r="BB891" s="3524" t="s">
        <v>7656</v>
      </c>
      <c r="BC891" s="3441" t="s">
        <v>7657</v>
      </c>
      <c r="BD891" s="3525">
        <v>100025</v>
      </c>
      <c r="BE891" s="3441">
        <v>62908858</v>
      </c>
      <c r="BF891" s="3526">
        <v>2.7</v>
      </c>
      <c r="BG891" s="3518">
        <v>37827</v>
      </c>
      <c r="BH891" s="3441" t="s">
        <v>4681</v>
      </c>
      <c r="BI891" s="3441" t="s">
        <v>3476</v>
      </c>
      <c r="BJ891" s="3508">
        <v>37902</v>
      </c>
      <c r="BK891" s="3484"/>
      <c r="BL891" s="3470" t="s">
        <v>3670</v>
      </c>
    </row>
    <row r="892" spans="1:71" s="3441" customFormat="1" ht="12" hidden="1">
      <c r="A892" s="3453" t="s">
        <v>9547</v>
      </c>
      <c r="B892" s="3470" t="s">
        <v>9548</v>
      </c>
      <c r="C892" s="3481" t="s">
        <v>9549</v>
      </c>
      <c r="D892" s="3481" t="s">
        <v>9550</v>
      </c>
      <c r="E892" s="3470" t="s">
        <v>3558</v>
      </c>
      <c r="F892" s="3528" t="s">
        <v>3733</v>
      </c>
      <c r="G892" s="3470"/>
      <c r="H892" s="3470" t="s">
        <v>8962</v>
      </c>
      <c r="I892" s="3470" t="s">
        <v>9551</v>
      </c>
      <c r="J892" s="3470" t="s">
        <v>8769</v>
      </c>
      <c r="K892" s="3470" t="s">
        <v>3737</v>
      </c>
      <c r="L892" s="3470">
        <v>75.599999999999994</v>
      </c>
      <c r="M892" s="3470">
        <v>7</v>
      </c>
      <c r="N892" s="3542" t="s">
        <v>7017</v>
      </c>
      <c r="O892" s="3470">
        <v>60.4</v>
      </c>
      <c r="P892" s="3470" t="s">
        <v>3452</v>
      </c>
      <c r="Q892" s="3492">
        <v>426383.99999999994</v>
      </c>
      <c r="R892" s="3470">
        <v>5640</v>
      </c>
      <c r="S892" s="3472">
        <v>42.23</v>
      </c>
      <c r="T892" s="3527">
        <v>422299.99999999994</v>
      </c>
      <c r="U892" s="3470">
        <v>5586</v>
      </c>
      <c r="V892" s="3474">
        <v>0.1</v>
      </c>
      <c r="W892" s="3475">
        <v>38</v>
      </c>
      <c r="X892" s="3494">
        <v>380000</v>
      </c>
      <c r="Y892" s="3441">
        <v>2003</v>
      </c>
      <c r="Z892" s="3441">
        <v>10</v>
      </c>
      <c r="AA892" s="3470">
        <v>13</v>
      </c>
      <c r="AB892" s="3477">
        <v>2110</v>
      </c>
      <c r="AC892" s="3470" t="s">
        <v>9120</v>
      </c>
      <c r="AD892" s="3485"/>
      <c r="AE892" s="3441" t="s">
        <v>3663</v>
      </c>
      <c r="AF892" s="3470" t="s">
        <v>8923</v>
      </c>
      <c r="AG892" s="3522" t="s">
        <v>3466</v>
      </c>
      <c r="AH892" s="3485"/>
      <c r="AI892" s="3470" t="s">
        <v>5021</v>
      </c>
      <c r="AJ892" s="3523">
        <v>38045</v>
      </c>
      <c r="AK892" s="3500" t="s">
        <v>4752</v>
      </c>
      <c r="AL892" s="3441">
        <v>67641700</v>
      </c>
      <c r="AN892" s="3456" t="s">
        <v>3695</v>
      </c>
      <c r="AO892" s="3441" t="s">
        <v>3715</v>
      </c>
      <c r="AP892" s="3441" t="s">
        <v>3476</v>
      </c>
      <c r="AQ892" s="3441" t="s">
        <v>3571</v>
      </c>
      <c r="AW892" s="3441" t="s">
        <v>3572</v>
      </c>
      <c r="AY892" s="3524" t="s">
        <v>9552</v>
      </c>
      <c r="AZ892" s="3441" t="s">
        <v>3737</v>
      </c>
      <c r="BA892" s="3441" t="s">
        <v>3742</v>
      </c>
      <c r="BB892" s="3524" t="s">
        <v>3743</v>
      </c>
      <c r="BC892" s="3441" t="s">
        <v>3744</v>
      </c>
      <c r="BD892" s="3525">
        <v>100088</v>
      </c>
      <c r="BE892" s="3441">
        <v>82058259</v>
      </c>
      <c r="BF892" s="3526" t="s">
        <v>8595</v>
      </c>
      <c r="BG892" s="3478">
        <v>37869</v>
      </c>
      <c r="BH892" s="3441" t="s">
        <v>4753</v>
      </c>
      <c r="BI892" s="3441" t="s">
        <v>3476</v>
      </c>
      <c r="BJ892" s="3484">
        <v>37902</v>
      </c>
      <c r="BK892" s="3484" t="s">
        <v>2420</v>
      </c>
      <c r="BL892" s="3470" t="s">
        <v>3670</v>
      </c>
    </row>
    <row r="893" spans="1:71" s="3470" customFormat="1" ht="12" hidden="1">
      <c r="A893" s="3470" t="s">
        <v>9553</v>
      </c>
      <c r="B893" s="3470" t="s">
        <v>9554</v>
      </c>
      <c r="C893" s="3481" t="s">
        <v>9555</v>
      </c>
      <c r="D893" s="3470">
        <v>13331001829</v>
      </c>
      <c r="E893" s="3470" t="s">
        <v>3558</v>
      </c>
      <c r="F893" s="3470" t="s">
        <v>3559</v>
      </c>
      <c r="H893" s="3453" t="s">
        <v>5304</v>
      </c>
      <c r="I893" s="3453" t="s">
        <v>3726</v>
      </c>
      <c r="J893" s="3453" t="s">
        <v>5441</v>
      </c>
      <c r="K893" s="3470" t="s">
        <v>7737</v>
      </c>
      <c r="L893" s="3495">
        <v>74.11</v>
      </c>
      <c r="M893" s="3495">
        <v>8</v>
      </c>
      <c r="N893" s="3470" t="s">
        <v>7017</v>
      </c>
      <c r="O893" s="3495">
        <v>60.04</v>
      </c>
      <c r="P893" s="3470" t="s">
        <v>3452</v>
      </c>
      <c r="Q893" s="3457">
        <v>356469.1</v>
      </c>
      <c r="R893" s="3470">
        <v>4810</v>
      </c>
      <c r="S893" s="3472">
        <v>35.270000000000003</v>
      </c>
      <c r="T893" s="3527">
        <v>352700.00000000006</v>
      </c>
      <c r="U893" s="3470">
        <v>4760</v>
      </c>
      <c r="V893" s="3474">
        <v>0.1</v>
      </c>
      <c r="W893" s="3475">
        <v>31.74</v>
      </c>
      <c r="X893" s="3476">
        <v>317400</v>
      </c>
      <c r="Y893" s="3470">
        <v>2003</v>
      </c>
      <c r="Z893" s="3441">
        <v>10</v>
      </c>
      <c r="AA893" s="3470">
        <v>13</v>
      </c>
      <c r="AB893" s="3477">
        <v>1760</v>
      </c>
      <c r="AC893" s="3470" t="s">
        <v>9077</v>
      </c>
      <c r="AE893" s="3456" t="s">
        <v>3663</v>
      </c>
      <c r="AF893" s="3453" t="s">
        <v>4200</v>
      </c>
      <c r="AG893" s="3470" t="s">
        <v>3466</v>
      </c>
      <c r="AH893" s="3470" t="s">
        <v>3568</v>
      </c>
      <c r="AI893" s="3456" t="s">
        <v>5021</v>
      </c>
      <c r="AJ893" s="3478">
        <v>37924</v>
      </c>
      <c r="AK893" s="3500" t="s">
        <v>4752</v>
      </c>
      <c r="AL893" s="3441">
        <v>67641700</v>
      </c>
      <c r="AM893" s="3441"/>
      <c r="AN893" s="3456" t="s">
        <v>3695</v>
      </c>
      <c r="AO893" s="3470" t="s">
        <v>3568</v>
      </c>
      <c r="AP893" s="3456" t="s">
        <v>3476</v>
      </c>
      <c r="AQ893" s="3456" t="s">
        <v>3571</v>
      </c>
      <c r="AV893" s="3519"/>
      <c r="AW893" s="3470" t="s">
        <v>3572</v>
      </c>
      <c r="AY893" s="3495">
        <v>318474</v>
      </c>
      <c r="AZ893" s="3470" t="s">
        <v>7737</v>
      </c>
      <c r="BA893" s="3470" t="s">
        <v>3574</v>
      </c>
      <c r="BB893" s="3470" t="s">
        <v>3575</v>
      </c>
      <c r="BC893" s="3470" t="s">
        <v>3576</v>
      </c>
      <c r="BD893" s="3470">
        <v>100037</v>
      </c>
      <c r="BE893" s="3470">
        <v>84050046</v>
      </c>
      <c r="BF893" s="3520">
        <v>2.8</v>
      </c>
      <c r="BG893" s="3478">
        <v>37871</v>
      </c>
      <c r="BI893" s="3470" t="s">
        <v>3476</v>
      </c>
      <c r="BJ893" s="3508">
        <v>37902</v>
      </c>
      <c r="BK893" s="3470" t="s">
        <v>3568</v>
      </c>
      <c r="BL893" s="3441" t="s">
        <v>3670</v>
      </c>
      <c r="BP893" s="3441"/>
      <c r="BQ893" s="3441"/>
      <c r="BR893" s="3441"/>
    </row>
    <row r="894" spans="1:71" s="3470" customFormat="1" ht="12" hidden="1">
      <c r="A894" s="3453" t="s">
        <v>9556</v>
      </c>
      <c r="B894" s="3470" t="s">
        <v>9557</v>
      </c>
      <c r="C894" s="3481" t="s">
        <v>9558</v>
      </c>
      <c r="D894" s="3470">
        <v>13910134843</v>
      </c>
      <c r="E894" s="3470" t="s">
        <v>3558</v>
      </c>
      <c r="F894" s="3470" t="s">
        <v>3559</v>
      </c>
      <c r="H894" s="3453" t="s">
        <v>9559</v>
      </c>
      <c r="I894" s="3453" t="s">
        <v>4854</v>
      </c>
      <c r="J894" s="3453" t="s">
        <v>9560</v>
      </c>
      <c r="K894" s="3470" t="s">
        <v>7737</v>
      </c>
      <c r="L894" s="3495">
        <v>71.52</v>
      </c>
      <c r="M894" s="3495">
        <v>14</v>
      </c>
      <c r="N894" s="3470" t="s">
        <v>3584</v>
      </c>
      <c r="O894" s="3495">
        <v>57.94</v>
      </c>
      <c r="P894" s="3470" t="s">
        <v>3452</v>
      </c>
      <c r="Q894" s="3457">
        <v>336573.12</v>
      </c>
      <c r="R894" s="3470">
        <v>4706</v>
      </c>
      <c r="S894" s="3472">
        <v>33.29</v>
      </c>
      <c r="T894" s="3527">
        <v>332900</v>
      </c>
      <c r="U894" s="3470">
        <v>4656</v>
      </c>
      <c r="V894" s="3474">
        <v>0.1</v>
      </c>
      <c r="W894" s="3475">
        <v>29.96</v>
      </c>
      <c r="X894" s="3476">
        <v>299600</v>
      </c>
      <c r="Y894" s="3470">
        <v>2003</v>
      </c>
      <c r="Z894" s="3441">
        <v>10</v>
      </c>
      <c r="AA894" s="3470">
        <v>13</v>
      </c>
      <c r="AB894" s="3477">
        <v>1660</v>
      </c>
      <c r="AC894" s="3470" t="s">
        <v>9413</v>
      </c>
      <c r="AE894" s="3456" t="s">
        <v>3663</v>
      </c>
      <c r="AF894" s="3453" t="s">
        <v>4200</v>
      </c>
      <c r="AG894" s="3470" t="s">
        <v>3466</v>
      </c>
      <c r="AH894" s="3470" t="s">
        <v>3568</v>
      </c>
      <c r="AI894" s="3456" t="s">
        <v>5021</v>
      </c>
      <c r="AJ894" s="3478">
        <v>37894</v>
      </c>
      <c r="AK894" s="3500" t="s">
        <v>8786</v>
      </c>
      <c r="AL894" s="3441">
        <v>67641700</v>
      </c>
      <c r="AM894" s="3441"/>
      <c r="AN894" s="3456" t="s">
        <v>3695</v>
      </c>
      <c r="AO894" s="3470" t="s">
        <v>3568</v>
      </c>
      <c r="AP894" s="3456" t="s">
        <v>3476</v>
      </c>
      <c r="AQ894" s="3456" t="s">
        <v>3571</v>
      </c>
      <c r="AV894" s="3519"/>
      <c r="AW894" s="3470" t="s">
        <v>3572</v>
      </c>
      <c r="AY894" s="3495">
        <v>300320</v>
      </c>
      <c r="AZ894" s="3470" t="s">
        <v>7737</v>
      </c>
      <c r="BA894" s="3470" t="s">
        <v>3574</v>
      </c>
      <c r="BB894" s="3470" t="s">
        <v>3575</v>
      </c>
      <c r="BC894" s="3470" t="s">
        <v>3576</v>
      </c>
      <c r="BD894" s="3470">
        <v>100037</v>
      </c>
      <c r="BE894" s="3470">
        <v>84050046</v>
      </c>
      <c r="BF894" s="3520">
        <v>2.8</v>
      </c>
      <c r="BG894" s="3478">
        <v>37736</v>
      </c>
      <c r="BI894" s="3470" t="s">
        <v>3476</v>
      </c>
      <c r="BJ894" s="3484">
        <v>37903</v>
      </c>
      <c r="BK894" s="3470" t="s">
        <v>3568</v>
      </c>
      <c r="BL894" s="3441" t="s">
        <v>3670</v>
      </c>
      <c r="BP894" s="3441"/>
      <c r="BQ894" s="3441"/>
      <c r="BR894" s="3441"/>
    </row>
    <row r="895" spans="1:71" s="3470" customFormat="1" ht="12" hidden="1">
      <c r="A895" s="3470" t="s">
        <v>9561</v>
      </c>
      <c r="B895" s="3470" t="s">
        <v>9562</v>
      </c>
      <c r="C895" s="3481" t="s">
        <v>9563</v>
      </c>
      <c r="D895" s="3470">
        <v>13681111335</v>
      </c>
      <c r="E895" s="3470" t="s">
        <v>3763</v>
      </c>
      <c r="F895" s="3470" t="s">
        <v>8990</v>
      </c>
      <c r="H895" s="3470" t="s">
        <v>4281</v>
      </c>
      <c r="I895" s="3470" t="s">
        <v>4624</v>
      </c>
      <c r="J895" s="3470" t="s">
        <v>9564</v>
      </c>
      <c r="K895" s="3470" t="s">
        <v>8738</v>
      </c>
      <c r="L895" s="3470">
        <v>61.74</v>
      </c>
      <c r="M895" s="3470">
        <v>6</v>
      </c>
      <c r="N895" s="3470" t="s">
        <v>3489</v>
      </c>
      <c r="O895" s="3470">
        <v>48.43</v>
      </c>
      <c r="P895" s="3470" t="s">
        <v>3452</v>
      </c>
      <c r="Q895" s="3457">
        <v>330309</v>
      </c>
      <c r="R895" s="3470">
        <v>5350</v>
      </c>
      <c r="S895" s="3472">
        <v>32.72</v>
      </c>
      <c r="T895" s="3527">
        <v>327200</v>
      </c>
      <c r="U895" s="3470">
        <v>5300</v>
      </c>
      <c r="V895" s="3474">
        <v>0.1</v>
      </c>
      <c r="W895" s="3475">
        <v>29.44</v>
      </c>
      <c r="X895" s="3476">
        <v>294400</v>
      </c>
      <c r="Y895" s="3470">
        <v>2003</v>
      </c>
      <c r="Z895" s="3441">
        <v>10</v>
      </c>
      <c r="AA895" s="3470">
        <v>13</v>
      </c>
      <c r="AB895" s="3477">
        <v>1635</v>
      </c>
      <c r="AC895" s="3470" t="s">
        <v>9077</v>
      </c>
      <c r="AE895" s="3470" t="s">
        <v>3663</v>
      </c>
      <c r="AF895" s="3453" t="s">
        <v>8994</v>
      </c>
      <c r="AG895" s="3470" t="s">
        <v>3466</v>
      </c>
      <c r="AI895" s="3470" t="s">
        <v>3664</v>
      </c>
      <c r="AJ895" s="3478">
        <v>38261</v>
      </c>
      <c r="AK895" s="3500" t="s">
        <v>9283</v>
      </c>
      <c r="AL895" s="3441">
        <v>67641700</v>
      </c>
      <c r="AM895" s="3441"/>
      <c r="AN895" s="3456" t="s">
        <v>3695</v>
      </c>
      <c r="AP895" s="3441" t="s">
        <v>3476</v>
      </c>
      <c r="AQ895" s="3470" t="s">
        <v>7265</v>
      </c>
      <c r="AW895" s="3470" t="s">
        <v>3458</v>
      </c>
      <c r="AX895" s="3508"/>
      <c r="AY895" s="3470">
        <v>552366</v>
      </c>
      <c r="AZ895" s="3470" t="s">
        <v>8738</v>
      </c>
      <c r="BA895" s="3470" t="s">
        <v>9565</v>
      </c>
      <c r="BB895" s="3470" t="s">
        <v>4791</v>
      </c>
      <c r="BC895" s="3470" t="s">
        <v>8742</v>
      </c>
      <c r="BD895" s="3470">
        <v>102308</v>
      </c>
      <c r="BE895" s="3470">
        <v>68041987</v>
      </c>
      <c r="BF895" s="3470">
        <v>2.8</v>
      </c>
      <c r="BG895" s="3478">
        <v>37863</v>
      </c>
      <c r="BH895" s="3470" t="s">
        <v>7021</v>
      </c>
      <c r="BI895" s="3441" t="s">
        <v>3476</v>
      </c>
      <c r="BJ895" s="3508">
        <v>37902</v>
      </c>
      <c r="BK895" s="3508"/>
      <c r="BL895" s="3470" t="s">
        <v>6897</v>
      </c>
      <c r="BP895" s="3441"/>
      <c r="BQ895" s="3441"/>
      <c r="BR895" s="3441"/>
    </row>
    <row r="896" spans="1:71" s="3696" customFormat="1" ht="12">
      <c r="A896" s="3697" t="s">
        <v>11680</v>
      </c>
      <c r="B896" s="3691" t="s">
        <v>9566</v>
      </c>
      <c r="C896" s="3698" t="s">
        <v>9567</v>
      </c>
      <c r="D896" s="3698" t="s">
        <v>9568</v>
      </c>
      <c r="E896" s="3691" t="s">
        <v>3558</v>
      </c>
      <c r="F896" s="3692" t="s">
        <v>10922</v>
      </c>
      <c r="G896" s="3470"/>
      <c r="H896" s="3699" t="s">
        <v>3706</v>
      </c>
      <c r="I896" s="3691" t="s">
        <v>2420</v>
      </c>
      <c r="J896" s="3698" t="s">
        <v>9569</v>
      </c>
      <c r="K896" s="3470" t="s">
        <v>9570</v>
      </c>
      <c r="L896" s="3691">
        <v>154.82</v>
      </c>
      <c r="M896" s="3691">
        <v>11</v>
      </c>
      <c r="N896" s="3691" t="s">
        <v>3632</v>
      </c>
      <c r="O896" s="3470">
        <v>130.82</v>
      </c>
      <c r="P896" s="3470" t="s">
        <v>3452</v>
      </c>
      <c r="Q896" s="3700">
        <v>951214.07999999996</v>
      </c>
      <c r="R896" s="3693">
        <v>6144</v>
      </c>
      <c r="S896" s="3701">
        <v>94.26</v>
      </c>
      <c r="T896" s="3527">
        <v>942600</v>
      </c>
      <c r="U896" s="3691">
        <v>6089</v>
      </c>
      <c r="V896" s="3474">
        <v>0.1</v>
      </c>
      <c r="W896" s="3475">
        <v>84.83</v>
      </c>
      <c r="X896" s="3476">
        <v>848300</v>
      </c>
      <c r="Y896" s="3441">
        <v>2003</v>
      </c>
      <c r="Z896" s="3441">
        <v>10</v>
      </c>
      <c r="AA896" s="3470">
        <v>16</v>
      </c>
      <c r="AB896" s="3485">
        <v>4710</v>
      </c>
      <c r="AC896" s="3470" t="s">
        <v>9487</v>
      </c>
      <c r="AD896" s="3485"/>
      <c r="AE896" s="3441" t="s">
        <v>3663</v>
      </c>
      <c r="AF896" s="3470" t="s">
        <v>4721</v>
      </c>
      <c r="AG896" s="3522" t="s">
        <v>3466</v>
      </c>
      <c r="AH896" s="3485" t="s">
        <v>3463</v>
      </c>
      <c r="AI896" s="3470" t="s">
        <v>5021</v>
      </c>
      <c r="AJ896" s="3523">
        <v>38107</v>
      </c>
      <c r="AK896" s="3500" t="s">
        <v>9283</v>
      </c>
      <c r="AL896" s="3441">
        <v>67641700</v>
      </c>
      <c r="AM896" s="3441"/>
      <c r="AN896" s="3456" t="s">
        <v>3695</v>
      </c>
      <c r="AO896" s="3441"/>
      <c r="AP896" s="3441" t="s">
        <v>3476</v>
      </c>
      <c r="AQ896" s="3441" t="s">
        <v>3571</v>
      </c>
      <c r="AR896" s="3441"/>
      <c r="AS896" s="3441"/>
      <c r="AT896" s="3441"/>
      <c r="AU896" s="3441"/>
      <c r="AV896" s="3441" t="s">
        <v>3568</v>
      </c>
      <c r="AW896" s="3441" t="s">
        <v>3572</v>
      </c>
      <c r="AX896" s="3441" t="s">
        <v>3568</v>
      </c>
      <c r="AY896" s="3524" t="s">
        <v>9571</v>
      </c>
      <c r="AZ896" s="3470" t="s">
        <v>9572</v>
      </c>
      <c r="BA896" s="3441" t="s">
        <v>9573</v>
      </c>
      <c r="BB896" s="3524" t="s">
        <v>9574</v>
      </c>
      <c r="BC896" s="3441" t="s">
        <v>9575</v>
      </c>
      <c r="BD896" s="3525">
        <v>102602</v>
      </c>
      <c r="BE896" s="3441">
        <v>68725998</v>
      </c>
      <c r="BF896" s="3526">
        <v>2.8</v>
      </c>
      <c r="BG896" s="3702">
        <v>37884</v>
      </c>
      <c r="BI896" s="3696" t="s">
        <v>3476</v>
      </c>
      <c r="BJ896" s="3703">
        <v>37904</v>
      </c>
      <c r="BK896" s="3703"/>
      <c r="BL896" s="3691" t="s">
        <v>3670</v>
      </c>
    </row>
    <row r="897" spans="1:253" s="3470" customFormat="1" ht="12" hidden="1">
      <c r="A897" s="3453" t="s">
        <v>9576</v>
      </c>
      <c r="B897" s="3470" t="s">
        <v>9577</v>
      </c>
      <c r="C897" s="3481" t="s">
        <v>9578</v>
      </c>
      <c r="D897" s="3470">
        <v>13001276229</v>
      </c>
      <c r="E897" s="3470" t="s">
        <v>3558</v>
      </c>
      <c r="F897" s="3470" t="s">
        <v>3559</v>
      </c>
      <c r="H897" s="3453" t="s">
        <v>9579</v>
      </c>
      <c r="I897" s="3453"/>
      <c r="J897" s="3453" t="s">
        <v>9580</v>
      </c>
      <c r="K897" s="3470" t="s">
        <v>7737</v>
      </c>
      <c r="L897" s="3495">
        <v>128.96</v>
      </c>
      <c r="M897" s="3495">
        <v>7</v>
      </c>
      <c r="N897" s="3470" t="s">
        <v>3632</v>
      </c>
      <c r="O897" s="3495">
        <v>103.03</v>
      </c>
      <c r="P897" s="3470" t="s">
        <v>3452</v>
      </c>
      <c r="Q897" s="3457">
        <v>596098.25600000005</v>
      </c>
      <c r="R897" s="3495">
        <v>4622.3500000000004</v>
      </c>
      <c r="S897" s="3472">
        <v>58.98</v>
      </c>
      <c r="T897" s="3527">
        <v>589800</v>
      </c>
      <c r="U897" s="3495">
        <v>4574</v>
      </c>
      <c r="V897" s="3474">
        <v>0.05</v>
      </c>
      <c r="W897" s="3475">
        <v>56.03</v>
      </c>
      <c r="X897" s="3473">
        <v>560300</v>
      </c>
      <c r="Y897" s="3495">
        <v>2003</v>
      </c>
      <c r="Z897" s="3495">
        <v>10</v>
      </c>
      <c r="AA897" s="3495">
        <v>14</v>
      </c>
      <c r="AB897" s="3485">
        <v>2945</v>
      </c>
      <c r="AC897" s="3470" t="s">
        <v>9060</v>
      </c>
      <c r="AE897" s="3456" t="s">
        <v>3663</v>
      </c>
      <c r="AF897" s="3470" t="s">
        <v>3493</v>
      </c>
      <c r="AG897" s="3470" t="s">
        <v>3466</v>
      </c>
      <c r="AH897" s="3470" t="s">
        <v>3568</v>
      </c>
      <c r="AI897" s="3456" t="s">
        <v>5021</v>
      </c>
      <c r="AJ897" s="3478">
        <v>37924</v>
      </c>
      <c r="AK897" s="3479" t="s">
        <v>4752</v>
      </c>
      <c r="AL897" s="3495">
        <v>67641700</v>
      </c>
      <c r="AM897" s="3470" t="s">
        <v>3568</v>
      </c>
      <c r="AN897" s="3441" t="s">
        <v>3482</v>
      </c>
      <c r="AO897" s="3470" t="s">
        <v>3568</v>
      </c>
      <c r="AP897" s="3456" t="s">
        <v>3476</v>
      </c>
      <c r="AQ897" s="3456" t="s">
        <v>3571</v>
      </c>
      <c r="AV897" s="3519"/>
      <c r="AW897" s="3470" t="s">
        <v>3572</v>
      </c>
      <c r="AY897" s="3495">
        <v>318472</v>
      </c>
      <c r="AZ897" s="3470" t="s">
        <v>7737</v>
      </c>
      <c r="BA897" s="3470" t="s">
        <v>3574</v>
      </c>
      <c r="BB897" s="3524" t="s">
        <v>9581</v>
      </c>
      <c r="BC897" s="3470" t="s">
        <v>3576</v>
      </c>
      <c r="BD897" s="3470">
        <v>100035</v>
      </c>
      <c r="BE897" s="3470">
        <v>84050010</v>
      </c>
      <c r="BF897" s="3520">
        <v>2.8</v>
      </c>
      <c r="BG897" s="3478">
        <v>37850</v>
      </c>
      <c r="BI897" s="3441" t="s">
        <v>8757</v>
      </c>
      <c r="BJ897" s="3478">
        <v>37907</v>
      </c>
      <c r="BK897" s="3470" t="s">
        <v>3568</v>
      </c>
      <c r="BL897" s="3470" t="s">
        <v>3670</v>
      </c>
      <c r="BP897" s="3441"/>
      <c r="BQ897" s="3441"/>
      <c r="BR897" s="3441"/>
    </row>
    <row r="898" spans="1:253" s="3441" customFormat="1" ht="12" hidden="1">
      <c r="A898" s="3485" t="s">
        <v>9582</v>
      </c>
      <c r="B898" s="3470" t="s">
        <v>9583</v>
      </c>
      <c r="C898" s="3481" t="s">
        <v>9584</v>
      </c>
      <c r="D898" s="3481" t="s">
        <v>9585</v>
      </c>
      <c r="E898" s="3470" t="s">
        <v>3558</v>
      </c>
      <c r="F898" s="3470" t="s">
        <v>4693</v>
      </c>
      <c r="G898" s="3470"/>
      <c r="H898" s="3470" t="s">
        <v>4694</v>
      </c>
      <c r="I898" s="3470" t="s">
        <v>9586</v>
      </c>
      <c r="J898" s="3481" t="s">
        <v>9587</v>
      </c>
      <c r="K898" s="3470" t="s">
        <v>4697</v>
      </c>
      <c r="L898" s="3470">
        <v>37.76</v>
      </c>
      <c r="M898" s="3470">
        <v>2</v>
      </c>
      <c r="N898" s="3470" t="s">
        <v>3692</v>
      </c>
      <c r="O898" s="3470">
        <v>28.05</v>
      </c>
      <c r="P898" s="3470" t="s">
        <v>3452</v>
      </c>
      <c r="Q898" s="3457">
        <v>314238.71999999997</v>
      </c>
      <c r="R898" s="3470">
        <v>8322</v>
      </c>
      <c r="S898" s="3472">
        <v>31.27</v>
      </c>
      <c r="T898" s="3527">
        <v>312700</v>
      </c>
      <c r="U898" s="3470">
        <v>8283</v>
      </c>
      <c r="V898" s="3474">
        <v>0.1</v>
      </c>
      <c r="W898" s="3475">
        <v>28.14</v>
      </c>
      <c r="X898" s="3476">
        <v>281400</v>
      </c>
      <c r="Y898" s="3441">
        <v>2003</v>
      </c>
      <c r="Z898" s="3441">
        <v>10</v>
      </c>
      <c r="AA898" s="3470">
        <v>14</v>
      </c>
      <c r="AB898" s="3477">
        <v>1560</v>
      </c>
      <c r="AC898" s="3470" t="s">
        <v>9502</v>
      </c>
      <c r="AD898" s="3485"/>
      <c r="AE898" s="3441" t="s">
        <v>3663</v>
      </c>
      <c r="AF898" s="3470" t="s">
        <v>4721</v>
      </c>
      <c r="AG898" s="3522" t="s">
        <v>3466</v>
      </c>
      <c r="AH898" s="3485" t="s">
        <v>3463</v>
      </c>
      <c r="AI898" s="3470" t="s">
        <v>5021</v>
      </c>
      <c r="AJ898" s="3523">
        <v>38138</v>
      </c>
      <c r="AK898" s="3500" t="s">
        <v>9283</v>
      </c>
      <c r="AL898" s="3441">
        <v>67641700</v>
      </c>
      <c r="AN898" s="3456" t="s">
        <v>3695</v>
      </c>
      <c r="AP898" s="3441" t="s">
        <v>3476</v>
      </c>
      <c r="AQ898" s="3441" t="s">
        <v>3571</v>
      </c>
      <c r="AV898" s="3441" t="s">
        <v>3568</v>
      </c>
      <c r="AW898" s="3441" t="s">
        <v>3572</v>
      </c>
      <c r="AX898" s="3441" t="s">
        <v>3568</v>
      </c>
      <c r="AY898" s="3524" t="s">
        <v>9588</v>
      </c>
      <c r="AZ898" s="3441" t="s">
        <v>4697</v>
      </c>
      <c r="BA898" s="3441" t="s">
        <v>4700</v>
      </c>
      <c r="BB898" s="3524" t="s">
        <v>4701</v>
      </c>
      <c r="BC898" s="3441" t="s">
        <v>4702</v>
      </c>
      <c r="BD898" s="3525">
        <v>100011</v>
      </c>
      <c r="BE898" s="3441">
        <v>62351476</v>
      </c>
      <c r="BF898" s="3526">
        <v>2.8</v>
      </c>
      <c r="BG898" s="3518">
        <v>37840</v>
      </c>
      <c r="BI898" s="3441" t="s">
        <v>3476</v>
      </c>
      <c r="BJ898" s="3484">
        <v>37907</v>
      </c>
      <c r="BK898" s="3484"/>
      <c r="BL898" s="3470" t="s">
        <v>3670</v>
      </c>
    </row>
    <row r="899" spans="1:253" s="3441" customFormat="1" ht="12" hidden="1">
      <c r="A899" s="3441" t="s">
        <v>9589</v>
      </c>
      <c r="B899" s="3441" t="s">
        <v>9590</v>
      </c>
      <c r="C899" s="3524" t="s">
        <v>9591</v>
      </c>
      <c r="D899" s="3441">
        <v>13911078304</v>
      </c>
      <c r="E899" s="3441" t="s">
        <v>2736</v>
      </c>
      <c r="F899" s="3441" t="s">
        <v>6878</v>
      </c>
      <c r="G899" s="3441" t="s">
        <v>2420</v>
      </c>
      <c r="H899" s="3441" t="s">
        <v>9235</v>
      </c>
      <c r="I899" s="3441" t="s">
        <v>7114</v>
      </c>
      <c r="J899" s="3441" t="s">
        <v>4356</v>
      </c>
      <c r="K899" s="3441" t="s">
        <v>5601</v>
      </c>
      <c r="L899" s="3441">
        <v>82.55</v>
      </c>
      <c r="M899" s="3441">
        <v>12</v>
      </c>
      <c r="N899" s="3441" t="s">
        <v>4871</v>
      </c>
      <c r="O899" s="3441">
        <v>67.23</v>
      </c>
      <c r="P899" s="3441" t="s">
        <v>3452</v>
      </c>
      <c r="Q899" s="3441">
        <v>335978.5</v>
      </c>
      <c r="R899" s="3441">
        <v>4070</v>
      </c>
      <c r="S899" s="3441">
        <v>33.18</v>
      </c>
      <c r="T899" s="3550">
        <v>331800</v>
      </c>
      <c r="U899" s="3441">
        <v>4020</v>
      </c>
      <c r="V899" s="3474">
        <v>0.1</v>
      </c>
      <c r="W899" s="3441">
        <v>29.86</v>
      </c>
      <c r="X899" s="3602">
        <v>298600</v>
      </c>
      <c r="Y899" s="3441">
        <v>2003</v>
      </c>
      <c r="Z899" s="3441">
        <v>10</v>
      </c>
      <c r="AA899" s="3441">
        <v>20</v>
      </c>
      <c r="AB899" s="3441">
        <v>1655</v>
      </c>
      <c r="AC899" s="3441" t="s">
        <v>9413</v>
      </c>
      <c r="AE899" s="3441" t="s">
        <v>3663</v>
      </c>
      <c r="AF899" s="3441" t="s">
        <v>7751</v>
      </c>
      <c r="AG899" s="3441" t="s">
        <v>3466</v>
      </c>
      <c r="AI899" s="3441" t="s">
        <v>6972</v>
      </c>
      <c r="AJ899" s="3523">
        <v>38352</v>
      </c>
      <c r="AK899" s="3441" t="s">
        <v>8786</v>
      </c>
      <c r="AL899" s="3441">
        <v>67641700</v>
      </c>
      <c r="AN899" s="3441" t="s">
        <v>7284</v>
      </c>
      <c r="AO899" s="3441" t="s">
        <v>9592</v>
      </c>
      <c r="AP899" s="3441" t="s">
        <v>7144</v>
      </c>
      <c r="AQ899" s="3441" t="s">
        <v>3571</v>
      </c>
      <c r="AW899" s="3441" t="s">
        <v>3572</v>
      </c>
      <c r="AX899" s="3441" t="s">
        <v>3715</v>
      </c>
      <c r="AY899" s="3441">
        <v>565818</v>
      </c>
      <c r="AZ899" s="3441" t="s">
        <v>6117</v>
      </c>
      <c r="BA899" s="3441" t="s">
        <v>9593</v>
      </c>
      <c r="BB899" s="3524" t="s">
        <v>9285</v>
      </c>
      <c r="BC899" s="3441" t="s">
        <v>5588</v>
      </c>
      <c r="BD899" s="3441">
        <v>100055</v>
      </c>
      <c r="BE899" s="3441">
        <v>82951881</v>
      </c>
      <c r="BF899" s="3441">
        <v>2.8</v>
      </c>
      <c r="BG899" s="3518">
        <v>37881</v>
      </c>
      <c r="BI899" s="3441" t="s">
        <v>8464</v>
      </c>
      <c r="BJ899" s="3478">
        <v>37910</v>
      </c>
      <c r="BL899" s="3441" t="s">
        <v>3670</v>
      </c>
    </row>
    <row r="900" spans="1:253" s="3441" customFormat="1" ht="12" hidden="1">
      <c r="A900" s="3485" t="s">
        <v>9594</v>
      </c>
      <c r="B900" s="3470" t="s">
        <v>9595</v>
      </c>
      <c r="C900" s="3481" t="s">
        <v>9596</v>
      </c>
      <c r="D900" s="3481" t="s">
        <v>9597</v>
      </c>
      <c r="E900" s="3470" t="s">
        <v>3558</v>
      </c>
      <c r="F900" s="3470" t="s">
        <v>7153</v>
      </c>
      <c r="G900" s="3470" t="s">
        <v>3568</v>
      </c>
      <c r="H900" s="3470" t="s">
        <v>9235</v>
      </c>
      <c r="I900" s="3453" t="s">
        <v>4041</v>
      </c>
      <c r="J900" s="3481" t="s">
        <v>9598</v>
      </c>
      <c r="K900" s="3470" t="s">
        <v>6117</v>
      </c>
      <c r="L900" s="3470">
        <v>69.42</v>
      </c>
      <c r="M900" s="3470">
        <v>9</v>
      </c>
      <c r="N900" s="3542" t="s">
        <v>7255</v>
      </c>
      <c r="O900" s="3470">
        <v>56.84</v>
      </c>
      <c r="P900" s="3470" t="s">
        <v>3452</v>
      </c>
      <c r="Q900" s="3457">
        <v>279068.40000000002</v>
      </c>
      <c r="R900" s="3470">
        <v>4020</v>
      </c>
      <c r="S900" s="3472">
        <v>27.6</v>
      </c>
      <c r="T900" s="3527">
        <v>276000</v>
      </c>
      <c r="U900" s="3470">
        <v>3976</v>
      </c>
      <c r="V900" s="3474">
        <v>0.1</v>
      </c>
      <c r="W900" s="3475">
        <v>24.84</v>
      </c>
      <c r="X900" s="3476">
        <v>248400</v>
      </c>
      <c r="Y900" s="3441">
        <v>2003</v>
      </c>
      <c r="Z900" s="3441">
        <v>10</v>
      </c>
      <c r="AA900" s="3470">
        <v>15</v>
      </c>
      <c r="AB900" s="3477">
        <v>1380</v>
      </c>
      <c r="AC900" s="3470" t="s">
        <v>9077</v>
      </c>
      <c r="AD900" s="3485"/>
      <c r="AE900" s="3441" t="s">
        <v>3663</v>
      </c>
      <c r="AF900" s="3470" t="s">
        <v>3752</v>
      </c>
      <c r="AG900" s="3522" t="s">
        <v>3466</v>
      </c>
      <c r="AH900" s="3485"/>
      <c r="AI900" s="3470" t="s">
        <v>5021</v>
      </c>
      <c r="AJ900" s="3523">
        <v>38352</v>
      </c>
      <c r="AK900" s="3500" t="s">
        <v>9283</v>
      </c>
      <c r="AL900" s="3441">
        <v>67641700</v>
      </c>
      <c r="AN900" s="3456" t="s">
        <v>3468</v>
      </c>
      <c r="AO900" s="3441" t="s">
        <v>6879</v>
      </c>
      <c r="AP900" s="3441" t="s">
        <v>3476</v>
      </c>
      <c r="AQ900" s="3441" t="s">
        <v>3571</v>
      </c>
      <c r="AW900" s="3441" t="s">
        <v>3572</v>
      </c>
      <c r="AX900" s="3441" t="s">
        <v>3568</v>
      </c>
      <c r="AY900" s="3524" t="s">
        <v>9599</v>
      </c>
      <c r="AZ900" s="3441" t="s">
        <v>6117</v>
      </c>
      <c r="BA900" s="3441" t="s">
        <v>7157</v>
      </c>
      <c r="BB900" s="3524">
        <v>1102281326100</v>
      </c>
      <c r="BC900" s="3441" t="s">
        <v>7158</v>
      </c>
      <c r="BD900" s="3525">
        <v>100055</v>
      </c>
      <c r="BE900" s="3441">
        <v>82951881</v>
      </c>
      <c r="BF900" s="3526">
        <v>2.8</v>
      </c>
      <c r="BG900" s="3518">
        <v>37884</v>
      </c>
      <c r="BH900" s="3441" t="s">
        <v>4753</v>
      </c>
      <c r="BI900" s="3441" t="s">
        <v>3476</v>
      </c>
      <c r="BJ900" s="3484">
        <v>37902</v>
      </c>
      <c r="BK900" s="3484"/>
      <c r="BL900" s="3470" t="s">
        <v>3670</v>
      </c>
    </row>
    <row r="901" spans="1:253" s="3441" customFormat="1" ht="12" hidden="1">
      <c r="A901" s="3453" t="s">
        <v>9600</v>
      </c>
      <c r="B901" s="3470" t="s">
        <v>9601</v>
      </c>
      <c r="C901" s="3481" t="s">
        <v>9602</v>
      </c>
      <c r="D901" s="3481" t="s">
        <v>9603</v>
      </c>
      <c r="E901" s="3470" t="s">
        <v>3558</v>
      </c>
      <c r="F901" s="3528" t="s">
        <v>4645</v>
      </c>
      <c r="G901" s="3470"/>
      <c r="H901" s="3470" t="s">
        <v>9604</v>
      </c>
      <c r="I901" s="3470" t="s">
        <v>4707</v>
      </c>
      <c r="J901" s="3481" t="s">
        <v>9605</v>
      </c>
      <c r="K901" s="3470" t="s">
        <v>4649</v>
      </c>
      <c r="L901" s="3470">
        <v>59.99</v>
      </c>
      <c r="M901" s="3470">
        <v>14</v>
      </c>
      <c r="N901" s="3470" t="s">
        <v>3564</v>
      </c>
      <c r="O901" s="3470">
        <v>47.29</v>
      </c>
      <c r="P901" s="3470" t="s">
        <v>3452</v>
      </c>
      <c r="Q901" s="3457">
        <v>464742.53</v>
      </c>
      <c r="R901" s="3470">
        <v>7747</v>
      </c>
      <c r="S901" s="3472">
        <v>46.1</v>
      </c>
      <c r="T901" s="3527">
        <v>461000</v>
      </c>
      <c r="U901" s="3491">
        <v>7685</v>
      </c>
      <c r="V901" s="3529">
        <v>0.1</v>
      </c>
      <c r="W901" s="3475">
        <v>41.49</v>
      </c>
      <c r="X901" s="3473">
        <v>414900</v>
      </c>
      <c r="Y901" s="3501">
        <v>2003</v>
      </c>
      <c r="Z901" s="3441">
        <v>10</v>
      </c>
      <c r="AA901" s="3470">
        <v>15</v>
      </c>
      <c r="AB901" s="3477">
        <v>2305</v>
      </c>
      <c r="AC901" s="3470" t="s">
        <v>9077</v>
      </c>
      <c r="AD901" s="3485"/>
      <c r="AE901" s="3441" t="s">
        <v>3663</v>
      </c>
      <c r="AF901" s="3470" t="s">
        <v>3728</v>
      </c>
      <c r="AG901" s="3522" t="s">
        <v>3466</v>
      </c>
      <c r="AH901" s="3485"/>
      <c r="AI901" s="3470" t="s">
        <v>5021</v>
      </c>
      <c r="AJ901" s="3523">
        <v>38199</v>
      </c>
      <c r="AK901" s="3500" t="s">
        <v>4752</v>
      </c>
      <c r="AL901" s="3441">
        <v>67641700</v>
      </c>
      <c r="AN901" s="3456" t="s">
        <v>3695</v>
      </c>
      <c r="AP901" s="3441" t="s">
        <v>3476</v>
      </c>
      <c r="AQ901" s="3441" t="s">
        <v>3571</v>
      </c>
      <c r="AW901" s="3441" t="s">
        <v>3572</v>
      </c>
      <c r="AX901" s="3441" t="s">
        <v>3568</v>
      </c>
      <c r="AY901" s="3524" t="s">
        <v>9606</v>
      </c>
      <c r="AZ901" s="3441" t="s">
        <v>4654</v>
      </c>
      <c r="BA901" s="3441" t="s">
        <v>4688</v>
      </c>
      <c r="BB901" s="3524" t="s">
        <v>4689</v>
      </c>
      <c r="BC901" s="3441" t="s">
        <v>4656</v>
      </c>
      <c r="BD901" s="3525">
        <v>100037</v>
      </c>
      <c r="BE901" s="3441">
        <v>68347718</v>
      </c>
      <c r="BF901" s="3526">
        <v>2.8</v>
      </c>
      <c r="BG901" s="3518">
        <v>37883</v>
      </c>
      <c r="BH901" s="3441" t="s">
        <v>4681</v>
      </c>
      <c r="BI901" s="3441" t="s">
        <v>3476</v>
      </c>
      <c r="BJ901" s="3484">
        <v>37907</v>
      </c>
      <c r="BK901" s="3484"/>
      <c r="BL901" s="3470" t="s">
        <v>3670</v>
      </c>
    </row>
    <row r="902" spans="1:253" s="3441" customFormat="1" ht="12" hidden="1">
      <c r="A902" s="3453" t="s">
        <v>9607</v>
      </c>
      <c r="B902" s="3470" t="s">
        <v>9608</v>
      </c>
      <c r="C902" s="3481" t="s">
        <v>9609</v>
      </c>
      <c r="D902" s="3481" t="s">
        <v>9610</v>
      </c>
      <c r="E902" s="3470" t="s">
        <v>3558</v>
      </c>
      <c r="F902" s="3528" t="s">
        <v>4645</v>
      </c>
      <c r="G902" s="3470"/>
      <c r="H902" s="3470" t="s">
        <v>9611</v>
      </c>
      <c r="I902" s="3470" t="s">
        <v>4454</v>
      </c>
      <c r="J902" s="3481" t="s">
        <v>9612</v>
      </c>
      <c r="K902" s="3470" t="s">
        <v>4649</v>
      </c>
      <c r="L902" s="3470">
        <v>59.99</v>
      </c>
      <c r="M902" s="3470">
        <v>19</v>
      </c>
      <c r="N902" s="3470" t="s">
        <v>3564</v>
      </c>
      <c r="O902" s="3470">
        <v>47.29</v>
      </c>
      <c r="P902" s="3470" t="s">
        <v>3452</v>
      </c>
      <c r="Q902" s="3457">
        <v>472241.28</v>
      </c>
      <c r="R902" s="3470">
        <v>7872</v>
      </c>
      <c r="S902" s="3472">
        <v>46.85</v>
      </c>
      <c r="T902" s="3527">
        <v>468500</v>
      </c>
      <c r="U902" s="3491">
        <v>7810</v>
      </c>
      <c r="V902" s="3529">
        <v>0.1</v>
      </c>
      <c r="W902" s="3475">
        <v>42.16</v>
      </c>
      <c r="X902" s="3473">
        <v>421599.99999999994</v>
      </c>
      <c r="Y902" s="3501">
        <v>2003</v>
      </c>
      <c r="Z902" s="3441">
        <v>10</v>
      </c>
      <c r="AA902" s="3470">
        <v>15</v>
      </c>
      <c r="AB902" s="3477">
        <v>2340</v>
      </c>
      <c r="AC902" s="3470" t="s">
        <v>9364</v>
      </c>
      <c r="AD902" s="3485"/>
      <c r="AE902" s="3441" t="s">
        <v>3663</v>
      </c>
      <c r="AF902" s="3470" t="s">
        <v>3728</v>
      </c>
      <c r="AG902" s="3522" t="s">
        <v>3466</v>
      </c>
      <c r="AH902" s="3485"/>
      <c r="AI902" s="3470" t="s">
        <v>5021</v>
      </c>
      <c r="AJ902" s="3523">
        <v>38199</v>
      </c>
      <c r="AK902" s="3500" t="s">
        <v>4752</v>
      </c>
      <c r="AL902" s="3441">
        <v>67641700</v>
      </c>
      <c r="AN902" s="3456" t="s">
        <v>3695</v>
      </c>
      <c r="AP902" s="3441" t="s">
        <v>3476</v>
      </c>
      <c r="AQ902" s="3441" t="s">
        <v>3571</v>
      </c>
      <c r="AW902" s="3441" t="s">
        <v>3572</v>
      </c>
      <c r="AX902" s="3441" t="s">
        <v>3568</v>
      </c>
      <c r="AY902" s="3524" t="s">
        <v>9613</v>
      </c>
      <c r="AZ902" s="3441" t="s">
        <v>4654</v>
      </c>
      <c r="BA902" s="3441" t="s">
        <v>4688</v>
      </c>
      <c r="BB902" s="3524" t="s">
        <v>4689</v>
      </c>
      <c r="BC902" s="3441" t="s">
        <v>4656</v>
      </c>
      <c r="BD902" s="3525">
        <v>100037</v>
      </c>
      <c r="BE902" s="3441">
        <v>68347718</v>
      </c>
      <c r="BF902" s="3526">
        <v>2.8</v>
      </c>
      <c r="BG902" s="3518">
        <v>37881</v>
      </c>
      <c r="BH902" s="3441" t="s">
        <v>4681</v>
      </c>
      <c r="BI902" s="3441" t="s">
        <v>3476</v>
      </c>
      <c r="BJ902" s="3484">
        <v>37907</v>
      </c>
      <c r="BK902" s="3484"/>
      <c r="BL902" s="3470" t="s">
        <v>3670</v>
      </c>
    </row>
    <row r="903" spans="1:253" s="3441" customFormat="1" ht="12" hidden="1">
      <c r="A903" s="3470" t="s">
        <v>9614</v>
      </c>
      <c r="B903" s="3470" t="s">
        <v>9615</v>
      </c>
      <c r="C903" s="3481" t="s">
        <v>9616</v>
      </c>
      <c r="D903" s="3481" t="s">
        <v>9617</v>
      </c>
      <c r="E903" s="3470" t="s">
        <v>3763</v>
      </c>
      <c r="F903" s="3528" t="s">
        <v>9050</v>
      </c>
      <c r="G903" s="3470"/>
      <c r="H903" s="3470" t="s">
        <v>3657</v>
      </c>
      <c r="I903" s="3470" t="s">
        <v>9618</v>
      </c>
      <c r="J903" s="3481" t="s">
        <v>5647</v>
      </c>
      <c r="K903" s="3470" t="s">
        <v>9619</v>
      </c>
      <c r="L903" s="3470">
        <v>93.84</v>
      </c>
      <c r="M903" s="3470">
        <v>3</v>
      </c>
      <c r="N903" s="3470" t="s">
        <v>9620</v>
      </c>
      <c r="O903" s="3470"/>
      <c r="P903" s="3470" t="s">
        <v>3452</v>
      </c>
      <c r="Q903" s="3457">
        <v>506736</v>
      </c>
      <c r="R903" s="3495">
        <v>5400</v>
      </c>
      <c r="S903" s="3472">
        <v>50.16</v>
      </c>
      <c r="T903" s="3527">
        <v>501599.99999999994</v>
      </c>
      <c r="U903" s="3495">
        <v>5346</v>
      </c>
      <c r="V903" s="3529">
        <v>0.05</v>
      </c>
      <c r="W903" s="3475">
        <v>47.65</v>
      </c>
      <c r="X903" s="3473">
        <v>476500</v>
      </c>
      <c r="Y903" s="3495">
        <v>2003</v>
      </c>
      <c r="Z903" s="3441">
        <v>10</v>
      </c>
      <c r="AA903" s="3470">
        <v>15</v>
      </c>
      <c r="AB903" s="3477">
        <v>2505</v>
      </c>
      <c r="AC903" s="3470" t="s">
        <v>7750</v>
      </c>
      <c r="AD903" s="3485"/>
      <c r="AE903" s="3441" t="s">
        <v>3663</v>
      </c>
      <c r="AF903" s="3453" t="s">
        <v>3493</v>
      </c>
      <c r="AG903" s="3522" t="s">
        <v>3466</v>
      </c>
      <c r="AH903" s="3485" t="s">
        <v>3568</v>
      </c>
      <c r="AI903" s="3470" t="s">
        <v>3664</v>
      </c>
      <c r="AJ903" s="3523" t="s">
        <v>6879</v>
      </c>
      <c r="AK903" s="3500" t="s">
        <v>4752</v>
      </c>
      <c r="AL903" s="3441">
        <v>67641700</v>
      </c>
      <c r="AN903" s="3456" t="s">
        <v>3695</v>
      </c>
      <c r="AO903" s="3441" t="s">
        <v>3568</v>
      </c>
      <c r="AP903" s="3441" t="s">
        <v>3476</v>
      </c>
      <c r="AQ903" s="3441" t="s">
        <v>3457</v>
      </c>
      <c r="AV903" s="3441" t="s">
        <v>3568</v>
      </c>
      <c r="AW903" s="3441" t="s">
        <v>3458</v>
      </c>
      <c r="AY903" s="3524"/>
      <c r="AZ903" s="3441" t="s">
        <v>3666</v>
      </c>
      <c r="BA903" s="3441" t="s">
        <v>9099</v>
      </c>
      <c r="BB903" s="3524" t="s">
        <v>9100</v>
      </c>
      <c r="BC903" s="3441" t="s">
        <v>3669</v>
      </c>
      <c r="BD903" s="3525">
        <v>100037</v>
      </c>
      <c r="BE903" s="3441">
        <v>88118245</v>
      </c>
      <c r="BF903" s="3526">
        <v>2.7</v>
      </c>
      <c r="BG903" s="3518">
        <v>37499</v>
      </c>
      <c r="BI903" s="3441" t="s">
        <v>3476</v>
      </c>
      <c r="BJ903" s="3484">
        <v>37907</v>
      </c>
      <c r="BK903" s="3518" t="s">
        <v>3568</v>
      </c>
      <c r="BL903" s="3470" t="s">
        <v>3470</v>
      </c>
      <c r="BS903" s="3472"/>
      <c r="BT903" s="3472"/>
      <c r="BU903" s="3472"/>
      <c r="BV903" s="3472"/>
      <c r="BW903" s="3472"/>
      <c r="BX903" s="3472"/>
      <c r="BY903" s="3472"/>
      <c r="BZ903" s="3472"/>
      <c r="CA903" s="3472"/>
      <c r="CB903" s="3472"/>
      <c r="CC903" s="3472"/>
      <c r="CD903" s="3472"/>
      <c r="CE903" s="3472"/>
      <c r="CF903" s="3472"/>
      <c r="CG903" s="3472"/>
      <c r="CH903" s="3472"/>
      <c r="CI903" s="3472"/>
      <c r="CJ903" s="3472"/>
      <c r="CK903" s="3472"/>
      <c r="CL903" s="3472"/>
      <c r="CM903" s="3472"/>
      <c r="CN903" s="3472"/>
      <c r="CO903" s="3472"/>
      <c r="CP903" s="3472"/>
      <c r="CQ903" s="3472"/>
      <c r="CR903" s="3472"/>
      <c r="CS903" s="3472"/>
      <c r="CT903" s="3472"/>
      <c r="CU903" s="3472"/>
      <c r="CV903" s="3472"/>
      <c r="CW903" s="3472"/>
      <c r="CX903" s="3472"/>
      <c r="CY903" s="3472"/>
      <c r="CZ903" s="3472"/>
      <c r="DA903" s="3472"/>
      <c r="DB903" s="3472"/>
      <c r="DC903" s="3472"/>
      <c r="DD903" s="3472"/>
      <c r="DE903" s="3472"/>
      <c r="DF903" s="3472"/>
      <c r="DG903" s="3472"/>
      <c r="DH903" s="3472"/>
      <c r="DI903" s="3472"/>
      <c r="DJ903" s="3472"/>
      <c r="DK903" s="3472"/>
      <c r="DL903" s="3472"/>
      <c r="DM903" s="3472"/>
      <c r="DN903" s="3472"/>
      <c r="DO903" s="3472"/>
      <c r="DP903" s="3472"/>
      <c r="DQ903" s="3472"/>
      <c r="DR903" s="3472"/>
      <c r="DS903" s="3472"/>
      <c r="DT903" s="3472"/>
      <c r="DU903" s="3472"/>
      <c r="DV903" s="3472"/>
      <c r="DW903" s="3472"/>
      <c r="DX903" s="3472"/>
      <c r="DY903" s="3472"/>
      <c r="DZ903" s="3472"/>
      <c r="EA903" s="3472"/>
      <c r="EB903" s="3472"/>
      <c r="EC903" s="3472"/>
      <c r="ED903" s="3472"/>
      <c r="EE903" s="3472"/>
      <c r="EF903" s="3472"/>
      <c r="EG903" s="3472"/>
      <c r="EH903" s="3472"/>
      <c r="EI903" s="3472"/>
      <c r="EJ903" s="3472"/>
      <c r="EK903" s="3472"/>
      <c r="EL903" s="3472"/>
      <c r="EM903" s="3472"/>
      <c r="EN903" s="3472"/>
      <c r="EO903" s="3472"/>
      <c r="EP903" s="3472"/>
      <c r="EQ903" s="3472"/>
      <c r="ER903" s="3472"/>
      <c r="ES903" s="3472"/>
      <c r="ET903" s="3472"/>
      <c r="EU903" s="3472"/>
      <c r="EV903" s="3472"/>
      <c r="EW903" s="3472"/>
      <c r="EX903" s="3472"/>
      <c r="EY903" s="3472"/>
      <c r="EZ903" s="3472"/>
      <c r="FA903" s="3472"/>
      <c r="FB903" s="3472"/>
      <c r="FC903" s="3472"/>
      <c r="FD903" s="3472"/>
      <c r="FE903" s="3472"/>
      <c r="FF903" s="3472"/>
      <c r="FG903" s="3472"/>
      <c r="FH903" s="3472"/>
      <c r="FI903" s="3472"/>
      <c r="FJ903" s="3472"/>
      <c r="FK903" s="3472"/>
      <c r="FL903" s="3472"/>
      <c r="FM903" s="3472"/>
      <c r="FN903" s="3472"/>
      <c r="FO903" s="3472"/>
      <c r="FP903" s="3472"/>
      <c r="FQ903" s="3472"/>
      <c r="FR903" s="3472"/>
      <c r="FS903" s="3472"/>
      <c r="FT903" s="3472"/>
      <c r="FU903" s="3472"/>
      <c r="FV903" s="3472"/>
      <c r="FW903" s="3472"/>
      <c r="FX903" s="3472"/>
      <c r="FY903" s="3472"/>
      <c r="FZ903" s="3472"/>
      <c r="GA903" s="3472"/>
      <c r="GB903" s="3472"/>
      <c r="GC903" s="3472"/>
      <c r="GD903" s="3472"/>
      <c r="GE903" s="3472"/>
      <c r="GF903" s="3472"/>
      <c r="GG903" s="3472"/>
      <c r="GH903" s="3472"/>
      <c r="GI903" s="3472"/>
      <c r="GJ903" s="3472"/>
      <c r="GK903" s="3472"/>
      <c r="GL903" s="3472"/>
      <c r="GM903" s="3472"/>
      <c r="GN903" s="3472"/>
      <c r="GO903" s="3472"/>
      <c r="GP903" s="3472"/>
      <c r="GQ903" s="3472"/>
      <c r="GR903" s="3472"/>
      <c r="GS903" s="3472"/>
      <c r="GT903" s="3472"/>
      <c r="GU903" s="3472"/>
      <c r="GV903" s="3472"/>
      <c r="GW903" s="3472"/>
      <c r="GX903" s="3472"/>
      <c r="GY903" s="3472"/>
      <c r="GZ903" s="3472"/>
      <c r="HA903" s="3472"/>
      <c r="HB903" s="3472"/>
      <c r="HC903" s="3472"/>
      <c r="HD903" s="3472"/>
      <c r="HE903" s="3472"/>
      <c r="HF903" s="3472"/>
      <c r="HG903" s="3472"/>
      <c r="HH903" s="3472"/>
      <c r="HI903" s="3472"/>
      <c r="HJ903" s="3472"/>
      <c r="HK903" s="3472"/>
      <c r="HL903" s="3472"/>
      <c r="HM903" s="3472"/>
      <c r="HN903" s="3472"/>
      <c r="HO903" s="3472"/>
      <c r="HP903" s="3472"/>
      <c r="HQ903" s="3472"/>
      <c r="HR903" s="3472"/>
      <c r="HS903" s="3472"/>
      <c r="HT903" s="3472"/>
      <c r="HU903" s="3472"/>
      <c r="HV903" s="3472"/>
      <c r="HW903" s="3472"/>
      <c r="HX903" s="3472"/>
      <c r="HY903" s="3472"/>
      <c r="HZ903" s="3472"/>
      <c r="IA903" s="3472"/>
      <c r="IB903" s="3472"/>
      <c r="IC903" s="3472"/>
      <c r="ID903" s="3472"/>
      <c r="IE903" s="3472"/>
      <c r="IF903" s="3472"/>
      <c r="IG903" s="3472"/>
      <c r="IH903" s="3472"/>
      <c r="II903" s="3472"/>
      <c r="IJ903" s="3472"/>
      <c r="IK903" s="3472"/>
      <c r="IL903" s="3472"/>
      <c r="IM903" s="3472"/>
      <c r="IN903" s="3472"/>
      <c r="IO903" s="3472"/>
      <c r="IP903" s="3472"/>
      <c r="IQ903" s="3472"/>
      <c r="IR903" s="3472"/>
      <c r="IS903" s="3472"/>
    </row>
    <row r="904" spans="1:253" s="3470" customFormat="1" ht="12" hidden="1">
      <c r="A904" s="3485" t="s">
        <v>9621</v>
      </c>
      <c r="B904" s="3470" t="s">
        <v>9622</v>
      </c>
      <c r="C904" s="3481" t="s">
        <v>9623</v>
      </c>
      <c r="D904" s="3470">
        <v>13651307797</v>
      </c>
      <c r="E904" s="3470" t="s">
        <v>3558</v>
      </c>
      <c r="F904" s="3470" t="s">
        <v>5335</v>
      </c>
      <c r="H904" s="3453" t="s">
        <v>9624</v>
      </c>
      <c r="J904" s="3470" t="s">
        <v>9625</v>
      </c>
      <c r="K904" s="3470" t="s">
        <v>5338</v>
      </c>
      <c r="L904" s="3470">
        <v>57.9</v>
      </c>
      <c r="M904" s="3470">
        <v>7</v>
      </c>
      <c r="N904" s="3470" t="s">
        <v>6871</v>
      </c>
      <c r="O904" s="3470">
        <v>46.94</v>
      </c>
      <c r="P904" s="3470" t="s">
        <v>3452</v>
      </c>
      <c r="Q904" s="3616">
        <v>231600</v>
      </c>
      <c r="R904" s="3470">
        <v>4000</v>
      </c>
      <c r="S904" s="3472">
        <v>22.88</v>
      </c>
      <c r="T904" s="3550">
        <v>228800</v>
      </c>
      <c r="U904" s="3470">
        <v>3952</v>
      </c>
      <c r="V904" s="3474">
        <v>0.1</v>
      </c>
      <c r="W904" s="3475">
        <v>20.59</v>
      </c>
      <c r="X904" s="3511">
        <v>205900</v>
      </c>
      <c r="Y904" s="3470">
        <v>2003</v>
      </c>
      <c r="Z904" s="3441">
        <v>10</v>
      </c>
      <c r="AA904" s="3470">
        <v>27</v>
      </c>
      <c r="AB904" s="3485">
        <v>1140</v>
      </c>
      <c r="AC904" s="3470" t="s">
        <v>4800</v>
      </c>
      <c r="AE904" s="3470" t="s">
        <v>3663</v>
      </c>
      <c r="AF904" s="3470" t="s">
        <v>4721</v>
      </c>
      <c r="AG904" s="3470" t="s">
        <v>3466</v>
      </c>
      <c r="AH904" s="3470" t="s">
        <v>3568</v>
      </c>
      <c r="AI904" s="3470" t="s">
        <v>5021</v>
      </c>
      <c r="AJ904" s="3478">
        <v>38138</v>
      </c>
      <c r="AK904" s="3500" t="s">
        <v>9283</v>
      </c>
      <c r="AL904" s="3441">
        <v>67641700</v>
      </c>
      <c r="AM904" s="3441"/>
      <c r="AN904" s="3456" t="s">
        <v>3680</v>
      </c>
      <c r="AO904" s="3470" t="s">
        <v>9626</v>
      </c>
      <c r="AP904" s="3456" t="s">
        <v>3476</v>
      </c>
      <c r="AQ904" s="3470" t="s">
        <v>3571</v>
      </c>
      <c r="AV904" s="3470" t="s">
        <v>3568</v>
      </c>
      <c r="AW904" s="3470" t="s">
        <v>3572</v>
      </c>
      <c r="AY904" s="3470">
        <v>262865</v>
      </c>
      <c r="AZ904" s="3470" t="s">
        <v>5338</v>
      </c>
      <c r="BA904" s="3470" t="s">
        <v>5342</v>
      </c>
      <c r="BB904" s="3470" t="s">
        <v>5343</v>
      </c>
      <c r="BC904" s="3470" t="s">
        <v>5344</v>
      </c>
      <c r="BD904" s="3470">
        <v>102488</v>
      </c>
      <c r="BE904" s="3470">
        <v>63023627</v>
      </c>
      <c r="BF904" s="3506">
        <v>2.8</v>
      </c>
      <c r="BG904" s="3478">
        <v>37780</v>
      </c>
      <c r="BI904" s="3441" t="s">
        <v>3476</v>
      </c>
      <c r="BJ904" s="3478">
        <v>37917</v>
      </c>
      <c r="BL904" s="3470" t="s">
        <v>3670</v>
      </c>
      <c r="BP904" s="3441"/>
      <c r="BQ904" s="3441"/>
      <c r="BR904" s="3441"/>
      <c r="BS904" s="3441"/>
    </row>
    <row r="905" spans="1:253" s="3441" customFormat="1" ht="12" hidden="1">
      <c r="A905" s="3485" t="s">
        <v>9627</v>
      </c>
      <c r="B905" s="3470" t="s">
        <v>9628</v>
      </c>
      <c r="C905" s="3481" t="s">
        <v>9629</v>
      </c>
      <c r="D905" s="3481" t="s">
        <v>9630</v>
      </c>
      <c r="E905" s="3470" t="s">
        <v>3558</v>
      </c>
      <c r="F905" s="3470" t="s">
        <v>4693</v>
      </c>
      <c r="G905" s="3470"/>
      <c r="H905" s="3470" t="s">
        <v>4694</v>
      </c>
      <c r="I905" s="3470" t="s">
        <v>7556</v>
      </c>
      <c r="J905" s="3481" t="s">
        <v>9631</v>
      </c>
      <c r="K905" s="3470" t="s">
        <v>4697</v>
      </c>
      <c r="L905" s="3470">
        <v>37.76</v>
      </c>
      <c r="M905" s="3470">
        <v>7</v>
      </c>
      <c r="N905" s="3470" t="s">
        <v>3692</v>
      </c>
      <c r="O905" s="3470">
        <v>28.05</v>
      </c>
      <c r="P905" s="3470" t="s">
        <v>3452</v>
      </c>
      <c r="Q905" s="3457">
        <v>324396.15999999997</v>
      </c>
      <c r="R905" s="3470">
        <v>8591</v>
      </c>
      <c r="S905" s="3472">
        <v>32.19</v>
      </c>
      <c r="T905" s="3527">
        <v>321900</v>
      </c>
      <c r="U905" s="3470">
        <v>8526</v>
      </c>
      <c r="V905" s="3474">
        <v>0.1</v>
      </c>
      <c r="W905" s="3475">
        <v>28.97</v>
      </c>
      <c r="X905" s="3476">
        <v>289700</v>
      </c>
      <c r="Y905" s="3441">
        <v>2003</v>
      </c>
      <c r="Z905" s="3441">
        <v>10</v>
      </c>
      <c r="AA905" s="3470">
        <v>16</v>
      </c>
      <c r="AB905" s="3477">
        <v>1605</v>
      </c>
      <c r="AC905" s="3470" t="s">
        <v>9336</v>
      </c>
      <c r="AD905" s="3485"/>
      <c r="AE905" s="3441" t="s">
        <v>3663</v>
      </c>
      <c r="AF905" s="3470" t="s">
        <v>4721</v>
      </c>
      <c r="AG905" s="3522" t="s">
        <v>3466</v>
      </c>
      <c r="AH905" s="3485" t="s">
        <v>3463</v>
      </c>
      <c r="AI905" s="3470" t="s">
        <v>5021</v>
      </c>
      <c r="AJ905" s="3523">
        <v>38138</v>
      </c>
      <c r="AK905" s="3500" t="s">
        <v>8786</v>
      </c>
      <c r="AL905" s="3441">
        <v>67641700</v>
      </c>
      <c r="AN905" s="3456" t="s">
        <v>3695</v>
      </c>
      <c r="AP905" s="3441" t="s">
        <v>3476</v>
      </c>
      <c r="AQ905" s="3441" t="s">
        <v>3571</v>
      </c>
      <c r="AV905" s="3441" t="s">
        <v>3568</v>
      </c>
      <c r="AW905" s="3441" t="s">
        <v>3572</v>
      </c>
      <c r="AX905" s="3441" t="s">
        <v>3568</v>
      </c>
      <c r="AY905" s="3524" t="s">
        <v>9632</v>
      </c>
      <c r="AZ905" s="3441" t="s">
        <v>4697</v>
      </c>
      <c r="BA905" s="3441" t="s">
        <v>4700</v>
      </c>
      <c r="BB905" s="3524" t="s">
        <v>4701</v>
      </c>
      <c r="BC905" s="3441" t="s">
        <v>4702</v>
      </c>
      <c r="BD905" s="3525">
        <v>100011</v>
      </c>
      <c r="BE905" s="3441">
        <v>62351476</v>
      </c>
      <c r="BF905" s="3526">
        <v>2.8</v>
      </c>
      <c r="BG905" s="3518">
        <v>37877</v>
      </c>
      <c r="BI905" s="3441" t="s">
        <v>3476</v>
      </c>
      <c r="BJ905" s="3508">
        <v>37909</v>
      </c>
      <c r="BK905" s="3484"/>
      <c r="BL905" s="3470" t="s">
        <v>3670</v>
      </c>
    </row>
    <row r="906" spans="1:253" s="3441" customFormat="1" ht="12" hidden="1">
      <c r="A906" s="3485" t="s">
        <v>9633</v>
      </c>
      <c r="B906" s="3470" t="s">
        <v>9634</v>
      </c>
      <c r="C906" s="3481" t="s">
        <v>9635</v>
      </c>
      <c r="D906" s="3481" t="s">
        <v>9636</v>
      </c>
      <c r="E906" s="3470" t="s">
        <v>3558</v>
      </c>
      <c r="F906" s="3470" t="s">
        <v>4770</v>
      </c>
      <c r="G906" s="3470"/>
      <c r="H906" s="3470" t="s">
        <v>9637</v>
      </c>
      <c r="I906" s="3453" t="s">
        <v>3726</v>
      </c>
      <c r="J906" s="3481" t="s">
        <v>3871</v>
      </c>
      <c r="K906" s="3470" t="s">
        <v>4772</v>
      </c>
      <c r="L906" s="3470">
        <v>61.96</v>
      </c>
      <c r="M906" s="3470">
        <v>4</v>
      </c>
      <c r="N906" s="3470" t="s">
        <v>3584</v>
      </c>
      <c r="O906" s="3470">
        <v>55.27</v>
      </c>
      <c r="P906" s="3470" t="s">
        <v>3452</v>
      </c>
      <c r="Q906" s="3457">
        <v>276279.64</v>
      </c>
      <c r="R906" s="3470">
        <v>4459</v>
      </c>
      <c r="S906" s="3472">
        <v>27.32</v>
      </c>
      <c r="T906" s="3527">
        <v>273200</v>
      </c>
      <c r="U906" s="3470">
        <v>4410</v>
      </c>
      <c r="V906" s="3512">
        <v>0.1</v>
      </c>
      <c r="W906" s="3475">
        <v>24.58</v>
      </c>
      <c r="X906" s="3476">
        <v>245799.99999999997</v>
      </c>
      <c r="Y906" s="3441">
        <v>2003</v>
      </c>
      <c r="Z906" s="3441">
        <v>10</v>
      </c>
      <c r="AA906" s="3470">
        <v>29</v>
      </c>
      <c r="AB906" s="3477">
        <v>1365</v>
      </c>
      <c r="AC906" s="3470" t="s">
        <v>4750</v>
      </c>
      <c r="AD906" s="3485"/>
      <c r="AE906" s="3441" t="s">
        <v>3663</v>
      </c>
      <c r="AF906" s="3470" t="s">
        <v>3587</v>
      </c>
      <c r="AG906" s="3522" t="s">
        <v>3466</v>
      </c>
      <c r="AH906" s="3485"/>
      <c r="AI906" s="3470" t="s">
        <v>7643</v>
      </c>
      <c r="AJ906" s="3523">
        <v>37988</v>
      </c>
      <c r="AK906" s="3500" t="s">
        <v>4752</v>
      </c>
      <c r="AL906" s="3470">
        <v>67641700</v>
      </c>
      <c r="AM906" s="3470" t="s">
        <v>3568</v>
      </c>
      <c r="AN906" s="3456" t="s">
        <v>3680</v>
      </c>
      <c r="AO906" s="3441" t="s">
        <v>9638</v>
      </c>
      <c r="AP906" s="3441" t="s">
        <v>3476</v>
      </c>
      <c r="AQ906" s="3441" t="s">
        <v>3571</v>
      </c>
      <c r="AW906" s="3441" t="s">
        <v>3572</v>
      </c>
      <c r="AY906" s="3524" t="s">
        <v>9639</v>
      </c>
      <c r="AZ906" s="3441" t="s">
        <v>4772</v>
      </c>
      <c r="BA906" s="3441" t="s">
        <v>4775</v>
      </c>
      <c r="BB906" s="3524" t="s">
        <v>4776</v>
      </c>
      <c r="BC906" s="3441" t="s">
        <v>4777</v>
      </c>
      <c r="BD906" s="3525">
        <v>100083</v>
      </c>
      <c r="BE906" s="3441">
        <v>82355171</v>
      </c>
      <c r="BF906" s="3526">
        <v>2.7</v>
      </c>
      <c r="BG906" s="3518">
        <v>37882</v>
      </c>
      <c r="BH906" s="3441" t="s">
        <v>4681</v>
      </c>
      <c r="BI906" s="3441" t="s">
        <v>3476</v>
      </c>
      <c r="BJ906" s="3484">
        <v>37921</v>
      </c>
      <c r="BK906" s="3484"/>
      <c r="BL906" s="3470" t="s">
        <v>3670</v>
      </c>
    </row>
    <row r="907" spans="1:253" s="3441" customFormat="1" ht="12" hidden="1">
      <c r="A907" s="3453" t="s">
        <v>9640</v>
      </c>
      <c r="B907" s="3470" t="s">
        <v>9641</v>
      </c>
      <c r="C907" s="3481" t="s">
        <v>9642</v>
      </c>
      <c r="D907" s="3481" t="s">
        <v>9643</v>
      </c>
      <c r="E907" s="3470" t="s">
        <v>3558</v>
      </c>
      <c r="F907" s="3528" t="s">
        <v>4645</v>
      </c>
      <c r="G907" s="3470"/>
      <c r="H907" s="3470" t="s">
        <v>4684</v>
      </c>
      <c r="I907" s="3470" t="s">
        <v>7204</v>
      </c>
      <c r="J907" s="3481" t="s">
        <v>9644</v>
      </c>
      <c r="K907" s="3470" t="s">
        <v>4649</v>
      </c>
      <c r="L907" s="3470">
        <v>58.03</v>
      </c>
      <c r="M907" s="3470">
        <v>9</v>
      </c>
      <c r="N907" s="3470" t="s">
        <v>3564</v>
      </c>
      <c r="O907" s="3470">
        <v>45.74</v>
      </c>
      <c r="P907" s="3470" t="s">
        <v>3452</v>
      </c>
      <c r="Q907" s="3457">
        <v>453910.66000000003</v>
      </c>
      <c r="R907" s="3470">
        <v>7822</v>
      </c>
      <c r="S907" s="3472">
        <v>45.03</v>
      </c>
      <c r="T907" s="3527">
        <v>450300</v>
      </c>
      <c r="U907" s="3491">
        <v>7760</v>
      </c>
      <c r="V907" s="3529">
        <v>0.1</v>
      </c>
      <c r="W907" s="3475">
        <v>40.520000000000003</v>
      </c>
      <c r="X907" s="3473">
        <v>405200.00000000006</v>
      </c>
      <c r="Y907" s="3501">
        <v>2003</v>
      </c>
      <c r="Z907" s="3441">
        <v>10</v>
      </c>
      <c r="AA907" s="3441">
        <v>17</v>
      </c>
      <c r="AB907" s="3477">
        <v>2250</v>
      </c>
      <c r="AC907" s="3470" t="s">
        <v>9243</v>
      </c>
      <c r="AD907" s="3485"/>
      <c r="AE907" s="3441" t="s">
        <v>3663</v>
      </c>
      <c r="AF907" s="3470" t="s">
        <v>3728</v>
      </c>
      <c r="AG907" s="3522" t="s">
        <v>3466</v>
      </c>
      <c r="AH907" s="3485"/>
      <c r="AI907" s="3470" t="s">
        <v>5021</v>
      </c>
      <c r="AJ907" s="3523">
        <v>38199</v>
      </c>
      <c r="AK907" s="3500" t="s">
        <v>9283</v>
      </c>
      <c r="AL907" s="3441">
        <v>67641700</v>
      </c>
      <c r="AN907" s="3456" t="s">
        <v>3695</v>
      </c>
      <c r="AP907" s="3441" t="s">
        <v>3476</v>
      </c>
      <c r="AQ907" s="3441" t="s">
        <v>3571</v>
      </c>
      <c r="AW907" s="3441" t="s">
        <v>3572</v>
      </c>
      <c r="AX907" s="3441" t="s">
        <v>3568</v>
      </c>
      <c r="AY907" s="3524" t="s">
        <v>9645</v>
      </c>
      <c r="AZ907" s="3441" t="s">
        <v>4654</v>
      </c>
      <c r="BA907" s="3441" t="s">
        <v>4688</v>
      </c>
      <c r="BB907" s="3524" t="s">
        <v>4689</v>
      </c>
      <c r="BC907" s="3441" t="s">
        <v>4656</v>
      </c>
      <c r="BD907" s="3525">
        <v>100037</v>
      </c>
      <c r="BE907" s="3441">
        <v>68347718</v>
      </c>
      <c r="BF907" s="3526">
        <v>2.8</v>
      </c>
      <c r="BG907" s="3518">
        <v>37884</v>
      </c>
      <c r="BH907" s="3441" t="s">
        <v>4681</v>
      </c>
      <c r="BI907" s="3441" t="s">
        <v>3476</v>
      </c>
      <c r="BJ907" s="3484">
        <v>37909</v>
      </c>
      <c r="BK907" s="3484"/>
      <c r="BL907" s="3470" t="s">
        <v>3670</v>
      </c>
    </row>
    <row r="908" spans="1:253" s="3441" customFormat="1" ht="13.2" hidden="1">
      <c r="A908" s="3485" t="s">
        <v>9646</v>
      </c>
      <c r="B908" s="3542" t="s">
        <v>9647</v>
      </c>
      <c r="C908" s="3481" t="s">
        <v>9648</v>
      </c>
      <c r="D908" s="3543" t="s">
        <v>9649</v>
      </c>
      <c r="E908" s="3542" t="s">
        <v>2736</v>
      </c>
      <c r="F908" s="3542" t="s">
        <v>5200</v>
      </c>
      <c r="G908" s="3485"/>
      <c r="H908" s="3485" t="s">
        <v>9650</v>
      </c>
      <c r="I908" s="3485" t="s">
        <v>5201</v>
      </c>
      <c r="J908" s="3543" t="s">
        <v>6970</v>
      </c>
      <c r="K908" s="3485" t="s">
        <v>4154</v>
      </c>
      <c r="L908" s="3477">
        <v>61.65</v>
      </c>
      <c r="M908" s="3477">
        <v>7</v>
      </c>
      <c r="N908" s="3470" t="s">
        <v>3564</v>
      </c>
      <c r="O908" s="3485">
        <v>48.55</v>
      </c>
      <c r="P908" s="3470" t="s">
        <v>3452</v>
      </c>
      <c r="Q908" s="3457">
        <v>546527.25</v>
      </c>
      <c r="R908" s="3470">
        <v>8865</v>
      </c>
      <c r="S908" s="3472">
        <v>54.25</v>
      </c>
      <c r="T908" s="3527">
        <v>542500</v>
      </c>
      <c r="U908" s="3470">
        <v>8800</v>
      </c>
      <c r="V908" s="3474">
        <v>0.1</v>
      </c>
      <c r="W908" s="3475">
        <v>48.82</v>
      </c>
      <c r="X908" s="3473">
        <v>488200</v>
      </c>
      <c r="Y908" s="3441">
        <v>2003</v>
      </c>
      <c r="Z908" s="3441">
        <v>10</v>
      </c>
      <c r="AA908" s="3470">
        <v>17</v>
      </c>
      <c r="AB908" s="3485">
        <v>2710</v>
      </c>
      <c r="AC908" s="3470" t="s">
        <v>9007</v>
      </c>
      <c r="AD908" s="3485"/>
      <c r="AE908" s="3456" t="s">
        <v>2156</v>
      </c>
      <c r="AF908" s="3490" t="s">
        <v>3956</v>
      </c>
      <c r="AG908" s="3485" t="s">
        <v>3454</v>
      </c>
      <c r="AH908" s="3485"/>
      <c r="AI908" s="3470" t="s">
        <v>5021</v>
      </c>
      <c r="AJ908" s="3523">
        <v>37955</v>
      </c>
      <c r="AK908" s="3500" t="s">
        <v>4752</v>
      </c>
      <c r="AL908" s="3441">
        <v>67641700</v>
      </c>
      <c r="AN908" s="3456" t="s">
        <v>3695</v>
      </c>
      <c r="AO908" s="3441" t="s">
        <v>2420</v>
      </c>
      <c r="AP908" s="3502" t="s">
        <v>3475</v>
      </c>
      <c r="AQ908" s="3470" t="s">
        <v>3714</v>
      </c>
      <c r="AU908" s="3463"/>
      <c r="AV908" s="3518"/>
      <c r="AW908" s="3470" t="s">
        <v>3458</v>
      </c>
      <c r="AX908" s="3441" t="s">
        <v>3715</v>
      </c>
      <c r="AY908" s="3536" t="s">
        <v>9651</v>
      </c>
      <c r="AZ908" s="3485" t="s">
        <v>4091</v>
      </c>
      <c r="BA908" s="3463" t="s">
        <v>4155</v>
      </c>
      <c r="BB908" s="3466">
        <v>1102272096110</v>
      </c>
      <c r="BC908" s="3463" t="s">
        <v>4094</v>
      </c>
      <c r="BD908" s="3537">
        <v>100044</v>
      </c>
      <c r="BE908" s="3441">
        <v>62251419</v>
      </c>
      <c r="BF908" s="3544">
        <v>2.8</v>
      </c>
      <c r="BG908" s="3518">
        <v>37882</v>
      </c>
      <c r="BI908" s="3441" t="s">
        <v>7144</v>
      </c>
      <c r="BJ908" s="3478">
        <v>37910</v>
      </c>
      <c r="BL908" s="3441" t="s">
        <v>3594</v>
      </c>
    </row>
    <row r="909" spans="1:253" s="3441" customFormat="1" ht="12">
      <c r="A909" s="3485" t="s">
        <v>9652</v>
      </c>
      <c r="B909" s="3470" t="s">
        <v>9653</v>
      </c>
      <c r="C909" s="3481" t="s">
        <v>9654</v>
      </c>
      <c r="D909" s="3481" t="s">
        <v>9655</v>
      </c>
      <c r="E909" s="3470" t="s">
        <v>2736</v>
      </c>
      <c r="F909" s="3687" t="s">
        <v>8793</v>
      </c>
      <c r="G909" s="3470"/>
      <c r="H909" s="3470" t="s">
        <v>6879</v>
      </c>
      <c r="I909" s="3470" t="s">
        <v>9656</v>
      </c>
      <c r="J909" s="3481" t="s">
        <v>9657</v>
      </c>
      <c r="K909" s="3470" t="s">
        <v>8862</v>
      </c>
      <c r="L909" s="3470">
        <v>48.52</v>
      </c>
      <c r="M909" s="3470">
        <v>10</v>
      </c>
      <c r="N909" s="3470" t="s">
        <v>3678</v>
      </c>
      <c r="O909" s="3470">
        <v>37.67</v>
      </c>
      <c r="P909" s="3470" t="s">
        <v>3452</v>
      </c>
      <c r="Q909" s="3457">
        <v>351770</v>
      </c>
      <c r="R909" s="3470">
        <v>7250</v>
      </c>
      <c r="S909" s="3472">
        <v>33.35</v>
      </c>
      <c r="T909" s="3527">
        <v>333500</v>
      </c>
      <c r="U909" s="3495">
        <v>6875</v>
      </c>
      <c r="V909" s="3474">
        <v>0.1</v>
      </c>
      <c r="W909" s="3475">
        <v>30.01</v>
      </c>
      <c r="X909" s="3473">
        <v>300100</v>
      </c>
      <c r="Y909" s="3495">
        <v>2003</v>
      </c>
      <c r="Z909" s="3441">
        <v>10</v>
      </c>
      <c r="AA909" s="3441">
        <v>22</v>
      </c>
      <c r="AB909" s="3477">
        <v>1665</v>
      </c>
      <c r="AC909" s="3470" t="s">
        <v>8718</v>
      </c>
      <c r="AD909" s="3485"/>
      <c r="AE909" s="3441" t="s">
        <v>3663</v>
      </c>
      <c r="AF909" s="3470" t="s">
        <v>7198</v>
      </c>
      <c r="AG909" s="3522" t="s">
        <v>3466</v>
      </c>
      <c r="AH909" s="3485"/>
      <c r="AI909" s="3470" t="s">
        <v>5021</v>
      </c>
      <c r="AJ909" s="3523">
        <v>38107</v>
      </c>
      <c r="AK909" s="3500" t="s">
        <v>4752</v>
      </c>
      <c r="AL909" s="3441">
        <v>67641700</v>
      </c>
      <c r="AN909" s="3456" t="s">
        <v>3739</v>
      </c>
      <c r="AP909" s="3441" t="s">
        <v>3476</v>
      </c>
      <c r="AQ909" s="3441" t="s">
        <v>3571</v>
      </c>
      <c r="AW909" s="3441" t="s">
        <v>3572</v>
      </c>
      <c r="AY909" s="3524" t="s">
        <v>9658</v>
      </c>
      <c r="AZ909" s="3470" t="s">
        <v>9472</v>
      </c>
      <c r="BA909" s="3441" t="s">
        <v>9474</v>
      </c>
      <c r="BB909" s="3524" t="s">
        <v>8799</v>
      </c>
      <c r="BC909" s="3441" t="s">
        <v>9534</v>
      </c>
      <c r="BD909" s="3525" t="s">
        <v>3715</v>
      </c>
      <c r="BE909" s="3441" t="s">
        <v>2420</v>
      </c>
      <c r="BF909" s="3526">
        <v>2.8</v>
      </c>
      <c r="BG909" s="3518">
        <v>37861</v>
      </c>
      <c r="BH909" s="3441" t="s">
        <v>8801</v>
      </c>
      <c r="BI909" s="3441" t="s">
        <v>3476</v>
      </c>
      <c r="BJ909" s="3484">
        <v>37902</v>
      </c>
      <c r="BK909" s="3484">
        <v>37908</v>
      </c>
      <c r="BL909" s="3470" t="s">
        <v>3670</v>
      </c>
    </row>
    <row r="910" spans="1:253" s="3441" customFormat="1" ht="12" hidden="1">
      <c r="A910" s="3485" t="s">
        <v>9659</v>
      </c>
      <c r="B910" s="3470" t="s">
        <v>9660</v>
      </c>
      <c r="C910" s="3481" t="s">
        <v>9661</v>
      </c>
      <c r="D910" s="3481" t="s">
        <v>9662</v>
      </c>
      <c r="E910" s="3470" t="s">
        <v>3558</v>
      </c>
      <c r="F910" s="3528" t="s">
        <v>8471</v>
      </c>
      <c r="G910" s="3470"/>
      <c r="H910" s="3470" t="s">
        <v>9663</v>
      </c>
      <c r="I910" s="3470" t="s">
        <v>9076</v>
      </c>
      <c r="J910" s="3481" t="s">
        <v>9664</v>
      </c>
      <c r="K910" s="3470" t="s">
        <v>5500</v>
      </c>
      <c r="L910" s="3470">
        <v>127.32</v>
      </c>
      <c r="M910" s="3470">
        <v>5</v>
      </c>
      <c r="N910" s="3470" t="s">
        <v>3994</v>
      </c>
      <c r="O910" s="3470">
        <v>106.95</v>
      </c>
      <c r="P910" s="3470" t="s">
        <v>3452</v>
      </c>
      <c r="Q910" s="3457">
        <v>840732.15599999996</v>
      </c>
      <c r="R910" s="3470">
        <v>6603.3</v>
      </c>
      <c r="S910" s="3472">
        <v>83.31</v>
      </c>
      <c r="T910" s="3527">
        <v>833100</v>
      </c>
      <c r="U910" s="3470">
        <v>6544</v>
      </c>
      <c r="V910" s="3474">
        <v>0.1</v>
      </c>
      <c r="W910" s="3475">
        <v>74.97</v>
      </c>
      <c r="X910" s="3476">
        <v>749700</v>
      </c>
      <c r="Y910" s="3441">
        <v>2003</v>
      </c>
      <c r="Z910" s="3441">
        <v>10</v>
      </c>
      <c r="AA910" s="3470">
        <v>17</v>
      </c>
      <c r="AB910" s="3477">
        <v>4165</v>
      </c>
      <c r="AC910" s="3470" t="s">
        <v>4761</v>
      </c>
      <c r="AD910" s="3485"/>
      <c r="AE910" s="3441" t="s">
        <v>3663</v>
      </c>
      <c r="AF910" s="3470" t="s">
        <v>4721</v>
      </c>
      <c r="AG910" s="3522" t="s">
        <v>3466</v>
      </c>
      <c r="AH910" s="3485"/>
      <c r="AI910" s="3470" t="s">
        <v>5021</v>
      </c>
      <c r="AJ910" s="3523">
        <v>38148</v>
      </c>
      <c r="AK910" s="3500" t="s">
        <v>4752</v>
      </c>
      <c r="AL910" s="3441">
        <v>67641700</v>
      </c>
      <c r="AN910" s="3441" t="s">
        <v>3695</v>
      </c>
      <c r="AO910" s="3441" t="s">
        <v>3568</v>
      </c>
      <c r="AP910" s="3441" t="s">
        <v>3476</v>
      </c>
      <c r="AQ910" s="3441" t="s">
        <v>3571</v>
      </c>
      <c r="AW910" s="3441" t="s">
        <v>3572</v>
      </c>
      <c r="AX910" s="3441" t="s">
        <v>3568</v>
      </c>
      <c r="AY910" s="3524" t="s">
        <v>9665</v>
      </c>
      <c r="AZ910" s="3441" t="s">
        <v>5500</v>
      </c>
      <c r="BA910" s="3441" t="s">
        <v>7519</v>
      </c>
      <c r="BB910" s="3524" t="s">
        <v>5502</v>
      </c>
      <c r="BC910" s="3441" t="s">
        <v>5503</v>
      </c>
      <c r="BD910" s="3525">
        <v>100080</v>
      </c>
      <c r="BE910" s="3441">
        <v>88442745</v>
      </c>
      <c r="BF910" s="3526">
        <v>2.8</v>
      </c>
      <c r="BG910" s="3518">
        <v>37891</v>
      </c>
      <c r="BH910" s="3441" t="s">
        <v>8474</v>
      </c>
      <c r="BI910" s="3441" t="s">
        <v>3476</v>
      </c>
      <c r="BJ910" s="3484">
        <v>37908</v>
      </c>
      <c r="BK910" s="3484"/>
      <c r="BL910" s="3470" t="s">
        <v>3670</v>
      </c>
    </row>
    <row r="911" spans="1:253" s="3441" customFormat="1" ht="12" hidden="1">
      <c r="A911" s="3453" t="s">
        <v>9666</v>
      </c>
      <c r="B911" s="3470" t="s">
        <v>9667</v>
      </c>
      <c r="C911" s="3481" t="s">
        <v>9668</v>
      </c>
      <c r="D911" s="3481" t="s">
        <v>9669</v>
      </c>
      <c r="E911" s="3470" t="s">
        <v>3558</v>
      </c>
      <c r="F911" s="3528" t="s">
        <v>4645</v>
      </c>
      <c r="G911" s="3470"/>
      <c r="H911" s="3470" t="s">
        <v>3477</v>
      </c>
      <c r="I911" s="3470" t="s">
        <v>4624</v>
      </c>
      <c r="J911" s="3481" t="s">
        <v>9670</v>
      </c>
      <c r="K911" s="3470" t="s">
        <v>4649</v>
      </c>
      <c r="L911" s="3470">
        <v>76.47</v>
      </c>
      <c r="M911" s="3470">
        <v>6</v>
      </c>
      <c r="N911" s="3470" t="s">
        <v>3564</v>
      </c>
      <c r="O911" s="3470">
        <v>60.28</v>
      </c>
      <c r="P911" s="3470" t="s">
        <v>3452</v>
      </c>
      <c r="Q911" s="3457">
        <v>538501.74</v>
      </c>
      <c r="R911" s="3470">
        <v>7042</v>
      </c>
      <c r="S911" s="3472">
        <v>53.37</v>
      </c>
      <c r="T911" s="3527">
        <v>533700</v>
      </c>
      <c r="U911" s="3491">
        <v>6980</v>
      </c>
      <c r="V911" s="3529">
        <v>0.1</v>
      </c>
      <c r="W911" s="3475">
        <v>48.03</v>
      </c>
      <c r="X911" s="3473">
        <v>480300</v>
      </c>
      <c r="Y911" s="3501">
        <v>2003</v>
      </c>
      <c r="Z911" s="3441">
        <v>10</v>
      </c>
      <c r="AA911" s="3441">
        <v>17</v>
      </c>
      <c r="AB911" s="3477">
        <v>2665</v>
      </c>
      <c r="AC911" s="3470" t="s">
        <v>4800</v>
      </c>
      <c r="AD911" s="3485"/>
      <c r="AE911" s="3441" t="s">
        <v>3663</v>
      </c>
      <c r="AF911" s="3470" t="s">
        <v>3728</v>
      </c>
      <c r="AG911" s="3522" t="s">
        <v>3466</v>
      </c>
      <c r="AH911" s="3485"/>
      <c r="AI911" s="3470" t="s">
        <v>5021</v>
      </c>
      <c r="AJ911" s="3523">
        <v>38199</v>
      </c>
      <c r="AK911" s="3500" t="s">
        <v>8786</v>
      </c>
      <c r="AL911" s="3441">
        <v>67641700</v>
      </c>
      <c r="AN911" s="3456" t="s">
        <v>3695</v>
      </c>
      <c r="AP911" s="3441" t="s">
        <v>3476</v>
      </c>
      <c r="AQ911" s="3441" t="s">
        <v>3571</v>
      </c>
      <c r="AW911" s="3441" t="s">
        <v>3572</v>
      </c>
      <c r="AX911" s="3441" t="s">
        <v>3568</v>
      </c>
      <c r="AY911" s="3524" t="s">
        <v>9671</v>
      </c>
      <c r="AZ911" s="3441" t="s">
        <v>4654</v>
      </c>
      <c r="BA911" s="3441" t="s">
        <v>4688</v>
      </c>
      <c r="BB911" s="3524" t="s">
        <v>4689</v>
      </c>
      <c r="BC911" s="3441" t="s">
        <v>4656</v>
      </c>
      <c r="BD911" s="3525">
        <v>100037</v>
      </c>
      <c r="BE911" s="3441">
        <v>68347718</v>
      </c>
      <c r="BF911" s="3526">
        <v>2.8</v>
      </c>
      <c r="BG911" s="3518">
        <v>37884</v>
      </c>
      <c r="BH911" s="3441" t="s">
        <v>4681</v>
      </c>
      <c r="BI911" s="3441" t="s">
        <v>3476</v>
      </c>
      <c r="BJ911" s="3484">
        <v>37908</v>
      </c>
      <c r="BK911" s="3484"/>
      <c r="BL911" s="3470" t="s">
        <v>3670</v>
      </c>
    </row>
    <row r="912" spans="1:253" s="3441" customFormat="1" ht="12" hidden="1">
      <c r="A912" s="3453" t="s">
        <v>9672</v>
      </c>
      <c r="B912" s="3470" t="s">
        <v>9673</v>
      </c>
      <c r="C912" s="3481" t="s">
        <v>9674</v>
      </c>
      <c r="D912" s="3481" t="s">
        <v>9675</v>
      </c>
      <c r="E912" s="3470" t="s">
        <v>3558</v>
      </c>
      <c r="F912" s="3528" t="s">
        <v>4645</v>
      </c>
      <c r="G912" s="3470"/>
      <c r="H912" s="3470" t="s">
        <v>6916</v>
      </c>
      <c r="I912" s="3470" t="s">
        <v>4707</v>
      </c>
      <c r="J912" s="3481" t="s">
        <v>3831</v>
      </c>
      <c r="K912" s="3470" t="s">
        <v>4649</v>
      </c>
      <c r="L912" s="3470">
        <v>76.47</v>
      </c>
      <c r="M912" s="3470">
        <v>14</v>
      </c>
      <c r="N912" s="3470" t="s">
        <v>3564</v>
      </c>
      <c r="O912" s="3470">
        <v>60.28</v>
      </c>
      <c r="P912" s="3470" t="s">
        <v>3452</v>
      </c>
      <c r="Q912" s="3457">
        <v>548366.37</v>
      </c>
      <c r="R912" s="3470">
        <v>7171</v>
      </c>
      <c r="S912" s="3472">
        <v>54.37</v>
      </c>
      <c r="T912" s="3527">
        <v>543700</v>
      </c>
      <c r="U912" s="3491">
        <v>7110</v>
      </c>
      <c r="V912" s="3529">
        <v>0.1</v>
      </c>
      <c r="W912" s="3475">
        <v>48.93</v>
      </c>
      <c r="X912" s="3473">
        <v>489300</v>
      </c>
      <c r="Y912" s="3501">
        <v>2003</v>
      </c>
      <c r="Z912" s="3441">
        <v>10</v>
      </c>
      <c r="AA912" s="3441">
        <v>17</v>
      </c>
      <c r="AB912" s="3477">
        <v>2715</v>
      </c>
      <c r="AC912" s="3470" t="s">
        <v>9060</v>
      </c>
      <c r="AD912" s="3485"/>
      <c r="AE912" s="3441" t="s">
        <v>3663</v>
      </c>
      <c r="AF912" s="3470" t="s">
        <v>3728</v>
      </c>
      <c r="AG912" s="3522" t="s">
        <v>3466</v>
      </c>
      <c r="AH912" s="3485"/>
      <c r="AI912" s="3470" t="s">
        <v>5021</v>
      </c>
      <c r="AJ912" s="3523">
        <v>38199</v>
      </c>
      <c r="AK912" s="3500" t="s">
        <v>8786</v>
      </c>
      <c r="AL912" s="3441">
        <v>67641700</v>
      </c>
      <c r="AN912" s="3456" t="s">
        <v>3695</v>
      </c>
      <c r="AP912" s="3441" t="s">
        <v>3476</v>
      </c>
      <c r="AQ912" s="3441" t="s">
        <v>3571</v>
      </c>
      <c r="AW912" s="3441" t="s">
        <v>3572</v>
      </c>
      <c r="AX912" s="3441" t="s">
        <v>3568</v>
      </c>
      <c r="AY912" s="3524" t="s">
        <v>9676</v>
      </c>
      <c r="AZ912" s="3441" t="s">
        <v>4654</v>
      </c>
      <c r="BA912" s="3441" t="s">
        <v>4688</v>
      </c>
      <c r="BB912" s="3524" t="s">
        <v>4689</v>
      </c>
      <c r="BC912" s="3441" t="s">
        <v>4656</v>
      </c>
      <c r="BD912" s="3525">
        <v>100037</v>
      </c>
      <c r="BE912" s="3441">
        <v>68347718</v>
      </c>
      <c r="BF912" s="3526">
        <v>2.8</v>
      </c>
      <c r="BG912" s="3518">
        <v>37873</v>
      </c>
      <c r="BH912" s="3441" t="s">
        <v>4681</v>
      </c>
      <c r="BI912" s="3441" t="s">
        <v>3476</v>
      </c>
      <c r="BJ912" s="3484">
        <v>37907</v>
      </c>
      <c r="BK912" s="3484"/>
      <c r="BL912" s="3470" t="s">
        <v>3670</v>
      </c>
    </row>
    <row r="913" spans="1:71" s="3441" customFormat="1" ht="12" hidden="1">
      <c r="A913" s="3485" t="s">
        <v>9677</v>
      </c>
      <c r="B913" s="3470" t="s">
        <v>9678</v>
      </c>
      <c r="C913" s="3481" t="s">
        <v>9679</v>
      </c>
      <c r="D913" s="3481" t="s">
        <v>9680</v>
      </c>
      <c r="E913" s="3470" t="s">
        <v>2736</v>
      </c>
      <c r="F913" s="3470" t="s">
        <v>9681</v>
      </c>
      <c r="G913" s="3470"/>
      <c r="H913" s="3470" t="s">
        <v>6879</v>
      </c>
      <c r="I913" s="3453" t="s">
        <v>6936</v>
      </c>
      <c r="J913" s="3481" t="s">
        <v>9682</v>
      </c>
      <c r="K913" s="3470" t="s">
        <v>9683</v>
      </c>
      <c r="L913" s="3470">
        <v>67.819999999999993</v>
      </c>
      <c r="M913" s="3470">
        <v>6</v>
      </c>
      <c r="N913" s="3470" t="s">
        <v>3584</v>
      </c>
      <c r="O913" s="3470">
        <v>50.38</v>
      </c>
      <c r="P913" s="3470" t="s">
        <v>3452</v>
      </c>
      <c r="Q913" s="3492">
        <v>493051.39999999997</v>
      </c>
      <c r="R913" s="3470">
        <v>7270</v>
      </c>
      <c r="S913" s="3472">
        <v>48.07</v>
      </c>
      <c r="T913" s="3527">
        <v>480700</v>
      </c>
      <c r="U913" s="3470">
        <v>7088</v>
      </c>
      <c r="V913" s="3512">
        <v>0.1</v>
      </c>
      <c r="W913" s="3475">
        <v>43.26</v>
      </c>
      <c r="X913" s="3473">
        <v>432600</v>
      </c>
      <c r="Y913" s="3441">
        <v>2003</v>
      </c>
      <c r="Z913" s="3441">
        <v>10</v>
      </c>
      <c r="AA913" s="3470">
        <v>29</v>
      </c>
      <c r="AB913" s="3485">
        <v>2400</v>
      </c>
      <c r="AC913" s="3470" t="s">
        <v>4761</v>
      </c>
      <c r="AD913" s="3485"/>
      <c r="AE913" s="3441" t="s">
        <v>3663</v>
      </c>
      <c r="AF913" s="3453" t="s">
        <v>3752</v>
      </c>
      <c r="AG913" s="3522" t="s">
        <v>3466</v>
      </c>
      <c r="AH913" s="3485"/>
      <c r="AI913" s="3470" t="s">
        <v>5021</v>
      </c>
      <c r="AJ913" s="3523">
        <v>38168</v>
      </c>
      <c r="AK913" s="3500" t="s">
        <v>4752</v>
      </c>
      <c r="AL913" s="3441">
        <v>67641700</v>
      </c>
      <c r="AN913" s="3456" t="s">
        <v>3680</v>
      </c>
      <c r="AO913" s="3441" t="s">
        <v>3568</v>
      </c>
      <c r="AP913" s="3441" t="s">
        <v>3476</v>
      </c>
      <c r="AQ913" s="3441" t="s">
        <v>3571</v>
      </c>
      <c r="AW913" s="3441" t="s">
        <v>3572</v>
      </c>
      <c r="AY913" s="3524" t="s">
        <v>9684</v>
      </c>
      <c r="AZ913" s="3470" t="s">
        <v>9683</v>
      </c>
      <c r="BA913" s="3441" t="s">
        <v>9685</v>
      </c>
      <c r="BB913" s="3524" t="s">
        <v>9686</v>
      </c>
      <c r="BC913" s="3441" t="s">
        <v>9687</v>
      </c>
      <c r="BD913" s="3525">
        <v>100077</v>
      </c>
      <c r="BE913" s="3441">
        <v>51165088</v>
      </c>
      <c r="BF913" s="3526">
        <v>2.8</v>
      </c>
      <c r="BG913" s="3518">
        <v>37891</v>
      </c>
      <c r="BI913" s="3470" t="s">
        <v>3476</v>
      </c>
      <c r="BJ913" s="3478">
        <v>37904</v>
      </c>
      <c r="BK913" s="3484"/>
      <c r="BL913" s="3470" t="s">
        <v>3670</v>
      </c>
    </row>
    <row r="914" spans="1:71" s="3441" customFormat="1" ht="12" hidden="1">
      <c r="A914" s="3453" t="s">
        <v>9688</v>
      </c>
      <c r="B914" s="3470" t="s">
        <v>9689</v>
      </c>
      <c r="C914" s="3481" t="s">
        <v>9690</v>
      </c>
      <c r="D914" s="3481" t="s">
        <v>9691</v>
      </c>
      <c r="E914" s="3470" t="s">
        <v>3558</v>
      </c>
      <c r="F914" s="3528" t="s">
        <v>3733</v>
      </c>
      <c r="G914" s="3470"/>
      <c r="H914" s="3470" t="s">
        <v>6357</v>
      </c>
      <c r="I914" s="3470" t="s">
        <v>7204</v>
      </c>
      <c r="J914" s="3470" t="s">
        <v>8949</v>
      </c>
      <c r="K914" s="3470" t="s">
        <v>3737</v>
      </c>
      <c r="L914" s="3470">
        <v>54.88</v>
      </c>
      <c r="M914" s="3470">
        <v>9</v>
      </c>
      <c r="N914" s="3470" t="s">
        <v>3564</v>
      </c>
      <c r="O914" s="3470">
        <v>43.84</v>
      </c>
      <c r="P914" s="3470" t="s">
        <v>3452</v>
      </c>
      <c r="Q914" s="3492">
        <v>327084.79999999999</v>
      </c>
      <c r="R914" s="3470">
        <v>5960</v>
      </c>
      <c r="S914" s="3472">
        <v>32.409999999999997</v>
      </c>
      <c r="T914" s="3527">
        <v>324099.99999999994</v>
      </c>
      <c r="U914" s="3470">
        <v>5906</v>
      </c>
      <c r="V914" s="3474">
        <v>0.1</v>
      </c>
      <c r="W914" s="3475">
        <v>29.16</v>
      </c>
      <c r="X914" s="3494">
        <v>291600</v>
      </c>
      <c r="Y914" s="3441">
        <v>2003</v>
      </c>
      <c r="Z914" s="3441">
        <v>10</v>
      </c>
      <c r="AA914" s="3470">
        <v>17</v>
      </c>
      <c r="AB914" s="3477">
        <v>1620</v>
      </c>
      <c r="AC914" s="3470" t="s">
        <v>9077</v>
      </c>
      <c r="AD914" s="3485"/>
      <c r="AE914" s="3441" t="s">
        <v>3663</v>
      </c>
      <c r="AF914" s="3470" t="s">
        <v>3604</v>
      </c>
      <c r="AG914" s="3522" t="s">
        <v>3466</v>
      </c>
      <c r="AH914" s="3485"/>
      <c r="AI914" s="3470" t="s">
        <v>5021</v>
      </c>
      <c r="AJ914" s="3523">
        <v>38045</v>
      </c>
      <c r="AK914" s="3500" t="s">
        <v>4752</v>
      </c>
      <c r="AL914" s="3441">
        <v>67641700</v>
      </c>
      <c r="AN914" s="3456" t="s">
        <v>3695</v>
      </c>
      <c r="AO914" s="3441" t="s">
        <v>6879</v>
      </c>
      <c r="AP914" s="3441" t="s">
        <v>3476</v>
      </c>
      <c r="AQ914" s="3441" t="s">
        <v>3571</v>
      </c>
      <c r="AW914" s="3441" t="s">
        <v>3572</v>
      </c>
      <c r="AY914" s="3524" t="s">
        <v>9692</v>
      </c>
      <c r="AZ914" s="3441" t="s">
        <v>3737</v>
      </c>
      <c r="BA914" s="3441" t="s">
        <v>3742</v>
      </c>
      <c r="BB914" s="3524" t="s">
        <v>3743</v>
      </c>
      <c r="BC914" s="3441" t="s">
        <v>3744</v>
      </c>
      <c r="BD914" s="3525">
        <v>100088</v>
      </c>
      <c r="BE914" s="3441">
        <v>82058259</v>
      </c>
      <c r="BF914" s="3526" t="s">
        <v>8595</v>
      </c>
      <c r="BG914" s="3478">
        <v>37879</v>
      </c>
      <c r="BH914" s="3441" t="s">
        <v>4753</v>
      </c>
      <c r="BI914" s="3441" t="s">
        <v>3476</v>
      </c>
      <c r="BJ914" s="3484">
        <v>37908</v>
      </c>
      <c r="BK914" s="3484" t="s">
        <v>6879</v>
      </c>
      <c r="BL914" s="3470" t="s">
        <v>3670</v>
      </c>
    </row>
    <row r="915" spans="1:71" s="3441" customFormat="1" ht="12">
      <c r="A915" s="3542" t="s">
        <v>9693</v>
      </c>
      <c r="B915" s="3470" t="s">
        <v>9694</v>
      </c>
      <c r="C915" s="3481" t="s">
        <v>9695</v>
      </c>
      <c r="D915" s="3481" t="s">
        <v>9696</v>
      </c>
      <c r="E915" s="3470" t="s">
        <v>2736</v>
      </c>
      <c r="F915" s="3687" t="s">
        <v>9697</v>
      </c>
      <c r="G915" s="3470"/>
      <c r="H915" s="3470" t="s">
        <v>2420</v>
      </c>
      <c r="I915" s="3470" t="s">
        <v>4124</v>
      </c>
      <c r="J915" s="3481" t="s">
        <v>9698</v>
      </c>
      <c r="K915" s="3470" t="s">
        <v>8795</v>
      </c>
      <c r="L915" s="3470">
        <v>48.47</v>
      </c>
      <c r="M915" s="3470">
        <v>8</v>
      </c>
      <c r="N915" s="3470" t="s">
        <v>9699</v>
      </c>
      <c r="O915" s="3470">
        <v>37.630000000000003</v>
      </c>
      <c r="P915" s="3470" t="s">
        <v>3452</v>
      </c>
      <c r="Q915" s="3457">
        <v>346560.5</v>
      </c>
      <c r="R915" s="3470">
        <v>7150</v>
      </c>
      <c r="S915" s="3472">
        <v>32.74</v>
      </c>
      <c r="T915" s="3527">
        <v>327400</v>
      </c>
      <c r="U915" s="3495">
        <v>6755</v>
      </c>
      <c r="V915" s="3474">
        <v>0.1</v>
      </c>
      <c r="W915" s="3475">
        <v>29.46</v>
      </c>
      <c r="X915" s="3473">
        <v>294600</v>
      </c>
      <c r="Y915" s="3495">
        <v>2003</v>
      </c>
      <c r="Z915" s="3441">
        <v>11</v>
      </c>
      <c r="AA915" s="3470">
        <v>5</v>
      </c>
      <c r="AB915" s="3477">
        <v>1635</v>
      </c>
      <c r="AC915" s="3470" t="s">
        <v>9077</v>
      </c>
      <c r="AD915" s="3485"/>
      <c r="AE915" s="3441" t="s">
        <v>3663</v>
      </c>
      <c r="AF915" s="3470" t="s">
        <v>3618</v>
      </c>
      <c r="AG915" s="3522" t="s">
        <v>3466</v>
      </c>
      <c r="AH915" s="3485"/>
      <c r="AI915" s="3470" t="s">
        <v>5021</v>
      </c>
      <c r="AJ915" s="3523">
        <v>38107</v>
      </c>
      <c r="AK915" s="3603" t="s">
        <v>4773</v>
      </c>
      <c r="AL915" s="3441">
        <v>67641700</v>
      </c>
      <c r="AN915" s="3456" t="s">
        <v>3570</v>
      </c>
      <c r="AO915" s="3441" t="s">
        <v>3568</v>
      </c>
      <c r="AP915" s="3441" t="s">
        <v>3476</v>
      </c>
      <c r="AQ915" s="3441" t="s">
        <v>3571</v>
      </c>
      <c r="AW915" s="3441" t="s">
        <v>3572</v>
      </c>
      <c r="AY915" s="3524" t="s">
        <v>9700</v>
      </c>
      <c r="AZ915" s="3470" t="s">
        <v>8862</v>
      </c>
      <c r="BA915" s="3441" t="s">
        <v>9474</v>
      </c>
      <c r="BB915" s="3524" t="s">
        <v>8799</v>
      </c>
      <c r="BC915" s="3441" t="s">
        <v>9475</v>
      </c>
      <c r="BD915" s="3525" t="s">
        <v>2420</v>
      </c>
      <c r="BE915" s="3441" t="s">
        <v>2420</v>
      </c>
      <c r="BF915" s="3526">
        <v>2.8</v>
      </c>
      <c r="BG915" s="3518">
        <v>37852</v>
      </c>
      <c r="BH915" s="3441" t="s">
        <v>8865</v>
      </c>
      <c r="BI915" s="3441" t="s">
        <v>3476</v>
      </c>
      <c r="BJ915" s="3484">
        <v>37908</v>
      </c>
      <c r="BK915" s="3484">
        <v>37908</v>
      </c>
      <c r="BL915" s="3470" t="s">
        <v>3670</v>
      </c>
    </row>
    <row r="916" spans="1:71" s="3441" customFormat="1" ht="12" hidden="1">
      <c r="A916" s="3485" t="s">
        <v>9701</v>
      </c>
      <c r="B916" s="3470" t="s">
        <v>9702</v>
      </c>
      <c r="C916" s="3481" t="s">
        <v>9703</v>
      </c>
      <c r="D916" s="3481" t="s">
        <v>9704</v>
      </c>
      <c r="E916" s="3470" t="s">
        <v>3558</v>
      </c>
      <c r="F916" s="3528" t="s">
        <v>4716</v>
      </c>
      <c r="G916" s="3470"/>
      <c r="H916" s="3470" t="s">
        <v>8943</v>
      </c>
      <c r="I916" s="3470" t="s">
        <v>3992</v>
      </c>
      <c r="J916" s="3481" t="s">
        <v>4485</v>
      </c>
      <c r="K916" s="3470" t="s">
        <v>4720</v>
      </c>
      <c r="L916" s="3470">
        <v>118.39</v>
      </c>
      <c r="M916" s="3470">
        <v>9</v>
      </c>
      <c r="N916" s="3470" t="s">
        <v>7070</v>
      </c>
      <c r="O916" s="3470">
        <v>92.04</v>
      </c>
      <c r="P916" s="3470" t="s">
        <v>3633</v>
      </c>
      <c r="Q916" s="3492">
        <v>515706.56280000001</v>
      </c>
      <c r="R916" s="3470">
        <v>5603.07</v>
      </c>
      <c r="S916" s="3472">
        <v>50.97</v>
      </c>
      <c r="T916" s="3527">
        <v>509700</v>
      </c>
      <c r="U916" s="3470">
        <v>4306</v>
      </c>
      <c r="V916" s="3474">
        <v>0.1</v>
      </c>
      <c r="W916" s="3475">
        <v>45.87</v>
      </c>
      <c r="X916" s="3494">
        <v>458700</v>
      </c>
      <c r="Y916" s="3441">
        <v>2003</v>
      </c>
      <c r="Z916" s="3441">
        <v>10</v>
      </c>
      <c r="AA916" s="3470">
        <v>17</v>
      </c>
      <c r="AB916" s="3477">
        <v>2545</v>
      </c>
      <c r="AC916" s="3470" t="s">
        <v>9077</v>
      </c>
      <c r="AD916" s="3485"/>
      <c r="AE916" s="3441" t="s">
        <v>3663</v>
      </c>
      <c r="AF916" s="3470" t="s">
        <v>4721</v>
      </c>
      <c r="AG916" s="3522" t="s">
        <v>3466</v>
      </c>
      <c r="AH916" s="3485"/>
      <c r="AI916" s="3470" t="s">
        <v>5021</v>
      </c>
      <c r="AJ916" s="3523">
        <v>38230</v>
      </c>
      <c r="AK916" s="3500" t="s">
        <v>8786</v>
      </c>
      <c r="AL916" s="3441">
        <v>67641700</v>
      </c>
      <c r="AN916" s="3456" t="s">
        <v>3695</v>
      </c>
      <c r="AO916" s="3441" t="s">
        <v>3568</v>
      </c>
      <c r="AP916" s="3441" t="s">
        <v>3476</v>
      </c>
      <c r="AQ916" s="3441" t="s">
        <v>3571</v>
      </c>
      <c r="AW916" s="3441" t="s">
        <v>3572</v>
      </c>
      <c r="AY916" s="3524" t="s">
        <v>9705</v>
      </c>
      <c r="AZ916" s="3441" t="s">
        <v>4720</v>
      </c>
      <c r="BA916" s="3441" t="s">
        <v>4725</v>
      </c>
      <c r="BB916" s="3524" t="s">
        <v>4726</v>
      </c>
      <c r="BC916" s="3441" t="s">
        <v>4727</v>
      </c>
      <c r="BD916" s="3525">
        <v>100005</v>
      </c>
      <c r="BE916" s="3441">
        <v>65128628</v>
      </c>
      <c r="BF916" s="3526">
        <v>2.8</v>
      </c>
      <c r="BG916" s="3518">
        <v>37877</v>
      </c>
      <c r="BI916" s="3441" t="s">
        <v>3476</v>
      </c>
      <c r="BJ916" s="3508">
        <v>37909</v>
      </c>
      <c r="BK916" s="3484" t="s">
        <v>3568</v>
      </c>
      <c r="BL916" s="3470" t="s">
        <v>3670</v>
      </c>
    </row>
    <row r="917" spans="1:71" s="3441" customFormat="1" ht="12" hidden="1">
      <c r="A917" s="3453" t="s">
        <v>9706</v>
      </c>
      <c r="B917" s="3470" t="s">
        <v>9707</v>
      </c>
      <c r="C917" s="3481" t="s">
        <v>9708</v>
      </c>
      <c r="D917" s="3481" t="s">
        <v>9709</v>
      </c>
      <c r="E917" s="3470" t="s">
        <v>3558</v>
      </c>
      <c r="F917" s="3528" t="s">
        <v>3733</v>
      </c>
      <c r="G917" s="3470"/>
      <c r="H917" s="3470" t="s">
        <v>4706</v>
      </c>
      <c r="I917" s="3470" t="s">
        <v>9342</v>
      </c>
      <c r="J917" s="3470" t="s">
        <v>4455</v>
      </c>
      <c r="K917" s="3470" t="s">
        <v>3737</v>
      </c>
      <c r="L917" s="3470">
        <v>54.88</v>
      </c>
      <c r="M917" s="3470">
        <v>14</v>
      </c>
      <c r="N917" s="3470" t="s">
        <v>3564</v>
      </c>
      <c r="O917" s="3470">
        <v>43.84</v>
      </c>
      <c r="P917" s="3470" t="s">
        <v>3452</v>
      </c>
      <c r="Q917" s="3492">
        <v>333670.40000000002</v>
      </c>
      <c r="R917" s="3470">
        <v>6080</v>
      </c>
      <c r="S917" s="3472">
        <v>31.83</v>
      </c>
      <c r="T917" s="3527">
        <v>318300</v>
      </c>
      <c r="U917" s="3470">
        <v>5800</v>
      </c>
      <c r="V917" s="3474">
        <v>0.1</v>
      </c>
      <c r="W917" s="3475">
        <v>28.64</v>
      </c>
      <c r="X917" s="3494">
        <v>286400</v>
      </c>
      <c r="Y917" s="3441">
        <v>2003</v>
      </c>
      <c r="Z917" s="3441">
        <v>10</v>
      </c>
      <c r="AA917" s="3470">
        <v>17</v>
      </c>
      <c r="AB917" s="3477">
        <v>1590</v>
      </c>
      <c r="AC917" s="3470" t="s">
        <v>8718</v>
      </c>
      <c r="AD917" s="3485"/>
      <c r="AE917" s="3441" t="s">
        <v>3663</v>
      </c>
      <c r="AF917" s="3470" t="s">
        <v>3604</v>
      </c>
      <c r="AG917" s="3522" t="s">
        <v>3466</v>
      </c>
      <c r="AH917" s="3485"/>
      <c r="AI917" s="3470" t="s">
        <v>5021</v>
      </c>
      <c r="AJ917" s="3523">
        <v>38045</v>
      </c>
      <c r="AK917" s="3500" t="s">
        <v>4752</v>
      </c>
      <c r="AL917" s="3441">
        <v>67641700</v>
      </c>
      <c r="AN917" s="3456" t="s">
        <v>3695</v>
      </c>
      <c r="AO917" s="3441" t="s">
        <v>2420</v>
      </c>
      <c r="AP917" s="3441" t="s">
        <v>3476</v>
      </c>
      <c r="AQ917" s="3441" t="s">
        <v>3571</v>
      </c>
      <c r="AW917" s="3441" t="s">
        <v>3572</v>
      </c>
      <c r="AY917" s="3524" t="s">
        <v>9710</v>
      </c>
      <c r="AZ917" s="3441" t="s">
        <v>3737</v>
      </c>
      <c r="BA917" s="3441" t="s">
        <v>3742</v>
      </c>
      <c r="BB917" s="3524" t="s">
        <v>3743</v>
      </c>
      <c r="BC917" s="3441" t="s">
        <v>3744</v>
      </c>
      <c r="BD917" s="3525">
        <v>100088</v>
      </c>
      <c r="BE917" s="3441">
        <v>82058259</v>
      </c>
      <c r="BF917" s="3526" t="s">
        <v>8595</v>
      </c>
      <c r="BG917" s="3478">
        <v>37856</v>
      </c>
      <c r="BH917" s="3441" t="s">
        <v>4753</v>
      </c>
      <c r="BI917" s="3441" t="s">
        <v>3476</v>
      </c>
      <c r="BJ917" s="3484">
        <v>37910</v>
      </c>
      <c r="BK917" s="3484" t="s">
        <v>6879</v>
      </c>
      <c r="BL917" s="3470" t="s">
        <v>3670</v>
      </c>
    </row>
    <row r="918" spans="1:71" s="3441" customFormat="1" ht="12" hidden="1">
      <c r="A918" s="3453" t="s">
        <v>9711</v>
      </c>
      <c r="B918" s="3470" t="s">
        <v>9712</v>
      </c>
      <c r="C918" s="3481" t="s">
        <v>9713</v>
      </c>
      <c r="D918" s="3481" t="s">
        <v>9714</v>
      </c>
      <c r="E918" s="3470" t="s">
        <v>3558</v>
      </c>
      <c r="F918" s="3528" t="s">
        <v>3733</v>
      </c>
      <c r="G918" s="3470"/>
      <c r="H918" s="3470" t="s">
        <v>4706</v>
      </c>
      <c r="I918" s="3470" t="s">
        <v>9715</v>
      </c>
      <c r="J918" s="3470" t="s">
        <v>9716</v>
      </c>
      <c r="K918" s="3470" t="s">
        <v>3737</v>
      </c>
      <c r="L918" s="3470">
        <v>75.45</v>
      </c>
      <c r="M918" s="3470">
        <v>1</v>
      </c>
      <c r="N918" s="3470" t="s">
        <v>3451</v>
      </c>
      <c r="O918" s="3470">
        <v>60.28</v>
      </c>
      <c r="P918" s="3470" t="s">
        <v>3452</v>
      </c>
      <c r="Q918" s="3492">
        <v>398376</v>
      </c>
      <c r="R918" s="3470">
        <v>5280</v>
      </c>
      <c r="S918" s="3472">
        <v>38.46</v>
      </c>
      <c r="T918" s="3527">
        <v>384600</v>
      </c>
      <c r="U918" s="3470">
        <v>5098</v>
      </c>
      <c r="V918" s="3474">
        <v>0.1</v>
      </c>
      <c r="W918" s="3475">
        <v>34.61</v>
      </c>
      <c r="X918" s="3494">
        <v>346100</v>
      </c>
      <c r="Y918" s="3441">
        <v>2003</v>
      </c>
      <c r="Z918" s="3441">
        <v>10</v>
      </c>
      <c r="AA918" s="3470">
        <v>20</v>
      </c>
      <c r="AB918" s="3477">
        <v>1920</v>
      </c>
      <c r="AC918" s="3470" t="s">
        <v>4800</v>
      </c>
      <c r="AD918" s="3485"/>
      <c r="AE918" s="3441" t="s">
        <v>3663</v>
      </c>
      <c r="AF918" s="3470" t="s">
        <v>3956</v>
      </c>
      <c r="AG918" s="3522" t="s">
        <v>3466</v>
      </c>
      <c r="AH918" s="3485"/>
      <c r="AI918" s="3470" t="s">
        <v>5021</v>
      </c>
      <c r="AJ918" s="3523">
        <v>38045</v>
      </c>
      <c r="AK918" s="3500" t="s">
        <v>9283</v>
      </c>
      <c r="AL918" s="3441">
        <v>67641700</v>
      </c>
      <c r="AN918" s="3456" t="s">
        <v>3482</v>
      </c>
      <c r="AO918" s="3441" t="s">
        <v>2420</v>
      </c>
      <c r="AP918" s="3441" t="s">
        <v>3476</v>
      </c>
      <c r="AQ918" s="3441" t="s">
        <v>3571</v>
      </c>
      <c r="AW918" s="3441" t="s">
        <v>3572</v>
      </c>
      <c r="AY918" s="3524" t="s">
        <v>9717</v>
      </c>
      <c r="AZ918" s="3441" t="s">
        <v>3737</v>
      </c>
      <c r="BA918" s="3441" t="s">
        <v>3742</v>
      </c>
      <c r="BB918" s="3524" t="s">
        <v>3743</v>
      </c>
      <c r="BC918" s="3441" t="s">
        <v>3744</v>
      </c>
      <c r="BD918" s="3525">
        <v>100088</v>
      </c>
      <c r="BE918" s="3441">
        <v>82058259</v>
      </c>
      <c r="BF918" s="3526" t="s">
        <v>8595</v>
      </c>
      <c r="BG918" s="3478">
        <v>37883</v>
      </c>
      <c r="BH918" s="3441" t="s">
        <v>4753</v>
      </c>
      <c r="BI918" s="3441" t="s">
        <v>3476</v>
      </c>
      <c r="BJ918" s="3484">
        <v>37910</v>
      </c>
      <c r="BK918" s="3484" t="s">
        <v>6879</v>
      </c>
      <c r="BL918" s="3470" t="s">
        <v>3670</v>
      </c>
    </row>
    <row r="919" spans="1:71" s="3441" customFormat="1" ht="12" hidden="1">
      <c r="A919" s="3542" t="s">
        <v>9718</v>
      </c>
      <c r="B919" s="3470" t="s">
        <v>9719</v>
      </c>
      <c r="C919" s="3481" t="s">
        <v>9720</v>
      </c>
      <c r="D919" s="3481" t="s">
        <v>9721</v>
      </c>
      <c r="E919" s="3470" t="s">
        <v>3558</v>
      </c>
      <c r="F919" s="3470" t="s">
        <v>7153</v>
      </c>
      <c r="G919" s="3470" t="s">
        <v>3568</v>
      </c>
      <c r="H919" s="3470" t="s">
        <v>6820</v>
      </c>
      <c r="I919" s="3453" t="s">
        <v>3735</v>
      </c>
      <c r="J919" s="3481" t="s">
        <v>4218</v>
      </c>
      <c r="K919" s="3470" t="s">
        <v>6117</v>
      </c>
      <c r="L919" s="3470">
        <v>124.03</v>
      </c>
      <c r="M919" s="3470">
        <v>1</v>
      </c>
      <c r="N919" s="3470" t="s">
        <v>4336</v>
      </c>
      <c r="O919" s="3470">
        <v>112.19</v>
      </c>
      <c r="P919" s="3470" t="s">
        <v>3452</v>
      </c>
      <c r="Q919" s="3457">
        <v>489918.5</v>
      </c>
      <c r="R919" s="3470">
        <v>3950</v>
      </c>
      <c r="S919" s="3472">
        <v>48.43</v>
      </c>
      <c r="T919" s="3527">
        <v>484300</v>
      </c>
      <c r="U919" s="3470">
        <v>3905</v>
      </c>
      <c r="V919" s="3474">
        <v>0.1</v>
      </c>
      <c r="W919" s="3475">
        <v>43.58</v>
      </c>
      <c r="X919" s="3476">
        <v>435800</v>
      </c>
      <c r="Y919" s="3441">
        <v>2003</v>
      </c>
      <c r="Z919" s="3441">
        <v>11</v>
      </c>
      <c r="AA919" s="3470">
        <v>3</v>
      </c>
      <c r="AB919" s="3477">
        <v>2420</v>
      </c>
      <c r="AC919" s="3470" t="s">
        <v>9243</v>
      </c>
      <c r="AD919" s="3485"/>
      <c r="AE919" s="3441" t="s">
        <v>3663</v>
      </c>
      <c r="AF919" s="3470" t="s">
        <v>7751</v>
      </c>
      <c r="AG919" s="3522" t="s">
        <v>3466</v>
      </c>
      <c r="AH919" s="3485"/>
      <c r="AI919" s="3470" t="s">
        <v>5021</v>
      </c>
      <c r="AJ919" s="3523">
        <v>38108</v>
      </c>
      <c r="AK919" s="3603" t="s">
        <v>4773</v>
      </c>
      <c r="AL919" s="3441">
        <v>67641700</v>
      </c>
      <c r="AN919" s="3456" t="s">
        <v>3570</v>
      </c>
      <c r="AO919" s="3441" t="s">
        <v>9722</v>
      </c>
      <c r="AP919" s="3441" t="s">
        <v>3476</v>
      </c>
      <c r="AQ919" s="3441" t="s">
        <v>3571</v>
      </c>
      <c r="AW919" s="3441" t="s">
        <v>3572</v>
      </c>
      <c r="AY919" s="3524" t="s">
        <v>9723</v>
      </c>
      <c r="AZ919" s="3441" t="s">
        <v>6117</v>
      </c>
      <c r="BA919" s="3441" t="s">
        <v>7157</v>
      </c>
      <c r="BB919" s="3524">
        <v>1102281326100</v>
      </c>
      <c r="BC919" s="3441" t="s">
        <v>7158</v>
      </c>
      <c r="BD919" s="3525">
        <v>100055</v>
      </c>
      <c r="BE919" s="3441">
        <v>82951881</v>
      </c>
      <c r="BF919" s="3526">
        <v>2.8</v>
      </c>
      <c r="BG919" s="3518">
        <v>37904</v>
      </c>
      <c r="BH919" s="3441" t="s">
        <v>4753</v>
      </c>
      <c r="BI919" s="3441" t="s">
        <v>3476</v>
      </c>
      <c r="BJ919" s="3484">
        <v>37924</v>
      </c>
      <c r="BK919" s="3484"/>
      <c r="BL919" s="3470" t="s">
        <v>3670</v>
      </c>
    </row>
    <row r="920" spans="1:71" s="3441" customFormat="1" ht="12" hidden="1">
      <c r="A920" s="3542" t="s">
        <v>9724</v>
      </c>
      <c r="B920" s="3470" t="s">
        <v>9725</v>
      </c>
      <c r="C920" s="3454" t="s">
        <v>9726</v>
      </c>
      <c r="D920" s="3481" t="s">
        <v>9727</v>
      </c>
      <c r="E920" s="3453" t="s">
        <v>2736</v>
      </c>
      <c r="F920" s="3628" t="s">
        <v>9728</v>
      </c>
      <c r="G920" s="3453"/>
      <c r="H920" s="3453" t="s">
        <v>9390</v>
      </c>
      <c r="I920" s="3453" t="s">
        <v>6989</v>
      </c>
      <c r="J920" s="3454" t="s">
        <v>3449</v>
      </c>
      <c r="K920" s="3453" t="s">
        <v>7036</v>
      </c>
      <c r="L920" s="3495">
        <v>104.73</v>
      </c>
      <c r="M920" s="3495">
        <v>4</v>
      </c>
      <c r="N920" s="3456" t="s">
        <v>4871</v>
      </c>
      <c r="O920" s="3495">
        <v>94.06</v>
      </c>
      <c r="P920" s="3470" t="s">
        <v>3452</v>
      </c>
      <c r="Q920" s="3510">
        <v>465524.85000000003</v>
      </c>
      <c r="R920" s="3495">
        <v>4445</v>
      </c>
      <c r="S920" s="3472">
        <v>46.02</v>
      </c>
      <c r="T920" s="3550">
        <v>460200.00000000006</v>
      </c>
      <c r="U920" s="3495">
        <v>4395</v>
      </c>
      <c r="V920" s="3512">
        <v>0.1</v>
      </c>
      <c r="W920" s="3475">
        <v>41.41</v>
      </c>
      <c r="X920" s="3473">
        <v>414099.99999999994</v>
      </c>
      <c r="Y920" s="3515">
        <v>2003</v>
      </c>
      <c r="Z920" s="3515">
        <v>10</v>
      </c>
      <c r="AA920" s="3515">
        <v>20</v>
      </c>
      <c r="AB920" s="3477">
        <v>2300</v>
      </c>
      <c r="AC920" s="3470" t="s">
        <v>9243</v>
      </c>
      <c r="AD920" s="3542"/>
      <c r="AE920" s="3456" t="s">
        <v>3663</v>
      </c>
      <c r="AF920" s="3470" t="s">
        <v>4032</v>
      </c>
      <c r="AG920" s="3542" t="s">
        <v>3454</v>
      </c>
      <c r="AH920" s="3485"/>
      <c r="AI920" s="3456" t="s">
        <v>5021</v>
      </c>
      <c r="AJ920" s="3535">
        <v>37962</v>
      </c>
      <c r="AK920" s="3500" t="s">
        <v>4744</v>
      </c>
      <c r="AL920" s="3495">
        <v>67641700</v>
      </c>
      <c r="AM920" s="3470"/>
      <c r="AN920" s="3470" t="s">
        <v>3482</v>
      </c>
      <c r="AO920" s="3453"/>
      <c r="AP920" s="3456" t="s">
        <v>3476</v>
      </c>
      <c r="AQ920" s="3469" t="s">
        <v>9729</v>
      </c>
      <c r="AR920" s="3441">
        <v>2003</v>
      </c>
      <c r="AS920" s="3441">
        <v>10</v>
      </c>
      <c r="AT920" s="3441">
        <v>28</v>
      </c>
      <c r="AU920" s="3441" t="s">
        <v>9730</v>
      </c>
      <c r="AV920" s="3601"/>
      <c r="AW920" s="3441" t="s">
        <v>3458</v>
      </c>
      <c r="AY920" s="3536" t="s">
        <v>9731</v>
      </c>
      <c r="AZ920" s="3453" t="s">
        <v>4507</v>
      </c>
      <c r="BA920" s="3441" t="s">
        <v>4508</v>
      </c>
      <c r="BB920" s="3525">
        <v>1100001505756</v>
      </c>
      <c r="BC920" s="3441" t="s">
        <v>7118</v>
      </c>
      <c r="BD920" s="3441">
        <v>100083</v>
      </c>
      <c r="BE920" s="3441">
        <v>82355171</v>
      </c>
      <c r="BF920" s="3544">
        <v>2.7</v>
      </c>
      <c r="BG920" s="3518">
        <v>37880</v>
      </c>
      <c r="BI920" s="3441" t="s">
        <v>8464</v>
      </c>
      <c r="BJ920" s="3518">
        <v>37911</v>
      </c>
      <c r="BL920" s="3470" t="s">
        <v>3670</v>
      </c>
    </row>
    <row r="921" spans="1:71" s="3441" customFormat="1" ht="12" hidden="1">
      <c r="A921" s="3453" t="s">
        <v>9732</v>
      </c>
      <c r="B921" s="3470" t="s">
        <v>9733</v>
      </c>
      <c r="C921" s="3481" t="s">
        <v>9734</v>
      </c>
      <c r="D921" s="3481" t="s">
        <v>9735</v>
      </c>
      <c r="E921" s="3470" t="s">
        <v>3558</v>
      </c>
      <c r="F921" s="3528" t="s">
        <v>7652</v>
      </c>
      <c r="G921" s="3470"/>
      <c r="H921" s="3470" t="s">
        <v>7772</v>
      </c>
      <c r="I921" s="3470" t="s">
        <v>9411</v>
      </c>
      <c r="J921" s="3481" t="s">
        <v>6219</v>
      </c>
      <c r="K921" s="3470" t="s">
        <v>7653</v>
      </c>
      <c r="L921" s="3470">
        <v>104.4</v>
      </c>
      <c r="M921" s="3470">
        <v>11</v>
      </c>
      <c r="N921" s="3470" t="s">
        <v>5890</v>
      </c>
      <c r="O921" s="3470">
        <v>82.57</v>
      </c>
      <c r="P921" s="3470" t="s">
        <v>3452</v>
      </c>
      <c r="Q921" s="3457">
        <v>499032</v>
      </c>
      <c r="R921" s="3470">
        <v>4780</v>
      </c>
      <c r="S921" s="3472">
        <v>49.38</v>
      </c>
      <c r="T921" s="3527">
        <v>493800</v>
      </c>
      <c r="U921" s="3470">
        <v>4730</v>
      </c>
      <c r="V921" s="3512">
        <v>0.1</v>
      </c>
      <c r="W921" s="3475">
        <v>44.44</v>
      </c>
      <c r="X921" s="3473">
        <v>444400</v>
      </c>
      <c r="Y921" s="3441">
        <v>2003</v>
      </c>
      <c r="Z921" s="3441">
        <v>10</v>
      </c>
      <c r="AA921" s="3470">
        <v>20</v>
      </c>
      <c r="AB921" s="3485">
        <v>2465</v>
      </c>
      <c r="AC921" s="3470" t="s">
        <v>9007</v>
      </c>
      <c r="AD921" s="3485"/>
      <c r="AE921" s="3441" t="s">
        <v>3663</v>
      </c>
      <c r="AF921" s="3470" t="s">
        <v>3618</v>
      </c>
      <c r="AG921" s="3522" t="s">
        <v>3466</v>
      </c>
      <c r="AH921" s="3485" t="s">
        <v>3568</v>
      </c>
      <c r="AI921" s="3470" t="s">
        <v>5021</v>
      </c>
      <c r="AJ921" s="3523">
        <v>38077</v>
      </c>
      <c r="AK921" s="3500" t="s">
        <v>4752</v>
      </c>
      <c r="AL921" s="3441">
        <v>67641700</v>
      </c>
      <c r="AN921" s="3456" t="s">
        <v>3739</v>
      </c>
      <c r="AP921" s="3441" t="s">
        <v>3476</v>
      </c>
      <c r="AQ921" s="3441" t="s">
        <v>3571</v>
      </c>
      <c r="AV921" s="3441" t="s">
        <v>3568</v>
      </c>
      <c r="AW921" s="3441" t="s">
        <v>3572</v>
      </c>
      <c r="AY921" s="3524" t="s">
        <v>9736</v>
      </c>
      <c r="AZ921" s="3441" t="s">
        <v>7653</v>
      </c>
      <c r="BA921" s="3441" t="s">
        <v>7655</v>
      </c>
      <c r="BB921" s="3524" t="s">
        <v>7656</v>
      </c>
      <c r="BC921" s="3441" t="s">
        <v>7657</v>
      </c>
      <c r="BD921" s="3525">
        <v>100025</v>
      </c>
      <c r="BE921" s="3441">
        <v>62908858</v>
      </c>
      <c r="BF921" s="3526">
        <v>2.7</v>
      </c>
      <c r="BG921" s="3518">
        <v>37880</v>
      </c>
      <c r="BH921" s="3441" t="s">
        <v>4681</v>
      </c>
      <c r="BI921" s="3441" t="s">
        <v>3476</v>
      </c>
      <c r="BJ921" s="3484">
        <v>37911</v>
      </c>
      <c r="BK921" s="3484"/>
      <c r="BL921" s="3470" t="s">
        <v>3670</v>
      </c>
    </row>
    <row r="922" spans="1:71" s="3463" customFormat="1" ht="13.2" hidden="1">
      <c r="A922" s="3454" t="s">
        <v>9737</v>
      </c>
      <c r="B922" s="3453" t="s">
        <v>9738</v>
      </c>
      <c r="C922" s="3454" t="s">
        <v>9739</v>
      </c>
      <c r="D922" s="3454" t="s">
        <v>9740</v>
      </c>
      <c r="E922" s="3453" t="s">
        <v>2736</v>
      </c>
      <c r="F922" s="3528" t="s">
        <v>9741</v>
      </c>
      <c r="G922" s="3453"/>
      <c r="H922" s="3453" t="s">
        <v>9742</v>
      </c>
      <c r="I922" s="3453"/>
      <c r="J922" s="3454" t="s">
        <v>4012</v>
      </c>
      <c r="K922" s="3453" t="s">
        <v>9738</v>
      </c>
      <c r="L922" s="3453">
        <v>91.8</v>
      </c>
      <c r="M922" s="3453">
        <v>2</v>
      </c>
      <c r="N922" s="3453" t="s">
        <v>7246</v>
      </c>
      <c r="O922" s="3453"/>
      <c r="P922" s="3454" t="s">
        <v>3452</v>
      </c>
      <c r="Q922" s="3670" t="s">
        <v>9743</v>
      </c>
      <c r="R922" s="3453">
        <v>4121</v>
      </c>
      <c r="S922" s="3671">
        <v>37.549999999999997</v>
      </c>
      <c r="T922" s="3672">
        <v>375500</v>
      </c>
      <c r="U922" s="3453">
        <v>4091</v>
      </c>
      <c r="V922" s="3673">
        <v>0.05</v>
      </c>
      <c r="W922" s="3674">
        <v>35.67</v>
      </c>
      <c r="X922" s="3672">
        <v>356700</v>
      </c>
      <c r="Y922" s="3463">
        <v>2003</v>
      </c>
      <c r="Z922" s="3463">
        <v>10</v>
      </c>
      <c r="AA922" s="3463">
        <v>21</v>
      </c>
      <c r="AB922" s="3542">
        <v>1875</v>
      </c>
      <c r="AC922" s="3453" t="s">
        <v>8971</v>
      </c>
      <c r="AD922" s="3542"/>
      <c r="AE922" s="3454" t="s">
        <v>4045</v>
      </c>
      <c r="AF922" s="3454" t="s">
        <v>3493</v>
      </c>
      <c r="AG922" s="3454" t="s">
        <v>3466</v>
      </c>
      <c r="AH922" s="3542"/>
      <c r="AI922" s="3454" t="s">
        <v>2152</v>
      </c>
      <c r="AJ922" s="3613"/>
      <c r="AK922" s="3541" t="s">
        <v>8786</v>
      </c>
      <c r="AN922" s="3486" t="s">
        <v>3482</v>
      </c>
      <c r="AP922" s="3454" t="s">
        <v>9744</v>
      </c>
      <c r="AQ922" s="3465" t="s">
        <v>3571</v>
      </c>
      <c r="AW922" s="3470" t="s">
        <v>5825</v>
      </c>
      <c r="AY922" s="3465"/>
      <c r="AZ922" s="3463" t="s">
        <v>9745</v>
      </c>
      <c r="BB922" s="3465"/>
      <c r="BD922" s="3466"/>
      <c r="BF922" s="3675"/>
      <c r="BG922" s="3478">
        <v>37865</v>
      </c>
      <c r="BI922" s="3470" t="s">
        <v>3569</v>
      </c>
      <c r="BJ922" s="3517">
        <v>37907</v>
      </c>
      <c r="BK922" s="3676"/>
      <c r="BL922" s="3463" t="s">
        <v>3470</v>
      </c>
      <c r="BM922" s="3463" t="s">
        <v>3471</v>
      </c>
      <c r="BN922" s="3463" t="s">
        <v>3460</v>
      </c>
      <c r="BO922" s="3463" t="s">
        <v>9746</v>
      </c>
      <c r="BP922" s="3441"/>
      <c r="BQ922" s="3441"/>
      <c r="BR922" s="3441"/>
    </row>
    <row r="923" spans="1:71" s="3441" customFormat="1" ht="12">
      <c r="A923" s="3542" t="s">
        <v>9747</v>
      </c>
      <c r="B923" s="3470" t="s">
        <v>9748</v>
      </c>
      <c r="C923" s="3481" t="s">
        <v>9749</v>
      </c>
      <c r="D923" s="3481" t="s">
        <v>9750</v>
      </c>
      <c r="E923" s="3470" t="s">
        <v>6987</v>
      </c>
      <c r="F923" s="3687" t="s">
        <v>8793</v>
      </c>
      <c r="G923" s="3470"/>
      <c r="H923" s="3470" t="s">
        <v>6879</v>
      </c>
      <c r="I923" s="3470" t="s">
        <v>8736</v>
      </c>
      <c r="J923" s="3481" t="s">
        <v>9751</v>
      </c>
      <c r="K923" s="3470" t="s">
        <v>8862</v>
      </c>
      <c r="L923" s="3470">
        <v>48.52</v>
      </c>
      <c r="M923" s="3470">
        <v>8</v>
      </c>
      <c r="N923" s="3470" t="s">
        <v>9699</v>
      </c>
      <c r="O923" s="3470">
        <v>37.67</v>
      </c>
      <c r="P923" s="3470" t="s">
        <v>3452</v>
      </c>
      <c r="Q923" s="3457">
        <v>346918</v>
      </c>
      <c r="R923" s="3470">
        <v>7150</v>
      </c>
      <c r="S923" s="3472">
        <v>34.380000000000003</v>
      </c>
      <c r="T923" s="3527">
        <v>343800</v>
      </c>
      <c r="U923" s="3495">
        <v>7086</v>
      </c>
      <c r="V923" s="3474">
        <v>0.1</v>
      </c>
      <c r="W923" s="3475">
        <v>30.94</v>
      </c>
      <c r="X923" s="3473">
        <v>309400</v>
      </c>
      <c r="Y923" s="3495">
        <v>2003</v>
      </c>
      <c r="Z923" s="3441">
        <v>11</v>
      </c>
      <c r="AA923" s="3470">
        <v>25</v>
      </c>
      <c r="AB923" s="3477">
        <v>1715</v>
      </c>
      <c r="AC923" s="3470" t="s">
        <v>9336</v>
      </c>
      <c r="AD923" s="3485"/>
      <c r="AE923" s="3441" t="s">
        <v>3663</v>
      </c>
      <c r="AF923" s="3470" t="s">
        <v>3587</v>
      </c>
      <c r="AG923" s="3522" t="s">
        <v>3466</v>
      </c>
      <c r="AH923" s="3485"/>
      <c r="AI923" s="3470" t="s">
        <v>5021</v>
      </c>
      <c r="AJ923" s="3523">
        <v>38107</v>
      </c>
      <c r="AK923" s="3612" t="s">
        <v>4788</v>
      </c>
      <c r="AL923" s="3441">
        <v>67641700</v>
      </c>
      <c r="AN923" s="3456" t="s">
        <v>3680</v>
      </c>
      <c r="AO923" s="3470" t="s">
        <v>9752</v>
      </c>
      <c r="AP923" s="3441" t="s">
        <v>3476</v>
      </c>
      <c r="AQ923" s="3441" t="s">
        <v>3571</v>
      </c>
      <c r="AW923" s="3441" t="s">
        <v>3572</v>
      </c>
      <c r="AY923" s="3524" t="s">
        <v>9753</v>
      </c>
      <c r="AZ923" s="3470" t="s">
        <v>8795</v>
      </c>
      <c r="BA923" s="3441" t="s">
        <v>9474</v>
      </c>
      <c r="BB923" s="3524" t="s">
        <v>8864</v>
      </c>
      <c r="BC923" s="3441" t="s">
        <v>9475</v>
      </c>
      <c r="BD923" s="3525" t="s">
        <v>6879</v>
      </c>
      <c r="BE923" s="3441" t="s">
        <v>2420</v>
      </c>
      <c r="BF923" s="3526">
        <v>2.8</v>
      </c>
      <c r="BG923" s="3484">
        <v>37844</v>
      </c>
      <c r="BH923" s="3441" t="s">
        <v>8865</v>
      </c>
      <c r="BI923" s="3441" t="s">
        <v>3476</v>
      </c>
      <c r="BJ923" s="3478">
        <v>37915</v>
      </c>
      <c r="BK923" s="3484">
        <v>37939</v>
      </c>
      <c r="BL923" s="3470" t="s">
        <v>3670</v>
      </c>
    </row>
    <row r="924" spans="1:71" s="3441" customFormat="1" ht="12" hidden="1">
      <c r="A924" s="3453" t="s">
        <v>9754</v>
      </c>
      <c r="B924" s="3470" t="s">
        <v>9755</v>
      </c>
      <c r="C924" s="3481" t="s">
        <v>9756</v>
      </c>
      <c r="D924" s="3481" t="s">
        <v>9757</v>
      </c>
      <c r="E924" s="3470" t="s">
        <v>3558</v>
      </c>
      <c r="F924" s="3528" t="s">
        <v>7652</v>
      </c>
      <c r="G924" s="3470"/>
      <c r="H924" s="3470" t="s">
        <v>7772</v>
      </c>
      <c r="I924" s="3470" t="s">
        <v>7500</v>
      </c>
      <c r="J924" s="3481" t="s">
        <v>9758</v>
      </c>
      <c r="K924" s="3470" t="s">
        <v>7653</v>
      </c>
      <c r="L924" s="3470">
        <v>104.4</v>
      </c>
      <c r="M924" s="3470">
        <v>12</v>
      </c>
      <c r="N924" s="3470" t="s">
        <v>7464</v>
      </c>
      <c r="O924" s="3470">
        <v>82.57</v>
      </c>
      <c r="P924" s="3470" t="s">
        <v>3452</v>
      </c>
      <c r="Q924" s="3457">
        <v>488592</v>
      </c>
      <c r="R924" s="3470">
        <v>4680</v>
      </c>
      <c r="S924" s="3472">
        <v>48.33</v>
      </c>
      <c r="T924" s="3527">
        <v>483300</v>
      </c>
      <c r="U924" s="3470">
        <v>4630</v>
      </c>
      <c r="V924" s="3512">
        <v>0.1</v>
      </c>
      <c r="W924" s="3475">
        <v>43.49</v>
      </c>
      <c r="X924" s="3473">
        <v>434900</v>
      </c>
      <c r="Y924" s="3441">
        <v>2003</v>
      </c>
      <c r="Z924" s="3441">
        <v>10</v>
      </c>
      <c r="AA924" s="3470">
        <v>21</v>
      </c>
      <c r="AB924" s="3485">
        <v>2415</v>
      </c>
      <c r="AC924" s="3470" t="s">
        <v>4800</v>
      </c>
      <c r="AD924" s="3485"/>
      <c r="AE924" s="3441" t="s">
        <v>3663</v>
      </c>
      <c r="AF924" s="3470" t="s">
        <v>3587</v>
      </c>
      <c r="AG924" s="3522" t="s">
        <v>3466</v>
      </c>
      <c r="AH924" s="3485" t="s">
        <v>3568</v>
      </c>
      <c r="AI924" s="3470" t="s">
        <v>5021</v>
      </c>
      <c r="AJ924" s="3523">
        <v>38077</v>
      </c>
      <c r="AK924" s="3500" t="s">
        <v>4752</v>
      </c>
      <c r="AL924" s="3441">
        <v>67641700</v>
      </c>
      <c r="AN924" s="3456" t="s">
        <v>3739</v>
      </c>
      <c r="AP924" s="3441" t="s">
        <v>3476</v>
      </c>
      <c r="AQ924" s="3441" t="s">
        <v>3571</v>
      </c>
      <c r="AV924" s="3441" t="s">
        <v>3568</v>
      </c>
      <c r="AW924" s="3441" t="s">
        <v>3572</v>
      </c>
      <c r="AY924" s="3524" t="s">
        <v>9759</v>
      </c>
      <c r="AZ924" s="3441" t="s">
        <v>7653</v>
      </c>
      <c r="BA924" s="3441" t="s">
        <v>7655</v>
      </c>
      <c r="BB924" s="3524" t="s">
        <v>7656</v>
      </c>
      <c r="BC924" s="3441" t="s">
        <v>7657</v>
      </c>
      <c r="BD924" s="3525">
        <v>100025</v>
      </c>
      <c r="BE924" s="3441">
        <v>62908858</v>
      </c>
      <c r="BF924" s="3526">
        <v>2.7</v>
      </c>
      <c r="BG924" s="3518">
        <v>37884</v>
      </c>
      <c r="BH924" s="3441" t="s">
        <v>4681</v>
      </c>
      <c r="BI924" s="3441" t="s">
        <v>3476</v>
      </c>
      <c r="BJ924" s="3484">
        <v>37911</v>
      </c>
      <c r="BK924" s="3484"/>
      <c r="BL924" s="3470" t="s">
        <v>3670</v>
      </c>
    </row>
    <row r="925" spans="1:71" s="3441" customFormat="1" ht="12" hidden="1">
      <c r="A925" s="3485" t="s">
        <v>9760</v>
      </c>
      <c r="B925" s="3470" t="s">
        <v>9761</v>
      </c>
      <c r="C925" s="3481" t="s">
        <v>9762</v>
      </c>
      <c r="D925" s="3481" t="s">
        <v>9763</v>
      </c>
      <c r="E925" s="3470" t="s">
        <v>3558</v>
      </c>
      <c r="F925" s="3470" t="s">
        <v>4693</v>
      </c>
      <c r="G925" s="3470"/>
      <c r="H925" s="3470" t="s">
        <v>9764</v>
      </c>
      <c r="I925" s="3470" t="s">
        <v>8846</v>
      </c>
      <c r="J925" s="3481" t="s">
        <v>9765</v>
      </c>
      <c r="K925" s="3470" t="s">
        <v>4697</v>
      </c>
      <c r="L925" s="3470">
        <v>33.200000000000003</v>
      </c>
      <c r="M925" s="3470">
        <v>10</v>
      </c>
      <c r="N925" s="3470" t="s">
        <v>3692</v>
      </c>
      <c r="O925" s="3470">
        <v>24.66</v>
      </c>
      <c r="P925" s="3470" t="s">
        <v>3452</v>
      </c>
      <c r="Q925" s="3457">
        <v>276954.40000000002</v>
      </c>
      <c r="R925" s="3470">
        <v>8342</v>
      </c>
      <c r="S925" s="3472">
        <v>27.48</v>
      </c>
      <c r="T925" s="3527">
        <v>274800</v>
      </c>
      <c r="U925" s="3470">
        <v>8280</v>
      </c>
      <c r="V925" s="3474">
        <v>0.1</v>
      </c>
      <c r="W925" s="3475">
        <v>24.73</v>
      </c>
      <c r="X925" s="3476">
        <v>247300</v>
      </c>
      <c r="Y925" s="3441">
        <v>2003</v>
      </c>
      <c r="Z925" s="3441">
        <v>10</v>
      </c>
      <c r="AA925" s="3470">
        <v>21</v>
      </c>
      <c r="AB925" s="3477">
        <v>1370</v>
      </c>
      <c r="AC925" s="3470" t="s">
        <v>9766</v>
      </c>
      <c r="AD925" s="3485"/>
      <c r="AE925" s="3441" t="s">
        <v>3663</v>
      </c>
      <c r="AF925" s="3470" t="s">
        <v>4721</v>
      </c>
      <c r="AG925" s="3522" t="s">
        <v>3466</v>
      </c>
      <c r="AH925" s="3485" t="s">
        <v>3463</v>
      </c>
      <c r="AI925" s="3470" t="s">
        <v>5021</v>
      </c>
      <c r="AJ925" s="3523">
        <v>38138</v>
      </c>
      <c r="AK925" s="3500" t="s">
        <v>4752</v>
      </c>
      <c r="AL925" s="3441">
        <v>67641700</v>
      </c>
      <c r="AN925" s="3456" t="s">
        <v>3739</v>
      </c>
      <c r="AP925" s="3441" t="s">
        <v>3476</v>
      </c>
      <c r="AQ925" s="3441" t="s">
        <v>3571</v>
      </c>
      <c r="AV925" s="3441" t="s">
        <v>3568</v>
      </c>
      <c r="AW925" s="3441" t="s">
        <v>3572</v>
      </c>
      <c r="AX925" s="3441" t="s">
        <v>3568</v>
      </c>
      <c r="AY925" s="3524" t="s">
        <v>9767</v>
      </c>
      <c r="AZ925" s="3441" t="s">
        <v>4697</v>
      </c>
      <c r="BA925" s="3441" t="s">
        <v>4700</v>
      </c>
      <c r="BB925" s="3524" t="s">
        <v>4701</v>
      </c>
      <c r="BC925" s="3441" t="s">
        <v>4702</v>
      </c>
      <c r="BD925" s="3525">
        <v>100011</v>
      </c>
      <c r="BE925" s="3441">
        <v>62351476</v>
      </c>
      <c r="BF925" s="3526">
        <v>2.8</v>
      </c>
      <c r="BG925" s="3518">
        <v>37844</v>
      </c>
      <c r="BI925" s="3441" t="s">
        <v>3476</v>
      </c>
      <c r="BJ925" s="3508">
        <v>37887</v>
      </c>
      <c r="BK925" s="3484"/>
      <c r="BL925" s="3470" t="s">
        <v>3670</v>
      </c>
    </row>
    <row r="926" spans="1:71" s="3470" customFormat="1" ht="12" hidden="1">
      <c r="A926" s="3542" t="s">
        <v>9768</v>
      </c>
      <c r="B926" s="3470" t="s">
        <v>9769</v>
      </c>
      <c r="C926" s="3481" t="s">
        <v>9770</v>
      </c>
      <c r="D926" s="3470">
        <v>13601063035</v>
      </c>
      <c r="E926" s="3470" t="s">
        <v>3558</v>
      </c>
      <c r="F926" s="3470" t="s">
        <v>5335</v>
      </c>
      <c r="H926" s="3453" t="s">
        <v>9771</v>
      </c>
      <c r="J926" s="3470" t="s">
        <v>9772</v>
      </c>
      <c r="K926" s="3470" t="s">
        <v>5338</v>
      </c>
      <c r="L926" s="3470">
        <v>112.34</v>
      </c>
      <c r="M926" s="3470">
        <v>22</v>
      </c>
      <c r="N926" s="3470" t="s">
        <v>9620</v>
      </c>
      <c r="O926" s="3470">
        <v>92.66</v>
      </c>
      <c r="P926" s="3470" t="s">
        <v>3452</v>
      </c>
      <c r="Q926" s="3616">
        <v>494857.7</v>
      </c>
      <c r="R926" s="3470">
        <v>4405</v>
      </c>
      <c r="S926" s="3472">
        <v>48.98</v>
      </c>
      <c r="T926" s="3550">
        <v>489799.99999999994</v>
      </c>
      <c r="U926" s="3470">
        <v>4360</v>
      </c>
      <c r="V926" s="3474">
        <v>0.1</v>
      </c>
      <c r="W926" s="3475">
        <v>44.08</v>
      </c>
      <c r="X926" s="3511">
        <v>440800</v>
      </c>
      <c r="Y926" s="3470">
        <v>2003</v>
      </c>
      <c r="Z926" s="3441">
        <v>11</v>
      </c>
      <c r="AA926" s="3470">
        <v>3</v>
      </c>
      <c r="AB926" s="3485">
        <v>2445</v>
      </c>
      <c r="AC926" s="3470" t="s">
        <v>9077</v>
      </c>
      <c r="AE926" s="3470" t="s">
        <v>3663</v>
      </c>
      <c r="AF926" s="3470" t="s">
        <v>4721</v>
      </c>
      <c r="AG926" s="3456" t="s">
        <v>3466</v>
      </c>
      <c r="AH926" s="3470" t="s">
        <v>3568</v>
      </c>
      <c r="AI926" s="3470" t="s">
        <v>5021</v>
      </c>
      <c r="AJ926" s="3478">
        <v>38138</v>
      </c>
      <c r="AK926" s="3603" t="s">
        <v>4773</v>
      </c>
      <c r="AL926" s="3441">
        <v>67641700</v>
      </c>
      <c r="AM926" s="3441"/>
      <c r="AN926" s="3456" t="s">
        <v>3570</v>
      </c>
      <c r="AO926" s="3441" t="s">
        <v>9773</v>
      </c>
      <c r="AP926" s="3456" t="s">
        <v>3476</v>
      </c>
      <c r="AQ926" s="3470" t="s">
        <v>3571</v>
      </c>
      <c r="AV926" s="3470" t="s">
        <v>3568</v>
      </c>
      <c r="AW926" s="3470" t="s">
        <v>3572</v>
      </c>
      <c r="AY926" s="3470">
        <v>267115</v>
      </c>
      <c r="AZ926" s="3470" t="s">
        <v>5338</v>
      </c>
      <c r="BA926" s="3470" t="s">
        <v>5342</v>
      </c>
      <c r="BB926" s="3470" t="s">
        <v>5343</v>
      </c>
      <c r="BC926" s="3470" t="s">
        <v>5344</v>
      </c>
      <c r="BD926" s="3470">
        <v>102488</v>
      </c>
      <c r="BE926" s="3470">
        <v>63023627</v>
      </c>
      <c r="BF926" s="3538">
        <v>2.8</v>
      </c>
      <c r="BG926" s="3478">
        <v>37907</v>
      </c>
      <c r="BI926" s="3441" t="s">
        <v>3476</v>
      </c>
      <c r="BJ926" s="3484">
        <v>37917</v>
      </c>
      <c r="BL926" s="3470" t="s">
        <v>3670</v>
      </c>
      <c r="BP926" s="3441"/>
      <c r="BQ926" s="3441"/>
      <c r="BR926" s="3441"/>
      <c r="BS926" s="3441"/>
    </row>
    <row r="927" spans="1:71" s="3441" customFormat="1" ht="12" hidden="1">
      <c r="A927" s="3485" t="s">
        <v>9774</v>
      </c>
      <c r="B927" s="3470" t="s">
        <v>9775</v>
      </c>
      <c r="C927" s="3481" t="s">
        <v>9776</v>
      </c>
      <c r="D927" s="3481" t="s">
        <v>9777</v>
      </c>
      <c r="E927" s="3470" t="s">
        <v>3558</v>
      </c>
      <c r="F927" s="3470" t="s">
        <v>9389</v>
      </c>
      <c r="G927" s="3470"/>
      <c r="H927" s="3470" t="s">
        <v>9778</v>
      </c>
      <c r="I927" s="3453" t="s">
        <v>3676</v>
      </c>
      <c r="J927" s="3481" t="s">
        <v>4325</v>
      </c>
      <c r="K927" s="3470" t="s">
        <v>4772</v>
      </c>
      <c r="L927" s="3470">
        <v>104.33</v>
      </c>
      <c r="M927" s="3470">
        <v>5</v>
      </c>
      <c r="N927" s="3542" t="s">
        <v>3486</v>
      </c>
      <c r="O927" s="3470">
        <v>94.06</v>
      </c>
      <c r="P927" s="3470" t="s">
        <v>3452</v>
      </c>
      <c r="Q927" s="3457">
        <v>471362.94</v>
      </c>
      <c r="R927" s="3470">
        <v>4518</v>
      </c>
      <c r="S927" s="3472">
        <v>46.65</v>
      </c>
      <c r="T927" s="3527">
        <v>466500</v>
      </c>
      <c r="U927" s="3470">
        <v>4472</v>
      </c>
      <c r="V927" s="3474">
        <v>0.1</v>
      </c>
      <c r="W927" s="3475">
        <v>41.98</v>
      </c>
      <c r="X927" s="3476">
        <v>419799.99999999994</v>
      </c>
      <c r="Y927" s="3441">
        <v>2003</v>
      </c>
      <c r="Z927" s="3441">
        <v>10</v>
      </c>
      <c r="AA927" s="3470">
        <v>22</v>
      </c>
      <c r="AB927" s="3477">
        <v>2330</v>
      </c>
      <c r="AC927" s="3470" t="s">
        <v>9779</v>
      </c>
      <c r="AD927" s="3485"/>
      <c r="AE927" s="3441" t="s">
        <v>3663</v>
      </c>
      <c r="AF927" s="3470" t="s">
        <v>4295</v>
      </c>
      <c r="AG927" s="3522" t="s">
        <v>3466</v>
      </c>
      <c r="AH927" s="3485"/>
      <c r="AI927" s="3470" t="s">
        <v>7643</v>
      </c>
      <c r="AJ927" s="3523">
        <v>37964</v>
      </c>
      <c r="AK927" s="3541" t="s">
        <v>4752</v>
      </c>
      <c r="AL927" s="3470">
        <v>67641700</v>
      </c>
      <c r="AM927" s="3470" t="s">
        <v>3568</v>
      </c>
      <c r="AN927" s="3486" t="s">
        <v>3482</v>
      </c>
      <c r="AP927" s="3441" t="s">
        <v>3476</v>
      </c>
      <c r="AQ927" s="3441" t="s">
        <v>3571</v>
      </c>
      <c r="AW927" s="3441" t="s">
        <v>3572</v>
      </c>
      <c r="AY927" s="3524" t="s">
        <v>9780</v>
      </c>
      <c r="AZ927" s="3441" t="s">
        <v>4772</v>
      </c>
      <c r="BA927" s="3441" t="s">
        <v>4775</v>
      </c>
      <c r="BB927" s="3524" t="s">
        <v>4776</v>
      </c>
      <c r="BC927" s="3441" t="s">
        <v>4777</v>
      </c>
      <c r="BD927" s="3525">
        <v>100083</v>
      </c>
      <c r="BE927" s="3441">
        <v>82355171</v>
      </c>
      <c r="BF927" s="3526">
        <v>2.7</v>
      </c>
      <c r="BG927" s="3518">
        <v>37886</v>
      </c>
      <c r="BI927" s="3441" t="s">
        <v>9506</v>
      </c>
      <c r="BJ927" s="3484">
        <v>37914</v>
      </c>
      <c r="BK927" s="3484"/>
      <c r="BL927" s="3470" t="s">
        <v>3670</v>
      </c>
    </row>
    <row r="928" spans="1:71" s="3441" customFormat="1" ht="12">
      <c r="A928" s="3485" t="s">
        <v>9781</v>
      </c>
      <c r="B928" s="3470" t="s">
        <v>9782</v>
      </c>
      <c r="C928" s="3481" t="s">
        <v>9783</v>
      </c>
      <c r="D928" s="3481" t="s">
        <v>9784</v>
      </c>
      <c r="E928" s="3470" t="s">
        <v>6987</v>
      </c>
      <c r="F928" s="3687" t="s">
        <v>9471</v>
      </c>
      <c r="G928" s="3470"/>
      <c r="H928" s="3470" t="s">
        <v>3715</v>
      </c>
      <c r="I928" s="3470" t="s">
        <v>3689</v>
      </c>
      <c r="J928" s="3481" t="s">
        <v>9785</v>
      </c>
      <c r="K928" s="3470" t="s">
        <v>9472</v>
      </c>
      <c r="L928" s="3470">
        <v>48.03</v>
      </c>
      <c r="M928" s="3470">
        <v>11</v>
      </c>
      <c r="N928" s="3470" t="s">
        <v>9699</v>
      </c>
      <c r="O928" s="3470">
        <v>37.29</v>
      </c>
      <c r="P928" s="3470" t="s">
        <v>3452</v>
      </c>
      <c r="Q928" s="3457">
        <v>338611.5</v>
      </c>
      <c r="R928" s="3470">
        <v>7050</v>
      </c>
      <c r="S928" s="3472">
        <v>33.35</v>
      </c>
      <c r="T928" s="3527">
        <v>333500</v>
      </c>
      <c r="U928" s="3495">
        <v>6944</v>
      </c>
      <c r="V928" s="3474">
        <v>0.1</v>
      </c>
      <c r="W928" s="3475">
        <v>30.01</v>
      </c>
      <c r="X928" s="3473">
        <v>300100</v>
      </c>
      <c r="Y928" s="3495">
        <v>2003</v>
      </c>
      <c r="Z928" s="3441">
        <v>10</v>
      </c>
      <c r="AA928" s="3441">
        <v>22</v>
      </c>
      <c r="AB928" s="3477">
        <v>1665</v>
      </c>
      <c r="AC928" s="3470" t="s">
        <v>9413</v>
      </c>
      <c r="AD928" s="3485"/>
      <c r="AE928" s="3441" t="s">
        <v>3663</v>
      </c>
      <c r="AF928" s="3470" t="s">
        <v>3587</v>
      </c>
      <c r="AG928" s="3522" t="s">
        <v>3466</v>
      </c>
      <c r="AH928" s="3485"/>
      <c r="AI928" s="3470" t="s">
        <v>5021</v>
      </c>
      <c r="AJ928" s="3523">
        <v>38107</v>
      </c>
      <c r="AK928" s="3500" t="s">
        <v>8786</v>
      </c>
      <c r="AL928" s="3441">
        <v>67641700</v>
      </c>
      <c r="AN928" s="3456" t="s">
        <v>3739</v>
      </c>
      <c r="AP928" s="3441" t="s">
        <v>3476</v>
      </c>
      <c r="AQ928" s="3441" t="s">
        <v>3571</v>
      </c>
      <c r="AW928" s="3441" t="s">
        <v>3572</v>
      </c>
      <c r="AY928" s="3524" t="s">
        <v>9786</v>
      </c>
      <c r="AZ928" s="3470" t="s">
        <v>9472</v>
      </c>
      <c r="BA928" s="3441" t="s">
        <v>8798</v>
      </c>
      <c r="BB928" s="3524" t="s">
        <v>8799</v>
      </c>
      <c r="BC928" s="3441" t="s">
        <v>9534</v>
      </c>
      <c r="BD928" s="3525" t="s">
        <v>3715</v>
      </c>
      <c r="BE928" s="3441" t="s">
        <v>2420</v>
      </c>
      <c r="BF928" s="3526">
        <v>2.8</v>
      </c>
      <c r="BG928" s="3518">
        <v>37891</v>
      </c>
      <c r="BH928" s="3441" t="s">
        <v>8801</v>
      </c>
      <c r="BI928" s="3441" t="s">
        <v>3476</v>
      </c>
      <c r="BJ928" s="3484">
        <v>37914</v>
      </c>
      <c r="BK928" s="3484">
        <v>37908</v>
      </c>
      <c r="BL928" s="3470" t="s">
        <v>3670</v>
      </c>
    </row>
    <row r="929" spans="1:71" s="3441" customFormat="1" ht="12" hidden="1">
      <c r="A929" s="3485" t="s">
        <v>9787</v>
      </c>
      <c r="B929" s="3470" t="s">
        <v>9788</v>
      </c>
      <c r="C929" s="3481" t="s">
        <v>9789</v>
      </c>
      <c r="D929" s="3481" t="s">
        <v>9790</v>
      </c>
      <c r="E929" s="3470" t="s">
        <v>3558</v>
      </c>
      <c r="F929" s="3470" t="s">
        <v>4693</v>
      </c>
      <c r="G929" s="3470"/>
      <c r="H929" s="3470" t="s">
        <v>4453</v>
      </c>
      <c r="I929" s="3470" t="s">
        <v>8778</v>
      </c>
      <c r="J929" s="3481" t="s">
        <v>9791</v>
      </c>
      <c r="K929" s="3470" t="s">
        <v>4697</v>
      </c>
      <c r="L929" s="3470">
        <v>34.229999999999997</v>
      </c>
      <c r="M929" s="3470">
        <v>10</v>
      </c>
      <c r="N929" s="3470" t="s">
        <v>3692</v>
      </c>
      <c r="O929" s="3470">
        <v>25.43</v>
      </c>
      <c r="P929" s="3470" t="s">
        <v>3452</v>
      </c>
      <c r="Q929" s="3457">
        <v>299615.18999999994</v>
      </c>
      <c r="R929" s="3470">
        <v>8753</v>
      </c>
      <c r="S929" s="3472">
        <v>29.77</v>
      </c>
      <c r="T929" s="3527">
        <v>297700</v>
      </c>
      <c r="U929" s="3470">
        <v>8698</v>
      </c>
      <c r="V929" s="3474">
        <v>0.1</v>
      </c>
      <c r="W929" s="3475">
        <v>26.79</v>
      </c>
      <c r="X929" s="3476">
        <v>267900</v>
      </c>
      <c r="Y929" s="3441">
        <v>2003</v>
      </c>
      <c r="Z929" s="3441">
        <v>10</v>
      </c>
      <c r="AA929" s="3470">
        <v>22</v>
      </c>
      <c r="AB929" s="3477">
        <v>1485</v>
      </c>
      <c r="AC929" s="3470" t="s">
        <v>9007</v>
      </c>
      <c r="AD929" s="3485"/>
      <c r="AE929" s="3441" t="s">
        <v>3663</v>
      </c>
      <c r="AF929" s="3470" t="s">
        <v>4721</v>
      </c>
      <c r="AG929" s="3522" t="s">
        <v>3466</v>
      </c>
      <c r="AH929" s="3485" t="s">
        <v>3463</v>
      </c>
      <c r="AI929" s="3470" t="s">
        <v>5021</v>
      </c>
      <c r="AJ929" s="3523">
        <v>38138</v>
      </c>
      <c r="AK929" s="3500" t="s">
        <v>4752</v>
      </c>
      <c r="AL929" s="3441">
        <v>67641700</v>
      </c>
      <c r="AN929" s="3456" t="s">
        <v>3739</v>
      </c>
      <c r="AP929" s="3441" t="s">
        <v>3476</v>
      </c>
      <c r="AQ929" s="3441" t="s">
        <v>3571</v>
      </c>
      <c r="AV929" s="3441" t="s">
        <v>3568</v>
      </c>
      <c r="AW929" s="3441" t="s">
        <v>3572</v>
      </c>
      <c r="AX929" s="3441" t="s">
        <v>3568</v>
      </c>
      <c r="AY929" s="3524" t="s">
        <v>9792</v>
      </c>
      <c r="AZ929" s="3441" t="s">
        <v>4697</v>
      </c>
      <c r="BA929" s="3441" t="s">
        <v>4700</v>
      </c>
      <c r="BB929" s="3524" t="s">
        <v>4701</v>
      </c>
      <c r="BC929" s="3441" t="s">
        <v>4702</v>
      </c>
      <c r="BD929" s="3525">
        <v>100011</v>
      </c>
      <c r="BE929" s="3441">
        <v>62351476</v>
      </c>
      <c r="BF929" s="3526">
        <v>2.8</v>
      </c>
      <c r="BG929" s="3518">
        <v>37878</v>
      </c>
      <c r="BI929" s="3441" t="s">
        <v>3476</v>
      </c>
      <c r="BJ929" s="3484">
        <v>37915</v>
      </c>
      <c r="BK929" s="3484"/>
      <c r="BL929" s="3470" t="s">
        <v>3670</v>
      </c>
    </row>
    <row r="930" spans="1:71" s="3441" customFormat="1" ht="12" hidden="1">
      <c r="A930" s="3485" t="s">
        <v>9793</v>
      </c>
      <c r="B930" s="3470" t="s">
        <v>9794</v>
      </c>
      <c r="C930" s="3481" t="s">
        <v>9795</v>
      </c>
      <c r="D930" s="3481" t="s">
        <v>9796</v>
      </c>
      <c r="E930" s="3470" t="s">
        <v>3558</v>
      </c>
      <c r="F930" s="3470" t="s">
        <v>7153</v>
      </c>
      <c r="G930" s="3470" t="s">
        <v>3568</v>
      </c>
      <c r="H930" s="3470" t="s">
        <v>9403</v>
      </c>
      <c r="I930" s="3453" t="s">
        <v>3676</v>
      </c>
      <c r="J930" s="3481" t="s">
        <v>9797</v>
      </c>
      <c r="K930" s="3470" t="s">
        <v>6117</v>
      </c>
      <c r="L930" s="3470">
        <v>71.31</v>
      </c>
      <c r="M930" s="3470">
        <v>16</v>
      </c>
      <c r="N930" s="3470" t="s">
        <v>4030</v>
      </c>
      <c r="O930" s="3470">
        <v>58.39</v>
      </c>
      <c r="P930" s="3470" t="s">
        <v>3452</v>
      </c>
      <c r="Q930" s="3457">
        <v>297362.7</v>
      </c>
      <c r="R930" s="3470">
        <v>4170</v>
      </c>
      <c r="S930" s="3472">
        <v>29.42</v>
      </c>
      <c r="T930" s="3527">
        <v>294200</v>
      </c>
      <c r="U930" s="3470">
        <v>4126</v>
      </c>
      <c r="V930" s="3474">
        <v>0.1</v>
      </c>
      <c r="W930" s="3475">
        <v>26.47</v>
      </c>
      <c r="X930" s="3476">
        <v>264700</v>
      </c>
      <c r="Y930" s="3441">
        <v>2003</v>
      </c>
      <c r="Z930" s="3441">
        <v>10</v>
      </c>
      <c r="AA930" s="3470">
        <v>22</v>
      </c>
      <c r="AB930" s="3477">
        <v>1470</v>
      </c>
      <c r="AC930" s="3470" t="s">
        <v>9007</v>
      </c>
      <c r="AD930" s="3485"/>
      <c r="AE930" s="3441" t="s">
        <v>3663</v>
      </c>
      <c r="AF930" s="3470" t="s">
        <v>4787</v>
      </c>
      <c r="AG930" s="3522" t="s">
        <v>3466</v>
      </c>
      <c r="AH930" s="3485"/>
      <c r="AI930" s="3470" t="s">
        <v>5021</v>
      </c>
      <c r="AJ930" s="3523">
        <v>38352</v>
      </c>
      <c r="AK930" s="3500" t="s">
        <v>8786</v>
      </c>
      <c r="AL930" s="3441">
        <v>67641700</v>
      </c>
      <c r="AN930" s="3469" t="s">
        <v>3482</v>
      </c>
      <c r="AO930" s="3441" t="s">
        <v>3715</v>
      </c>
      <c r="AP930" s="3441" t="s">
        <v>3476</v>
      </c>
      <c r="AQ930" s="3441" t="s">
        <v>3571</v>
      </c>
      <c r="AW930" s="3441" t="s">
        <v>3572</v>
      </c>
      <c r="AX930" s="3441" t="s">
        <v>3568</v>
      </c>
      <c r="AY930" s="3524" t="s">
        <v>9798</v>
      </c>
      <c r="AZ930" s="3441" t="s">
        <v>6117</v>
      </c>
      <c r="BA930" s="3441" t="s">
        <v>7157</v>
      </c>
      <c r="BB930" s="3524">
        <v>1102281326100</v>
      </c>
      <c r="BC930" s="3441" t="s">
        <v>7158</v>
      </c>
      <c r="BD930" s="3525">
        <v>100055</v>
      </c>
      <c r="BE930" s="3441">
        <v>82951881</v>
      </c>
      <c r="BF930" s="3526">
        <v>2.8</v>
      </c>
      <c r="BG930" s="3518">
        <v>37893</v>
      </c>
      <c r="BH930" s="3441" t="s">
        <v>4753</v>
      </c>
      <c r="BI930" s="3441" t="s">
        <v>3476</v>
      </c>
      <c r="BJ930" s="3484">
        <v>37915</v>
      </c>
      <c r="BK930" s="3484"/>
      <c r="BL930" s="3470" t="s">
        <v>3670</v>
      </c>
    </row>
    <row r="931" spans="1:71" s="3441" customFormat="1" ht="12" hidden="1">
      <c r="A931" s="3485" t="s">
        <v>9799</v>
      </c>
      <c r="B931" s="3470" t="s">
        <v>9800</v>
      </c>
      <c r="C931" s="3481" t="s">
        <v>9801</v>
      </c>
      <c r="D931" s="3481" t="s">
        <v>9802</v>
      </c>
      <c r="E931" s="3470" t="s">
        <v>3558</v>
      </c>
      <c r="F931" s="3470" t="s">
        <v>7153</v>
      </c>
      <c r="G931" s="3470" t="s">
        <v>3568</v>
      </c>
      <c r="H931" s="3470" t="s">
        <v>9230</v>
      </c>
      <c r="I931" s="3453" t="s">
        <v>4854</v>
      </c>
      <c r="J931" s="3481" t="s">
        <v>9803</v>
      </c>
      <c r="K931" s="3470" t="s">
        <v>6117</v>
      </c>
      <c r="L931" s="3470">
        <v>69.42</v>
      </c>
      <c r="M931" s="3470">
        <v>7</v>
      </c>
      <c r="N931" s="3470" t="s">
        <v>3451</v>
      </c>
      <c r="O931" s="3470">
        <v>56.84</v>
      </c>
      <c r="P931" s="3470" t="s">
        <v>3452</v>
      </c>
      <c r="Q931" s="3457">
        <v>276291.60000000003</v>
      </c>
      <c r="R931" s="3470">
        <v>3980</v>
      </c>
      <c r="S931" s="3472">
        <v>27.29</v>
      </c>
      <c r="T931" s="3527">
        <v>272900</v>
      </c>
      <c r="U931" s="3470">
        <v>3932</v>
      </c>
      <c r="V931" s="3474">
        <v>0.1</v>
      </c>
      <c r="W931" s="3475">
        <v>24.56</v>
      </c>
      <c r="X931" s="3476">
        <v>245600</v>
      </c>
      <c r="Y931" s="3441">
        <v>2003</v>
      </c>
      <c r="Z931" s="3441">
        <v>10</v>
      </c>
      <c r="AA931" s="3470">
        <v>27</v>
      </c>
      <c r="AB931" s="3477">
        <v>1360</v>
      </c>
      <c r="AC931" s="3470" t="s">
        <v>9120</v>
      </c>
      <c r="AD931" s="3485"/>
      <c r="AE931" s="3441" t="s">
        <v>3663</v>
      </c>
      <c r="AF931" s="3470" t="s">
        <v>7751</v>
      </c>
      <c r="AG931" s="3522" t="s">
        <v>3466</v>
      </c>
      <c r="AH931" s="3485"/>
      <c r="AI931" s="3470" t="s">
        <v>5021</v>
      </c>
      <c r="AJ931" s="3523">
        <v>38352</v>
      </c>
      <c r="AK931" s="3500" t="s">
        <v>8786</v>
      </c>
      <c r="AL931" s="3441">
        <v>67641700</v>
      </c>
      <c r="AN931" s="3456" t="s">
        <v>3680</v>
      </c>
      <c r="AO931" s="3441" t="s">
        <v>9804</v>
      </c>
      <c r="AP931" s="3441" t="s">
        <v>3476</v>
      </c>
      <c r="AQ931" s="3441" t="s">
        <v>3571</v>
      </c>
      <c r="AW931" s="3441" t="s">
        <v>3572</v>
      </c>
      <c r="AY931" s="3524" t="s">
        <v>9805</v>
      </c>
      <c r="AZ931" s="3441" t="s">
        <v>6117</v>
      </c>
      <c r="BA931" s="3441" t="s">
        <v>7157</v>
      </c>
      <c r="BB931" s="3524">
        <v>1102281326100</v>
      </c>
      <c r="BC931" s="3441" t="s">
        <v>7158</v>
      </c>
      <c r="BD931" s="3525">
        <v>100055</v>
      </c>
      <c r="BE931" s="3441">
        <v>82951881</v>
      </c>
      <c r="BF931" s="3526">
        <v>2.8</v>
      </c>
      <c r="BG931" s="3518">
        <v>37854</v>
      </c>
      <c r="BH931" s="3441" t="s">
        <v>4753</v>
      </c>
      <c r="BI931" s="3441" t="s">
        <v>3476</v>
      </c>
      <c r="BJ931" s="3484">
        <v>37918</v>
      </c>
      <c r="BK931" s="3484"/>
      <c r="BL931" s="3470" t="s">
        <v>3670</v>
      </c>
    </row>
    <row r="932" spans="1:71" s="3470" customFormat="1" ht="12" hidden="1">
      <c r="A932" s="3470" t="s">
        <v>9806</v>
      </c>
      <c r="B932" s="3470" t="s">
        <v>9807</v>
      </c>
      <c r="C932" s="3481" t="s">
        <v>9808</v>
      </c>
      <c r="D932" s="3470">
        <v>13691419601</v>
      </c>
      <c r="E932" s="3470" t="s">
        <v>2736</v>
      </c>
      <c r="F932" s="3470" t="s">
        <v>4782</v>
      </c>
      <c r="H932" s="3470" t="s">
        <v>5409</v>
      </c>
      <c r="I932" s="3470" t="s">
        <v>4424</v>
      </c>
      <c r="J932" s="3470" t="s">
        <v>5356</v>
      </c>
      <c r="K932" s="3470" t="s">
        <v>4789</v>
      </c>
      <c r="L932" s="3470">
        <v>61.74</v>
      </c>
      <c r="M932" s="3470">
        <v>13</v>
      </c>
      <c r="N932" s="3470" t="s">
        <v>3489</v>
      </c>
      <c r="O932" s="3470">
        <v>48.43</v>
      </c>
      <c r="P932" s="3470" t="s">
        <v>3452</v>
      </c>
      <c r="Q932" s="3457">
        <v>345744</v>
      </c>
      <c r="R932" s="3470">
        <v>5600</v>
      </c>
      <c r="S932" s="3472">
        <v>34.229999999999997</v>
      </c>
      <c r="T932" s="3527">
        <v>342299.99999999994</v>
      </c>
      <c r="U932" s="3470">
        <v>5545</v>
      </c>
      <c r="V932" s="3474">
        <v>0.1</v>
      </c>
      <c r="W932" s="3475">
        <v>30.8</v>
      </c>
      <c r="X932" s="3476">
        <v>308000</v>
      </c>
      <c r="Y932" s="3470">
        <v>2003</v>
      </c>
      <c r="Z932" s="3441">
        <v>10</v>
      </c>
      <c r="AA932" s="3470">
        <v>23</v>
      </c>
      <c r="AB932" s="3477">
        <v>1710</v>
      </c>
      <c r="AC932" s="3470" t="s">
        <v>9383</v>
      </c>
      <c r="AE932" s="3470" t="s">
        <v>3663</v>
      </c>
      <c r="AF932" s="3453" t="s">
        <v>8994</v>
      </c>
      <c r="AG932" s="3470" t="s">
        <v>3466</v>
      </c>
      <c r="AI932" s="3470" t="s">
        <v>3664</v>
      </c>
      <c r="AJ932" s="3478">
        <v>38261</v>
      </c>
      <c r="AK932" s="3500" t="s">
        <v>8786</v>
      </c>
      <c r="AL932" s="3441">
        <v>67641700</v>
      </c>
      <c r="AM932" s="3441"/>
      <c r="AN932" s="3456" t="s">
        <v>3739</v>
      </c>
      <c r="AP932" s="3441" t="s">
        <v>3476</v>
      </c>
      <c r="AQ932" s="3470" t="s">
        <v>3714</v>
      </c>
      <c r="AW932" s="3470" t="s">
        <v>6909</v>
      </c>
      <c r="AX932" s="3508"/>
      <c r="AY932" s="3470">
        <v>552391</v>
      </c>
      <c r="AZ932" s="3470" t="s">
        <v>4789</v>
      </c>
      <c r="BA932" s="3470" t="s">
        <v>9565</v>
      </c>
      <c r="BB932" s="3470" t="s">
        <v>4791</v>
      </c>
      <c r="BC932" s="3470" t="s">
        <v>9809</v>
      </c>
      <c r="BD932" s="3470">
        <v>102308</v>
      </c>
      <c r="BE932" s="3470">
        <v>68041987</v>
      </c>
      <c r="BF932" s="3470">
        <v>2.8</v>
      </c>
      <c r="BG932" s="3478">
        <v>37895</v>
      </c>
      <c r="BH932" s="3470" t="s">
        <v>3437</v>
      </c>
      <c r="BI932" s="3441" t="s">
        <v>3476</v>
      </c>
      <c r="BJ932" s="3484">
        <v>37915</v>
      </c>
      <c r="BK932" s="3508"/>
      <c r="BL932" s="3470" t="s">
        <v>3594</v>
      </c>
      <c r="BP932" s="3441"/>
      <c r="BQ932" s="3441"/>
      <c r="BR932" s="3441"/>
    </row>
    <row r="933" spans="1:71" s="3441" customFormat="1" ht="12" hidden="1">
      <c r="A933" s="3470" t="s">
        <v>9810</v>
      </c>
      <c r="B933" s="3470" t="s">
        <v>9811</v>
      </c>
      <c r="C933" s="3481" t="s">
        <v>9812</v>
      </c>
      <c r="D933" s="3481" t="s">
        <v>9813</v>
      </c>
      <c r="E933" s="3470" t="s">
        <v>3558</v>
      </c>
      <c r="F933" s="3528" t="s">
        <v>7652</v>
      </c>
      <c r="G933" s="3470"/>
      <c r="H933" s="3470" t="s">
        <v>9814</v>
      </c>
      <c r="I933" s="3470" t="s">
        <v>7673</v>
      </c>
      <c r="J933" s="3481" t="s">
        <v>9815</v>
      </c>
      <c r="K933" s="3470" t="s">
        <v>7653</v>
      </c>
      <c r="L933" s="3470">
        <v>80.239999999999995</v>
      </c>
      <c r="M933" s="3470">
        <v>14</v>
      </c>
      <c r="N933" s="3542" t="s">
        <v>3486</v>
      </c>
      <c r="O933" s="3470">
        <v>63.46</v>
      </c>
      <c r="P933" s="3470" t="s">
        <v>3452</v>
      </c>
      <c r="Q933" s="3457">
        <v>371511.19999999995</v>
      </c>
      <c r="R933" s="3470">
        <v>4630</v>
      </c>
      <c r="S933" s="3472">
        <v>36.770000000000003</v>
      </c>
      <c r="T933" s="3527">
        <v>367700.00000000006</v>
      </c>
      <c r="U933" s="3470">
        <v>4583</v>
      </c>
      <c r="V933" s="3512">
        <v>0.1</v>
      </c>
      <c r="W933" s="3475">
        <v>33.090000000000003</v>
      </c>
      <c r="X933" s="3473">
        <v>330900.00000000006</v>
      </c>
      <c r="Y933" s="3441">
        <v>2003</v>
      </c>
      <c r="Z933" s="3441">
        <v>10</v>
      </c>
      <c r="AA933" s="3470">
        <v>23</v>
      </c>
      <c r="AB933" s="3485">
        <v>1835</v>
      </c>
      <c r="AC933" s="3470" t="s">
        <v>9816</v>
      </c>
      <c r="AD933" s="3485"/>
      <c r="AE933" s="3441" t="s">
        <v>3663</v>
      </c>
      <c r="AF933" s="3470" t="s">
        <v>3587</v>
      </c>
      <c r="AG933" s="3522" t="s">
        <v>3466</v>
      </c>
      <c r="AH933" s="3485" t="s">
        <v>3568</v>
      </c>
      <c r="AI933" s="3470" t="s">
        <v>5021</v>
      </c>
      <c r="AJ933" s="3523">
        <v>38077</v>
      </c>
      <c r="AK933" s="3500" t="s">
        <v>4752</v>
      </c>
      <c r="AL933" s="3441">
        <v>67641700</v>
      </c>
      <c r="AN933" s="3456" t="s">
        <v>3739</v>
      </c>
      <c r="AP933" s="3441" t="s">
        <v>3476</v>
      </c>
      <c r="AQ933" s="3441" t="s">
        <v>3571</v>
      </c>
      <c r="AV933" s="3441" t="s">
        <v>3568</v>
      </c>
      <c r="AW933" s="3441" t="s">
        <v>3572</v>
      </c>
      <c r="AY933" s="3524" t="s">
        <v>9817</v>
      </c>
      <c r="AZ933" s="3441" t="s">
        <v>7653</v>
      </c>
      <c r="BA933" s="3441" t="s">
        <v>7655</v>
      </c>
      <c r="BB933" s="3524" t="s">
        <v>7656</v>
      </c>
      <c r="BC933" s="3441" t="s">
        <v>7657</v>
      </c>
      <c r="BD933" s="3525">
        <v>100025</v>
      </c>
      <c r="BE933" s="3441">
        <v>62908858</v>
      </c>
      <c r="BF933" s="3526">
        <v>2.7</v>
      </c>
      <c r="BG933" s="3518">
        <v>37822</v>
      </c>
      <c r="BH933" s="3441" t="s">
        <v>4681</v>
      </c>
      <c r="BI933" s="3441" t="s">
        <v>3476</v>
      </c>
      <c r="BJ933" s="3484">
        <v>37911</v>
      </c>
      <c r="BK933" s="3484"/>
      <c r="BL933" s="3470" t="s">
        <v>3670</v>
      </c>
    </row>
    <row r="934" spans="1:71" s="3470" customFormat="1" ht="12" hidden="1">
      <c r="A934" s="3470" t="s">
        <v>9818</v>
      </c>
      <c r="B934" s="3470" t="s">
        <v>9819</v>
      </c>
      <c r="C934" s="3481" t="s">
        <v>9820</v>
      </c>
      <c r="D934" s="3470">
        <v>13611322304</v>
      </c>
      <c r="E934" s="3470" t="s">
        <v>3558</v>
      </c>
      <c r="F934" s="3470" t="s">
        <v>3559</v>
      </c>
      <c r="H934" s="3453" t="s">
        <v>4089</v>
      </c>
      <c r="I934" s="3453" t="s">
        <v>3448</v>
      </c>
      <c r="J934" s="3453" t="s">
        <v>9821</v>
      </c>
      <c r="K934" s="3470" t="s">
        <v>7737</v>
      </c>
      <c r="L934" s="3495">
        <v>128.72</v>
      </c>
      <c r="M934" s="3495">
        <v>16</v>
      </c>
      <c r="N934" s="3470" t="s">
        <v>3632</v>
      </c>
      <c r="O934" s="3495">
        <v>104.39</v>
      </c>
      <c r="P934" s="3470" t="s">
        <v>3452</v>
      </c>
      <c r="Q934" s="3457">
        <v>591339.68000000005</v>
      </c>
      <c r="R934" s="3470">
        <v>4594</v>
      </c>
      <c r="S934" s="3472">
        <v>58.41</v>
      </c>
      <c r="T934" s="3527">
        <v>584100</v>
      </c>
      <c r="U934" s="3470">
        <v>4538</v>
      </c>
      <c r="V934" s="3474">
        <v>0.1</v>
      </c>
      <c r="W934" s="3475">
        <v>52.56</v>
      </c>
      <c r="X934" s="3476">
        <v>525600</v>
      </c>
      <c r="Y934" s="3470">
        <v>2003</v>
      </c>
      <c r="Z934" s="3441">
        <v>10</v>
      </c>
      <c r="AA934" s="3470">
        <v>23</v>
      </c>
      <c r="AB934" s="3477">
        <v>2920</v>
      </c>
      <c r="AC934" s="3470" t="s">
        <v>4761</v>
      </c>
      <c r="AE934" s="3456" t="s">
        <v>3663</v>
      </c>
      <c r="AF934" s="3453" t="s">
        <v>4200</v>
      </c>
      <c r="AG934" s="3470" t="s">
        <v>3466</v>
      </c>
      <c r="AH934" s="3470" t="s">
        <v>3568</v>
      </c>
      <c r="AI934" s="3456" t="s">
        <v>5021</v>
      </c>
      <c r="AJ934" s="3478">
        <v>37924</v>
      </c>
      <c r="AK934" s="3500" t="s">
        <v>4752</v>
      </c>
      <c r="AL934" s="3441">
        <v>67641700</v>
      </c>
      <c r="AM934" s="3441"/>
      <c r="AN934" s="3456" t="s">
        <v>3739</v>
      </c>
      <c r="AO934" s="3470" t="s">
        <v>3568</v>
      </c>
      <c r="AP934" s="3456" t="s">
        <v>3476</v>
      </c>
      <c r="AQ934" s="3456" t="s">
        <v>3571</v>
      </c>
      <c r="AV934" s="3519"/>
      <c r="AW934" s="3470" t="s">
        <v>3572</v>
      </c>
      <c r="AY934" s="3495">
        <v>318584</v>
      </c>
      <c r="AZ934" s="3470" t="s">
        <v>7737</v>
      </c>
      <c r="BA934" s="3470" t="s">
        <v>3574</v>
      </c>
      <c r="BB934" s="3470" t="s">
        <v>3575</v>
      </c>
      <c r="BC934" s="3470" t="s">
        <v>3576</v>
      </c>
      <c r="BD934" s="3470">
        <v>100037</v>
      </c>
      <c r="BE934" s="3470">
        <v>84050046</v>
      </c>
      <c r="BF934" s="3520">
        <v>2.8</v>
      </c>
      <c r="BG934" s="3478">
        <v>37889</v>
      </c>
      <c r="BI934" s="3470" t="s">
        <v>3476</v>
      </c>
      <c r="BJ934" s="3508">
        <v>37894</v>
      </c>
      <c r="BK934" s="3470" t="s">
        <v>3568</v>
      </c>
      <c r="BL934" s="3441" t="s">
        <v>3670</v>
      </c>
      <c r="BP934" s="3441"/>
      <c r="BQ934" s="3441"/>
      <c r="BR934" s="3441"/>
    </row>
    <row r="935" spans="1:71" s="3441" customFormat="1" ht="12" hidden="1">
      <c r="A935" s="3470" t="s">
        <v>9822</v>
      </c>
      <c r="B935" s="3470" t="s">
        <v>9823</v>
      </c>
      <c r="C935" s="3481" t="s">
        <v>9824</v>
      </c>
      <c r="D935" s="3481" t="s">
        <v>9825</v>
      </c>
      <c r="E935" s="3470" t="s">
        <v>3558</v>
      </c>
      <c r="F935" s="3470" t="s">
        <v>7153</v>
      </c>
      <c r="G935" s="3470" t="s">
        <v>3568</v>
      </c>
      <c r="H935" s="3470" t="s">
        <v>9230</v>
      </c>
      <c r="I935" s="3453" t="s">
        <v>3676</v>
      </c>
      <c r="J935" s="3481" t="s">
        <v>9355</v>
      </c>
      <c r="K935" s="3470" t="s">
        <v>6117</v>
      </c>
      <c r="L935" s="3470">
        <v>53.97</v>
      </c>
      <c r="M935" s="3470">
        <v>6</v>
      </c>
      <c r="N935" s="3470" t="s">
        <v>3584</v>
      </c>
      <c r="O935" s="3470">
        <v>44.19</v>
      </c>
      <c r="P935" s="3470" t="s">
        <v>3452</v>
      </c>
      <c r="Q935" s="3457">
        <v>211562.4</v>
      </c>
      <c r="R935" s="3470">
        <v>3920</v>
      </c>
      <c r="S935" s="3472">
        <v>20.91</v>
      </c>
      <c r="T935" s="3527">
        <v>209100</v>
      </c>
      <c r="U935" s="3470">
        <v>3876</v>
      </c>
      <c r="V935" s="3474">
        <v>0.1</v>
      </c>
      <c r="W935" s="3475">
        <v>18.809999999999999</v>
      </c>
      <c r="X935" s="3476">
        <v>188100</v>
      </c>
      <c r="Y935" s="3441">
        <v>2003</v>
      </c>
      <c r="Z935" s="3441">
        <v>10</v>
      </c>
      <c r="AA935" s="3470">
        <v>23</v>
      </c>
      <c r="AB935" s="3477">
        <v>1045</v>
      </c>
      <c r="AC935" s="3470" t="s">
        <v>9007</v>
      </c>
      <c r="AD935" s="3485"/>
      <c r="AE935" s="3441" t="s">
        <v>3663</v>
      </c>
      <c r="AF935" s="3470" t="s">
        <v>7283</v>
      </c>
      <c r="AG935" s="3522" t="s">
        <v>3466</v>
      </c>
      <c r="AH935" s="3485"/>
      <c r="AI935" s="3470" t="s">
        <v>5021</v>
      </c>
      <c r="AJ935" s="3523">
        <v>38352</v>
      </c>
      <c r="AK935" s="3500" t="s">
        <v>4752</v>
      </c>
      <c r="AL935" s="3441">
        <v>67641700</v>
      </c>
      <c r="AN935" s="3456" t="s">
        <v>3739</v>
      </c>
      <c r="AP935" s="3441" t="s">
        <v>3476</v>
      </c>
      <c r="AQ935" s="3441" t="s">
        <v>3571</v>
      </c>
      <c r="AW935" s="3441" t="s">
        <v>3572</v>
      </c>
      <c r="AX935" s="3441" t="s">
        <v>3568</v>
      </c>
      <c r="AY935" s="3524" t="s">
        <v>9826</v>
      </c>
      <c r="AZ935" s="3441" t="s">
        <v>6117</v>
      </c>
      <c r="BA935" s="3441" t="s">
        <v>7157</v>
      </c>
      <c r="BB935" s="3524">
        <v>1102281326100</v>
      </c>
      <c r="BC935" s="3441" t="s">
        <v>7158</v>
      </c>
      <c r="BD935" s="3525">
        <v>100055</v>
      </c>
      <c r="BE935" s="3441">
        <v>82951881</v>
      </c>
      <c r="BF935" s="3526">
        <v>2.8</v>
      </c>
      <c r="BG935" s="3518">
        <v>37907</v>
      </c>
      <c r="BH935" s="3441" t="s">
        <v>4753</v>
      </c>
      <c r="BI935" s="3441" t="s">
        <v>3476</v>
      </c>
      <c r="BJ935" s="3508">
        <v>37916</v>
      </c>
      <c r="BK935" s="3484"/>
      <c r="BL935" s="3470" t="s">
        <v>3670</v>
      </c>
    </row>
    <row r="936" spans="1:71" s="3441" customFormat="1" ht="12">
      <c r="A936" s="3485" t="s">
        <v>9827</v>
      </c>
      <c r="B936" s="3470" t="s">
        <v>9828</v>
      </c>
      <c r="C936" s="3481" t="s">
        <v>9829</v>
      </c>
      <c r="D936" s="3481" t="s">
        <v>9830</v>
      </c>
      <c r="E936" s="3470" t="s">
        <v>6987</v>
      </c>
      <c r="F936" s="3687" t="s">
        <v>9697</v>
      </c>
      <c r="G936" s="3470"/>
      <c r="H936" s="3470" t="s">
        <v>6879</v>
      </c>
      <c r="I936" s="3470" t="s">
        <v>4707</v>
      </c>
      <c r="J936" s="3481" t="s">
        <v>9831</v>
      </c>
      <c r="K936" s="3470" t="s">
        <v>9472</v>
      </c>
      <c r="L936" s="3470">
        <v>48.03</v>
      </c>
      <c r="M936" s="3470">
        <v>14</v>
      </c>
      <c r="N936" s="3470" t="s">
        <v>9699</v>
      </c>
      <c r="O936" s="3470">
        <v>37.29</v>
      </c>
      <c r="P936" s="3470" t="s">
        <v>3452</v>
      </c>
      <c r="Q936" s="3457">
        <v>333808.5</v>
      </c>
      <c r="R936" s="3470">
        <v>6950</v>
      </c>
      <c r="S936" s="3472">
        <v>33.35</v>
      </c>
      <c r="T936" s="3527">
        <v>333500</v>
      </c>
      <c r="U936" s="3495">
        <v>6944</v>
      </c>
      <c r="V936" s="3474">
        <v>0.1</v>
      </c>
      <c r="W936" s="3475">
        <v>30.01</v>
      </c>
      <c r="X936" s="3473">
        <v>300100</v>
      </c>
      <c r="Y936" s="3495">
        <v>2003</v>
      </c>
      <c r="Z936" s="3441">
        <v>10</v>
      </c>
      <c r="AA936" s="3470">
        <v>24</v>
      </c>
      <c r="AB936" s="3477">
        <v>1665</v>
      </c>
      <c r="AC936" s="3470" t="s">
        <v>9413</v>
      </c>
      <c r="AD936" s="3485"/>
      <c r="AE936" s="3441" t="s">
        <v>3663</v>
      </c>
      <c r="AF936" s="3470" t="s">
        <v>3587</v>
      </c>
      <c r="AG936" s="3522" t="s">
        <v>3466</v>
      </c>
      <c r="AH936" s="3485"/>
      <c r="AI936" s="3470" t="s">
        <v>5021</v>
      </c>
      <c r="AJ936" s="3523">
        <v>38107</v>
      </c>
      <c r="AK936" s="3500" t="s">
        <v>8786</v>
      </c>
      <c r="AL936" s="3441">
        <v>67641700</v>
      </c>
      <c r="AN936" s="3456" t="s">
        <v>3739</v>
      </c>
      <c r="AP936" s="3441" t="s">
        <v>3476</v>
      </c>
      <c r="AQ936" s="3441" t="s">
        <v>3571</v>
      </c>
      <c r="AW936" s="3441" t="s">
        <v>3572</v>
      </c>
      <c r="AY936" s="3524" t="s">
        <v>9832</v>
      </c>
      <c r="AZ936" s="3470" t="s">
        <v>8795</v>
      </c>
      <c r="BA936" s="3441" t="s">
        <v>9474</v>
      </c>
      <c r="BB936" s="3524" t="s">
        <v>9833</v>
      </c>
      <c r="BC936" s="3441" t="s">
        <v>8800</v>
      </c>
      <c r="BD936" s="3525" t="s">
        <v>2420</v>
      </c>
      <c r="BE936" s="3441" t="s">
        <v>6879</v>
      </c>
      <c r="BF936" s="3526">
        <v>2.8</v>
      </c>
      <c r="BG936" s="3518">
        <v>37887</v>
      </c>
      <c r="BH936" s="3441" t="s">
        <v>8865</v>
      </c>
      <c r="BI936" s="3441" t="s">
        <v>3476</v>
      </c>
      <c r="BJ936" s="3478">
        <v>37915</v>
      </c>
      <c r="BK936" s="3484">
        <v>37908</v>
      </c>
      <c r="BL936" s="3470" t="s">
        <v>3670</v>
      </c>
    </row>
    <row r="937" spans="1:71" s="3696" customFormat="1" ht="12">
      <c r="A937" s="3697" t="s">
        <v>11681</v>
      </c>
      <c r="B937" s="3691" t="s">
        <v>9834</v>
      </c>
      <c r="C937" s="3698" t="s">
        <v>9835</v>
      </c>
      <c r="D937" s="3698" t="s">
        <v>9836</v>
      </c>
      <c r="E937" s="3691" t="s">
        <v>3763</v>
      </c>
      <c r="F937" s="3692" t="s">
        <v>8793</v>
      </c>
      <c r="G937" s="3470"/>
      <c r="H937" s="3691" t="s">
        <v>3715</v>
      </c>
      <c r="I937" s="3691" t="s">
        <v>9837</v>
      </c>
      <c r="J937" s="3698" t="s">
        <v>9560</v>
      </c>
      <c r="K937" s="3470" t="s">
        <v>8862</v>
      </c>
      <c r="L937" s="3691">
        <v>49.81</v>
      </c>
      <c r="M937" s="3691">
        <v>14</v>
      </c>
      <c r="N937" s="3691" t="s">
        <v>3678</v>
      </c>
      <c r="O937" s="3470">
        <v>38.67</v>
      </c>
      <c r="P937" s="3470" t="s">
        <v>3452</v>
      </c>
      <c r="Q937" s="3700">
        <v>346179.5</v>
      </c>
      <c r="R937" s="3693">
        <v>6950</v>
      </c>
      <c r="S937" s="3701">
        <v>34.49</v>
      </c>
      <c r="T937" s="3527">
        <v>344900</v>
      </c>
      <c r="U937" s="3704">
        <v>6925</v>
      </c>
      <c r="V937" s="3474">
        <v>0.1</v>
      </c>
      <c r="W937" s="3475">
        <v>31.04</v>
      </c>
      <c r="X937" s="3473">
        <v>310400</v>
      </c>
      <c r="Y937" s="3495">
        <v>2003</v>
      </c>
      <c r="Z937" s="3441">
        <v>10</v>
      </c>
      <c r="AA937" s="3470">
        <v>24</v>
      </c>
      <c r="AB937" s="3477">
        <v>1720</v>
      </c>
      <c r="AC937" s="3470" t="s">
        <v>9413</v>
      </c>
      <c r="AD937" s="3485"/>
      <c r="AE937" s="3441" t="s">
        <v>3663</v>
      </c>
      <c r="AF937" s="3470" t="s">
        <v>3587</v>
      </c>
      <c r="AG937" s="3522" t="s">
        <v>3466</v>
      </c>
      <c r="AH937" s="3485"/>
      <c r="AI937" s="3470" t="s">
        <v>5021</v>
      </c>
      <c r="AJ937" s="3523">
        <v>38107</v>
      </c>
      <c r="AK937" s="3500" t="s">
        <v>8786</v>
      </c>
      <c r="AL937" s="3441">
        <v>67641700</v>
      </c>
      <c r="AM937" s="3441"/>
      <c r="AN937" s="3456" t="s">
        <v>3739</v>
      </c>
      <c r="AO937" s="3441"/>
      <c r="AP937" s="3441" t="s">
        <v>3476</v>
      </c>
      <c r="AQ937" s="3441" t="s">
        <v>3571</v>
      </c>
      <c r="AR937" s="3441"/>
      <c r="AS937" s="3441"/>
      <c r="AT937" s="3441"/>
      <c r="AU937" s="3441"/>
      <c r="AV937" s="3441"/>
      <c r="AW937" s="3441" t="s">
        <v>3572</v>
      </c>
      <c r="AX937" s="3441"/>
      <c r="AY937" s="3524" t="s">
        <v>9838</v>
      </c>
      <c r="AZ937" s="3470" t="s">
        <v>8795</v>
      </c>
      <c r="BA937" s="3441" t="s">
        <v>8798</v>
      </c>
      <c r="BB937" s="3524" t="s">
        <v>8799</v>
      </c>
      <c r="BC937" s="3441" t="s">
        <v>8800</v>
      </c>
      <c r="BD937" s="3525" t="s">
        <v>3715</v>
      </c>
      <c r="BE937" s="3441" t="s">
        <v>2420</v>
      </c>
      <c r="BF937" s="3526">
        <v>2.8</v>
      </c>
      <c r="BG937" s="3702">
        <v>37887</v>
      </c>
      <c r="BH937" s="3696" t="s">
        <v>8801</v>
      </c>
      <c r="BI937" s="3696" t="s">
        <v>3476</v>
      </c>
      <c r="BJ937" s="3694">
        <v>37915</v>
      </c>
      <c r="BK937" s="3703">
        <v>37908</v>
      </c>
      <c r="BL937" s="3691" t="s">
        <v>3670</v>
      </c>
    </row>
    <row r="938" spans="1:71" s="3470" customFormat="1" ht="12" hidden="1">
      <c r="A938" s="3542" t="s">
        <v>9839</v>
      </c>
      <c r="B938" s="3470" t="s">
        <v>9840</v>
      </c>
      <c r="C938" s="3481" t="s">
        <v>9841</v>
      </c>
      <c r="D938" s="3453">
        <v>13911907004</v>
      </c>
      <c r="E938" s="3470" t="s">
        <v>3558</v>
      </c>
      <c r="F938" s="3470" t="s">
        <v>9842</v>
      </c>
      <c r="H938" s="3453" t="s">
        <v>5462</v>
      </c>
      <c r="I938" s="3470" t="s">
        <v>4995</v>
      </c>
      <c r="J938" s="3453" t="s">
        <v>9843</v>
      </c>
      <c r="K938" s="3470" t="s">
        <v>7411</v>
      </c>
      <c r="L938" s="3495">
        <v>134.24</v>
      </c>
      <c r="M938" s="3495">
        <v>4</v>
      </c>
      <c r="N938" s="3453" t="s">
        <v>3778</v>
      </c>
      <c r="O938" s="3495">
        <v>112.76</v>
      </c>
      <c r="P938" s="3470" t="s">
        <v>3452</v>
      </c>
      <c r="Q938" s="3457">
        <v>808017.40800000005</v>
      </c>
      <c r="R938" s="3470">
        <v>6019.2</v>
      </c>
      <c r="S938" s="3472">
        <v>80.06</v>
      </c>
      <c r="T938" s="3550">
        <v>800600</v>
      </c>
      <c r="U938" s="3470">
        <v>5964</v>
      </c>
      <c r="V938" s="3474">
        <v>0.1</v>
      </c>
      <c r="W938" s="3475">
        <v>72.05</v>
      </c>
      <c r="X938" s="3511">
        <v>720500</v>
      </c>
      <c r="Y938" s="3441">
        <v>2003</v>
      </c>
      <c r="Z938" s="3441">
        <v>11</v>
      </c>
      <c r="AA938" s="3470">
        <v>3</v>
      </c>
      <c r="AB938" s="3485">
        <v>4000</v>
      </c>
      <c r="AC938" s="3470" t="s">
        <v>9007</v>
      </c>
      <c r="AE938" s="3456" t="s">
        <v>3663</v>
      </c>
      <c r="AF938" s="3453" t="s">
        <v>3587</v>
      </c>
      <c r="AG938" s="3456" t="s">
        <v>3466</v>
      </c>
      <c r="AI938" s="3470" t="s">
        <v>3664</v>
      </c>
      <c r="AJ938" s="3478">
        <v>38061</v>
      </c>
      <c r="AK938" s="3603" t="s">
        <v>4773</v>
      </c>
      <c r="AL938" s="3495">
        <v>67641700</v>
      </c>
      <c r="AN938" s="3456" t="s">
        <v>3456</v>
      </c>
      <c r="AO938" s="3470" t="s">
        <v>9844</v>
      </c>
      <c r="AP938" s="3456" t="s">
        <v>3475</v>
      </c>
      <c r="AQ938" s="3456" t="s">
        <v>3571</v>
      </c>
      <c r="AV938" s="3519"/>
      <c r="AW938" s="3470" t="s">
        <v>3572</v>
      </c>
      <c r="AX938" s="3470" t="s">
        <v>3568</v>
      </c>
      <c r="AY938" s="3495">
        <v>572194</v>
      </c>
      <c r="AZ938" s="3470" t="s">
        <v>5500</v>
      </c>
      <c r="BA938" s="3470" t="s">
        <v>7008</v>
      </c>
      <c r="BB938" s="3470" t="s">
        <v>7413</v>
      </c>
      <c r="BC938" s="3470" t="s">
        <v>9845</v>
      </c>
      <c r="BD938" s="3470">
        <v>100080</v>
      </c>
      <c r="BE938" s="3470">
        <v>88442745</v>
      </c>
      <c r="BF938" s="3520">
        <v>2.8</v>
      </c>
      <c r="BG938" s="3478">
        <v>37905</v>
      </c>
      <c r="BI938" s="3470" t="s">
        <v>3476</v>
      </c>
      <c r="BJ938" s="3478">
        <v>37923</v>
      </c>
      <c r="BK938" s="3478"/>
      <c r="BL938" s="3441" t="s">
        <v>3670</v>
      </c>
      <c r="BM938" s="3441" t="s">
        <v>2420</v>
      </c>
      <c r="BN938" s="3441" t="s">
        <v>2420</v>
      </c>
      <c r="BO938" s="3441" t="s">
        <v>6879</v>
      </c>
      <c r="BP938" s="3441"/>
      <c r="BQ938" s="3441"/>
      <c r="BR938" s="3441"/>
      <c r="BS938" s="3441"/>
    </row>
    <row r="939" spans="1:71" s="3441" customFormat="1" ht="12">
      <c r="A939" s="3542" t="s">
        <v>9846</v>
      </c>
      <c r="B939" s="3470" t="s">
        <v>9847</v>
      </c>
      <c r="C939" s="3481" t="s">
        <v>9848</v>
      </c>
      <c r="D939" s="3481" t="s">
        <v>9849</v>
      </c>
      <c r="E939" s="3470" t="s">
        <v>2736</v>
      </c>
      <c r="F939" s="3687" t="s">
        <v>9471</v>
      </c>
      <c r="G939" s="3470"/>
      <c r="H939" s="3470" t="s">
        <v>3715</v>
      </c>
      <c r="I939" s="3470" t="s">
        <v>5663</v>
      </c>
      <c r="J939" s="3481" t="s">
        <v>6025</v>
      </c>
      <c r="K939" s="3470" t="s">
        <v>8795</v>
      </c>
      <c r="L939" s="3470">
        <v>48.52</v>
      </c>
      <c r="M939" s="3470">
        <v>13</v>
      </c>
      <c r="N939" s="3470" t="s">
        <v>3678</v>
      </c>
      <c r="O939" s="3470">
        <v>37.67</v>
      </c>
      <c r="P939" s="3470" t="s">
        <v>3452</v>
      </c>
      <c r="Q939" s="3457">
        <v>351770</v>
      </c>
      <c r="R939" s="3470">
        <v>7250</v>
      </c>
      <c r="S939" s="3472">
        <v>34.880000000000003</v>
      </c>
      <c r="T939" s="3527">
        <v>348800</v>
      </c>
      <c r="U939" s="3495">
        <v>7190</v>
      </c>
      <c r="V939" s="3474">
        <v>0.1</v>
      </c>
      <c r="W939" s="3475">
        <v>31.39</v>
      </c>
      <c r="X939" s="3473">
        <v>313900</v>
      </c>
      <c r="Y939" s="3495">
        <v>2003</v>
      </c>
      <c r="Z939" s="3441">
        <v>11</v>
      </c>
      <c r="AA939" s="3470">
        <v>12</v>
      </c>
      <c r="AB939" s="3477">
        <v>1740</v>
      </c>
      <c r="AC939" s="3470" t="s">
        <v>4800</v>
      </c>
      <c r="AD939" s="3485"/>
      <c r="AE939" s="3441" t="s">
        <v>3663</v>
      </c>
      <c r="AF939" s="3470" t="s">
        <v>3587</v>
      </c>
      <c r="AG939" s="3522" t="s">
        <v>3466</v>
      </c>
      <c r="AH939" s="3485"/>
      <c r="AI939" s="3470" t="s">
        <v>5021</v>
      </c>
      <c r="AJ939" s="3523">
        <v>38107</v>
      </c>
      <c r="AK939" s="3603" t="s">
        <v>4773</v>
      </c>
      <c r="AL939" s="3441">
        <v>67641700</v>
      </c>
      <c r="AN939" s="3456" t="s">
        <v>3695</v>
      </c>
      <c r="AO939" s="3470" t="s">
        <v>9850</v>
      </c>
      <c r="AP939" s="3441" t="s">
        <v>3476</v>
      </c>
      <c r="AQ939" s="3441" t="s">
        <v>3571</v>
      </c>
      <c r="AW939" s="3441" t="s">
        <v>3572</v>
      </c>
      <c r="AY939" s="3524" t="s">
        <v>9851</v>
      </c>
      <c r="AZ939" s="3470" t="s">
        <v>9472</v>
      </c>
      <c r="BA939" s="3441" t="s">
        <v>9474</v>
      </c>
      <c r="BB939" s="3524" t="s">
        <v>8864</v>
      </c>
      <c r="BC939" s="3441" t="s">
        <v>8800</v>
      </c>
      <c r="BD939" s="3525" t="s">
        <v>3715</v>
      </c>
      <c r="BE939" s="3441" t="s">
        <v>2420</v>
      </c>
      <c r="BF939" s="3526">
        <v>2.8</v>
      </c>
      <c r="BG939" s="3484">
        <v>37870</v>
      </c>
      <c r="BH939" s="3441" t="s">
        <v>8801</v>
      </c>
      <c r="BI939" s="3441" t="s">
        <v>3476</v>
      </c>
      <c r="BJ939" s="3484">
        <v>37921</v>
      </c>
      <c r="BK939" s="3484">
        <v>37908</v>
      </c>
      <c r="BL939" s="3470" t="s">
        <v>3670</v>
      </c>
    </row>
    <row r="940" spans="1:71" s="3441" customFormat="1" ht="12" hidden="1">
      <c r="A940" s="3453" t="s">
        <v>9852</v>
      </c>
      <c r="B940" s="3470" t="s">
        <v>9853</v>
      </c>
      <c r="C940" s="3481" t="s">
        <v>9854</v>
      </c>
      <c r="D940" s="3481" t="s">
        <v>9855</v>
      </c>
      <c r="E940" s="3470" t="s">
        <v>3558</v>
      </c>
      <c r="F940" s="3528" t="s">
        <v>4645</v>
      </c>
      <c r="G940" s="3470"/>
      <c r="H940" s="3470" t="s">
        <v>3477</v>
      </c>
      <c r="I940" s="3470" t="s">
        <v>9856</v>
      </c>
      <c r="J940" s="3481" t="s">
        <v>9857</v>
      </c>
      <c r="K940" s="3470" t="s">
        <v>4649</v>
      </c>
      <c r="L940" s="3470">
        <v>76.47</v>
      </c>
      <c r="M940" s="3470">
        <v>4</v>
      </c>
      <c r="N940" s="3470" t="s">
        <v>3564</v>
      </c>
      <c r="O940" s="3470">
        <v>60.28</v>
      </c>
      <c r="P940" s="3470" t="s">
        <v>3452</v>
      </c>
      <c r="Q940" s="3457">
        <v>540031.14</v>
      </c>
      <c r="R940" s="3470">
        <v>7062</v>
      </c>
      <c r="S940" s="3472">
        <v>53.52</v>
      </c>
      <c r="T940" s="3527">
        <v>535200</v>
      </c>
      <c r="U940" s="3491">
        <v>7000</v>
      </c>
      <c r="V940" s="3529">
        <v>0.1</v>
      </c>
      <c r="W940" s="3475">
        <v>48.16</v>
      </c>
      <c r="X940" s="3473">
        <v>481599.99999999994</v>
      </c>
      <c r="Y940" s="3501">
        <v>2003</v>
      </c>
      <c r="Z940" s="3441">
        <v>10</v>
      </c>
      <c r="AA940" s="3441">
        <v>24</v>
      </c>
      <c r="AB940" s="3477">
        <v>2675</v>
      </c>
      <c r="AC940" s="3470" t="s">
        <v>9858</v>
      </c>
      <c r="AD940" s="3485"/>
      <c r="AE940" s="3441" t="s">
        <v>3663</v>
      </c>
      <c r="AF940" s="3470" t="s">
        <v>3728</v>
      </c>
      <c r="AG940" s="3522" t="s">
        <v>3466</v>
      </c>
      <c r="AH940" s="3485"/>
      <c r="AI940" s="3470" t="s">
        <v>5021</v>
      </c>
      <c r="AJ940" s="3523">
        <v>38199</v>
      </c>
      <c r="AK940" s="3500" t="s">
        <v>4752</v>
      </c>
      <c r="AL940" s="3441">
        <v>67641700</v>
      </c>
      <c r="AN940" s="3470" t="s">
        <v>3739</v>
      </c>
      <c r="AP940" s="3441" t="s">
        <v>3476</v>
      </c>
      <c r="AQ940" s="3441" t="s">
        <v>3571</v>
      </c>
      <c r="AW940" s="3441" t="s">
        <v>3572</v>
      </c>
      <c r="AX940" s="3441" t="s">
        <v>3568</v>
      </c>
      <c r="AY940" s="3524" t="s">
        <v>9859</v>
      </c>
      <c r="AZ940" s="3441" t="s">
        <v>4654</v>
      </c>
      <c r="BA940" s="3441" t="s">
        <v>4688</v>
      </c>
      <c r="BB940" s="3524" t="s">
        <v>4689</v>
      </c>
      <c r="BC940" s="3441" t="s">
        <v>4656</v>
      </c>
      <c r="BD940" s="3525">
        <v>100037</v>
      </c>
      <c r="BE940" s="3441">
        <v>68347718</v>
      </c>
      <c r="BF940" s="3526">
        <v>2.8</v>
      </c>
      <c r="BG940" s="3518">
        <v>37856</v>
      </c>
      <c r="BH940" s="3441" t="s">
        <v>4681</v>
      </c>
      <c r="BI940" s="3441" t="s">
        <v>3476</v>
      </c>
      <c r="BJ940" s="3484">
        <v>37916</v>
      </c>
      <c r="BK940" s="3484"/>
      <c r="BL940" s="3470" t="s">
        <v>3670</v>
      </c>
    </row>
    <row r="941" spans="1:71" s="3441" customFormat="1" ht="12" hidden="1">
      <c r="A941" s="3485" t="s">
        <v>9860</v>
      </c>
      <c r="B941" s="3470" t="s">
        <v>9861</v>
      </c>
      <c r="C941" s="3481" t="s">
        <v>9862</v>
      </c>
      <c r="D941" s="3481" t="s">
        <v>9863</v>
      </c>
      <c r="E941" s="3470" t="s">
        <v>3558</v>
      </c>
      <c r="F941" s="3470" t="s">
        <v>4770</v>
      </c>
      <c r="G941" s="3470"/>
      <c r="H941" s="3470" t="s">
        <v>4771</v>
      </c>
      <c r="I941" s="3453" t="s">
        <v>4001</v>
      </c>
      <c r="J941" s="3481" t="s">
        <v>7493</v>
      </c>
      <c r="K941" s="3470" t="s">
        <v>4772</v>
      </c>
      <c r="L941" s="3470">
        <v>68.650000000000006</v>
      </c>
      <c r="M941" s="3470">
        <v>3</v>
      </c>
      <c r="N941" s="3470" t="s">
        <v>3489</v>
      </c>
      <c r="O941" s="3470">
        <v>59.81</v>
      </c>
      <c r="P941" s="3470" t="s">
        <v>3452</v>
      </c>
      <c r="Q941" s="3457">
        <v>309474.2</v>
      </c>
      <c r="R941" s="3470">
        <v>4508</v>
      </c>
      <c r="S941" s="3472">
        <v>30.6</v>
      </c>
      <c r="T941" s="3527">
        <v>306000</v>
      </c>
      <c r="U941" s="3470">
        <v>4458</v>
      </c>
      <c r="V941" s="3512">
        <v>0.1</v>
      </c>
      <c r="W941" s="3475">
        <v>27.54</v>
      </c>
      <c r="X941" s="3476">
        <v>275400</v>
      </c>
      <c r="Y941" s="3441">
        <v>2003</v>
      </c>
      <c r="Z941" s="3441">
        <v>10</v>
      </c>
      <c r="AA941" s="3470">
        <v>29</v>
      </c>
      <c r="AB941" s="3477">
        <v>1530</v>
      </c>
      <c r="AC941" s="3470" t="s">
        <v>9864</v>
      </c>
      <c r="AD941" s="3485"/>
      <c r="AE941" s="3441" t="s">
        <v>3663</v>
      </c>
      <c r="AF941" s="3470" t="s">
        <v>3587</v>
      </c>
      <c r="AG941" s="3522" t="s">
        <v>3466</v>
      </c>
      <c r="AH941" s="3485"/>
      <c r="AI941" s="3470" t="s">
        <v>7643</v>
      </c>
      <c r="AJ941" s="3523">
        <v>37988</v>
      </c>
      <c r="AK941" s="3500" t="s">
        <v>8786</v>
      </c>
      <c r="AL941" s="3470">
        <v>67641700</v>
      </c>
      <c r="AM941" s="3470" t="s">
        <v>3568</v>
      </c>
      <c r="AN941" s="3456" t="s">
        <v>3680</v>
      </c>
      <c r="AO941" s="3441" t="s">
        <v>2420</v>
      </c>
      <c r="AP941" s="3441" t="s">
        <v>3476</v>
      </c>
      <c r="AQ941" s="3441" t="s">
        <v>3571</v>
      </c>
      <c r="AW941" s="3441" t="s">
        <v>3572</v>
      </c>
      <c r="AY941" s="3524" t="s">
        <v>9865</v>
      </c>
      <c r="AZ941" s="3441" t="s">
        <v>4772</v>
      </c>
      <c r="BA941" s="3441" t="s">
        <v>4775</v>
      </c>
      <c r="BB941" s="3524" t="s">
        <v>4776</v>
      </c>
      <c r="BC941" s="3441" t="s">
        <v>4777</v>
      </c>
      <c r="BD941" s="3525">
        <v>100083</v>
      </c>
      <c r="BE941" s="3441">
        <v>82355171</v>
      </c>
      <c r="BF941" s="3526">
        <v>2.7</v>
      </c>
      <c r="BG941" s="3518">
        <v>37886</v>
      </c>
      <c r="BH941" s="3441" t="s">
        <v>4681</v>
      </c>
      <c r="BI941" s="3441" t="s">
        <v>3476</v>
      </c>
      <c r="BJ941" s="3484">
        <v>37916</v>
      </c>
      <c r="BK941" s="3484"/>
      <c r="BL941" s="3470" t="s">
        <v>3670</v>
      </c>
    </row>
    <row r="942" spans="1:71" s="3441" customFormat="1" ht="12" hidden="1">
      <c r="A942" s="3485" t="s">
        <v>9866</v>
      </c>
      <c r="B942" s="3470" t="s">
        <v>9867</v>
      </c>
      <c r="C942" s="3481" t="s">
        <v>9868</v>
      </c>
      <c r="D942" s="3481" t="s">
        <v>9869</v>
      </c>
      <c r="E942" s="3470" t="s">
        <v>3558</v>
      </c>
      <c r="F942" s="3470" t="s">
        <v>7153</v>
      </c>
      <c r="G942" s="3470" t="s">
        <v>3568</v>
      </c>
      <c r="H942" s="3470" t="s">
        <v>9230</v>
      </c>
      <c r="I942" s="3453" t="s">
        <v>3615</v>
      </c>
      <c r="J942" s="3481" t="s">
        <v>4325</v>
      </c>
      <c r="K942" s="3470" t="s">
        <v>6117</v>
      </c>
      <c r="L942" s="3470">
        <v>40.86</v>
      </c>
      <c r="M942" s="3470">
        <v>5</v>
      </c>
      <c r="N942" s="3542" t="s">
        <v>3678</v>
      </c>
      <c r="O942" s="3470">
        <v>33.28</v>
      </c>
      <c r="P942" s="3470" t="s">
        <v>3452</v>
      </c>
      <c r="Q942" s="3457">
        <v>159354</v>
      </c>
      <c r="R942" s="3470">
        <v>3900</v>
      </c>
      <c r="S942" s="3472">
        <v>15.75</v>
      </c>
      <c r="T942" s="3527">
        <v>157500</v>
      </c>
      <c r="U942" s="3470">
        <v>3856</v>
      </c>
      <c r="V942" s="3474">
        <v>0.1</v>
      </c>
      <c r="W942" s="3475">
        <v>14.17</v>
      </c>
      <c r="X942" s="3476">
        <v>141700</v>
      </c>
      <c r="Y942" s="3441">
        <v>2003</v>
      </c>
      <c r="Z942" s="3441">
        <v>10</v>
      </c>
      <c r="AA942" s="3470">
        <v>24</v>
      </c>
      <c r="AB942" s="3477">
        <v>785</v>
      </c>
      <c r="AC942" s="3470" t="s">
        <v>9864</v>
      </c>
      <c r="AD942" s="3485"/>
      <c r="AE942" s="3441" t="s">
        <v>3663</v>
      </c>
      <c r="AF942" s="3470" t="s">
        <v>7751</v>
      </c>
      <c r="AG942" s="3522" t="s">
        <v>3466</v>
      </c>
      <c r="AH942" s="3485"/>
      <c r="AI942" s="3470" t="s">
        <v>5021</v>
      </c>
      <c r="AJ942" s="3523">
        <v>38352</v>
      </c>
      <c r="AK942" s="3500" t="s">
        <v>9283</v>
      </c>
      <c r="AL942" s="3441">
        <v>67641700</v>
      </c>
      <c r="AN942" s="3456" t="s">
        <v>3482</v>
      </c>
      <c r="AO942" s="3441" t="s">
        <v>2420</v>
      </c>
      <c r="AP942" s="3441" t="s">
        <v>3476</v>
      </c>
      <c r="AQ942" s="3441" t="s">
        <v>3571</v>
      </c>
      <c r="AW942" s="3441" t="s">
        <v>3572</v>
      </c>
      <c r="AX942" s="3441" t="s">
        <v>3568</v>
      </c>
      <c r="AY942" s="3524" t="s">
        <v>9870</v>
      </c>
      <c r="AZ942" s="3441" t="s">
        <v>6117</v>
      </c>
      <c r="BA942" s="3441" t="s">
        <v>7157</v>
      </c>
      <c r="BB942" s="3524" t="s">
        <v>9225</v>
      </c>
      <c r="BC942" s="3441" t="s">
        <v>7158</v>
      </c>
      <c r="BD942" s="3525">
        <v>100055</v>
      </c>
      <c r="BE942" s="3441">
        <v>82951881</v>
      </c>
      <c r="BF942" s="3526">
        <v>2.8</v>
      </c>
      <c r="BG942" s="3518">
        <v>37879</v>
      </c>
      <c r="BI942" s="3441" t="s">
        <v>8464</v>
      </c>
      <c r="BJ942" s="3484">
        <v>37915</v>
      </c>
      <c r="BK942" s="3484"/>
      <c r="BL942" s="3470" t="s">
        <v>3670</v>
      </c>
    </row>
    <row r="943" spans="1:71" s="3441" customFormat="1" ht="12" hidden="1">
      <c r="A943" s="3453" t="s">
        <v>9871</v>
      </c>
      <c r="B943" s="3470" t="s">
        <v>9872</v>
      </c>
      <c r="C943" s="3481" t="s">
        <v>9873</v>
      </c>
      <c r="D943" s="3481" t="s">
        <v>9874</v>
      </c>
      <c r="E943" s="3470" t="s">
        <v>3558</v>
      </c>
      <c r="F943" s="3528" t="s">
        <v>3733</v>
      </c>
      <c r="G943" s="3470"/>
      <c r="H943" s="3470" t="s">
        <v>9875</v>
      </c>
      <c r="I943" s="3470" t="s">
        <v>4124</v>
      </c>
      <c r="J943" s="3470" t="s">
        <v>8905</v>
      </c>
      <c r="K943" s="3470" t="s">
        <v>3737</v>
      </c>
      <c r="L943" s="3470">
        <v>75.19</v>
      </c>
      <c r="M943" s="3470">
        <v>8</v>
      </c>
      <c r="N943" s="3470" t="s">
        <v>3451</v>
      </c>
      <c r="O943" s="3470">
        <v>60.28</v>
      </c>
      <c r="P943" s="3470" t="s">
        <v>3452</v>
      </c>
      <c r="Q943" s="3492">
        <v>469185.6</v>
      </c>
      <c r="R943" s="3470">
        <v>6240</v>
      </c>
      <c r="S943" s="3472">
        <v>45.73</v>
      </c>
      <c r="T943" s="3527">
        <v>457299.99999999994</v>
      </c>
      <c r="U943" s="3470">
        <v>6082</v>
      </c>
      <c r="V943" s="3474">
        <v>0.1</v>
      </c>
      <c r="W943" s="3475">
        <v>41.15</v>
      </c>
      <c r="X943" s="3494">
        <v>411500</v>
      </c>
      <c r="Y943" s="3441">
        <v>2003</v>
      </c>
      <c r="Z943" s="3441">
        <v>10</v>
      </c>
      <c r="AA943" s="3441">
        <v>24</v>
      </c>
      <c r="AB943" s="3477">
        <v>2285</v>
      </c>
      <c r="AC943" s="3470" t="s">
        <v>9007</v>
      </c>
      <c r="AD943" s="3485"/>
      <c r="AE943" s="3441" t="s">
        <v>3663</v>
      </c>
      <c r="AF943" s="3470" t="s">
        <v>8923</v>
      </c>
      <c r="AG943" s="3522" t="s">
        <v>3466</v>
      </c>
      <c r="AH943" s="3485"/>
      <c r="AI943" s="3470" t="s">
        <v>5021</v>
      </c>
      <c r="AJ943" s="3523">
        <v>38122</v>
      </c>
      <c r="AK943" s="3500" t="s">
        <v>9283</v>
      </c>
      <c r="AL943" s="3441">
        <v>67641700</v>
      </c>
      <c r="AN943" s="3456" t="s">
        <v>4210</v>
      </c>
      <c r="AO943" s="3441" t="s">
        <v>2420</v>
      </c>
      <c r="AP943" s="3441" t="s">
        <v>3476</v>
      </c>
      <c r="AQ943" s="3441" t="s">
        <v>3571</v>
      </c>
      <c r="AW943" s="3441" t="s">
        <v>3572</v>
      </c>
      <c r="AY943" s="3524" t="s">
        <v>9876</v>
      </c>
      <c r="AZ943" s="3441" t="s">
        <v>3737</v>
      </c>
      <c r="BA943" s="3441" t="s">
        <v>3742</v>
      </c>
      <c r="BB943" s="3524" t="s">
        <v>3743</v>
      </c>
      <c r="BC943" s="3441" t="s">
        <v>3744</v>
      </c>
      <c r="BD943" s="3525">
        <v>100088</v>
      </c>
      <c r="BE943" s="3441">
        <v>82058259</v>
      </c>
      <c r="BF943" s="3526" t="s">
        <v>8595</v>
      </c>
      <c r="BG943" s="3478">
        <v>37909</v>
      </c>
      <c r="BH943" s="3441" t="s">
        <v>4753</v>
      </c>
      <c r="BI943" s="3441" t="s">
        <v>3476</v>
      </c>
      <c r="BJ943" s="3478">
        <v>37916</v>
      </c>
      <c r="BK943" s="3484" t="s">
        <v>3715</v>
      </c>
      <c r="BL943" s="3470" t="s">
        <v>3670</v>
      </c>
    </row>
    <row r="944" spans="1:71" s="3441" customFormat="1" ht="12" hidden="1">
      <c r="A944" s="3453" t="s">
        <v>9877</v>
      </c>
      <c r="B944" s="3470" t="s">
        <v>9878</v>
      </c>
      <c r="C944" s="3481" t="s">
        <v>9879</v>
      </c>
      <c r="D944" s="3481" t="s">
        <v>9880</v>
      </c>
      <c r="E944" s="3470" t="s">
        <v>3558</v>
      </c>
      <c r="F944" s="3528" t="s">
        <v>4645</v>
      </c>
      <c r="G944" s="3470"/>
      <c r="H944" s="3470" t="s">
        <v>9881</v>
      </c>
      <c r="I944" s="3470" t="s">
        <v>4614</v>
      </c>
      <c r="J944" s="3481" t="s">
        <v>7329</v>
      </c>
      <c r="K944" s="3470" t="s">
        <v>4649</v>
      </c>
      <c r="L944" s="3470">
        <v>54.5</v>
      </c>
      <c r="M944" s="3470">
        <v>5</v>
      </c>
      <c r="N944" s="3470" t="s">
        <v>3564</v>
      </c>
      <c r="O944" s="3470">
        <v>42.96</v>
      </c>
      <c r="P944" s="3470" t="s">
        <v>3452</v>
      </c>
      <c r="Q944" s="3457">
        <v>405534.5</v>
      </c>
      <c r="R944" s="3470">
        <v>7441</v>
      </c>
      <c r="S944" s="3472">
        <v>40.21</v>
      </c>
      <c r="T944" s="3527">
        <v>402100</v>
      </c>
      <c r="U944" s="3491">
        <v>7379</v>
      </c>
      <c r="V944" s="3529">
        <v>0.1</v>
      </c>
      <c r="W944" s="3475">
        <v>36.18</v>
      </c>
      <c r="X944" s="3473">
        <v>361800</v>
      </c>
      <c r="Y944" s="3501">
        <v>2003</v>
      </c>
      <c r="Z944" s="3441">
        <v>10</v>
      </c>
      <c r="AA944" s="3441">
        <v>24</v>
      </c>
      <c r="AB944" s="3477">
        <v>2010</v>
      </c>
      <c r="AC944" s="3470" t="s">
        <v>9007</v>
      </c>
      <c r="AD944" s="3485"/>
      <c r="AE944" s="3441" t="s">
        <v>3663</v>
      </c>
      <c r="AF944" s="3470" t="s">
        <v>3728</v>
      </c>
      <c r="AG944" s="3522" t="s">
        <v>3466</v>
      </c>
      <c r="AH944" s="3485"/>
      <c r="AI944" s="3470" t="s">
        <v>5021</v>
      </c>
      <c r="AJ944" s="3523">
        <v>38199</v>
      </c>
      <c r="AK944" s="3500" t="s">
        <v>9283</v>
      </c>
      <c r="AL944" s="3441">
        <v>67641700</v>
      </c>
      <c r="AN944" s="3470" t="s">
        <v>3739</v>
      </c>
      <c r="AP944" s="3441" t="s">
        <v>3476</v>
      </c>
      <c r="AQ944" s="3441" t="s">
        <v>3571</v>
      </c>
      <c r="AW944" s="3441" t="s">
        <v>3572</v>
      </c>
      <c r="AX944" s="3441" t="s">
        <v>3568</v>
      </c>
      <c r="AY944" s="3524" t="s">
        <v>9882</v>
      </c>
      <c r="AZ944" s="3441" t="s">
        <v>4654</v>
      </c>
      <c r="BA944" s="3441" t="s">
        <v>4688</v>
      </c>
      <c r="BB944" s="3524" t="s">
        <v>4689</v>
      </c>
      <c r="BC944" s="3441" t="s">
        <v>4656</v>
      </c>
      <c r="BD944" s="3525">
        <v>100037</v>
      </c>
      <c r="BE944" s="3441">
        <v>68347718</v>
      </c>
      <c r="BF944" s="3526">
        <v>2.8</v>
      </c>
      <c r="BG944" s="3518">
        <v>37872</v>
      </c>
      <c r="BH944" s="3441" t="s">
        <v>4681</v>
      </c>
      <c r="BI944" s="3441" t="s">
        <v>3476</v>
      </c>
      <c r="BJ944" s="3484">
        <v>37917</v>
      </c>
      <c r="BK944" s="3484"/>
      <c r="BL944" s="3470" t="s">
        <v>3670</v>
      </c>
    </row>
    <row r="945" spans="1:71" s="3470" customFormat="1" ht="12" hidden="1">
      <c r="A945" s="3485" t="s">
        <v>9883</v>
      </c>
      <c r="B945" s="3470" t="s">
        <v>9884</v>
      </c>
      <c r="C945" s="3481" t="s">
        <v>9885</v>
      </c>
      <c r="D945" s="3470">
        <v>13521313858</v>
      </c>
      <c r="E945" s="3470" t="s">
        <v>3558</v>
      </c>
      <c r="F945" s="3470" t="s">
        <v>5335</v>
      </c>
      <c r="H945" s="3453" t="s">
        <v>9886</v>
      </c>
      <c r="J945" s="3470" t="s">
        <v>9887</v>
      </c>
      <c r="K945" s="3470" t="s">
        <v>5338</v>
      </c>
      <c r="L945" s="3470">
        <v>108.37</v>
      </c>
      <c r="M945" s="3470">
        <v>3</v>
      </c>
      <c r="N945" s="3470" t="s">
        <v>3778</v>
      </c>
      <c r="O945" s="3470">
        <v>89.39</v>
      </c>
      <c r="P945" s="3470" t="s">
        <v>3452</v>
      </c>
      <c r="Q945" s="3616">
        <v>412889.7</v>
      </c>
      <c r="R945" s="3470">
        <v>3810</v>
      </c>
      <c r="S945" s="3472">
        <v>40.79</v>
      </c>
      <c r="T945" s="3550">
        <v>407900</v>
      </c>
      <c r="U945" s="3470">
        <v>3764</v>
      </c>
      <c r="V945" s="3474">
        <v>0.1</v>
      </c>
      <c r="W945" s="3475">
        <v>36.71</v>
      </c>
      <c r="X945" s="3511">
        <v>367100</v>
      </c>
      <c r="Y945" s="3470">
        <v>2003</v>
      </c>
      <c r="Z945" s="3441">
        <v>10</v>
      </c>
      <c r="AA945" s="3470">
        <v>30</v>
      </c>
      <c r="AB945" s="3485">
        <v>2035</v>
      </c>
      <c r="AC945" s="3470" t="s">
        <v>4800</v>
      </c>
      <c r="AE945" s="3470" t="s">
        <v>3663</v>
      </c>
      <c r="AF945" s="3470" t="s">
        <v>4721</v>
      </c>
      <c r="AG945" s="3470" t="s">
        <v>3466</v>
      </c>
      <c r="AH945" s="3470" t="s">
        <v>3568</v>
      </c>
      <c r="AI945" s="3470" t="s">
        <v>5021</v>
      </c>
      <c r="AJ945" s="3478">
        <v>38138</v>
      </c>
      <c r="AK945" s="3500" t="s">
        <v>4752</v>
      </c>
      <c r="AL945" s="3441">
        <v>67641700</v>
      </c>
      <c r="AM945" s="3441"/>
      <c r="AN945" s="3456" t="s">
        <v>3680</v>
      </c>
      <c r="AO945" s="3470" t="s">
        <v>9888</v>
      </c>
      <c r="AP945" s="3456" t="s">
        <v>3476</v>
      </c>
      <c r="AQ945" s="3470" t="s">
        <v>3571</v>
      </c>
      <c r="AV945" s="3470" t="s">
        <v>3568</v>
      </c>
      <c r="AW945" s="3470" t="s">
        <v>3572</v>
      </c>
      <c r="AY945" s="3470">
        <v>267105</v>
      </c>
      <c r="AZ945" s="3470" t="s">
        <v>5338</v>
      </c>
      <c r="BA945" s="3470" t="s">
        <v>5342</v>
      </c>
      <c r="BB945" s="3470" t="s">
        <v>5343</v>
      </c>
      <c r="BC945" s="3470" t="s">
        <v>5344</v>
      </c>
      <c r="BD945" s="3470">
        <v>102488</v>
      </c>
      <c r="BE945" s="3470">
        <v>63023627</v>
      </c>
      <c r="BF945" s="3506">
        <v>2.8</v>
      </c>
      <c r="BG945" s="3478">
        <v>37882</v>
      </c>
      <c r="BI945" s="3441" t="s">
        <v>3476</v>
      </c>
      <c r="BJ945" s="3484">
        <v>37922</v>
      </c>
      <c r="BL945" s="3470" t="s">
        <v>3670</v>
      </c>
      <c r="BP945" s="3441"/>
      <c r="BQ945" s="3441"/>
      <c r="BR945" s="3441"/>
      <c r="BS945" s="3441"/>
    </row>
    <row r="946" spans="1:71" s="3441" customFormat="1" ht="12">
      <c r="A946" s="3485" t="s">
        <v>9889</v>
      </c>
      <c r="B946" s="3470" t="s">
        <v>9890</v>
      </c>
      <c r="C946" s="3481" t="s">
        <v>9891</v>
      </c>
      <c r="D946" s="3481" t="s">
        <v>9892</v>
      </c>
      <c r="E946" s="3470" t="s">
        <v>2736</v>
      </c>
      <c r="F946" s="3687" t="s">
        <v>8793</v>
      </c>
      <c r="G946" s="3470"/>
      <c r="H946" s="3470" t="s">
        <v>6879</v>
      </c>
      <c r="I946" s="3470" t="s">
        <v>8736</v>
      </c>
      <c r="J946" s="3481" t="s">
        <v>9893</v>
      </c>
      <c r="K946" s="3470" t="s">
        <v>9472</v>
      </c>
      <c r="L946" s="3470">
        <v>48.03</v>
      </c>
      <c r="M946" s="3470">
        <v>8</v>
      </c>
      <c r="N946" s="3470" t="s">
        <v>3678</v>
      </c>
      <c r="O946" s="3470">
        <v>37.29</v>
      </c>
      <c r="P946" s="3470" t="s">
        <v>3452</v>
      </c>
      <c r="Q946" s="3457">
        <v>333808.5</v>
      </c>
      <c r="R946" s="3470">
        <v>6950</v>
      </c>
      <c r="S946" s="3472">
        <v>31.49</v>
      </c>
      <c r="T946" s="3527">
        <v>314900</v>
      </c>
      <c r="U946" s="3495">
        <v>6557</v>
      </c>
      <c r="V946" s="3474">
        <v>0.1</v>
      </c>
      <c r="W946" s="3475">
        <v>28.34</v>
      </c>
      <c r="X946" s="3473">
        <v>283400</v>
      </c>
      <c r="Y946" s="3495">
        <v>2003</v>
      </c>
      <c r="Z946" s="3441">
        <v>10</v>
      </c>
      <c r="AA946" s="3441">
        <v>30</v>
      </c>
      <c r="AB946" s="3477">
        <v>1570</v>
      </c>
      <c r="AC946" s="3470" t="s">
        <v>9007</v>
      </c>
      <c r="AD946" s="3485"/>
      <c r="AE946" s="3441" t="s">
        <v>3663</v>
      </c>
      <c r="AF946" s="3470" t="s">
        <v>7198</v>
      </c>
      <c r="AG946" s="3522" t="s">
        <v>3466</v>
      </c>
      <c r="AH946" s="3485"/>
      <c r="AI946" s="3470" t="s">
        <v>5021</v>
      </c>
      <c r="AJ946" s="3523">
        <v>38107</v>
      </c>
      <c r="AK946" s="3500" t="s">
        <v>8786</v>
      </c>
      <c r="AL946" s="3441">
        <v>67641700</v>
      </c>
      <c r="AN946" s="3456" t="s">
        <v>3680</v>
      </c>
      <c r="AO946" s="3485" t="s">
        <v>9894</v>
      </c>
      <c r="AP946" s="3441" t="s">
        <v>3476</v>
      </c>
      <c r="AQ946" s="3441" t="s">
        <v>3571</v>
      </c>
      <c r="AW946" s="3441" t="s">
        <v>3572</v>
      </c>
      <c r="AY946" s="3524" t="s">
        <v>9895</v>
      </c>
      <c r="AZ946" s="3470" t="s">
        <v>8862</v>
      </c>
      <c r="BA946" s="3441" t="s">
        <v>9474</v>
      </c>
      <c r="BB946" s="3524" t="s">
        <v>9833</v>
      </c>
      <c r="BC946" s="3441" t="s">
        <v>8800</v>
      </c>
      <c r="BD946" s="3525" t="s">
        <v>6879</v>
      </c>
      <c r="BE946" s="3441" t="s">
        <v>2420</v>
      </c>
      <c r="BF946" s="3526">
        <v>2.8</v>
      </c>
      <c r="BG946" s="3518">
        <v>37849</v>
      </c>
      <c r="BH946" s="3441" t="s">
        <v>8865</v>
      </c>
      <c r="BI946" s="3441" t="s">
        <v>3476</v>
      </c>
      <c r="BJ946" s="3484">
        <v>37922</v>
      </c>
      <c r="BK946" s="3484">
        <v>37908</v>
      </c>
      <c r="BL946" s="3470" t="s">
        <v>3670</v>
      </c>
    </row>
    <row r="947" spans="1:71" s="3441" customFormat="1" ht="12" hidden="1">
      <c r="A947" s="3453" t="s">
        <v>9896</v>
      </c>
      <c r="B947" s="3470" t="s">
        <v>9897</v>
      </c>
      <c r="C947" s="3481" t="s">
        <v>9898</v>
      </c>
      <c r="D947" s="3481" t="s">
        <v>9899</v>
      </c>
      <c r="E947" s="3470" t="s">
        <v>3558</v>
      </c>
      <c r="F947" s="3528" t="s">
        <v>3733</v>
      </c>
      <c r="G947" s="3470"/>
      <c r="H947" s="3470" t="s">
        <v>9900</v>
      </c>
      <c r="I947" s="3470" t="s">
        <v>7339</v>
      </c>
      <c r="J947" s="3470" t="s">
        <v>8769</v>
      </c>
      <c r="K947" s="3470" t="s">
        <v>3737</v>
      </c>
      <c r="L947" s="3470">
        <v>76.069999999999993</v>
      </c>
      <c r="M947" s="3470">
        <v>21</v>
      </c>
      <c r="N947" s="3470" t="s">
        <v>3709</v>
      </c>
      <c r="O947" s="3470">
        <v>60.99</v>
      </c>
      <c r="P947" s="3470" t="s">
        <v>3452</v>
      </c>
      <c r="Q947" s="3492">
        <v>475437.49999999994</v>
      </c>
      <c r="R947" s="3470">
        <v>6250</v>
      </c>
      <c r="S947" s="3472">
        <v>46.09</v>
      </c>
      <c r="T947" s="3527">
        <v>460900.00000000006</v>
      </c>
      <c r="U947" s="3470">
        <v>6060</v>
      </c>
      <c r="V947" s="3474">
        <v>0.1</v>
      </c>
      <c r="W947" s="3475">
        <v>41.48</v>
      </c>
      <c r="X947" s="3494">
        <v>414799.99999999994</v>
      </c>
      <c r="Y947" s="3441">
        <v>2003</v>
      </c>
      <c r="Z947" s="3441">
        <v>10</v>
      </c>
      <c r="AA947" s="3470">
        <v>30</v>
      </c>
      <c r="AB947" s="3477">
        <v>2300</v>
      </c>
      <c r="AC947" s="3470" t="s">
        <v>9007</v>
      </c>
      <c r="AD947" s="3485"/>
      <c r="AE947" s="3441" t="s">
        <v>3663</v>
      </c>
      <c r="AF947" s="3470" t="s">
        <v>4295</v>
      </c>
      <c r="AG947" s="3522" t="s">
        <v>3466</v>
      </c>
      <c r="AH947" s="3485"/>
      <c r="AI947" s="3470" t="s">
        <v>5021</v>
      </c>
      <c r="AJ947" s="3523">
        <v>38122</v>
      </c>
      <c r="AK947" s="3500" t="s">
        <v>9283</v>
      </c>
      <c r="AL947" s="3441">
        <v>67641700</v>
      </c>
      <c r="AN947" s="3456" t="s">
        <v>3680</v>
      </c>
      <c r="AO947" s="3441" t="s">
        <v>9901</v>
      </c>
      <c r="AP947" s="3441" t="s">
        <v>3476</v>
      </c>
      <c r="AQ947" s="3441" t="s">
        <v>3571</v>
      </c>
      <c r="AW947" s="3441" t="s">
        <v>3572</v>
      </c>
      <c r="AY947" s="3524" t="s">
        <v>9902</v>
      </c>
      <c r="AZ947" s="3441" t="s">
        <v>3737</v>
      </c>
      <c r="BA947" s="3441" t="s">
        <v>3742</v>
      </c>
      <c r="BB947" s="3524" t="s">
        <v>3743</v>
      </c>
      <c r="BC947" s="3441" t="s">
        <v>3744</v>
      </c>
      <c r="BD947" s="3525">
        <v>100088</v>
      </c>
      <c r="BE947" s="3441">
        <v>82058259</v>
      </c>
      <c r="BF947" s="3526" t="s">
        <v>8595</v>
      </c>
      <c r="BG947" s="3478">
        <v>37914</v>
      </c>
      <c r="BH947" s="3441" t="s">
        <v>4753</v>
      </c>
      <c r="BI947" s="3441" t="s">
        <v>3476</v>
      </c>
      <c r="BJ947" s="3484">
        <v>37923</v>
      </c>
      <c r="BK947" s="3484" t="s">
        <v>2420</v>
      </c>
      <c r="BL947" s="3470" t="s">
        <v>3670</v>
      </c>
    </row>
    <row r="948" spans="1:71" s="3470" customFormat="1" ht="12" hidden="1">
      <c r="A948" s="3542" t="s">
        <v>9903</v>
      </c>
      <c r="B948" s="3470" t="s">
        <v>9904</v>
      </c>
      <c r="C948" s="3481" t="s">
        <v>9905</v>
      </c>
      <c r="D948" s="3470">
        <v>13910516409</v>
      </c>
      <c r="E948" s="3470" t="s">
        <v>2736</v>
      </c>
      <c r="F948" s="3470" t="s">
        <v>8750</v>
      </c>
      <c r="H948" s="3470" t="s">
        <v>4262</v>
      </c>
      <c r="I948" s="3453" t="s">
        <v>3448</v>
      </c>
      <c r="J948" s="3470" t="s">
        <v>4042</v>
      </c>
      <c r="K948" s="3470" t="s">
        <v>8751</v>
      </c>
      <c r="L948" s="3470">
        <v>137.22999999999999</v>
      </c>
      <c r="M948" s="3470">
        <v>3</v>
      </c>
      <c r="N948" s="3470" t="s">
        <v>3661</v>
      </c>
      <c r="O948" s="3470">
        <v>118.74</v>
      </c>
      <c r="P948" s="3470" t="s">
        <v>3452</v>
      </c>
      <c r="Q948" s="3457">
        <v>786053.44</v>
      </c>
      <c r="R948" s="3495">
        <v>5728</v>
      </c>
      <c r="S948" s="3472">
        <v>77.849999999999994</v>
      </c>
      <c r="T948" s="3527">
        <v>778500</v>
      </c>
      <c r="U948" s="3495">
        <v>5673</v>
      </c>
      <c r="V948" s="3474">
        <v>0.05</v>
      </c>
      <c r="W948" s="3475">
        <v>73.95</v>
      </c>
      <c r="X948" s="3473">
        <v>739500</v>
      </c>
      <c r="Y948" s="3515">
        <v>2003</v>
      </c>
      <c r="Z948" s="3441">
        <v>11</v>
      </c>
      <c r="AA948" s="3470">
        <v>3</v>
      </c>
      <c r="AB948" s="3485">
        <v>3890</v>
      </c>
      <c r="AC948" s="3470" t="s">
        <v>4800</v>
      </c>
      <c r="AE948" s="3441" t="s">
        <v>2156</v>
      </c>
      <c r="AF948" s="3470" t="s">
        <v>3453</v>
      </c>
      <c r="AG948" s="3522" t="s">
        <v>3454</v>
      </c>
      <c r="AI948" s="3470" t="s">
        <v>6972</v>
      </c>
      <c r="AJ948" s="3478">
        <v>37590</v>
      </c>
      <c r="AK948" s="3603" t="s">
        <v>4773</v>
      </c>
      <c r="AL948" s="3441">
        <v>67641700</v>
      </c>
      <c r="AM948" s="3441"/>
      <c r="AN948" s="3456" t="s">
        <v>3456</v>
      </c>
      <c r="AO948" s="3470" t="s">
        <v>9906</v>
      </c>
      <c r="AP948" s="3470" t="s">
        <v>3476</v>
      </c>
      <c r="AQ948" s="3441" t="s">
        <v>3714</v>
      </c>
      <c r="AW948" s="3470" t="s">
        <v>3572</v>
      </c>
      <c r="AY948" s="3481" t="s">
        <v>9907</v>
      </c>
      <c r="AZ948" s="3470" t="s">
        <v>3981</v>
      </c>
      <c r="BA948" s="3441" t="s">
        <v>3984</v>
      </c>
      <c r="BB948" s="3524" t="s">
        <v>8756</v>
      </c>
      <c r="BC948" s="3441" t="s">
        <v>3985</v>
      </c>
      <c r="BD948" s="3525">
        <v>100101</v>
      </c>
      <c r="BE948" s="3441">
        <v>64858999</v>
      </c>
      <c r="BF948" s="3526">
        <v>2.8</v>
      </c>
      <c r="BG948" s="3478">
        <v>37882</v>
      </c>
      <c r="BI948" s="3441" t="s">
        <v>3476</v>
      </c>
      <c r="BJ948" s="3484">
        <v>37918</v>
      </c>
      <c r="BK948" s="3478"/>
      <c r="BL948" s="3470" t="s">
        <v>3670</v>
      </c>
      <c r="BM948" s="3441"/>
      <c r="BN948" s="3441"/>
      <c r="BO948" s="3441"/>
      <c r="BP948" s="3441"/>
      <c r="BQ948" s="3441"/>
      <c r="BR948" s="3441"/>
    </row>
    <row r="949" spans="1:71" s="3470" customFormat="1" ht="12" hidden="1">
      <c r="A949" s="3453" t="s">
        <v>9908</v>
      </c>
      <c r="B949" s="3470" t="s">
        <v>9909</v>
      </c>
      <c r="C949" s="3454" t="s">
        <v>9910</v>
      </c>
      <c r="D949" s="3470">
        <v>13501004634</v>
      </c>
      <c r="E949" s="3470" t="s">
        <v>2736</v>
      </c>
      <c r="F949" s="3470" t="s">
        <v>5592</v>
      </c>
      <c r="G949" s="3470" t="s">
        <v>2420</v>
      </c>
      <c r="H949" s="3470" t="s">
        <v>9911</v>
      </c>
      <c r="I949" s="3453" t="s">
        <v>3735</v>
      </c>
      <c r="J949" s="3453" t="s">
        <v>5472</v>
      </c>
      <c r="K949" s="3470" t="s">
        <v>5586</v>
      </c>
      <c r="L949" s="3495">
        <v>99.89</v>
      </c>
      <c r="M949" s="3495">
        <v>6</v>
      </c>
      <c r="N949" s="3470" t="s">
        <v>3486</v>
      </c>
      <c r="O949" s="3495">
        <v>81.790000000000006</v>
      </c>
      <c r="P949" s="3470" t="s">
        <v>3452</v>
      </c>
      <c r="Q949" s="3457">
        <v>396563.3</v>
      </c>
      <c r="R949" s="3470">
        <v>3970</v>
      </c>
      <c r="S949" s="3472">
        <v>39.200000000000003</v>
      </c>
      <c r="T949" s="3550">
        <v>392000</v>
      </c>
      <c r="U949" s="3470">
        <v>3925</v>
      </c>
      <c r="V949" s="3474">
        <v>0.1</v>
      </c>
      <c r="W949" s="3475">
        <v>35.28</v>
      </c>
      <c r="X949" s="3511">
        <v>352800</v>
      </c>
      <c r="Y949" s="3441">
        <v>2003</v>
      </c>
      <c r="Z949" s="3441">
        <v>11</v>
      </c>
      <c r="AA949" s="3470">
        <v>26</v>
      </c>
      <c r="AB949" s="3485">
        <v>1960</v>
      </c>
      <c r="AC949" s="3470" t="s">
        <v>8770</v>
      </c>
      <c r="AE949" s="3456" t="s">
        <v>3663</v>
      </c>
      <c r="AF949" s="3470" t="s">
        <v>4721</v>
      </c>
      <c r="AG949" s="3470" t="s">
        <v>3466</v>
      </c>
      <c r="AI949" s="3470" t="s">
        <v>3664</v>
      </c>
      <c r="AJ949" s="3478">
        <v>38352</v>
      </c>
      <c r="AK949" s="3612" t="s">
        <v>9912</v>
      </c>
      <c r="AL949" s="3495">
        <v>67641700</v>
      </c>
      <c r="AN949" s="3456" t="s">
        <v>3680</v>
      </c>
      <c r="AO949" s="3441" t="s">
        <v>9913</v>
      </c>
      <c r="AP949" s="3456" t="s">
        <v>3476</v>
      </c>
      <c r="AQ949" s="3456" t="s">
        <v>3571</v>
      </c>
      <c r="AV949" s="3519"/>
      <c r="AW949" s="3470" t="s">
        <v>3572</v>
      </c>
      <c r="AX949" s="3470" t="s">
        <v>2420</v>
      </c>
      <c r="AY949" s="3495">
        <v>565367</v>
      </c>
      <c r="AZ949" s="3470" t="s">
        <v>6880</v>
      </c>
      <c r="BA949" s="3470" t="s">
        <v>5587</v>
      </c>
      <c r="BB949" s="3619">
        <v>1102281326100</v>
      </c>
      <c r="BC949" s="3470" t="s">
        <v>7171</v>
      </c>
      <c r="BD949" s="3470">
        <v>100055</v>
      </c>
      <c r="BE949" s="3470">
        <v>82951881</v>
      </c>
      <c r="BF949" s="3520">
        <v>2.8</v>
      </c>
      <c r="BG949" s="3478">
        <v>37889</v>
      </c>
      <c r="BI949" s="3441" t="s">
        <v>3476</v>
      </c>
      <c r="BJ949" s="3484">
        <v>37950</v>
      </c>
      <c r="BK949" s="3478"/>
      <c r="BL949" s="3441" t="s">
        <v>3670</v>
      </c>
      <c r="BM949" s="3441"/>
      <c r="BN949" s="3441"/>
      <c r="BO949" s="3441"/>
      <c r="BP949" s="3441"/>
      <c r="BQ949" s="3441"/>
      <c r="BR949" s="3441"/>
    </row>
    <row r="950" spans="1:71" s="3441" customFormat="1" ht="12">
      <c r="A950" s="3485" t="s">
        <v>9914</v>
      </c>
      <c r="B950" s="3470" t="s">
        <v>9915</v>
      </c>
      <c r="C950" s="3481" t="s">
        <v>9916</v>
      </c>
      <c r="D950" s="3481" t="s">
        <v>9917</v>
      </c>
      <c r="E950" s="3470" t="s">
        <v>2736</v>
      </c>
      <c r="F950" s="3687" t="s">
        <v>9697</v>
      </c>
      <c r="G950" s="3470"/>
      <c r="H950" s="3470" t="s">
        <v>6879</v>
      </c>
      <c r="I950" s="3470" t="s">
        <v>9411</v>
      </c>
      <c r="J950" s="3481" t="s">
        <v>3815</v>
      </c>
      <c r="K950" s="3470" t="s">
        <v>8862</v>
      </c>
      <c r="L950" s="3470">
        <v>50.93</v>
      </c>
      <c r="M950" s="3470">
        <v>11</v>
      </c>
      <c r="N950" s="3470" t="s">
        <v>3678</v>
      </c>
      <c r="O950" s="3470">
        <v>39.54</v>
      </c>
      <c r="P950" s="3470" t="s">
        <v>3452</v>
      </c>
      <c r="Q950" s="3457">
        <v>346324</v>
      </c>
      <c r="R950" s="3689">
        <v>6800</v>
      </c>
      <c r="S950" s="3472">
        <v>34.450000000000003</v>
      </c>
      <c r="T950" s="3527">
        <v>344500</v>
      </c>
      <c r="U950" s="3495">
        <v>6766</v>
      </c>
      <c r="V950" s="3474">
        <v>0.1</v>
      </c>
      <c r="W950" s="3475">
        <v>31</v>
      </c>
      <c r="X950" s="3473">
        <v>310000</v>
      </c>
      <c r="Y950" s="3495">
        <v>2003</v>
      </c>
      <c r="Z950" s="3441">
        <v>12</v>
      </c>
      <c r="AA950" s="3441">
        <v>1</v>
      </c>
      <c r="AB950" s="3477">
        <v>1720</v>
      </c>
      <c r="AC950" s="3470" t="s">
        <v>9237</v>
      </c>
      <c r="AD950" s="3485"/>
      <c r="AE950" s="3441" t="s">
        <v>3663</v>
      </c>
      <c r="AF950" s="3453" t="s">
        <v>6957</v>
      </c>
      <c r="AG950" s="3522" t="s">
        <v>3466</v>
      </c>
      <c r="AH950" s="3485"/>
      <c r="AI950" s="3470" t="s">
        <v>5021</v>
      </c>
      <c r="AJ950" s="3523">
        <v>38107</v>
      </c>
      <c r="AK950" s="3603" t="s">
        <v>9918</v>
      </c>
      <c r="AL950" s="3441">
        <v>67641700</v>
      </c>
      <c r="AN950" s="3456" t="s">
        <v>3570</v>
      </c>
      <c r="AO950" s="3441" t="s">
        <v>3568</v>
      </c>
      <c r="AP950" s="3441" t="s">
        <v>3476</v>
      </c>
      <c r="AQ950" s="3441" t="s">
        <v>3571</v>
      </c>
      <c r="AW950" s="3441" t="s">
        <v>3572</v>
      </c>
      <c r="AY950" s="3524" t="s">
        <v>9919</v>
      </c>
      <c r="AZ950" s="3470" t="s">
        <v>8795</v>
      </c>
      <c r="BA950" s="3441" t="s">
        <v>8798</v>
      </c>
      <c r="BB950" s="3524" t="s">
        <v>8799</v>
      </c>
      <c r="BC950" s="3441" t="s">
        <v>9920</v>
      </c>
      <c r="BD950" s="3525" t="s">
        <v>6879</v>
      </c>
      <c r="BE950" s="3441" t="s">
        <v>2420</v>
      </c>
      <c r="BF950" s="3526">
        <v>2.8</v>
      </c>
      <c r="BG950" s="3518">
        <v>37844</v>
      </c>
      <c r="BI950" s="3441" t="s">
        <v>8464</v>
      </c>
      <c r="BJ950" s="3484">
        <v>37916</v>
      </c>
      <c r="BK950" s="3484">
        <v>37908</v>
      </c>
      <c r="BL950" s="3470" t="s">
        <v>3670</v>
      </c>
    </row>
    <row r="951" spans="1:71" s="3470" customFormat="1" ht="12" hidden="1">
      <c r="A951" s="3453" t="s">
        <v>9921</v>
      </c>
      <c r="B951" s="3470" t="s">
        <v>9922</v>
      </c>
      <c r="C951" s="3481" t="s">
        <v>9923</v>
      </c>
      <c r="D951" s="3470">
        <v>82876047</v>
      </c>
      <c r="E951" s="3470" t="s">
        <v>3558</v>
      </c>
      <c r="F951" s="3470" t="s">
        <v>3559</v>
      </c>
      <c r="H951" s="3453" t="s">
        <v>4869</v>
      </c>
      <c r="I951" s="3453" t="s">
        <v>4309</v>
      </c>
      <c r="J951" s="3453" t="s">
        <v>9924</v>
      </c>
      <c r="K951" s="3470" t="s">
        <v>7737</v>
      </c>
      <c r="L951" s="3495">
        <v>105.15</v>
      </c>
      <c r="M951" s="3495">
        <v>11</v>
      </c>
      <c r="N951" s="3470" t="s">
        <v>5032</v>
      </c>
      <c r="O951" s="3495">
        <v>85.19</v>
      </c>
      <c r="P951" s="3470" t="s">
        <v>3452</v>
      </c>
      <c r="Q951" s="3457">
        <v>500797.90500000003</v>
      </c>
      <c r="R951" s="3495">
        <v>4762.7</v>
      </c>
      <c r="S951" s="3472">
        <v>49.56</v>
      </c>
      <c r="T951" s="3527">
        <v>495600</v>
      </c>
      <c r="U951" s="3495">
        <v>4714</v>
      </c>
      <c r="V951" s="3512">
        <v>0.1</v>
      </c>
      <c r="W951" s="3475">
        <v>44.6</v>
      </c>
      <c r="X951" s="3473">
        <v>446000</v>
      </c>
      <c r="Y951" s="3495">
        <v>2003</v>
      </c>
      <c r="Z951" s="3495">
        <v>10</v>
      </c>
      <c r="AA951" s="3495">
        <v>27</v>
      </c>
      <c r="AB951" s="3477">
        <v>2475</v>
      </c>
      <c r="AC951" s="3470" t="s">
        <v>9007</v>
      </c>
      <c r="AE951" s="3456" t="s">
        <v>3663</v>
      </c>
      <c r="AF951" s="3453" t="s">
        <v>9925</v>
      </c>
      <c r="AG951" s="3470" t="s">
        <v>3466</v>
      </c>
      <c r="AH951" s="3470" t="s">
        <v>3568</v>
      </c>
      <c r="AI951" s="3456" t="s">
        <v>5021</v>
      </c>
      <c r="AJ951" s="3478">
        <v>37921</v>
      </c>
      <c r="AK951" s="3500" t="s">
        <v>8786</v>
      </c>
      <c r="AL951" s="3495">
        <v>67641700</v>
      </c>
      <c r="AM951" s="3470" t="s">
        <v>3568</v>
      </c>
      <c r="AN951" s="3456" t="s">
        <v>3680</v>
      </c>
      <c r="AO951" s="3470" t="s">
        <v>3568</v>
      </c>
      <c r="AP951" s="3456" t="s">
        <v>3476</v>
      </c>
      <c r="AQ951" s="3456" t="s">
        <v>3571</v>
      </c>
      <c r="AV951" s="3519"/>
      <c r="AW951" s="3470" t="s">
        <v>3572</v>
      </c>
      <c r="AY951" s="3495">
        <v>318488</v>
      </c>
      <c r="AZ951" s="3470" t="s">
        <v>7737</v>
      </c>
      <c r="BA951" s="3470" t="s">
        <v>9926</v>
      </c>
      <c r="BB951" s="3470" t="s">
        <v>3575</v>
      </c>
      <c r="BC951" s="3470" t="s">
        <v>3576</v>
      </c>
      <c r="BD951" s="3470">
        <v>100035</v>
      </c>
      <c r="BE951" s="3470">
        <v>84050010</v>
      </c>
      <c r="BF951" s="3520">
        <v>2.8</v>
      </c>
      <c r="BG951" s="3478">
        <v>37874</v>
      </c>
      <c r="BI951" s="3470" t="s">
        <v>8464</v>
      </c>
      <c r="BJ951" s="3478">
        <v>37918</v>
      </c>
      <c r="BK951" s="3470" t="s">
        <v>3568</v>
      </c>
      <c r="BL951" s="3441" t="s">
        <v>3670</v>
      </c>
      <c r="BP951" s="3441"/>
      <c r="BQ951" s="3441"/>
      <c r="BR951" s="3441"/>
    </row>
    <row r="952" spans="1:71" s="3470" customFormat="1" ht="12" hidden="1">
      <c r="A952" s="3453" t="s">
        <v>9927</v>
      </c>
      <c r="B952" s="3470" t="s">
        <v>9928</v>
      </c>
      <c r="C952" s="3481" t="s">
        <v>9929</v>
      </c>
      <c r="D952" s="3470">
        <v>13621023507</v>
      </c>
      <c r="E952" s="3470" t="s">
        <v>3558</v>
      </c>
      <c r="F952" s="3470" t="s">
        <v>3559</v>
      </c>
      <c r="H952" s="3453" t="s">
        <v>5304</v>
      </c>
      <c r="I952" s="3453" t="s">
        <v>5923</v>
      </c>
      <c r="J952" s="3453" t="s">
        <v>6889</v>
      </c>
      <c r="K952" s="3470" t="s">
        <v>7737</v>
      </c>
      <c r="L952" s="3495">
        <v>128.72</v>
      </c>
      <c r="M952" s="3495">
        <v>10</v>
      </c>
      <c r="N952" s="3470" t="s">
        <v>4336</v>
      </c>
      <c r="O952" s="3495">
        <v>104.39</v>
      </c>
      <c r="P952" s="3470" t="s">
        <v>3452</v>
      </c>
      <c r="Q952" s="3457">
        <v>576530.44400000002</v>
      </c>
      <c r="R952" s="3495">
        <v>4478.95</v>
      </c>
      <c r="S952" s="3472">
        <v>57.02</v>
      </c>
      <c r="T952" s="3527">
        <v>570200</v>
      </c>
      <c r="U952" s="3495">
        <v>4430</v>
      </c>
      <c r="V952" s="3512">
        <v>0.1</v>
      </c>
      <c r="W952" s="3475">
        <v>51.31</v>
      </c>
      <c r="X952" s="3473">
        <v>513100</v>
      </c>
      <c r="Y952" s="3495">
        <v>2003</v>
      </c>
      <c r="Z952" s="3495">
        <v>10</v>
      </c>
      <c r="AA952" s="3495">
        <v>27</v>
      </c>
      <c r="AB952" s="3477">
        <v>2850</v>
      </c>
      <c r="AC952" s="3470" t="s">
        <v>9243</v>
      </c>
      <c r="AE952" s="3456" t="s">
        <v>3663</v>
      </c>
      <c r="AF952" s="3453" t="s">
        <v>9930</v>
      </c>
      <c r="AG952" s="3470" t="s">
        <v>3466</v>
      </c>
      <c r="AH952" s="3470" t="s">
        <v>3568</v>
      </c>
      <c r="AI952" s="3456" t="s">
        <v>5021</v>
      </c>
      <c r="AJ952" s="3478">
        <v>37924</v>
      </c>
      <c r="AK952" s="3500" t="s">
        <v>4752</v>
      </c>
      <c r="AL952" s="3495">
        <v>67641700</v>
      </c>
      <c r="AM952" s="3470" t="s">
        <v>3568</v>
      </c>
      <c r="AN952" s="3456" t="s">
        <v>3680</v>
      </c>
      <c r="AO952" s="3470" t="s">
        <v>3568</v>
      </c>
      <c r="AP952" s="3456" t="s">
        <v>3476</v>
      </c>
      <c r="AQ952" s="3456" t="s">
        <v>3571</v>
      </c>
      <c r="AV952" s="3519"/>
      <c r="AW952" s="3470" t="s">
        <v>3572</v>
      </c>
      <c r="AY952" s="3495">
        <v>318493</v>
      </c>
      <c r="AZ952" s="3470" t="s">
        <v>7737</v>
      </c>
      <c r="BA952" s="3470" t="s">
        <v>9926</v>
      </c>
      <c r="BB952" s="3470" t="s">
        <v>3575</v>
      </c>
      <c r="BC952" s="3470" t="s">
        <v>3576</v>
      </c>
      <c r="BD952" s="3470">
        <v>100035</v>
      </c>
      <c r="BE952" s="3470">
        <v>84050010</v>
      </c>
      <c r="BF952" s="3520">
        <v>2.8</v>
      </c>
      <c r="BG952" s="3478">
        <v>37889</v>
      </c>
      <c r="BI952" s="3470" t="s">
        <v>9506</v>
      </c>
      <c r="BJ952" s="3478">
        <v>37918</v>
      </c>
      <c r="BK952" s="3470" t="s">
        <v>3568</v>
      </c>
      <c r="BL952" s="3441" t="s">
        <v>3670</v>
      </c>
      <c r="BP952" s="3441"/>
      <c r="BQ952" s="3441"/>
      <c r="BR952" s="3441"/>
    </row>
    <row r="953" spans="1:71" s="3441" customFormat="1" ht="12" hidden="1">
      <c r="A953" s="3453" t="s">
        <v>9931</v>
      </c>
      <c r="B953" s="3470" t="s">
        <v>9932</v>
      </c>
      <c r="C953" s="3481" t="s">
        <v>9933</v>
      </c>
      <c r="D953" s="3481" t="s">
        <v>9934</v>
      </c>
      <c r="E953" s="3470" t="s">
        <v>3558</v>
      </c>
      <c r="F953" s="3528" t="s">
        <v>4716</v>
      </c>
      <c r="G953" s="3470"/>
      <c r="H953" s="3470" t="s">
        <v>9019</v>
      </c>
      <c r="I953" s="3470" t="s">
        <v>7565</v>
      </c>
      <c r="J953" s="3481" t="s">
        <v>9935</v>
      </c>
      <c r="K953" s="3470" t="s">
        <v>4720</v>
      </c>
      <c r="L953" s="3470">
        <v>126.57</v>
      </c>
      <c r="M953" s="3470">
        <v>20</v>
      </c>
      <c r="N953" s="3470" t="s">
        <v>3994</v>
      </c>
      <c r="O953" s="3470">
        <v>99.55</v>
      </c>
      <c r="P953" s="3470" t="s">
        <v>3633</v>
      </c>
      <c r="Q953" s="3492">
        <v>571388.13049999997</v>
      </c>
      <c r="R953" s="3470">
        <v>5739.71</v>
      </c>
      <c r="S953" s="3472">
        <v>56.5</v>
      </c>
      <c r="T953" s="3527">
        <v>565000</v>
      </c>
      <c r="U953" s="3470">
        <v>4464</v>
      </c>
      <c r="V953" s="3474">
        <v>0.1</v>
      </c>
      <c r="W953" s="3475">
        <v>50.85</v>
      </c>
      <c r="X953" s="3494">
        <v>508500</v>
      </c>
      <c r="Y953" s="3441">
        <v>2003</v>
      </c>
      <c r="Z953" s="3441">
        <v>10</v>
      </c>
      <c r="AA953" s="3470">
        <v>27</v>
      </c>
      <c r="AB953" s="3477">
        <v>2825</v>
      </c>
      <c r="AC953" s="3470" t="s">
        <v>8840</v>
      </c>
      <c r="AD953" s="3485"/>
      <c r="AE953" s="3441" t="s">
        <v>3663</v>
      </c>
      <c r="AF953" s="3470" t="s">
        <v>4721</v>
      </c>
      <c r="AG953" s="3522" t="s">
        <v>3466</v>
      </c>
      <c r="AH953" s="3485"/>
      <c r="AI953" s="3470" t="s">
        <v>5021</v>
      </c>
      <c r="AJ953" s="3523">
        <v>38230</v>
      </c>
      <c r="AK953" s="3500" t="s">
        <v>4752</v>
      </c>
      <c r="AL953" s="3441">
        <v>67641700</v>
      </c>
      <c r="AN953" s="3456" t="s">
        <v>3680</v>
      </c>
      <c r="AO953" s="3441" t="s">
        <v>3568</v>
      </c>
      <c r="AP953" s="3441" t="s">
        <v>3476</v>
      </c>
      <c r="AQ953" s="3441" t="s">
        <v>3571</v>
      </c>
      <c r="AW953" s="3441" t="s">
        <v>3572</v>
      </c>
      <c r="AY953" s="3524" t="s">
        <v>9936</v>
      </c>
      <c r="AZ953" s="3441" t="s">
        <v>4720</v>
      </c>
      <c r="BA953" s="3441" t="s">
        <v>4725</v>
      </c>
      <c r="BB953" s="3524" t="s">
        <v>4726</v>
      </c>
      <c r="BC953" s="3441" t="s">
        <v>4727</v>
      </c>
      <c r="BD953" s="3525">
        <v>100005</v>
      </c>
      <c r="BE953" s="3441">
        <v>65128628</v>
      </c>
      <c r="BF953" s="3526">
        <v>2.8</v>
      </c>
      <c r="BG953" s="3518">
        <v>37876</v>
      </c>
      <c r="BI953" s="3441" t="s">
        <v>3476</v>
      </c>
      <c r="BJ953" s="3484">
        <v>37918</v>
      </c>
      <c r="BK953" s="3484" t="s">
        <v>3568</v>
      </c>
      <c r="BL953" s="3470" t="s">
        <v>3670</v>
      </c>
    </row>
    <row r="954" spans="1:71" s="3470" customFormat="1" ht="12" hidden="1">
      <c r="A954" s="3485" t="s">
        <v>9937</v>
      </c>
      <c r="B954" s="3470" t="s">
        <v>9938</v>
      </c>
      <c r="C954" s="3481" t="s">
        <v>9939</v>
      </c>
      <c r="D954" s="3470">
        <v>13701376004</v>
      </c>
      <c r="E954" s="3470" t="s">
        <v>3558</v>
      </c>
      <c r="F954" s="3470" t="s">
        <v>5335</v>
      </c>
      <c r="H954" s="3453" t="s">
        <v>3788</v>
      </c>
      <c r="J954" s="3470" t="s">
        <v>9940</v>
      </c>
      <c r="K954" s="3470" t="s">
        <v>5338</v>
      </c>
      <c r="L954" s="3470">
        <v>110.36</v>
      </c>
      <c r="M954" s="3470">
        <v>8</v>
      </c>
      <c r="N954" s="3470" t="s">
        <v>3778</v>
      </c>
      <c r="O954" s="3470">
        <v>89.46</v>
      </c>
      <c r="P954" s="3470" t="s">
        <v>3452</v>
      </c>
      <c r="Q954" s="3616">
        <v>421575.2</v>
      </c>
      <c r="R954" s="3470">
        <v>3820</v>
      </c>
      <c r="S954" s="3472">
        <v>41.63</v>
      </c>
      <c r="T954" s="3550">
        <v>416300</v>
      </c>
      <c r="U954" s="3470">
        <v>3773</v>
      </c>
      <c r="V954" s="3474">
        <v>0.1</v>
      </c>
      <c r="W954" s="3475">
        <v>37.46</v>
      </c>
      <c r="X954" s="3511">
        <v>374600</v>
      </c>
      <c r="Y954" s="3470">
        <v>2003</v>
      </c>
      <c r="Z954" s="3441">
        <v>12</v>
      </c>
      <c r="AA954" s="3470">
        <v>1</v>
      </c>
      <c r="AB954" s="3485">
        <v>2080</v>
      </c>
      <c r="AC954" s="3470" t="s">
        <v>9007</v>
      </c>
      <c r="AE954" s="3470" t="s">
        <v>3663</v>
      </c>
      <c r="AF954" s="3470" t="s">
        <v>4721</v>
      </c>
      <c r="AG954" s="3470" t="s">
        <v>3466</v>
      </c>
      <c r="AH954" s="3470" t="s">
        <v>3568</v>
      </c>
      <c r="AI954" s="3470" t="s">
        <v>5021</v>
      </c>
      <c r="AJ954" s="3478">
        <v>38138</v>
      </c>
      <c r="AK954" s="3603" t="s">
        <v>4823</v>
      </c>
      <c r="AL954" s="3441">
        <v>67641700</v>
      </c>
      <c r="AM954" s="3441"/>
      <c r="AN954" s="3456" t="s">
        <v>3570</v>
      </c>
      <c r="AO954" s="3441" t="s">
        <v>9941</v>
      </c>
      <c r="AP954" s="3456" t="s">
        <v>3476</v>
      </c>
      <c r="AQ954" s="3470" t="s">
        <v>3571</v>
      </c>
      <c r="AV954" s="3470" t="s">
        <v>3568</v>
      </c>
      <c r="AW954" s="3470" t="s">
        <v>3572</v>
      </c>
      <c r="AY954" s="3470">
        <v>267139</v>
      </c>
      <c r="AZ954" s="3470" t="s">
        <v>5338</v>
      </c>
      <c r="BA954" s="3470" t="s">
        <v>5342</v>
      </c>
      <c r="BB954" s="3470" t="s">
        <v>5343</v>
      </c>
      <c r="BC954" s="3470" t="s">
        <v>5344</v>
      </c>
      <c r="BD954" s="3470">
        <v>102488</v>
      </c>
      <c r="BE954" s="3470">
        <v>63023627</v>
      </c>
      <c r="BF954" s="3538">
        <v>2.8</v>
      </c>
      <c r="BG954" s="3478">
        <v>37888</v>
      </c>
      <c r="BI954" s="3441" t="s">
        <v>8757</v>
      </c>
      <c r="BJ954" s="3484">
        <v>37953</v>
      </c>
      <c r="BL954" s="3470" t="s">
        <v>3670</v>
      </c>
      <c r="BP954" s="3441"/>
      <c r="BQ954" s="3441"/>
      <c r="BR954" s="3441"/>
      <c r="BS954" s="3441"/>
    </row>
    <row r="955" spans="1:71" s="3441" customFormat="1" ht="12" hidden="1">
      <c r="A955" s="3453" t="s">
        <v>9942</v>
      </c>
      <c r="B955" s="3470" t="s">
        <v>9943</v>
      </c>
      <c r="C955" s="3481" t="s">
        <v>9944</v>
      </c>
      <c r="D955" s="3481" t="s">
        <v>9945</v>
      </c>
      <c r="E955" s="3470" t="s">
        <v>3558</v>
      </c>
      <c r="F955" s="3470" t="s">
        <v>5428</v>
      </c>
      <c r="G955" s="3470"/>
      <c r="H955" s="3470" t="s">
        <v>8705</v>
      </c>
      <c r="I955" s="3470" t="s">
        <v>4124</v>
      </c>
      <c r="J955" s="3481" t="s">
        <v>9946</v>
      </c>
      <c r="K955" s="3470" t="s">
        <v>5786</v>
      </c>
      <c r="L955" s="3470">
        <v>88.09</v>
      </c>
      <c r="M955" s="3470">
        <v>8</v>
      </c>
      <c r="N955" s="3470" t="s">
        <v>3584</v>
      </c>
      <c r="O955" s="3470">
        <v>70.290000000000006</v>
      </c>
      <c r="P955" s="3470" t="s">
        <v>3452</v>
      </c>
      <c r="Q955" s="3457">
        <v>472867.12</v>
      </c>
      <c r="R955" s="3470">
        <v>5368</v>
      </c>
      <c r="S955" s="3472">
        <v>46.81</v>
      </c>
      <c r="T955" s="3527">
        <v>468100</v>
      </c>
      <c r="U955" s="3495">
        <v>5315</v>
      </c>
      <c r="V955" s="3474">
        <v>0.1</v>
      </c>
      <c r="W955" s="3475">
        <v>42.12</v>
      </c>
      <c r="X955" s="3476">
        <v>421200</v>
      </c>
      <c r="Y955" s="3495">
        <v>2003</v>
      </c>
      <c r="Z955" s="3441">
        <v>11</v>
      </c>
      <c r="AA955" s="3441">
        <v>11</v>
      </c>
      <c r="AB955" s="3477">
        <v>2340</v>
      </c>
      <c r="AC955" s="3470" t="s">
        <v>9383</v>
      </c>
      <c r="AD955" s="3485"/>
      <c r="AE955" s="3441" t="s">
        <v>3663</v>
      </c>
      <c r="AF955" s="3470" t="s">
        <v>7027</v>
      </c>
      <c r="AG955" s="3522" t="s">
        <v>3466</v>
      </c>
      <c r="AH955" s="3485" t="s">
        <v>3568</v>
      </c>
      <c r="AI955" s="3470" t="s">
        <v>5021</v>
      </c>
      <c r="AJ955" s="3523">
        <v>37986</v>
      </c>
      <c r="AK955" s="3603" t="s">
        <v>4773</v>
      </c>
      <c r="AL955" s="3441">
        <v>67641700</v>
      </c>
      <c r="AN955" s="3456" t="s">
        <v>3695</v>
      </c>
      <c r="AO955" s="3441" t="s">
        <v>3568</v>
      </c>
      <c r="AP955" s="3441" t="s">
        <v>3476</v>
      </c>
      <c r="AQ955" s="3441" t="s">
        <v>3571</v>
      </c>
      <c r="AR955" s="3441" t="s">
        <v>3568</v>
      </c>
      <c r="AS955" s="3441" t="s">
        <v>3568</v>
      </c>
      <c r="AT955" s="3441" t="s">
        <v>3568</v>
      </c>
      <c r="AW955" s="3441" t="s">
        <v>3572</v>
      </c>
      <c r="AX955" s="3441" t="s">
        <v>6879</v>
      </c>
      <c r="AY955" s="3524" t="s">
        <v>9947</v>
      </c>
      <c r="AZ955" s="3441" t="s">
        <v>5786</v>
      </c>
      <c r="BA955" s="3441" t="s">
        <v>7527</v>
      </c>
      <c r="BB955" s="3524">
        <v>1101082131202</v>
      </c>
      <c r="BC955" s="3441" t="s">
        <v>5436</v>
      </c>
      <c r="BD955" s="3525">
        <v>102400</v>
      </c>
      <c r="BE955" s="3441">
        <v>62842753</v>
      </c>
      <c r="BF955" s="3526">
        <v>2.8</v>
      </c>
      <c r="BG955" s="3518">
        <v>37877</v>
      </c>
      <c r="BH955" s="3441" t="s">
        <v>3568</v>
      </c>
      <c r="BI955" s="3441" t="s">
        <v>3476</v>
      </c>
      <c r="BJ955" s="3518">
        <v>37909</v>
      </c>
      <c r="BK955" s="3518">
        <v>37930</v>
      </c>
      <c r="BL955" s="3470" t="s">
        <v>3670</v>
      </c>
    </row>
    <row r="956" spans="1:71" s="3441" customFormat="1" ht="13.2" hidden="1">
      <c r="A956" s="3485" t="s">
        <v>9948</v>
      </c>
      <c r="B956" s="3542" t="s">
        <v>9949</v>
      </c>
      <c r="C956" s="3481" t="s">
        <v>9950</v>
      </c>
      <c r="D956" s="3543" t="s">
        <v>9951</v>
      </c>
      <c r="E956" s="3542" t="s">
        <v>2736</v>
      </c>
      <c r="F956" s="3542" t="s">
        <v>9952</v>
      </c>
      <c r="G956" s="3485"/>
      <c r="H956" s="3485" t="s">
        <v>5304</v>
      </c>
      <c r="I956" s="3485" t="s">
        <v>9953</v>
      </c>
      <c r="J956" s="3543" t="s">
        <v>3495</v>
      </c>
      <c r="K956" s="3485" t="s">
        <v>9954</v>
      </c>
      <c r="L956" s="3477">
        <v>123.6</v>
      </c>
      <c r="M956" s="3477">
        <v>2</v>
      </c>
      <c r="N956" s="3470" t="s">
        <v>3778</v>
      </c>
      <c r="O956" s="3485">
        <v>97.34</v>
      </c>
      <c r="P956" s="3470" t="s">
        <v>3452</v>
      </c>
      <c r="Q956" s="3457">
        <v>914516.39999999991</v>
      </c>
      <c r="R956" s="3470">
        <v>7399</v>
      </c>
      <c r="S956" s="3472">
        <v>90.59</v>
      </c>
      <c r="T956" s="3527">
        <v>905900</v>
      </c>
      <c r="U956" s="3470">
        <v>7330</v>
      </c>
      <c r="V956" s="3474">
        <v>0.1</v>
      </c>
      <c r="W956" s="3475">
        <v>81.53</v>
      </c>
      <c r="X956" s="3473">
        <v>815300</v>
      </c>
      <c r="Y956" s="3441">
        <v>2003</v>
      </c>
      <c r="Z956" s="3441">
        <v>10</v>
      </c>
      <c r="AA956" s="3470">
        <v>27</v>
      </c>
      <c r="AB956" s="3485">
        <v>4525</v>
      </c>
      <c r="AC956" s="3470" t="s">
        <v>9955</v>
      </c>
      <c r="AD956" s="3485"/>
      <c r="AE956" s="3456" t="s">
        <v>3547</v>
      </c>
      <c r="AF956" s="3490" t="s">
        <v>3956</v>
      </c>
      <c r="AG956" s="3485" t="s">
        <v>3454</v>
      </c>
      <c r="AH956" s="3485" t="s">
        <v>9956</v>
      </c>
      <c r="AI956" s="3470" t="s">
        <v>5021</v>
      </c>
      <c r="AJ956" s="3523">
        <v>37955</v>
      </c>
      <c r="AK956" s="3500" t="s">
        <v>8786</v>
      </c>
      <c r="AL956" s="3441">
        <v>67641700</v>
      </c>
      <c r="AN956" s="3456" t="s">
        <v>3680</v>
      </c>
      <c r="AO956" s="3441" t="s">
        <v>2420</v>
      </c>
      <c r="AP956" s="3502" t="s">
        <v>7144</v>
      </c>
      <c r="AQ956" s="3470" t="s">
        <v>3714</v>
      </c>
      <c r="AU956" s="3463"/>
      <c r="AV956" s="3518"/>
      <c r="AW956" s="3470" t="s">
        <v>3458</v>
      </c>
      <c r="AX956" s="3441" t="s">
        <v>3715</v>
      </c>
      <c r="AY956" s="3536" t="s">
        <v>9957</v>
      </c>
      <c r="AZ956" s="3485" t="s">
        <v>9954</v>
      </c>
      <c r="BA956" s="3463" t="s">
        <v>9958</v>
      </c>
      <c r="BB956" s="3466">
        <v>1102272096110</v>
      </c>
      <c r="BC956" s="3463" t="s">
        <v>4094</v>
      </c>
      <c r="BD956" s="3537">
        <v>100044</v>
      </c>
      <c r="BE956" s="3441">
        <v>62251419</v>
      </c>
      <c r="BF956" s="3544">
        <v>2.8</v>
      </c>
      <c r="BG956" s="3518">
        <v>37879</v>
      </c>
      <c r="BI956" s="3441" t="s">
        <v>3475</v>
      </c>
      <c r="BJ956" s="3478">
        <v>37917</v>
      </c>
      <c r="BL956" s="3441" t="s">
        <v>3594</v>
      </c>
    </row>
    <row r="957" spans="1:71" s="3441" customFormat="1" ht="12" hidden="1">
      <c r="A957" s="3542" t="s">
        <v>9959</v>
      </c>
      <c r="B957" s="3470" t="s">
        <v>9960</v>
      </c>
      <c r="C957" s="3481" t="s">
        <v>9961</v>
      </c>
      <c r="D957" s="3481" t="s">
        <v>9962</v>
      </c>
      <c r="E957" s="3470" t="s">
        <v>3558</v>
      </c>
      <c r="F957" s="3470" t="s">
        <v>7153</v>
      </c>
      <c r="G957" s="3470" t="s">
        <v>3568</v>
      </c>
      <c r="H957" s="3470" t="s">
        <v>9235</v>
      </c>
      <c r="I957" s="3453" t="s">
        <v>7114</v>
      </c>
      <c r="J957" s="3481" t="s">
        <v>3474</v>
      </c>
      <c r="K957" s="3470" t="s">
        <v>6117</v>
      </c>
      <c r="L957" s="3470">
        <v>82.55</v>
      </c>
      <c r="M957" s="3470">
        <v>5</v>
      </c>
      <c r="N957" s="3470" t="s">
        <v>7017</v>
      </c>
      <c r="O957" s="3470">
        <v>67.23</v>
      </c>
      <c r="P957" s="3470" t="s">
        <v>3452</v>
      </c>
      <c r="Q957" s="3457">
        <v>324421.5</v>
      </c>
      <c r="R957" s="3470">
        <v>3930</v>
      </c>
      <c r="S957" s="3472">
        <v>32.07</v>
      </c>
      <c r="T957" s="3527">
        <v>320700</v>
      </c>
      <c r="U957" s="3470">
        <v>3885</v>
      </c>
      <c r="V957" s="3474">
        <v>0.1</v>
      </c>
      <c r="W957" s="3475">
        <v>28.86</v>
      </c>
      <c r="X957" s="3476">
        <v>288600</v>
      </c>
      <c r="Y957" s="3441">
        <v>2003</v>
      </c>
      <c r="Z957" s="3441">
        <v>11</v>
      </c>
      <c r="AA957" s="3470">
        <v>3</v>
      </c>
      <c r="AB957" s="3477">
        <v>1600</v>
      </c>
      <c r="AC957" s="3470" t="s">
        <v>9243</v>
      </c>
      <c r="AD957" s="3485"/>
      <c r="AE957" s="3441" t="s">
        <v>3663</v>
      </c>
      <c r="AF957" s="3470" t="s">
        <v>7751</v>
      </c>
      <c r="AG957" s="3522" t="s">
        <v>3466</v>
      </c>
      <c r="AH957" s="3485"/>
      <c r="AI957" s="3470" t="s">
        <v>5021</v>
      </c>
      <c r="AJ957" s="3523">
        <v>38352</v>
      </c>
      <c r="AK957" s="3603" t="s">
        <v>4773</v>
      </c>
      <c r="AL957" s="3441">
        <v>67641700</v>
      </c>
      <c r="AN957" s="3456" t="s">
        <v>3570</v>
      </c>
      <c r="AO957" s="3441" t="s">
        <v>9963</v>
      </c>
      <c r="AP957" s="3441" t="s">
        <v>3476</v>
      </c>
      <c r="AQ957" s="3441" t="s">
        <v>3571</v>
      </c>
      <c r="AW957" s="3441" t="s">
        <v>3572</v>
      </c>
      <c r="AY957" s="3524" t="s">
        <v>9964</v>
      </c>
      <c r="AZ957" s="3441" t="s">
        <v>6117</v>
      </c>
      <c r="BA957" s="3441" t="s">
        <v>7157</v>
      </c>
      <c r="BB957" s="3524">
        <v>1102281326100</v>
      </c>
      <c r="BC957" s="3441" t="s">
        <v>7158</v>
      </c>
      <c r="BD957" s="3525">
        <v>100055</v>
      </c>
      <c r="BE957" s="3441">
        <v>82951881</v>
      </c>
      <c r="BF957" s="3526">
        <v>2.8</v>
      </c>
      <c r="BG957" s="3518">
        <v>37909</v>
      </c>
      <c r="BH957" s="3441" t="s">
        <v>4753</v>
      </c>
      <c r="BI957" s="3441" t="s">
        <v>3476</v>
      </c>
      <c r="BJ957" s="3484">
        <v>37925</v>
      </c>
      <c r="BK957" s="3484"/>
      <c r="BL957" s="3470" t="s">
        <v>3670</v>
      </c>
    </row>
    <row r="958" spans="1:71" s="3441" customFormat="1" ht="12" hidden="1">
      <c r="A958" s="3542" t="s">
        <v>9965</v>
      </c>
      <c r="B958" s="3470" t="s">
        <v>9966</v>
      </c>
      <c r="C958" s="3481" t="s">
        <v>9967</v>
      </c>
      <c r="D958" s="3481" t="s">
        <v>9968</v>
      </c>
      <c r="E958" s="3470" t="s">
        <v>3558</v>
      </c>
      <c r="F958" s="3470" t="s">
        <v>7153</v>
      </c>
      <c r="G958" s="3470" t="s">
        <v>3568</v>
      </c>
      <c r="H958" s="3470" t="s">
        <v>9230</v>
      </c>
      <c r="I958" s="3453" t="s">
        <v>4854</v>
      </c>
      <c r="J958" s="3481" t="s">
        <v>9969</v>
      </c>
      <c r="K958" s="3470" t="s">
        <v>6117</v>
      </c>
      <c r="L958" s="3470">
        <v>71.31</v>
      </c>
      <c r="M958" s="3470">
        <v>17</v>
      </c>
      <c r="N958" s="3470" t="s">
        <v>3709</v>
      </c>
      <c r="O958" s="3470">
        <v>58.39</v>
      </c>
      <c r="P958" s="3470" t="s">
        <v>3452</v>
      </c>
      <c r="Q958" s="3457">
        <v>299502</v>
      </c>
      <c r="R958" s="3470">
        <v>4200</v>
      </c>
      <c r="S958" s="3472">
        <v>29.62</v>
      </c>
      <c r="T958" s="3527">
        <v>296200</v>
      </c>
      <c r="U958" s="3470">
        <v>4154</v>
      </c>
      <c r="V958" s="3474">
        <v>0.1</v>
      </c>
      <c r="W958" s="3475">
        <v>26.65</v>
      </c>
      <c r="X958" s="3476">
        <v>266500</v>
      </c>
      <c r="Y958" s="3441">
        <v>2003</v>
      </c>
      <c r="Z958" s="3441">
        <v>11</v>
      </c>
      <c r="AA958" s="3470">
        <v>3</v>
      </c>
      <c r="AB958" s="3477">
        <v>1480</v>
      </c>
      <c r="AC958" s="3470" t="s">
        <v>4800</v>
      </c>
      <c r="AD958" s="3485"/>
      <c r="AE958" s="3441" t="s">
        <v>3663</v>
      </c>
      <c r="AF958" s="3470" t="s">
        <v>7751</v>
      </c>
      <c r="AG958" s="3522" t="s">
        <v>3466</v>
      </c>
      <c r="AH958" s="3485"/>
      <c r="AI958" s="3470" t="s">
        <v>5021</v>
      </c>
      <c r="AJ958" s="3523">
        <v>38352</v>
      </c>
      <c r="AK958" s="3603" t="s">
        <v>4773</v>
      </c>
      <c r="AL958" s="3441">
        <v>67641700</v>
      </c>
      <c r="AN958" s="3456" t="s">
        <v>3570</v>
      </c>
      <c r="AO958" s="3441" t="s">
        <v>9970</v>
      </c>
      <c r="AP958" s="3441" t="s">
        <v>3476</v>
      </c>
      <c r="AQ958" s="3441" t="s">
        <v>3571</v>
      </c>
      <c r="AW958" s="3441" t="s">
        <v>3572</v>
      </c>
      <c r="AY958" s="3524" t="s">
        <v>9971</v>
      </c>
      <c r="AZ958" s="3441" t="s">
        <v>6117</v>
      </c>
      <c r="BA958" s="3441" t="s">
        <v>7157</v>
      </c>
      <c r="BB958" s="3524">
        <v>1102281326100</v>
      </c>
      <c r="BC958" s="3441" t="s">
        <v>7158</v>
      </c>
      <c r="BD958" s="3525">
        <v>100055</v>
      </c>
      <c r="BE958" s="3441">
        <v>82951881</v>
      </c>
      <c r="BF958" s="3526">
        <v>2.8</v>
      </c>
      <c r="BG958" s="3518">
        <v>37907</v>
      </c>
      <c r="BH958" s="3441" t="s">
        <v>4753</v>
      </c>
      <c r="BI958" s="3441" t="s">
        <v>3476</v>
      </c>
      <c r="BJ958" s="3484">
        <v>37924</v>
      </c>
      <c r="BK958" s="3484"/>
      <c r="BL958" s="3470" t="s">
        <v>3670</v>
      </c>
    </row>
    <row r="959" spans="1:71" s="3441" customFormat="1" ht="12" hidden="1">
      <c r="A959" s="3542" t="s">
        <v>9972</v>
      </c>
      <c r="B959" s="3470" t="s">
        <v>9973</v>
      </c>
      <c r="C959" s="3481" t="s">
        <v>9974</v>
      </c>
      <c r="D959" s="3481" t="s">
        <v>9975</v>
      </c>
      <c r="E959" s="3470" t="s">
        <v>3558</v>
      </c>
      <c r="F959" s="3470" t="s">
        <v>7153</v>
      </c>
      <c r="G959" s="3470" t="s">
        <v>3568</v>
      </c>
      <c r="H959" s="3470" t="s">
        <v>9235</v>
      </c>
      <c r="I959" s="3453" t="s">
        <v>7114</v>
      </c>
      <c r="J959" s="3481" t="s">
        <v>5045</v>
      </c>
      <c r="K959" s="3470" t="s">
        <v>6117</v>
      </c>
      <c r="L959" s="3470">
        <v>82.55</v>
      </c>
      <c r="M959" s="3470">
        <v>11</v>
      </c>
      <c r="N959" s="3470" t="s">
        <v>7017</v>
      </c>
      <c r="O959" s="3470">
        <v>67.23</v>
      </c>
      <c r="P959" s="3470" t="s">
        <v>3452</v>
      </c>
      <c r="Q959" s="3457">
        <v>334327.5</v>
      </c>
      <c r="R959" s="3470">
        <v>4050</v>
      </c>
      <c r="S959" s="3472">
        <v>33.06</v>
      </c>
      <c r="T959" s="3527">
        <v>330600</v>
      </c>
      <c r="U959" s="3470">
        <v>4005</v>
      </c>
      <c r="V959" s="3474">
        <v>0.1</v>
      </c>
      <c r="W959" s="3475">
        <v>29.75</v>
      </c>
      <c r="X959" s="3476">
        <v>297500</v>
      </c>
      <c r="Y959" s="3441">
        <v>2003</v>
      </c>
      <c r="Z959" s="3441">
        <v>11</v>
      </c>
      <c r="AA959" s="3470">
        <v>3</v>
      </c>
      <c r="AB959" s="3477">
        <v>1650</v>
      </c>
      <c r="AC959" s="3470" t="s">
        <v>8752</v>
      </c>
      <c r="AD959" s="3485"/>
      <c r="AE959" s="3441" t="s">
        <v>3663</v>
      </c>
      <c r="AF959" s="3470" t="s">
        <v>8994</v>
      </c>
      <c r="AG959" s="3522" t="s">
        <v>3466</v>
      </c>
      <c r="AH959" s="3485"/>
      <c r="AI959" s="3470" t="s">
        <v>5021</v>
      </c>
      <c r="AJ959" s="3523">
        <v>38352</v>
      </c>
      <c r="AK959" s="3603" t="s">
        <v>9912</v>
      </c>
      <c r="AL959" s="3441">
        <v>67641700</v>
      </c>
      <c r="AN959" s="3456" t="s">
        <v>3570</v>
      </c>
      <c r="AO959" s="3441" t="s">
        <v>9976</v>
      </c>
      <c r="AP959" s="3441" t="s">
        <v>3476</v>
      </c>
      <c r="AQ959" s="3441" t="s">
        <v>3571</v>
      </c>
      <c r="AW959" s="3441" t="s">
        <v>3572</v>
      </c>
      <c r="AY959" s="3524" t="s">
        <v>9977</v>
      </c>
      <c r="AZ959" s="3441" t="s">
        <v>6117</v>
      </c>
      <c r="BA959" s="3441" t="s">
        <v>7157</v>
      </c>
      <c r="BB959" s="3524">
        <v>1102281326100</v>
      </c>
      <c r="BC959" s="3441" t="s">
        <v>7158</v>
      </c>
      <c r="BD959" s="3525">
        <v>100055</v>
      </c>
      <c r="BE959" s="3441">
        <v>82951881</v>
      </c>
      <c r="BF959" s="3526">
        <v>2.8</v>
      </c>
      <c r="BG959" s="3518">
        <v>37914</v>
      </c>
      <c r="BH959" s="3441" t="s">
        <v>4753</v>
      </c>
      <c r="BI959" s="3441" t="s">
        <v>3476</v>
      </c>
      <c r="BJ959" s="3484">
        <v>37924</v>
      </c>
      <c r="BK959" s="3484"/>
      <c r="BL959" s="3470" t="s">
        <v>3670</v>
      </c>
    </row>
    <row r="960" spans="1:71" s="3441" customFormat="1" ht="12" hidden="1">
      <c r="A960" s="3542" t="s">
        <v>9978</v>
      </c>
      <c r="B960" s="3470" t="s">
        <v>9979</v>
      </c>
      <c r="C960" s="3481" t="s">
        <v>9980</v>
      </c>
      <c r="D960" s="3481" t="s">
        <v>9981</v>
      </c>
      <c r="E960" s="3470" t="s">
        <v>3558</v>
      </c>
      <c r="F960" s="3470" t="s">
        <v>7153</v>
      </c>
      <c r="G960" s="3470" t="s">
        <v>3568</v>
      </c>
      <c r="H960" s="3470" t="s">
        <v>9982</v>
      </c>
      <c r="I960" s="3453" t="s">
        <v>3676</v>
      </c>
      <c r="J960" s="3481" t="s">
        <v>9983</v>
      </c>
      <c r="K960" s="3470" t="s">
        <v>6117</v>
      </c>
      <c r="L960" s="3470">
        <v>98.22</v>
      </c>
      <c r="M960" s="3470">
        <v>10</v>
      </c>
      <c r="N960" s="3470" t="s">
        <v>3486</v>
      </c>
      <c r="O960" s="3470">
        <v>83.29</v>
      </c>
      <c r="P960" s="3470" t="s">
        <v>3452</v>
      </c>
      <c r="Q960" s="3457">
        <v>405648.6</v>
      </c>
      <c r="R960" s="3470">
        <v>4130</v>
      </c>
      <c r="S960" s="3472">
        <v>40.07</v>
      </c>
      <c r="T960" s="3550">
        <v>400700</v>
      </c>
      <c r="U960" s="3470">
        <v>4080</v>
      </c>
      <c r="V960" s="3474">
        <v>0.1</v>
      </c>
      <c r="W960" s="3475">
        <v>36.06</v>
      </c>
      <c r="X960" s="3602">
        <v>360600</v>
      </c>
      <c r="Y960" s="3441">
        <v>2003</v>
      </c>
      <c r="Z960" s="3441">
        <v>11</v>
      </c>
      <c r="AA960" s="3470">
        <v>5</v>
      </c>
      <c r="AB960" s="3477">
        <v>2000</v>
      </c>
      <c r="AC960" s="3470" t="s">
        <v>9077</v>
      </c>
      <c r="AD960" s="3485"/>
      <c r="AE960" s="3441" t="s">
        <v>3663</v>
      </c>
      <c r="AF960" s="3470" t="s">
        <v>7283</v>
      </c>
      <c r="AG960" s="3522" t="s">
        <v>3466</v>
      </c>
      <c r="AH960" s="3485"/>
      <c r="AI960" s="3470" t="s">
        <v>5021</v>
      </c>
      <c r="AJ960" s="3523">
        <v>38352</v>
      </c>
      <c r="AK960" s="3603" t="s">
        <v>9912</v>
      </c>
      <c r="AL960" s="3441">
        <v>67641700</v>
      </c>
      <c r="AN960" s="3456" t="s">
        <v>3570</v>
      </c>
      <c r="AO960" s="3441" t="s">
        <v>9984</v>
      </c>
      <c r="AP960" s="3441" t="s">
        <v>3476</v>
      </c>
      <c r="AQ960" s="3441" t="s">
        <v>3571</v>
      </c>
      <c r="AW960" s="3441" t="s">
        <v>3572</v>
      </c>
      <c r="AX960" s="3441" t="s">
        <v>3568</v>
      </c>
      <c r="AY960" s="3524" t="s">
        <v>9985</v>
      </c>
      <c r="AZ960" s="3441" t="s">
        <v>6117</v>
      </c>
      <c r="BA960" s="3441" t="s">
        <v>7157</v>
      </c>
      <c r="BB960" s="3524">
        <v>1102281326100</v>
      </c>
      <c r="BC960" s="3441" t="s">
        <v>7158</v>
      </c>
      <c r="BD960" s="3525">
        <v>100055</v>
      </c>
      <c r="BE960" s="3441">
        <v>82951881</v>
      </c>
      <c r="BF960" s="3526">
        <v>2.8</v>
      </c>
      <c r="BG960" s="3518">
        <v>37904</v>
      </c>
      <c r="BH960" s="3441" t="s">
        <v>4753</v>
      </c>
      <c r="BI960" s="3441" t="s">
        <v>7310</v>
      </c>
      <c r="BJ960" s="3518">
        <v>37925</v>
      </c>
      <c r="BK960" s="3518"/>
      <c r="BL960" s="3470" t="s">
        <v>3670</v>
      </c>
    </row>
    <row r="961" spans="1:253" s="3679" customFormat="1" ht="12" hidden="1">
      <c r="A961" s="3485" t="s">
        <v>9986</v>
      </c>
      <c r="B961" s="3677" t="s">
        <v>9987</v>
      </c>
      <c r="C961" s="3481" t="s">
        <v>9988</v>
      </c>
      <c r="D961" s="3678">
        <v>13601328881</v>
      </c>
      <c r="E961" s="3677" t="s">
        <v>3763</v>
      </c>
      <c r="F961" s="3628" t="s">
        <v>4333</v>
      </c>
      <c r="G961" s="3677"/>
      <c r="H961" s="3677" t="s">
        <v>9989</v>
      </c>
      <c r="I961" s="3677" t="s">
        <v>9349</v>
      </c>
      <c r="J961" s="3677" t="s">
        <v>9990</v>
      </c>
      <c r="K961" s="3677" t="s">
        <v>3631</v>
      </c>
      <c r="L961" s="3677">
        <v>76.069999999999993</v>
      </c>
      <c r="M961" s="3677">
        <v>18</v>
      </c>
      <c r="N961" s="3677" t="s">
        <v>3451</v>
      </c>
      <c r="O961" s="3677">
        <v>60.99</v>
      </c>
      <c r="P961" s="3470" t="s">
        <v>3452</v>
      </c>
      <c r="Q961" s="3457">
        <v>480762.39999999997</v>
      </c>
      <c r="R961" s="3677">
        <v>6320</v>
      </c>
      <c r="S961" s="3472">
        <v>46.69</v>
      </c>
      <c r="T961" s="3550">
        <v>466900</v>
      </c>
      <c r="U961" s="3677">
        <v>6139</v>
      </c>
      <c r="V961" s="3474">
        <v>0.1</v>
      </c>
      <c r="W961" s="3475">
        <v>42.02</v>
      </c>
      <c r="X961" s="3511">
        <v>420200.00000000006</v>
      </c>
      <c r="Y961" s="3679">
        <v>2003</v>
      </c>
      <c r="Z961" s="3680">
        <v>10</v>
      </c>
      <c r="AA961" s="3680">
        <v>28</v>
      </c>
      <c r="AB961" s="3485">
        <v>2330</v>
      </c>
      <c r="AC961" s="3470" t="s">
        <v>9007</v>
      </c>
      <c r="AD961" s="3681"/>
      <c r="AE961" s="3679" t="s">
        <v>6906</v>
      </c>
      <c r="AF961" s="3470" t="s">
        <v>4721</v>
      </c>
      <c r="AG961" s="3682" t="s">
        <v>3454</v>
      </c>
      <c r="AH961" s="3681"/>
      <c r="AI961" s="3677" t="s">
        <v>4849</v>
      </c>
      <c r="AJ961" s="3523">
        <v>38122</v>
      </c>
      <c r="AK961" s="3548" t="s">
        <v>8786</v>
      </c>
      <c r="AL961" s="3680">
        <v>67641700</v>
      </c>
      <c r="AN961" s="3480" t="s">
        <v>3484</v>
      </c>
      <c r="AO961" s="3677"/>
      <c r="AP961" s="3441" t="s">
        <v>3476</v>
      </c>
      <c r="AQ961" s="3470" t="s">
        <v>3571</v>
      </c>
      <c r="AW961" s="3679" t="s">
        <v>4064</v>
      </c>
      <c r="AY961" s="3679">
        <v>581635</v>
      </c>
      <c r="AZ961" s="3677" t="s">
        <v>3631</v>
      </c>
      <c r="BA961" s="3679" t="s">
        <v>4048</v>
      </c>
      <c r="BB961" s="3679" t="s">
        <v>3640</v>
      </c>
      <c r="BC961" s="3679" t="s">
        <v>9991</v>
      </c>
      <c r="BD961" s="3679">
        <v>100088</v>
      </c>
      <c r="BE961" s="3679">
        <v>82058259</v>
      </c>
      <c r="BF961" s="3679">
        <v>2.7</v>
      </c>
      <c r="BG961" s="3518">
        <v>37912</v>
      </c>
      <c r="BH961" s="3677"/>
      <c r="BI961" s="3470" t="s">
        <v>3713</v>
      </c>
      <c r="BJ961" s="3518">
        <v>37921</v>
      </c>
      <c r="BK961" s="3518"/>
      <c r="BL961" s="3677" t="s">
        <v>3670</v>
      </c>
      <c r="BP961" s="3441"/>
      <c r="BQ961" s="3441"/>
      <c r="BR961" s="3441"/>
      <c r="BS961" s="3441"/>
    </row>
    <row r="962" spans="1:253" s="3441" customFormat="1" ht="12" hidden="1">
      <c r="A962" s="3542" t="s">
        <v>9992</v>
      </c>
      <c r="B962" s="3470" t="s">
        <v>9993</v>
      </c>
      <c r="C962" s="3481" t="s">
        <v>9994</v>
      </c>
      <c r="D962" s="3481" t="s">
        <v>9995</v>
      </c>
      <c r="E962" s="3470" t="s">
        <v>3558</v>
      </c>
      <c r="F962" s="3528" t="s">
        <v>3733</v>
      </c>
      <c r="G962" s="3470"/>
      <c r="H962" s="3470" t="s">
        <v>9989</v>
      </c>
      <c r="I962" s="3470" t="s">
        <v>9586</v>
      </c>
      <c r="J962" s="3470" t="s">
        <v>9996</v>
      </c>
      <c r="K962" s="3470" t="s">
        <v>3737</v>
      </c>
      <c r="L962" s="3470">
        <v>76.069999999999993</v>
      </c>
      <c r="M962" s="3470">
        <v>2</v>
      </c>
      <c r="N962" s="3470" t="s">
        <v>3709</v>
      </c>
      <c r="O962" s="3470">
        <v>60.99</v>
      </c>
      <c r="P962" s="3470" t="s">
        <v>3452</v>
      </c>
      <c r="Q962" s="3600">
        <v>429034.8</v>
      </c>
      <c r="R962" s="3470">
        <v>5640</v>
      </c>
      <c r="S962" s="3472">
        <v>41.49</v>
      </c>
      <c r="T962" s="3527">
        <v>414900</v>
      </c>
      <c r="U962" s="3470">
        <v>5455</v>
      </c>
      <c r="V962" s="3474">
        <v>0.1</v>
      </c>
      <c r="W962" s="3475">
        <v>37.340000000000003</v>
      </c>
      <c r="X962" s="3494">
        <v>373400.00000000006</v>
      </c>
      <c r="Y962" s="3441">
        <v>2003</v>
      </c>
      <c r="Z962" s="3441">
        <v>11</v>
      </c>
      <c r="AA962" s="3470">
        <v>6</v>
      </c>
      <c r="AB962" s="3477">
        <v>2070</v>
      </c>
      <c r="AC962" s="3470" t="s">
        <v>9007</v>
      </c>
      <c r="AD962" s="3485"/>
      <c r="AE962" s="3441" t="s">
        <v>3663</v>
      </c>
      <c r="AF962" s="3470" t="s">
        <v>3604</v>
      </c>
      <c r="AG962" s="3522" t="s">
        <v>3466</v>
      </c>
      <c r="AH962" s="3485"/>
      <c r="AI962" s="3470" t="s">
        <v>5021</v>
      </c>
      <c r="AJ962" s="3523">
        <v>38122</v>
      </c>
      <c r="AK962" s="3603" t="s">
        <v>4773</v>
      </c>
      <c r="AL962" s="3441">
        <v>67641700</v>
      </c>
      <c r="AN962" s="3456" t="s">
        <v>3570</v>
      </c>
      <c r="AO962" s="3441" t="s">
        <v>9997</v>
      </c>
      <c r="AP962" s="3441" t="s">
        <v>3476</v>
      </c>
      <c r="AQ962" s="3441" t="s">
        <v>3571</v>
      </c>
      <c r="AW962" s="3441" t="s">
        <v>3572</v>
      </c>
      <c r="AY962" s="3524" t="s">
        <v>9998</v>
      </c>
      <c r="AZ962" s="3441" t="s">
        <v>3737</v>
      </c>
      <c r="BA962" s="3441" t="s">
        <v>3742</v>
      </c>
      <c r="BB962" s="3524" t="s">
        <v>3743</v>
      </c>
      <c r="BC962" s="3441" t="s">
        <v>3744</v>
      </c>
      <c r="BD962" s="3525">
        <v>100088</v>
      </c>
      <c r="BE962" s="3441">
        <v>82058259</v>
      </c>
      <c r="BF962" s="3526" t="s">
        <v>8595</v>
      </c>
      <c r="BG962" s="3478">
        <v>37914</v>
      </c>
      <c r="BH962" s="3441" t="s">
        <v>4753</v>
      </c>
      <c r="BI962" s="3441" t="s">
        <v>3476</v>
      </c>
      <c r="BJ962" s="3484">
        <v>37930</v>
      </c>
      <c r="BK962" s="3484" t="s">
        <v>3715</v>
      </c>
      <c r="BL962" s="3470" t="s">
        <v>3670</v>
      </c>
    </row>
    <row r="963" spans="1:253" s="3441" customFormat="1" ht="12" hidden="1">
      <c r="A963" s="3485" t="s">
        <v>9999</v>
      </c>
      <c r="B963" s="3470" t="s">
        <v>10000</v>
      </c>
      <c r="C963" s="3481" t="s">
        <v>10001</v>
      </c>
      <c r="D963" s="3481" t="s">
        <v>10002</v>
      </c>
      <c r="E963" s="3470" t="s">
        <v>3558</v>
      </c>
      <c r="F963" s="3528" t="s">
        <v>4669</v>
      </c>
      <c r="G963" s="3470"/>
      <c r="H963" s="3470" t="s">
        <v>4453</v>
      </c>
      <c r="I963" s="3470" t="s">
        <v>4447</v>
      </c>
      <c r="J963" s="3481" t="s">
        <v>10003</v>
      </c>
      <c r="K963" s="3470" t="s">
        <v>4673</v>
      </c>
      <c r="L963" s="3470">
        <v>101.39</v>
      </c>
      <c r="M963" s="3470">
        <v>12</v>
      </c>
      <c r="N963" s="3470" t="s">
        <v>4871</v>
      </c>
      <c r="O963" s="3470">
        <v>78.86</v>
      </c>
      <c r="P963" s="3470" t="s">
        <v>3452</v>
      </c>
      <c r="Q963" s="3492">
        <v>646148.08460000006</v>
      </c>
      <c r="R963" s="3470">
        <v>8193.61</v>
      </c>
      <c r="S963" s="3472">
        <v>64.09</v>
      </c>
      <c r="T963" s="3527">
        <v>640900</v>
      </c>
      <c r="U963" s="3470">
        <v>6322</v>
      </c>
      <c r="V963" s="3474">
        <v>0.1</v>
      </c>
      <c r="W963" s="3475">
        <v>57.68</v>
      </c>
      <c r="X963" s="3494">
        <v>576800</v>
      </c>
      <c r="Y963" s="3441">
        <v>2003</v>
      </c>
      <c r="Z963" s="3441">
        <v>10</v>
      </c>
      <c r="AA963" s="3470">
        <v>28</v>
      </c>
      <c r="AB963" s="3477">
        <v>3200</v>
      </c>
      <c r="AC963" s="3470" t="s">
        <v>9502</v>
      </c>
      <c r="AD963" s="3485"/>
      <c r="AE963" s="3441" t="s">
        <v>3663</v>
      </c>
      <c r="AF963" s="3470" t="s">
        <v>4721</v>
      </c>
      <c r="AG963" s="3522" t="s">
        <v>3466</v>
      </c>
      <c r="AH963" s="3485"/>
      <c r="AI963" s="3470" t="s">
        <v>5021</v>
      </c>
      <c r="AJ963" s="3523">
        <v>38347</v>
      </c>
      <c r="AK963" s="3500" t="s">
        <v>4744</v>
      </c>
      <c r="AL963" s="3441">
        <v>67641700</v>
      </c>
      <c r="AN963" s="3456" t="s">
        <v>6892</v>
      </c>
      <c r="AO963" s="3441" t="s">
        <v>3568</v>
      </c>
      <c r="AP963" s="3441" t="s">
        <v>3476</v>
      </c>
      <c r="AQ963" s="3441" t="s">
        <v>3571</v>
      </c>
      <c r="AW963" s="3441" t="s">
        <v>3572</v>
      </c>
      <c r="AY963" s="3524" t="s">
        <v>10004</v>
      </c>
      <c r="AZ963" s="3441" t="s">
        <v>4677</v>
      </c>
      <c r="BA963" s="3441" t="s">
        <v>4678</v>
      </c>
      <c r="BB963" s="3524" t="s">
        <v>4679</v>
      </c>
      <c r="BC963" s="3441" t="s">
        <v>4680</v>
      </c>
      <c r="BD963" s="3525">
        <v>100089</v>
      </c>
      <c r="BE963" s="3441">
        <v>68719656</v>
      </c>
      <c r="BF963" s="3526">
        <v>2.8</v>
      </c>
      <c r="BG963" s="3518">
        <v>37862</v>
      </c>
      <c r="BI963" s="3470" t="s">
        <v>9506</v>
      </c>
      <c r="BJ963" s="3484">
        <v>37910</v>
      </c>
      <c r="BK963" s="3484"/>
      <c r="BL963" s="3470" t="s">
        <v>3670</v>
      </c>
    </row>
    <row r="964" spans="1:253" s="3441" customFormat="1" ht="12" hidden="1">
      <c r="A964" s="3453" t="s">
        <v>10005</v>
      </c>
      <c r="B964" s="3470" t="s">
        <v>10006</v>
      </c>
      <c r="C964" s="3481" t="s">
        <v>10007</v>
      </c>
      <c r="D964" s="3481" t="s">
        <v>10008</v>
      </c>
      <c r="E964" s="3470" t="s">
        <v>3558</v>
      </c>
      <c r="F964" s="3528" t="s">
        <v>10009</v>
      </c>
      <c r="G964" s="3470"/>
      <c r="H964" s="3470" t="s">
        <v>10010</v>
      </c>
      <c r="I964" s="3470" t="s">
        <v>9856</v>
      </c>
      <c r="J964" s="3481" t="s">
        <v>6990</v>
      </c>
      <c r="K964" s="3470" t="s">
        <v>4649</v>
      </c>
      <c r="L964" s="3470">
        <v>92.49</v>
      </c>
      <c r="M964" s="3470">
        <v>4</v>
      </c>
      <c r="N964" s="3470" t="s">
        <v>3451</v>
      </c>
      <c r="O964" s="3470">
        <v>72.91</v>
      </c>
      <c r="P964" s="3470" t="s">
        <v>3452</v>
      </c>
      <c r="Q964" s="3457">
        <v>674437.08</v>
      </c>
      <c r="R964" s="3470">
        <v>7292</v>
      </c>
      <c r="S964" s="3472">
        <v>66.92</v>
      </c>
      <c r="T964" s="3527">
        <v>669200</v>
      </c>
      <c r="U964" s="3491">
        <v>7236</v>
      </c>
      <c r="V964" s="3529">
        <v>0.1</v>
      </c>
      <c r="W964" s="3475">
        <v>60.22</v>
      </c>
      <c r="X964" s="3473">
        <v>602200</v>
      </c>
      <c r="Y964" s="3501">
        <v>2003</v>
      </c>
      <c r="Z964" s="3441">
        <v>10</v>
      </c>
      <c r="AA964" s="3441">
        <v>28</v>
      </c>
      <c r="AB964" s="3477">
        <v>3345</v>
      </c>
      <c r="AC964" s="3470" t="s">
        <v>4800</v>
      </c>
      <c r="AD964" s="3485"/>
      <c r="AE964" s="3441" t="s">
        <v>3663</v>
      </c>
      <c r="AF964" s="3470" t="s">
        <v>4787</v>
      </c>
      <c r="AG964" s="3522" t="s">
        <v>3466</v>
      </c>
      <c r="AH964" s="3485"/>
      <c r="AI964" s="3470" t="s">
        <v>5021</v>
      </c>
      <c r="AJ964" s="3523">
        <v>38199</v>
      </c>
      <c r="AK964" s="3500" t="s">
        <v>8786</v>
      </c>
      <c r="AL964" s="3441">
        <v>67641700</v>
      </c>
      <c r="AN964" s="3480" t="s">
        <v>3484</v>
      </c>
      <c r="AP964" s="3441" t="s">
        <v>3476</v>
      </c>
      <c r="AQ964" s="3441" t="s">
        <v>3571</v>
      </c>
      <c r="AW964" s="3441" t="s">
        <v>3572</v>
      </c>
      <c r="AX964" s="3441" t="s">
        <v>3568</v>
      </c>
      <c r="AY964" s="3524" t="s">
        <v>10011</v>
      </c>
      <c r="AZ964" s="3441" t="s">
        <v>4654</v>
      </c>
      <c r="BA964" s="3441" t="s">
        <v>4688</v>
      </c>
      <c r="BB964" s="3524" t="s">
        <v>4689</v>
      </c>
      <c r="BC964" s="3441" t="s">
        <v>4656</v>
      </c>
      <c r="BD964" s="3525">
        <v>100037</v>
      </c>
      <c r="BE964" s="3441">
        <v>68347718</v>
      </c>
      <c r="BF964" s="3526">
        <v>2.8</v>
      </c>
      <c r="BG964" s="3518">
        <v>37868</v>
      </c>
      <c r="BI964" s="3441" t="s">
        <v>8757</v>
      </c>
      <c r="BJ964" s="3484">
        <v>37918</v>
      </c>
      <c r="BK964" s="3484"/>
      <c r="BL964" s="3470" t="s">
        <v>3670</v>
      </c>
    </row>
    <row r="965" spans="1:253" s="3679" customFormat="1" ht="12" hidden="1">
      <c r="A965" s="3485" t="s">
        <v>10012</v>
      </c>
      <c r="B965" s="3677" t="s">
        <v>10013</v>
      </c>
      <c r="C965" s="3481" t="s">
        <v>10014</v>
      </c>
      <c r="D965" s="3678" t="s">
        <v>10015</v>
      </c>
      <c r="E965" s="3677" t="s">
        <v>2736</v>
      </c>
      <c r="F965" s="3628" t="s">
        <v>3628</v>
      </c>
      <c r="G965" s="3677"/>
      <c r="H965" s="3677" t="s">
        <v>9989</v>
      </c>
      <c r="I965" s="3677" t="s">
        <v>4707</v>
      </c>
      <c r="J965" s="3677" t="s">
        <v>9397</v>
      </c>
      <c r="K965" s="3677" t="s">
        <v>3647</v>
      </c>
      <c r="L965" s="3677">
        <v>88.67</v>
      </c>
      <c r="M965" s="3677">
        <v>14</v>
      </c>
      <c r="N965" s="3677" t="s">
        <v>3491</v>
      </c>
      <c r="O965" s="3677">
        <v>71.09</v>
      </c>
      <c r="P965" s="3470" t="s">
        <v>3452</v>
      </c>
      <c r="Q965" s="3457">
        <v>594975.69999999995</v>
      </c>
      <c r="R965" s="3677">
        <v>6710</v>
      </c>
      <c r="S965" s="3472">
        <v>58.05</v>
      </c>
      <c r="T965" s="3550">
        <v>580500</v>
      </c>
      <c r="U965" s="3677">
        <v>6547</v>
      </c>
      <c r="V965" s="3474">
        <v>0.1</v>
      </c>
      <c r="W965" s="3475">
        <v>52.24</v>
      </c>
      <c r="X965" s="3511">
        <v>522400</v>
      </c>
      <c r="Y965" s="3679">
        <v>2003</v>
      </c>
      <c r="Z965" s="3680">
        <v>10</v>
      </c>
      <c r="AA965" s="3680">
        <v>28</v>
      </c>
      <c r="AB965" s="3485">
        <v>2900</v>
      </c>
      <c r="AC965" s="3470" t="s">
        <v>4800</v>
      </c>
      <c r="AD965" s="3681"/>
      <c r="AE965" s="3679" t="s">
        <v>3547</v>
      </c>
      <c r="AF965" s="3470" t="s">
        <v>4721</v>
      </c>
      <c r="AG965" s="3682" t="s">
        <v>6908</v>
      </c>
      <c r="AH965" s="3681"/>
      <c r="AI965" s="3677" t="s">
        <v>3664</v>
      </c>
      <c r="AJ965" s="3523">
        <v>38122</v>
      </c>
      <c r="AK965" s="3548" t="s">
        <v>4752</v>
      </c>
      <c r="AL965" s="3680">
        <v>67641700</v>
      </c>
      <c r="AN965" s="3480" t="s">
        <v>6892</v>
      </c>
      <c r="AO965" s="3677"/>
      <c r="AP965" s="3441" t="s">
        <v>3476</v>
      </c>
      <c r="AQ965" s="3470" t="s">
        <v>3571</v>
      </c>
      <c r="AW965" s="3679" t="s">
        <v>3458</v>
      </c>
      <c r="AY965" s="3679">
        <v>581208</v>
      </c>
      <c r="AZ965" s="3677" t="s">
        <v>3647</v>
      </c>
      <c r="BA965" s="3679" t="s">
        <v>10016</v>
      </c>
      <c r="BB965" s="3679" t="s">
        <v>3640</v>
      </c>
      <c r="BC965" s="3679" t="s">
        <v>4049</v>
      </c>
      <c r="BD965" s="3679">
        <v>100088</v>
      </c>
      <c r="BE965" s="3679">
        <v>82058259</v>
      </c>
      <c r="BF965" s="3679">
        <v>2.7</v>
      </c>
      <c r="BG965" s="3518">
        <v>37915</v>
      </c>
      <c r="BH965" s="3677"/>
      <c r="BI965" s="3470" t="s">
        <v>3721</v>
      </c>
      <c r="BJ965" s="3518">
        <v>37917</v>
      </c>
      <c r="BK965" s="3518"/>
      <c r="BL965" s="3677" t="s">
        <v>3670</v>
      </c>
      <c r="BP965" s="3441"/>
      <c r="BQ965" s="3441"/>
      <c r="BR965" s="3441"/>
      <c r="BS965" s="3441"/>
    </row>
    <row r="966" spans="1:253" s="3679" customFormat="1" ht="12" hidden="1">
      <c r="A966" s="3485" t="s">
        <v>10017</v>
      </c>
      <c r="B966" s="3677" t="s">
        <v>10018</v>
      </c>
      <c r="C966" s="3481" t="s">
        <v>10019</v>
      </c>
      <c r="D966" s="3678" t="s">
        <v>10020</v>
      </c>
      <c r="E966" s="3677" t="s">
        <v>3763</v>
      </c>
      <c r="F966" s="3628" t="s">
        <v>3628</v>
      </c>
      <c r="G966" s="3677"/>
      <c r="H966" s="3677" t="s">
        <v>9875</v>
      </c>
      <c r="I966" s="3677" t="s">
        <v>4707</v>
      </c>
      <c r="J966" s="3677" t="s">
        <v>10021</v>
      </c>
      <c r="K966" s="3677" t="s">
        <v>10022</v>
      </c>
      <c r="L966" s="3677">
        <v>54.68</v>
      </c>
      <c r="M966" s="3677">
        <v>14</v>
      </c>
      <c r="N966" s="3677" t="s">
        <v>3489</v>
      </c>
      <c r="O966" s="3677">
        <v>43.84</v>
      </c>
      <c r="P966" s="3470" t="s">
        <v>3452</v>
      </c>
      <c r="Q966" s="3457">
        <v>343390.4</v>
      </c>
      <c r="R966" s="3677">
        <v>6280</v>
      </c>
      <c r="S966" s="3472">
        <v>33.06</v>
      </c>
      <c r="T966" s="3550">
        <v>330600</v>
      </c>
      <c r="U966" s="3677">
        <v>6047</v>
      </c>
      <c r="V966" s="3474">
        <v>0.1</v>
      </c>
      <c r="W966" s="3475">
        <v>29.75</v>
      </c>
      <c r="X966" s="3511">
        <v>297500</v>
      </c>
      <c r="Y966" s="3679">
        <v>2003</v>
      </c>
      <c r="Z966" s="3680">
        <v>10</v>
      </c>
      <c r="AA966" s="3680">
        <v>28</v>
      </c>
      <c r="AB966" s="3485">
        <v>1650</v>
      </c>
      <c r="AC966" s="3470" t="s">
        <v>9120</v>
      </c>
      <c r="AD966" s="3681"/>
      <c r="AE966" s="3679" t="s">
        <v>6906</v>
      </c>
      <c r="AF966" s="3470" t="s">
        <v>4721</v>
      </c>
      <c r="AG966" s="3682" t="s">
        <v>3454</v>
      </c>
      <c r="AH966" s="3681"/>
      <c r="AI966" s="3677" t="s">
        <v>4849</v>
      </c>
      <c r="AJ966" s="3523">
        <v>38122</v>
      </c>
      <c r="AK966" s="3548" t="s">
        <v>9283</v>
      </c>
      <c r="AL966" s="3680">
        <v>67641700</v>
      </c>
      <c r="AN966" s="3480" t="s">
        <v>3484</v>
      </c>
      <c r="AO966" s="3677"/>
      <c r="AP966" s="3441" t="s">
        <v>3476</v>
      </c>
      <c r="AQ966" s="3470" t="s">
        <v>3571</v>
      </c>
      <c r="AW966" s="3679" t="s">
        <v>3458</v>
      </c>
      <c r="AY966" s="3679">
        <v>581659</v>
      </c>
      <c r="AZ966" s="3677" t="s">
        <v>3631</v>
      </c>
      <c r="BA966" s="3679" t="s">
        <v>4338</v>
      </c>
      <c r="BB966" s="3679" t="s">
        <v>3640</v>
      </c>
      <c r="BC966" s="3679" t="s">
        <v>4049</v>
      </c>
      <c r="BD966" s="3679">
        <v>100088</v>
      </c>
      <c r="BE966" s="3679">
        <v>82058259</v>
      </c>
      <c r="BF966" s="3679">
        <v>2.7</v>
      </c>
      <c r="BG966" s="3518">
        <v>37913</v>
      </c>
      <c r="BH966" s="3677"/>
      <c r="BI966" s="3470" t="s">
        <v>7310</v>
      </c>
      <c r="BJ966" s="3518">
        <v>37917</v>
      </c>
      <c r="BK966" s="3518"/>
      <c r="BL966" s="3677" t="s">
        <v>3670</v>
      </c>
      <c r="BP966" s="3441"/>
      <c r="BQ966" s="3441"/>
      <c r="BR966" s="3441"/>
      <c r="BS966" s="3441"/>
    </row>
    <row r="967" spans="1:253" s="3441" customFormat="1" ht="12" hidden="1">
      <c r="A967" s="3485" t="s">
        <v>10023</v>
      </c>
      <c r="B967" s="3470" t="s">
        <v>10024</v>
      </c>
      <c r="C967" s="3481" t="s">
        <v>10025</v>
      </c>
      <c r="D967" s="3481" t="s">
        <v>10026</v>
      </c>
      <c r="E967" s="3470" t="s">
        <v>3558</v>
      </c>
      <c r="F967" s="3470" t="s">
        <v>4693</v>
      </c>
      <c r="G967" s="3470"/>
      <c r="H967" s="3470" t="s">
        <v>4453</v>
      </c>
      <c r="I967" s="3470" t="s">
        <v>9411</v>
      </c>
      <c r="J967" s="3481" t="s">
        <v>10027</v>
      </c>
      <c r="K967" s="3470" t="s">
        <v>4697</v>
      </c>
      <c r="L967" s="3470">
        <v>30.98</v>
      </c>
      <c r="M967" s="3470">
        <v>11</v>
      </c>
      <c r="N967" s="3470" t="s">
        <v>3692</v>
      </c>
      <c r="O967" s="3470">
        <v>23.01</v>
      </c>
      <c r="P967" s="3470" t="s">
        <v>3452</v>
      </c>
      <c r="Q967" s="3457">
        <v>266697.52600000001</v>
      </c>
      <c r="R967" s="3470">
        <v>8608.7000000000007</v>
      </c>
      <c r="S967" s="3472">
        <v>26.67</v>
      </c>
      <c r="T967" s="3527">
        <v>266700</v>
      </c>
      <c r="U967" s="3470">
        <v>8609</v>
      </c>
      <c r="V967" s="3474">
        <v>0.1</v>
      </c>
      <c r="W967" s="3475">
        <v>24</v>
      </c>
      <c r="X967" s="3476">
        <v>240000</v>
      </c>
      <c r="Y967" s="3441">
        <v>2003</v>
      </c>
      <c r="Z967" s="3441">
        <v>10</v>
      </c>
      <c r="AA967" s="3470">
        <v>28</v>
      </c>
      <c r="AB967" s="3477">
        <v>1330</v>
      </c>
      <c r="AC967" s="3470" t="s">
        <v>9077</v>
      </c>
      <c r="AD967" s="3485"/>
      <c r="AE967" s="3441" t="s">
        <v>3663</v>
      </c>
      <c r="AF967" s="3470" t="s">
        <v>4721</v>
      </c>
      <c r="AG967" s="3522" t="s">
        <v>3466</v>
      </c>
      <c r="AH967" s="3485" t="s">
        <v>3463</v>
      </c>
      <c r="AI967" s="3470" t="s">
        <v>5021</v>
      </c>
      <c r="AJ967" s="3523">
        <v>38138</v>
      </c>
      <c r="AK967" s="3500" t="s">
        <v>4752</v>
      </c>
      <c r="AL967" s="3441">
        <v>67641700</v>
      </c>
      <c r="AN967" s="3456" t="s">
        <v>3680</v>
      </c>
      <c r="AP967" s="3441" t="s">
        <v>3476</v>
      </c>
      <c r="AQ967" s="3441" t="s">
        <v>3571</v>
      </c>
      <c r="AV967" s="3441" t="s">
        <v>3568</v>
      </c>
      <c r="AW967" s="3441" t="s">
        <v>3572</v>
      </c>
      <c r="AX967" s="3441" t="s">
        <v>3568</v>
      </c>
      <c r="AY967" s="3524" t="s">
        <v>10028</v>
      </c>
      <c r="AZ967" s="3441" t="s">
        <v>4697</v>
      </c>
      <c r="BA967" s="3441" t="s">
        <v>4700</v>
      </c>
      <c r="BB967" s="3524" t="s">
        <v>4701</v>
      </c>
      <c r="BC967" s="3441" t="s">
        <v>4702</v>
      </c>
      <c r="BD967" s="3525">
        <v>100011</v>
      </c>
      <c r="BE967" s="3441">
        <v>62351476</v>
      </c>
      <c r="BF967" s="3526">
        <v>2.8</v>
      </c>
      <c r="BG967" s="3518">
        <v>37873</v>
      </c>
      <c r="BI967" s="3441" t="s">
        <v>3476</v>
      </c>
      <c r="BJ967" s="3484">
        <v>37910</v>
      </c>
      <c r="BK967" s="3484"/>
      <c r="BL967" s="3470" t="s">
        <v>3670</v>
      </c>
    </row>
    <row r="968" spans="1:253" s="3470" customFormat="1" ht="12" hidden="1">
      <c r="A968" s="3470" t="s">
        <v>10029</v>
      </c>
      <c r="B968" s="3470" t="s">
        <v>10030</v>
      </c>
      <c r="C968" s="3481" t="s">
        <v>10031</v>
      </c>
      <c r="D968" s="3470">
        <v>13601291218</v>
      </c>
      <c r="E968" s="3470" t="s">
        <v>2736</v>
      </c>
      <c r="F968" s="3470" t="s">
        <v>4782</v>
      </c>
      <c r="H968" s="3470" t="s">
        <v>7014</v>
      </c>
      <c r="I968" s="3470" t="s">
        <v>8768</v>
      </c>
      <c r="J968" s="3470" t="s">
        <v>10032</v>
      </c>
      <c r="K968" s="3470" t="s">
        <v>8738</v>
      </c>
      <c r="L968" s="3470">
        <v>61.74</v>
      </c>
      <c r="M968" s="3470">
        <v>16</v>
      </c>
      <c r="N968" s="3470" t="s">
        <v>6871</v>
      </c>
      <c r="O968" s="3470">
        <v>48.43</v>
      </c>
      <c r="P968" s="3470" t="s">
        <v>3452</v>
      </c>
      <c r="Q968" s="3457">
        <v>375996.60000000003</v>
      </c>
      <c r="R968" s="3470">
        <v>6090</v>
      </c>
      <c r="S968" s="3472">
        <v>37.270000000000003</v>
      </c>
      <c r="T968" s="3527">
        <v>372700.00000000006</v>
      </c>
      <c r="U968" s="3470">
        <v>6037</v>
      </c>
      <c r="V968" s="3474">
        <v>0.1</v>
      </c>
      <c r="W968" s="3475">
        <v>33.54</v>
      </c>
      <c r="X968" s="3476">
        <v>335400</v>
      </c>
      <c r="Y968" s="3470">
        <v>2003</v>
      </c>
      <c r="Z968" s="3441">
        <v>10</v>
      </c>
      <c r="AA968" s="3470">
        <v>28</v>
      </c>
      <c r="AB968" s="3477">
        <v>1860</v>
      </c>
      <c r="AC968" s="3470" t="s">
        <v>9413</v>
      </c>
      <c r="AE968" s="3470" t="s">
        <v>3663</v>
      </c>
      <c r="AF968" s="3453" t="s">
        <v>4787</v>
      </c>
      <c r="AG968" s="3470" t="s">
        <v>3466</v>
      </c>
      <c r="AI968" s="3470" t="s">
        <v>3664</v>
      </c>
      <c r="AJ968" s="3478">
        <v>38261</v>
      </c>
      <c r="AK968" s="3500" t="s">
        <v>8786</v>
      </c>
      <c r="AL968" s="3441">
        <v>67641700</v>
      </c>
      <c r="AM968" s="3441"/>
      <c r="AN968" s="3456" t="s">
        <v>3680</v>
      </c>
      <c r="AP968" s="3441" t="s">
        <v>3476</v>
      </c>
      <c r="AQ968" s="3470" t="s">
        <v>3457</v>
      </c>
      <c r="AW968" s="3470" t="s">
        <v>3458</v>
      </c>
      <c r="AX968" s="3508"/>
      <c r="AY968" s="3470">
        <v>552412</v>
      </c>
      <c r="AZ968" s="3470" t="s">
        <v>4789</v>
      </c>
      <c r="BA968" s="3470" t="s">
        <v>9034</v>
      </c>
      <c r="BB968" s="3470" t="s">
        <v>4791</v>
      </c>
      <c r="BC968" s="3470" t="s">
        <v>9809</v>
      </c>
      <c r="BD968" s="3470">
        <v>102308</v>
      </c>
      <c r="BE968" s="3470">
        <v>68041987</v>
      </c>
      <c r="BF968" s="3470">
        <v>2.8</v>
      </c>
      <c r="BG968" s="3478">
        <v>37906</v>
      </c>
      <c r="BH968" s="3470" t="s">
        <v>3758</v>
      </c>
      <c r="BI968" s="3441" t="s">
        <v>3476</v>
      </c>
      <c r="BJ968" s="3484">
        <v>37918</v>
      </c>
      <c r="BK968" s="3508"/>
      <c r="BL968" s="3470" t="s">
        <v>3594</v>
      </c>
      <c r="BP968" s="3441"/>
      <c r="BQ968" s="3441"/>
      <c r="BR968" s="3441"/>
    </row>
    <row r="969" spans="1:253" s="3470" customFormat="1" ht="12" hidden="1">
      <c r="A969" s="3470" t="s">
        <v>10033</v>
      </c>
      <c r="B969" s="3470" t="s">
        <v>10034</v>
      </c>
      <c r="C969" s="3481" t="s">
        <v>10035</v>
      </c>
      <c r="D969" s="3470">
        <v>13671087263</v>
      </c>
      <c r="E969" s="3470" t="s">
        <v>3763</v>
      </c>
      <c r="F969" s="3470" t="s">
        <v>8990</v>
      </c>
      <c r="H969" s="3470" t="s">
        <v>4281</v>
      </c>
      <c r="I969" s="3470" t="s">
        <v>4447</v>
      </c>
      <c r="J969" s="3470" t="s">
        <v>10036</v>
      </c>
      <c r="K969" s="3470" t="s">
        <v>4789</v>
      </c>
      <c r="L969" s="3470">
        <v>118.33</v>
      </c>
      <c r="M969" s="3470">
        <v>12</v>
      </c>
      <c r="N969" s="3542" t="s">
        <v>3632</v>
      </c>
      <c r="O969" s="3470">
        <v>92.82</v>
      </c>
      <c r="P969" s="3470" t="s">
        <v>3452</v>
      </c>
      <c r="Q969" s="3457">
        <v>675664.3</v>
      </c>
      <c r="R969" s="3470">
        <v>5710</v>
      </c>
      <c r="S969" s="3472">
        <v>66.92</v>
      </c>
      <c r="T969" s="3527">
        <v>669200</v>
      </c>
      <c r="U969" s="3470">
        <v>5656</v>
      </c>
      <c r="V969" s="3474">
        <v>0.1</v>
      </c>
      <c r="W969" s="3475">
        <v>60.22</v>
      </c>
      <c r="X969" s="3476">
        <v>602200</v>
      </c>
      <c r="Y969" s="3470">
        <v>2003</v>
      </c>
      <c r="Z969" s="3441">
        <v>10</v>
      </c>
      <c r="AA969" s="3470">
        <v>29</v>
      </c>
      <c r="AB969" s="3477">
        <v>3345</v>
      </c>
      <c r="AC969" s="3470" t="s">
        <v>9060</v>
      </c>
      <c r="AE969" s="3470" t="s">
        <v>3663</v>
      </c>
      <c r="AF969" s="3453" t="s">
        <v>8994</v>
      </c>
      <c r="AG969" s="3470" t="s">
        <v>3466</v>
      </c>
      <c r="AI969" s="3470" t="s">
        <v>3664</v>
      </c>
      <c r="AJ969" s="3478">
        <v>38261</v>
      </c>
      <c r="AK969" s="3500" t="s">
        <v>4752</v>
      </c>
      <c r="AL969" s="3441">
        <v>67641700</v>
      </c>
      <c r="AM969" s="3441"/>
      <c r="AN969" s="3456" t="s">
        <v>3680</v>
      </c>
      <c r="AP969" s="3441" t="s">
        <v>3476</v>
      </c>
      <c r="AQ969" s="3470" t="s">
        <v>7265</v>
      </c>
      <c r="AW969" s="3470" t="s">
        <v>3458</v>
      </c>
      <c r="AX969" s="3508"/>
      <c r="AY969" s="3470">
        <v>552407</v>
      </c>
      <c r="AZ969" s="3470" t="s">
        <v>8738</v>
      </c>
      <c r="BA969" s="3470" t="s">
        <v>9034</v>
      </c>
      <c r="BB969" s="3470" t="s">
        <v>4791</v>
      </c>
      <c r="BC969" s="3470" t="s">
        <v>9035</v>
      </c>
      <c r="BD969" s="3470">
        <v>102308</v>
      </c>
      <c r="BE969" s="3470">
        <v>68041987</v>
      </c>
      <c r="BF969" s="3470">
        <v>2.8</v>
      </c>
      <c r="BG969" s="3478">
        <v>37899</v>
      </c>
      <c r="BH969" s="3470" t="s">
        <v>3758</v>
      </c>
      <c r="BI969" s="3441" t="s">
        <v>3476</v>
      </c>
      <c r="BJ969" s="3484">
        <v>37921</v>
      </c>
      <c r="BK969" s="3508"/>
      <c r="BL969" s="3470" t="s">
        <v>3594</v>
      </c>
      <c r="BP969" s="3441"/>
      <c r="BQ969" s="3441"/>
      <c r="BR969" s="3441"/>
    </row>
    <row r="970" spans="1:253" s="3604" customFormat="1" ht="12" hidden="1">
      <c r="A970" s="3485" t="s">
        <v>10037</v>
      </c>
      <c r="B970" s="3470" t="s">
        <v>10038</v>
      </c>
      <c r="C970" s="3481" t="s">
        <v>10039</v>
      </c>
      <c r="D970" s="3481" t="s">
        <v>10040</v>
      </c>
      <c r="E970" s="3470" t="s">
        <v>3558</v>
      </c>
      <c r="F970" s="3470" t="s">
        <v>7153</v>
      </c>
      <c r="G970" s="3470" t="s">
        <v>3568</v>
      </c>
      <c r="H970" s="3470" t="s">
        <v>9119</v>
      </c>
      <c r="I970" s="3453" t="s">
        <v>3676</v>
      </c>
      <c r="J970" s="3481" t="s">
        <v>10041</v>
      </c>
      <c r="K970" s="3470" t="s">
        <v>6117</v>
      </c>
      <c r="L970" s="3470">
        <v>44.92</v>
      </c>
      <c r="M970" s="3470">
        <v>11</v>
      </c>
      <c r="N970" s="3470" t="s">
        <v>9699</v>
      </c>
      <c r="O970" s="3470">
        <v>36.72</v>
      </c>
      <c r="P970" s="3470" t="s">
        <v>3452</v>
      </c>
      <c r="Q970" s="3457">
        <v>180578.4</v>
      </c>
      <c r="R970" s="3470">
        <v>4020</v>
      </c>
      <c r="S970" s="3472">
        <v>17.829999999999998</v>
      </c>
      <c r="T970" s="3527">
        <v>178299.99999999997</v>
      </c>
      <c r="U970" s="3470">
        <v>3970</v>
      </c>
      <c r="V970" s="3474">
        <v>0.1</v>
      </c>
      <c r="W970" s="3475">
        <v>16.04</v>
      </c>
      <c r="X970" s="3476">
        <v>160400</v>
      </c>
      <c r="Y970" s="3441">
        <v>2003</v>
      </c>
      <c r="Z970" s="3441">
        <v>10</v>
      </c>
      <c r="AA970" s="3470">
        <v>29</v>
      </c>
      <c r="AB970" s="3477">
        <v>890</v>
      </c>
      <c r="AC970" s="3470" t="s">
        <v>8718</v>
      </c>
      <c r="AD970" s="3485"/>
      <c r="AE970" s="3441" t="s">
        <v>3663</v>
      </c>
      <c r="AF970" s="3470" t="s">
        <v>7751</v>
      </c>
      <c r="AG970" s="3522" t="s">
        <v>3466</v>
      </c>
      <c r="AH970" s="3485"/>
      <c r="AI970" s="3470" t="s">
        <v>5021</v>
      </c>
      <c r="AJ970" s="3523">
        <v>38352</v>
      </c>
      <c r="AK970" s="3500" t="s">
        <v>4752</v>
      </c>
      <c r="AL970" s="3441">
        <v>67641700</v>
      </c>
      <c r="AM970" s="3441"/>
      <c r="AN970" s="3456" t="s">
        <v>3680</v>
      </c>
      <c r="AO970" s="3441" t="s">
        <v>2420</v>
      </c>
      <c r="AP970" s="3441" t="s">
        <v>3476</v>
      </c>
      <c r="AQ970" s="3441" t="s">
        <v>3571</v>
      </c>
      <c r="AR970" s="3441"/>
      <c r="AS970" s="3441"/>
      <c r="AT970" s="3441"/>
      <c r="AU970" s="3441"/>
      <c r="AV970" s="3441"/>
      <c r="AW970" s="3441" t="s">
        <v>3572</v>
      </c>
      <c r="AX970" s="3441"/>
      <c r="AY970" s="3524" t="s">
        <v>10042</v>
      </c>
      <c r="AZ970" s="3441" t="s">
        <v>6117</v>
      </c>
      <c r="BA970" s="3441" t="s">
        <v>7157</v>
      </c>
      <c r="BB970" s="3524">
        <v>1102281326100</v>
      </c>
      <c r="BC970" s="3441" t="s">
        <v>7158</v>
      </c>
      <c r="BD970" s="3525">
        <v>100055</v>
      </c>
      <c r="BE970" s="3441">
        <v>82951881</v>
      </c>
      <c r="BF970" s="3526">
        <v>2.8</v>
      </c>
      <c r="BG970" s="3518">
        <v>37888</v>
      </c>
      <c r="BH970" s="3441" t="s">
        <v>4753</v>
      </c>
      <c r="BI970" s="3441" t="s">
        <v>3476</v>
      </c>
      <c r="BJ970" s="3484">
        <v>37921</v>
      </c>
      <c r="BK970" s="3484"/>
      <c r="BL970" s="3470" t="s">
        <v>3670</v>
      </c>
      <c r="BM970" s="3441"/>
      <c r="BN970" s="3441"/>
      <c r="BO970" s="3441"/>
      <c r="BP970" s="3441"/>
      <c r="BQ970" s="3441"/>
      <c r="BR970" s="3441"/>
    </row>
    <row r="971" spans="1:253" s="3441" customFormat="1" ht="12" hidden="1">
      <c r="A971" s="3453" t="s">
        <v>10043</v>
      </c>
      <c r="B971" s="3470" t="s">
        <v>10044</v>
      </c>
      <c r="C971" s="3481" t="s">
        <v>10045</v>
      </c>
      <c r="D971" s="3481" t="s">
        <v>10046</v>
      </c>
      <c r="E971" s="3470" t="s">
        <v>3558</v>
      </c>
      <c r="F971" s="3528" t="s">
        <v>3733</v>
      </c>
      <c r="G971" s="3470"/>
      <c r="H971" s="3470" t="s">
        <v>10047</v>
      </c>
      <c r="I971" s="3470" t="s">
        <v>4387</v>
      </c>
      <c r="J971" s="3470" t="s">
        <v>6333</v>
      </c>
      <c r="K971" s="3470" t="s">
        <v>3737</v>
      </c>
      <c r="L971" s="3470">
        <v>76.069999999999993</v>
      </c>
      <c r="M971" s="3470">
        <v>7</v>
      </c>
      <c r="N971" s="3470" t="s">
        <v>3709</v>
      </c>
      <c r="O971" s="3470">
        <v>60.99</v>
      </c>
      <c r="P971" s="3470" t="s">
        <v>3452</v>
      </c>
      <c r="Q971" s="3492">
        <v>459462.79999999993</v>
      </c>
      <c r="R971" s="3470">
        <v>6040</v>
      </c>
      <c r="S971" s="3472">
        <v>44.5</v>
      </c>
      <c r="T971" s="3527">
        <v>445000</v>
      </c>
      <c r="U971" s="3470">
        <v>5850</v>
      </c>
      <c r="V971" s="3474">
        <v>0.1</v>
      </c>
      <c r="W971" s="3475">
        <v>40.049999999999997</v>
      </c>
      <c r="X971" s="3494">
        <v>400500</v>
      </c>
      <c r="Y971" s="3441">
        <v>2003</v>
      </c>
      <c r="Z971" s="3441">
        <v>10</v>
      </c>
      <c r="AA971" s="3470">
        <v>29</v>
      </c>
      <c r="AB971" s="3477">
        <v>2225</v>
      </c>
      <c r="AC971" s="3470" t="s">
        <v>9007</v>
      </c>
      <c r="AD971" s="3485"/>
      <c r="AE971" s="3441" t="s">
        <v>3663</v>
      </c>
      <c r="AF971" s="3470" t="s">
        <v>8923</v>
      </c>
      <c r="AG971" s="3522" t="s">
        <v>3466</v>
      </c>
      <c r="AH971" s="3485"/>
      <c r="AI971" s="3470" t="s">
        <v>5021</v>
      </c>
      <c r="AJ971" s="3523">
        <v>38122</v>
      </c>
      <c r="AK971" s="3500" t="s">
        <v>9283</v>
      </c>
      <c r="AL971" s="3441">
        <v>67641700</v>
      </c>
      <c r="AN971" s="3456" t="s">
        <v>3680</v>
      </c>
      <c r="AO971" s="3441" t="s">
        <v>3715</v>
      </c>
      <c r="AP971" s="3441" t="s">
        <v>3476</v>
      </c>
      <c r="AQ971" s="3441" t="s">
        <v>3571</v>
      </c>
      <c r="AW971" s="3441" t="s">
        <v>3572</v>
      </c>
      <c r="AY971" s="3524" t="s">
        <v>10048</v>
      </c>
      <c r="AZ971" s="3441" t="s">
        <v>3737</v>
      </c>
      <c r="BA971" s="3441" t="s">
        <v>3742</v>
      </c>
      <c r="BB971" s="3524" t="s">
        <v>3743</v>
      </c>
      <c r="BC971" s="3441" t="s">
        <v>3744</v>
      </c>
      <c r="BD971" s="3525">
        <v>100088</v>
      </c>
      <c r="BE971" s="3441">
        <v>82058259</v>
      </c>
      <c r="BF971" s="3526" t="s">
        <v>8595</v>
      </c>
      <c r="BG971" s="3478">
        <v>37913</v>
      </c>
      <c r="BH971" s="3441" t="s">
        <v>4753</v>
      </c>
      <c r="BI971" s="3441" t="s">
        <v>3476</v>
      </c>
      <c r="BJ971" s="3484">
        <v>37922</v>
      </c>
      <c r="BK971" s="3484" t="s">
        <v>2420</v>
      </c>
      <c r="BL971" s="3470" t="s">
        <v>3670</v>
      </c>
    </row>
    <row r="972" spans="1:253" s="3470" customFormat="1" ht="12" hidden="1">
      <c r="A972" s="3453" t="s">
        <v>10049</v>
      </c>
      <c r="B972" s="3470" t="s">
        <v>10050</v>
      </c>
      <c r="C972" s="3454" t="s">
        <v>10051</v>
      </c>
      <c r="D972" s="3470">
        <v>13801359254</v>
      </c>
      <c r="E972" s="3470" t="s">
        <v>2736</v>
      </c>
      <c r="F972" s="3470" t="s">
        <v>5592</v>
      </c>
      <c r="G972" s="3470" t="s">
        <v>2420</v>
      </c>
      <c r="H972" s="3470" t="s">
        <v>4471</v>
      </c>
      <c r="I972" s="3453" t="s">
        <v>4433</v>
      </c>
      <c r="J972" s="3453" t="s">
        <v>4218</v>
      </c>
      <c r="K972" s="3470" t="s">
        <v>5586</v>
      </c>
      <c r="L972" s="3495">
        <v>117.1</v>
      </c>
      <c r="M972" s="3495">
        <v>1</v>
      </c>
      <c r="N972" s="3453" t="s">
        <v>3632</v>
      </c>
      <c r="O972" s="3495">
        <v>105.92</v>
      </c>
      <c r="P972" s="3470" t="s">
        <v>3452</v>
      </c>
      <c r="Q972" s="3457">
        <v>450835</v>
      </c>
      <c r="R972" s="3470">
        <v>3850</v>
      </c>
      <c r="S972" s="3472">
        <v>44.52</v>
      </c>
      <c r="T972" s="3550">
        <v>445200.00000000006</v>
      </c>
      <c r="U972" s="3470">
        <v>3802</v>
      </c>
      <c r="V972" s="3474">
        <v>0.1</v>
      </c>
      <c r="W972" s="3475">
        <v>40.06</v>
      </c>
      <c r="X972" s="3511">
        <v>400600</v>
      </c>
      <c r="Y972" s="3441">
        <v>2003</v>
      </c>
      <c r="Z972" s="3441">
        <v>11</v>
      </c>
      <c r="AA972" s="3441">
        <v>5</v>
      </c>
      <c r="AB972" s="3485">
        <v>2225</v>
      </c>
      <c r="AC972" s="3470" t="s">
        <v>9007</v>
      </c>
      <c r="AE972" s="3456" t="s">
        <v>3663</v>
      </c>
      <c r="AF972" s="3453" t="s">
        <v>4721</v>
      </c>
      <c r="AG972" s="3456" t="s">
        <v>3466</v>
      </c>
      <c r="AI972" s="3456" t="s">
        <v>5021</v>
      </c>
      <c r="AJ972" s="3478">
        <v>38108</v>
      </c>
      <c r="AK972" s="3479" t="s">
        <v>4773</v>
      </c>
      <c r="AL972" s="3495">
        <v>67641700</v>
      </c>
      <c r="AN972" s="3469" t="s">
        <v>3456</v>
      </c>
      <c r="AO972" s="3441" t="s">
        <v>10052</v>
      </c>
      <c r="AP972" s="3456" t="s">
        <v>3476</v>
      </c>
      <c r="AQ972" s="3456" t="s">
        <v>3571</v>
      </c>
      <c r="AV972" s="3519"/>
      <c r="AW972" s="3470" t="s">
        <v>3572</v>
      </c>
      <c r="AX972" s="3470" t="s">
        <v>2420</v>
      </c>
      <c r="AY972" s="3495">
        <v>267591</v>
      </c>
      <c r="AZ972" s="3470" t="s">
        <v>5586</v>
      </c>
      <c r="BA972" s="3470" t="s">
        <v>5587</v>
      </c>
      <c r="BB972" s="3619">
        <v>1102281326100</v>
      </c>
      <c r="BC972" s="3470" t="s">
        <v>5588</v>
      </c>
      <c r="BD972" s="3470">
        <v>100055</v>
      </c>
      <c r="BE972" s="3470">
        <v>82951881</v>
      </c>
      <c r="BF972" s="3520">
        <v>2.8</v>
      </c>
      <c r="BG972" s="3478">
        <v>37903</v>
      </c>
      <c r="BI972" s="3470" t="s">
        <v>8757</v>
      </c>
      <c r="BJ972" s="3478">
        <v>37924</v>
      </c>
      <c r="BK972" s="3478"/>
      <c r="BL972" s="3441" t="s">
        <v>3670</v>
      </c>
      <c r="BM972" s="3441"/>
      <c r="BN972" s="3441"/>
      <c r="BO972" s="3441"/>
      <c r="BP972" s="3441"/>
      <c r="BQ972" s="3441"/>
      <c r="BR972" s="3441"/>
    </row>
    <row r="973" spans="1:253" s="3441" customFormat="1" ht="12" hidden="1">
      <c r="A973" s="3470" t="s">
        <v>10053</v>
      </c>
      <c r="B973" s="3470" t="s">
        <v>10054</v>
      </c>
      <c r="C973" s="3481" t="s">
        <v>10055</v>
      </c>
      <c r="D973" s="3481" t="s">
        <v>10056</v>
      </c>
      <c r="E973" s="3470" t="s">
        <v>2736</v>
      </c>
      <c r="F973" s="3528" t="s">
        <v>9050</v>
      </c>
      <c r="G973" s="3470"/>
      <c r="H973" s="3470" t="s">
        <v>3540</v>
      </c>
      <c r="I973" s="3470" t="s">
        <v>10057</v>
      </c>
      <c r="J973" s="3481" t="s">
        <v>10058</v>
      </c>
      <c r="K973" s="3470" t="s">
        <v>9053</v>
      </c>
      <c r="L973" s="3470">
        <v>75.89</v>
      </c>
      <c r="M973" s="3470">
        <v>8</v>
      </c>
      <c r="N973" s="3470" t="s">
        <v>3489</v>
      </c>
      <c r="O973" s="3470"/>
      <c r="P973" s="3470" t="s">
        <v>3452</v>
      </c>
      <c r="Q973" s="3457">
        <v>450786.6</v>
      </c>
      <c r="R973" s="3495">
        <v>5940</v>
      </c>
      <c r="S973" s="3472">
        <v>44.63</v>
      </c>
      <c r="T973" s="3527">
        <v>446300</v>
      </c>
      <c r="U973" s="3495">
        <v>5882</v>
      </c>
      <c r="V973" s="3529">
        <v>0.05</v>
      </c>
      <c r="W973" s="3475">
        <v>42.39</v>
      </c>
      <c r="X973" s="3473">
        <v>423900</v>
      </c>
      <c r="Y973" s="3495">
        <v>2003</v>
      </c>
      <c r="Z973" s="3441">
        <v>10</v>
      </c>
      <c r="AA973" s="3470">
        <v>29</v>
      </c>
      <c r="AB973" s="3477">
        <v>2230</v>
      </c>
      <c r="AC973" s="3470" t="s">
        <v>9336</v>
      </c>
      <c r="AD973" s="3485"/>
      <c r="AE973" s="3441" t="s">
        <v>3663</v>
      </c>
      <c r="AF973" s="3453" t="s">
        <v>3493</v>
      </c>
      <c r="AG973" s="3522" t="s">
        <v>3466</v>
      </c>
      <c r="AH973" s="3485" t="s">
        <v>3568</v>
      </c>
      <c r="AI973" s="3470" t="s">
        <v>3664</v>
      </c>
      <c r="AJ973" s="3523" t="s">
        <v>3715</v>
      </c>
      <c r="AK973" s="3500" t="s">
        <v>8786</v>
      </c>
      <c r="AL973" s="3441">
        <v>67641700</v>
      </c>
      <c r="AN973" s="3456" t="s">
        <v>3680</v>
      </c>
      <c r="AO973" s="3441" t="s">
        <v>3568</v>
      </c>
      <c r="AP973" s="3441" t="s">
        <v>3476</v>
      </c>
      <c r="AQ973" s="3441" t="s">
        <v>3457</v>
      </c>
      <c r="AV973" s="3441" t="s">
        <v>3568</v>
      </c>
      <c r="AW973" s="3441" t="s">
        <v>4064</v>
      </c>
      <c r="AY973" s="3524"/>
      <c r="AZ973" s="3441" t="s">
        <v>9054</v>
      </c>
      <c r="BA973" s="3441" t="s">
        <v>9099</v>
      </c>
      <c r="BB973" s="3524" t="s">
        <v>10059</v>
      </c>
      <c r="BC973" s="3441" t="s">
        <v>9101</v>
      </c>
      <c r="BD973" s="3525">
        <v>100037</v>
      </c>
      <c r="BE973" s="3441">
        <v>88118245</v>
      </c>
      <c r="BF973" s="3526">
        <v>2.7</v>
      </c>
      <c r="BG973" s="3518">
        <v>37343</v>
      </c>
      <c r="BI973" s="3441" t="s">
        <v>3476</v>
      </c>
      <c r="BJ973" s="3484">
        <v>37922</v>
      </c>
      <c r="BK973" s="3518" t="s">
        <v>3568</v>
      </c>
      <c r="BL973" s="3470" t="s">
        <v>10060</v>
      </c>
      <c r="BS973" s="3472"/>
      <c r="BT973" s="3472"/>
      <c r="BU973" s="3472"/>
      <c r="BV973" s="3472"/>
      <c r="BW973" s="3472"/>
      <c r="BX973" s="3472"/>
      <c r="BY973" s="3472"/>
      <c r="BZ973" s="3472"/>
      <c r="CA973" s="3472"/>
      <c r="CB973" s="3472"/>
      <c r="CC973" s="3472"/>
      <c r="CD973" s="3472"/>
      <c r="CE973" s="3472"/>
      <c r="CF973" s="3472"/>
      <c r="CG973" s="3472"/>
      <c r="CH973" s="3472"/>
      <c r="CI973" s="3472"/>
      <c r="CJ973" s="3472"/>
      <c r="CK973" s="3472"/>
      <c r="CL973" s="3472"/>
      <c r="CM973" s="3472"/>
      <c r="CN973" s="3472"/>
      <c r="CO973" s="3472"/>
      <c r="CP973" s="3472"/>
      <c r="CQ973" s="3472"/>
      <c r="CR973" s="3472"/>
      <c r="CS973" s="3472"/>
      <c r="CT973" s="3472"/>
      <c r="CU973" s="3472"/>
      <c r="CV973" s="3472"/>
      <c r="CW973" s="3472"/>
      <c r="CX973" s="3472"/>
      <c r="CY973" s="3472"/>
      <c r="CZ973" s="3472"/>
      <c r="DA973" s="3472"/>
      <c r="DB973" s="3472"/>
      <c r="DC973" s="3472"/>
      <c r="DD973" s="3472"/>
      <c r="DE973" s="3472"/>
      <c r="DF973" s="3472"/>
      <c r="DG973" s="3472"/>
      <c r="DH973" s="3472"/>
      <c r="DI973" s="3472"/>
      <c r="DJ973" s="3472"/>
      <c r="DK973" s="3472"/>
      <c r="DL973" s="3472"/>
      <c r="DM973" s="3472"/>
      <c r="DN973" s="3472"/>
      <c r="DO973" s="3472"/>
      <c r="DP973" s="3472"/>
      <c r="DQ973" s="3472"/>
      <c r="DR973" s="3472"/>
      <c r="DS973" s="3472"/>
      <c r="DT973" s="3472"/>
      <c r="DU973" s="3472"/>
      <c r="DV973" s="3472"/>
      <c r="DW973" s="3472"/>
      <c r="DX973" s="3472"/>
      <c r="DY973" s="3472"/>
      <c r="DZ973" s="3472"/>
      <c r="EA973" s="3472"/>
      <c r="EB973" s="3472"/>
      <c r="EC973" s="3472"/>
      <c r="ED973" s="3472"/>
      <c r="EE973" s="3472"/>
      <c r="EF973" s="3472"/>
      <c r="EG973" s="3472"/>
      <c r="EH973" s="3472"/>
      <c r="EI973" s="3472"/>
      <c r="EJ973" s="3472"/>
      <c r="EK973" s="3472"/>
      <c r="EL973" s="3472"/>
      <c r="EM973" s="3472"/>
      <c r="EN973" s="3472"/>
      <c r="EO973" s="3472"/>
      <c r="EP973" s="3472"/>
      <c r="EQ973" s="3472"/>
      <c r="ER973" s="3472"/>
      <c r="ES973" s="3472"/>
      <c r="ET973" s="3472"/>
      <c r="EU973" s="3472"/>
      <c r="EV973" s="3472"/>
      <c r="EW973" s="3472"/>
      <c r="EX973" s="3472"/>
      <c r="EY973" s="3472"/>
      <c r="EZ973" s="3472"/>
      <c r="FA973" s="3472"/>
      <c r="FB973" s="3472"/>
      <c r="FC973" s="3472"/>
      <c r="FD973" s="3472"/>
      <c r="FE973" s="3472"/>
      <c r="FF973" s="3472"/>
      <c r="FG973" s="3472"/>
      <c r="FH973" s="3472"/>
      <c r="FI973" s="3472"/>
      <c r="FJ973" s="3472"/>
      <c r="FK973" s="3472"/>
      <c r="FL973" s="3472"/>
      <c r="FM973" s="3472"/>
      <c r="FN973" s="3472"/>
      <c r="FO973" s="3472"/>
      <c r="FP973" s="3472"/>
      <c r="FQ973" s="3472"/>
      <c r="FR973" s="3472"/>
      <c r="FS973" s="3472"/>
      <c r="FT973" s="3472"/>
      <c r="FU973" s="3472"/>
      <c r="FV973" s="3472"/>
      <c r="FW973" s="3472"/>
      <c r="FX973" s="3472"/>
      <c r="FY973" s="3472"/>
      <c r="FZ973" s="3472"/>
      <c r="GA973" s="3472"/>
      <c r="GB973" s="3472"/>
      <c r="GC973" s="3472"/>
      <c r="GD973" s="3472"/>
      <c r="GE973" s="3472"/>
      <c r="GF973" s="3472"/>
      <c r="GG973" s="3472"/>
      <c r="GH973" s="3472"/>
      <c r="GI973" s="3472"/>
      <c r="GJ973" s="3472"/>
      <c r="GK973" s="3472"/>
      <c r="GL973" s="3472"/>
      <c r="GM973" s="3472"/>
      <c r="GN973" s="3472"/>
      <c r="GO973" s="3472"/>
      <c r="GP973" s="3472"/>
      <c r="GQ973" s="3472"/>
      <c r="GR973" s="3472"/>
      <c r="GS973" s="3472"/>
      <c r="GT973" s="3472"/>
      <c r="GU973" s="3472"/>
      <c r="GV973" s="3472"/>
      <c r="GW973" s="3472"/>
      <c r="GX973" s="3472"/>
      <c r="GY973" s="3472"/>
      <c r="GZ973" s="3472"/>
      <c r="HA973" s="3472"/>
      <c r="HB973" s="3472"/>
      <c r="HC973" s="3472"/>
      <c r="HD973" s="3472"/>
      <c r="HE973" s="3472"/>
      <c r="HF973" s="3472"/>
      <c r="HG973" s="3472"/>
      <c r="HH973" s="3472"/>
      <c r="HI973" s="3472"/>
      <c r="HJ973" s="3472"/>
      <c r="HK973" s="3472"/>
      <c r="HL973" s="3472"/>
      <c r="HM973" s="3472"/>
      <c r="HN973" s="3472"/>
      <c r="HO973" s="3472"/>
      <c r="HP973" s="3472"/>
      <c r="HQ973" s="3472"/>
      <c r="HR973" s="3472"/>
      <c r="HS973" s="3472"/>
      <c r="HT973" s="3472"/>
      <c r="HU973" s="3472"/>
      <c r="HV973" s="3472"/>
      <c r="HW973" s="3472"/>
      <c r="HX973" s="3472"/>
      <c r="HY973" s="3472"/>
      <c r="HZ973" s="3472"/>
      <c r="IA973" s="3472"/>
      <c r="IB973" s="3472"/>
      <c r="IC973" s="3472"/>
      <c r="ID973" s="3472"/>
      <c r="IE973" s="3472"/>
      <c r="IF973" s="3472"/>
      <c r="IG973" s="3472"/>
      <c r="IH973" s="3472"/>
      <c r="II973" s="3472"/>
      <c r="IJ973" s="3472"/>
      <c r="IK973" s="3472"/>
      <c r="IL973" s="3472"/>
      <c r="IM973" s="3472"/>
      <c r="IN973" s="3472"/>
      <c r="IO973" s="3472"/>
      <c r="IP973" s="3472"/>
      <c r="IQ973" s="3472"/>
      <c r="IR973" s="3472"/>
      <c r="IS973" s="3472"/>
    </row>
    <row r="974" spans="1:253" s="3441" customFormat="1" ht="12" hidden="1">
      <c r="A974" s="3453" t="s">
        <v>10061</v>
      </c>
      <c r="B974" s="3470" t="s">
        <v>10062</v>
      </c>
      <c r="C974" s="3481" t="s">
        <v>10063</v>
      </c>
      <c r="D974" s="3481" t="s">
        <v>10064</v>
      </c>
      <c r="E974" s="3470" t="s">
        <v>3558</v>
      </c>
      <c r="F974" s="3470" t="s">
        <v>10065</v>
      </c>
      <c r="G974" s="3470"/>
      <c r="H974" s="3470" t="s">
        <v>10066</v>
      </c>
      <c r="I974" s="3470" t="s">
        <v>10067</v>
      </c>
      <c r="J974" s="3481" t="s">
        <v>4909</v>
      </c>
      <c r="K974" s="3470" t="s">
        <v>10068</v>
      </c>
      <c r="L974" s="3470">
        <v>70.44</v>
      </c>
      <c r="M974" s="3470">
        <v>5</v>
      </c>
      <c r="N974" s="3470" t="s">
        <v>3584</v>
      </c>
      <c r="O974" s="3470">
        <v>61.23</v>
      </c>
      <c r="P974" s="3470" t="s">
        <v>3452</v>
      </c>
      <c r="Q974" s="3457">
        <v>352200</v>
      </c>
      <c r="R974" s="3470">
        <v>5000</v>
      </c>
      <c r="S974" s="3472">
        <v>34.86</v>
      </c>
      <c r="T974" s="3527">
        <v>348600</v>
      </c>
      <c r="U974" s="3495">
        <v>4950</v>
      </c>
      <c r="V974" s="3474">
        <v>0.1</v>
      </c>
      <c r="W974" s="3475">
        <v>31.37</v>
      </c>
      <c r="X974" s="3476">
        <v>313700</v>
      </c>
      <c r="Y974" s="3495">
        <v>2003</v>
      </c>
      <c r="Z974" s="3441">
        <v>11</v>
      </c>
      <c r="AA974" s="3441">
        <v>10</v>
      </c>
      <c r="AB974" s="3477">
        <v>1740</v>
      </c>
      <c r="AC974" s="3470" t="s">
        <v>4800</v>
      </c>
      <c r="AD974" s="3485"/>
      <c r="AE974" s="3441" t="s">
        <v>3663</v>
      </c>
      <c r="AF974" s="3470" t="s">
        <v>6957</v>
      </c>
      <c r="AG974" s="3522" t="s">
        <v>3466</v>
      </c>
      <c r="AH974" s="3485" t="s">
        <v>3568</v>
      </c>
      <c r="AI974" s="3470" t="s">
        <v>5021</v>
      </c>
      <c r="AJ974" s="3523">
        <v>37986</v>
      </c>
      <c r="AK974" s="3603" t="s">
        <v>4773</v>
      </c>
      <c r="AL974" s="3441">
        <v>67641700</v>
      </c>
      <c r="AN974" s="3456" t="s">
        <v>7056</v>
      </c>
      <c r="AO974" s="3441" t="s">
        <v>3568</v>
      </c>
      <c r="AP974" s="3441" t="s">
        <v>3476</v>
      </c>
      <c r="AQ974" s="3441" t="s">
        <v>3571</v>
      </c>
      <c r="AR974" s="3441" t="s">
        <v>3568</v>
      </c>
      <c r="AS974" s="3441" t="s">
        <v>3568</v>
      </c>
      <c r="AT974" s="3441" t="s">
        <v>3568</v>
      </c>
      <c r="AW974" s="3441" t="s">
        <v>3572</v>
      </c>
      <c r="AX974" s="3441" t="s">
        <v>3715</v>
      </c>
      <c r="AY974" s="3524" t="s">
        <v>10069</v>
      </c>
      <c r="AZ974" s="3470" t="s">
        <v>10070</v>
      </c>
      <c r="BA974" s="3441" t="s">
        <v>10071</v>
      </c>
      <c r="BB974" s="3524" t="s">
        <v>10072</v>
      </c>
      <c r="BC974" s="3441" t="s">
        <v>10073</v>
      </c>
      <c r="BD974" s="3525">
        <v>100505</v>
      </c>
      <c r="BE974" s="3441">
        <v>62935226</v>
      </c>
      <c r="BF974" s="3526">
        <v>2.7</v>
      </c>
      <c r="BG974" s="3518">
        <v>37914</v>
      </c>
      <c r="BH974" s="3441" t="s">
        <v>3568</v>
      </c>
      <c r="BI974" s="3441" t="s">
        <v>3476</v>
      </c>
      <c r="BJ974" s="3518">
        <v>37921</v>
      </c>
      <c r="BK974" s="3518" t="s">
        <v>6879</v>
      </c>
      <c r="BL974" s="3470" t="s">
        <v>3670</v>
      </c>
    </row>
    <row r="975" spans="1:253" s="3441" customFormat="1" ht="12" hidden="1">
      <c r="A975" s="3453" t="s">
        <v>10074</v>
      </c>
      <c r="B975" s="3470" t="s">
        <v>10075</v>
      </c>
      <c r="C975" s="3481" t="s">
        <v>10076</v>
      </c>
      <c r="D975" s="3481" t="s">
        <v>10077</v>
      </c>
      <c r="E975" s="3470" t="s">
        <v>3558</v>
      </c>
      <c r="F975" s="3528" t="s">
        <v>4645</v>
      </c>
      <c r="G975" s="3470"/>
      <c r="H975" s="3470" t="s">
        <v>4797</v>
      </c>
      <c r="I975" s="3470" t="s">
        <v>9411</v>
      </c>
      <c r="J975" s="3481" t="s">
        <v>4833</v>
      </c>
      <c r="K975" s="3470" t="s">
        <v>4649</v>
      </c>
      <c r="L975" s="3470">
        <v>54.5</v>
      </c>
      <c r="M975" s="3470">
        <v>11</v>
      </c>
      <c r="N975" s="3470" t="s">
        <v>3564</v>
      </c>
      <c r="O975" s="3470">
        <v>42.96</v>
      </c>
      <c r="P975" s="3470" t="s">
        <v>3452</v>
      </c>
      <c r="Q975" s="3457">
        <v>419159.5</v>
      </c>
      <c r="R975" s="3470">
        <v>7691</v>
      </c>
      <c r="S975" s="3472">
        <v>41.56</v>
      </c>
      <c r="T975" s="3527">
        <v>415600</v>
      </c>
      <c r="U975" s="3491">
        <v>7626</v>
      </c>
      <c r="V975" s="3529">
        <v>0.1</v>
      </c>
      <c r="W975" s="3475">
        <v>37.4</v>
      </c>
      <c r="X975" s="3473">
        <v>374000</v>
      </c>
      <c r="Y975" s="3501">
        <v>2003</v>
      </c>
      <c r="Z975" s="3441">
        <v>10</v>
      </c>
      <c r="AA975" s="3470">
        <v>30</v>
      </c>
      <c r="AB975" s="3477">
        <v>2075</v>
      </c>
      <c r="AC975" s="3470" t="s">
        <v>8840</v>
      </c>
      <c r="AD975" s="3485"/>
      <c r="AE975" s="3441" t="s">
        <v>3663</v>
      </c>
      <c r="AF975" s="3470" t="s">
        <v>3728</v>
      </c>
      <c r="AG975" s="3522" t="s">
        <v>3466</v>
      </c>
      <c r="AH975" s="3485"/>
      <c r="AI975" s="3470" t="s">
        <v>5021</v>
      </c>
      <c r="AJ975" s="3523">
        <v>38199</v>
      </c>
      <c r="AK975" s="3500" t="s">
        <v>4752</v>
      </c>
      <c r="AL975" s="3441">
        <v>67641700</v>
      </c>
      <c r="AN975" s="3456" t="s">
        <v>3680</v>
      </c>
      <c r="AP975" s="3441" t="s">
        <v>3476</v>
      </c>
      <c r="AQ975" s="3441" t="s">
        <v>3571</v>
      </c>
      <c r="AW975" s="3441" t="s">
        <v>3572</v>
      </c>
      <c r="AX975" s="3441" t="s">
        <v>3568</v>
      </c>
      <c r="AY975" s="3524" t="s">
        <v>10078</v>
      </c>
      <c r="AZ975" s="3441" t="s">
        <v>4654</v>
      </c>
      <c r="BA975" s="3441" t="s">
        <v>4688</v>
      </c>
      <c r="BB975" s="3524" t="s">
        <v>4689</v>
      </c>
      <c r="BC975" s="3441" t="s">
        <v>4656</v>
      </c>
      <c r="BD975" s="3525">
        <v>100037</v>
      </c>
      <c r="BE975" s="3441">
        <v>68347718</v>
      </c>
      <c r="BF975" s="3526">
        <v>2.8</v>
      </c>
      <c r="BG975" s="3518">
        <v>37861</v>
      </c>
      <c r="BH975" s="3441" t="s">
        <v>4681</v>
      </c>
      <c r="BI975" s="3441" t="s">
        <v>3476</v>
      </c>
      <c r="BJ975" s="3484">
        <v>37922</v>
      </c>
      <c r="BK975" s="3484"/>
      <c r="BL975" s="3470" t="s">
        <v>3670</v>
      </c>
    </row>
    <row r="976" spans="1:253" s="3441" customFormat="1" ht="12" hidden="1">
      <c r="A976" s="3485" t="s">
        <v>10079</v>
      </c>
      <c r="B976" s="3470" t="s">
        <v>10080</v>
      </c>
      <c r="C976" s="3481" t="s">
        <v>10081</v>
      </c>
      <c r="D976" s="3481" t="s">
        <v>10082</v>
      </c>
      <c r="E976" s="3470" t="s">
        <v>3558</v>
      </c>
      <c r="F976" s="3470" t="s">
        <v>4770</v>
      </c>
      <c r="G976" s="3470"/>
      <c r="H976" s="3470" t="s">
        <v>4771</v>
      </c>
      <c r="I976" s="3470" t="s">
        <v>3726</v>
      </c>
      <c r="J976" s="3481" t="s">
        <v>3871</v>
      </c>
      <c r="K976" s="3470" t="s">
        <v>4772</v>
      </c>
      <c r="L976" s="3470">
        <v>68.650000000000006</v>
      </c>
      <c r="M976" s="3470">
        <v>4</v>
      </c>
      <c r="N976" s="3470" t="s">
        <v>3489</v>
      </c>
      <c r="O976" s="3470">
        <v>59.81</v>
      </c>
      <c r="P976" s="3470" t="s">
        <v>3452</v>
      </c>
      <c r="Q976" s="3457">
        <v>306110.35000000003</v>
      </c>
      <c r="R976" s="3470">
        <v>4459</v>
      </c>
      <c r="S976" s="3472">
        <v>30.27</v>
      </c>
      <c r="T976" s="3527">
        <v>302700</v>
      </c>
      <c r="U976" s="3470">
        <v>4410</v>
      </c>
      <c r="V976" s="3512">
        <v>0.1</v>
      </c>
      <c r="W976" s="3475">
        <v>27.24</v>
      </c>
      <c r="X976" s="3476">
        <v>272400</v>
      </c>
      <c r="Y976" s="3441">
        <v>2003</v>
      </c>
      <c r="Z976" s="3441">
        <v>10</v>
      </c>
      <c r="AA976" s="3470">
        <v>30</v>
      </c>
      <c r="AB976" s="3477">
        <v>1510</v>
      </c>
      <c r="AC976" s="3470" t="s">
        <v>9077</v>
      </c>
      <c r="AD976" s="3485"/>
      <c r="AE976" s="3441" t="s">
        <v>3663</v>
      </c>
      <c r="AF976" s="3470" t="s">
        <v>8923</v>
      </c>
      <c r="AG976" s="3522" t="s">
        <v>3466</v>
      </c>
      <c r="AH976" s="3485"/>
      <c r="AI976" s="3470" t="s">
        <v>7643</v>
      </c>
      <c r="AJ976" s="3523">
        <v>37990</v>
      </c>
      <c r="AK976" s="3500" t="s">
        <v>4752</v>
      </c>
      <c r="AL976" s="3470">
        <v>67641700</v>
      </c>
      <c r="AM976" s="3470" t="s">
        <v>3568</v>
      </c>
      <c r="AN976" s="3456" t="s">
        <v>3680</v>
      </c>
      <c r="AO976" s="3441" t="s">
        <v>2420</v>
      </c>
      <c r="AP976" s="3441" t="s">
        <v>3476</v>
      </c>
      <c r="AQ976" s="3441" t="s">
        <v>3571</v>
      </c>
      <c r="AW976" s="3441" t="s">
        <v>3572</v>
      </c>
      <c r="AY976" s="3524" t="s">
        <v>10083</v>
      </c>
      <c r="AZ976" s="3441" t="s">
        <v>4772</v>
      </c>
      <c r="BA976" s="3441" t="s">
        <v>4775</v>
      </c>
      <c r="BB976" s="3524" t="s">
        <v>4776</v>
      </c>
      <c r="BC976" s="3441" t="s">
        <v>4777</v>
      </c>
      <c r="BD976" s="3525">
        <v>100083</v>
      </c>
      <c r="BE976" s="3441">
        <v>82355171</v>
      </c>
      <c r="BF976" s="3526">
        <v>2.7</v>
      </c>
      <c r="BG976" s="3518">
        <v>37890</v>
      </c>
      <c r="BH976" s="3441" t="s">
        <v>4681</v>
      </c>
      <c r="BI976" s="3441" t="s">
        <v>3476</v>
      </c>
      <c r="BJ976" s="3484">
        <v>37922</v>
      </c>
      <c r="BK976" s="3484"/>
      <c r="BL976" s="3470" t="s">
        <v>3670</v>
      </c>
    </row>
    <row r="977" spans="1:71" s="3470" customFormat="1" ht="12" hidden="1">
      <c r="A977" s="3485" t="s">
        <v>10084</v>
      </c>
      <c r="B977" s="3470" t="s">
        <v>10085</v>
      </c>
      <c r="C977" s="3481" t="s">
        <v>10086</v>
      </c>
      <c r="D977" s="3470" t="s">
        <v>10087</v>
      </c>
      <c r="E977" s="3470" t="s">
        <v>3763</v>
      </c>
      <c r="F977" s="3470" t="s">
        <v>4782</v>
      </c>
      <c r="H977" s="3470" t="s">
        <v>4281</v>
      </c>
      <c r="I977" s="3470" t="s">
        <v>4447</v>
      </c>
      <c r="J977" s="3470" t="s">
        <v>10088</v>
      </c>
      <c r="K977" s="3470" t="s">
        <v>4789</v>
      </c>
      <c r="L977" s="3470">
        <v>61.93</v>
      </c>
      <c r="M977" s="3470">
        <v>12</v>
      </c>
      <c r="N977" s="3470" t="s">
        <v>3489</v>
      </c>
      <c r="O977" s="3470">
        <v>48.58</v>
      </c>
      <c r="P977" s="3470" t="s">
        <v>3452</v>
      </c>
      <c r="Q977" s="3457">
        <v>338757.1</v>
      </c>
      <c r="R977" s="3470">
        <v>5470</v>
      </c>
      <c r="S977" s="3472">
        <v>33.549999999999997</v>
      </c>
      <c r="T977" s="3527">
        <v>335500</v>
      </c>
      <c r="U977" s="3470">
        <v>5418</v>
      </c>
      <c r="V977" s="3474">
        <v>0.1</v>
      </c>
      <c r="W977" s="3475">
        <v>30.19</v>
      </c>
      <c r="X977" s="3476">
        <v>301900</v>
      </c>
      <c r="Y977" s="3470">
        <v>2003</v>
      </c>
      <c r="Z977" s="3441">
        <v>10</v>
      </c>
      <c r="AA977" s="3470">
        <v>30</v>
      </c>
      <c r="AB977" s="3477">
        <v>1675</v>
      </c>
      <c r="AC977" s="3470" t="s">
        <v>9077</v>
      </c>
      <c r="AE977" s="3470" t="s">
        <v>3663</v>
      </c>
      <c r="AF977" s="3453" t="s">
        <v>4787</v>
      </c>
      <c r="AG977" s="3470" t="s">
        <v>3466</v>
      </c>
      <c r="AI977" s="3470" t="s">
        <v>3664</v>
      </c>
      <c r="AJ977" s="3478">
        <v>38261</v>
      </c>
      <c r="AK977" s="3500" t="s">
        <v>8786</v>
      </c>
      <c r="AL977" s="3441">
        <v>67641700</v>
      </c>
      <c r="AM977" s="3441"/>
      <c r="AN977" s="3456" t="s">
        <v>3680</v>
      </c>
      <c r="AP977" s="3441" t="s">
        <v>3476</v>
      </c>
      <c r="AQ977" s="3470" t="s">
        <v>3457</v>
      </c>
      <c r="AW977" s="3470" t="s">
        <v>4064</v>
      </c>
      <c r="AX977" s="3508"/>
      <c r="AY977" s="3470">
        <v>552411</v>
      </c>
      <c r="AZ977" s="3470" t="s">
        <v>4789</v>
      </c>
      <c r="BA977" s="3470" t="s">
        <v>8741</v>
      </c>
      <c r="BB977" s="3470" t="s">
        <v>4791</v>
      </c>
      <c r="BC977" s="3470" t="s">
        <v>8742</v>
      </c>
      <c r="BD977" s="3470">
        <v>102308</v>
      </c>
      <c r="BE977" s="3470">
        <v>68041987</v>
      </c>
      <c r="BF977" s="3470">
        <v>2.8</v>
      </c>
      <c r="BG977" s="3478">
        <v>37909</v>
      </c>
      <c r="BH977" s="3470" t="s">
        <v>3437</v>
      </c>
      <c r="BI977" s="3441" t="s">
        <v>3476</v>
      </c>
      <c r="BJ977" s="3484">
        <v>37921</v>
      </c>
      <c r="BK977" s="3508"/>
      <c r="BL977" s="3470" t="s">
        <v>3594</v>
      </c>
      <c r="BP977" s="3441"/>
      <c r="BQ977" s="3441"/>
      <c r="BR977" s="3441"/>
    </row>
    <row r="978" spans="1:71" s="3497" customFormat="1" ht="12" hidden="1">
      <c r="A978" s="3485" t="s">
        <v>10089</v>
      </c>
      <c r="B978" s="3453" t="s">
        <v>10090</v>
      </c>
      <c r="C978" s="3481" t="s">
        <v>10091</v>
      </c>
      <c r="D978" s="3453" t="s">
        <v>10092</v>
      </c>
      <c r="E978" s="3498" t="s">
        <v>2736</v>
      </c>
      <c r="F978" s="3573" t="s">
        <v>4483</v>
      </c>
      <c r="G978" s="3561"/>
      <c r="H978" s="3498" t="s">
        <v>7263</v>
      </c>
      <c r="I978" s="3498" t="s">
        <v>3582</v>
      </c>
      <c r="J978" s="3498" t="s">
        <v>5441</v>
      </c>
      <c r="K978" s="3555" t="s">
        <v>4486</v>
      </c>
      <c r="L978" s="3574">
        <v>91.56</v>
      </c>
      <c r="M978" s="3574">
        <v>8</v>
      </c>
      <c r="N978" s="3496" t="s">
        <v>3709</v>
      </c>
      <c r="O978" s="3574">
        <v>75.89</v>
      </c>
      <c r="P978" s="3496" t="s">
        <v>3452</v>
      </c>
      <c r="Q978" s="3510">
        <v>379974</v>
      </c>
      <c r="R978" s="3574">
        <v>4150</v>
      </c>
      <c r="S978" s="3472">
        <v>37.53</v>
      </c>
      <c r="T978" s="3527">
        <v>375300</v>
      </c>
      <c r="U978" s="3470">
        <v>4100</v>
      </c>
      <c r="V978" s="3474">
        <v>0.1</v>
      </c>
      <c r="W978" s="3475">
        <v>33.770000000000003</v>
      </c>
      <c r="X978" s="3572">
        <v>337700.00000000006</v>
      </c>
      <c r="Y978" s="3495">
        <v>2003</v>
      </c>
      <c r="Z978" s="3441">
        <v>10</v>
      </c>
      <c r="AA978" s="3470">
        <v>30</v>
      </c>
      <c r="AB978" s="3477">
        <v>1875</v>
      </c>
      <c r="AC978" s="3470" t="s">
        <v>9077</v>
      </c>
      <c r="AD978" s="3561"/>
      <c r="AE978" s="3497" t="s">
        <v>3547</v>
      </c>
      <c r="AF978" s="3555" t="s">
        <v>6957</v>
      </c>
      <c r="AG978" s="3555" t="s">
        <v>3454</v>
      </c>
      <c r="AH978" s="3555"/>
      <c r="AI978" s="3470" t="s">
        <v>4849</v>
      </c>
      <c r="AJ978" s="3575">
        <v>37956</v>
      </c>
      <c r="AK978" s="3500" t="s">
        <v>4744</v>
      </c>
      <c r="AL978" s="3495">
        <v>67641700</v>
      </c>
      <c r="AM978" s="3470"/>
      <c r="AN978" s="3456" t="s">
        <v>3680</v>
      </c>
      <c r="AO978" s="3441"/>
      <c r="AP978" s="3456" t="s">
        <v>3476</v>
      </c>
      <c r="AQ978" s="3480" t="s">
        <v>3457</v>
      </c>
      <c r="AV978" s="3556"/>
      <c r="AW978" s="3490" t="s">
        <v>6909</v>
      </c>
      <c r="AX978" s="3502" t="s">
        <v>3606</v>
      </c>
      <c r="AY978" s="3503" t="s">
        <v>10093</v>
      </c>
      <c r="AZ978" s="3555" t="s">
        <v>7264</v>
      </c>
      <c r="BA978" s="3552" t="s">
        <v>7267</v>
      </c>
      <c r="BB978" s="3466">
        <v>1102211135488</v>
      </c>
      <c r="BC978" s="3552" t="s">
        <v>7268</v>
      </c>
      <c r="BD978" s="3569">
        <v>102202</v>
      </c>
      <c r="BE978" s="3501">
        <v>69711228</v>
      </c>
      <c r="BF978" s="3506">
        <v>2.7</v>
      </c>
      <c r="BG978" s="3539">
        <v>37903</v>
      </c>
      <c r="BI978" s="3470" t="s">
        <v>3476</v>
      </c>
      <c r="BJ978" s="3484">
        <v>37921</v>
      </c>
      <c r="BK978" s="3441" t="s">
        <v>2420</v>
      </c>
      <c r="BL978" s="3470" t="s">
        <v>3670</v>
      </c>
      <c r="BM978" s="3441"/>
      <c r="BN978" s="3441"/>
      <c r="BO978" s="3441"/>
      <c r="BP978" s="3441"/>
      <c r="BQ978" s="3441"/>
      <c r="BR978" s="3441"/>
    </row>
    <row r="979" spans="1:71" s="3441" customFormat="1" ht="12" hidden="1">
      <c r="A979" s="3453" t="s">
        <v>10094</v>
      </c>
      <c r="B979" s="3470" t="s">
        <v>10095</v>
      </c>
      <c r="C979" s="3481" t="s">
        <v>10096</v>
      </c>
      <c r="D979" s="3481" t="s">
        <v>10097</v>
      </c>
      <c r="E979" s="3470" t="s">
        <v>3558</v>
      </c>
      <c r="F979" s="3528" t="s">
        <v>3733</v>
      </c>
      <c r="G979" s="3470"/>
      <c r="H979" s="3470" t="s">
        <v>9900</v>
      </c>
      <c r="I979" s="3470" t="s">
        <v>4124</v>
      </c>
      <c r="J979" s="3470" t="s">
        <v>8769</v>
      </c>
      <c r="K979" s="3470" t="s">
        <v>3737</v>
      </c>
      <c r="L979" s="3470">
        <v>76.069999999999993</v>
      </c>
      <c r="M979" s="3470">
        <v>8</v>
      </c>
      <c r="N979" s="3470" t="s">
        <v>3451</v>
      </c>
      <c r="O979" s="3470">
        <v>60.99</v>
      </c>
      <c r="P979" s="3470" t="s">
        <v>3452</v>
      </c>
      <c r="Q979" s="3492">
        <v>457180.69999999995</v>
      </c>
      <c r="R979" s="3470">
        <v>6010</v>
      </c>
      <c r="S979" s="3472">
        <v>44.27</v>
      </c>
      <c r="T979" s="3527">
        <v>442700.00000000006</v>
      </c>
      <c r="U979" s="3470">
        <v>5820</v>
      </c>
      <c r="V979" s="3474">
        <v>0.1</v>
      </c>
      <c r="W979" s="3475">
        <v>39.840000000000003</v>
      </c>
      <c r="X979" s="3494">
        <v>398400.00000000006</v>
      </c>
      <c r="Y979" s="3441">
        <v>2003</v>
      </c>
      <c r="Z979" s="3441">
        <v>10</v>
      </c>
      <c r="AA979" s="3470">
        <v>30</v>
      </c>
      <c r="AB979" s="3477">
        <v>2210</v>
      </c>
      <c r="AC979" s="3470" t="s">
        <v>9120</v>
      </c>
      <c r="AD979" s="3485"/>
      <c r="AE979" s="3441" t="s">
        <v>3663</v>
      </c>
      <c r="AF979" s="3470" t="s">
        <v>3604</v>
      </c>
      <c r="AG979" s="3522" t="s">
        <v>3466</v>
      </c>
      <c r="AH979" s="3485"/>
      <c r="AI979" s="3470" t="s">
        <v>5021</v>
      </c>
      <c r="AJ979" s="3523">
        <v>38122</v>
      </c>
      <c r="AK979" s="3500" t="s">
        <v>8786</v>
      </c>
      <c r="AL979" s="3441">
        <v>67641700</v>
      </c>
      <c r="AN979" s="3456" t="s">
        <v>3680</v>
      </c>
      <c r="AO979" s="3441" t="s">
        <v>2420</v>
      </c>
      <c r="AP979" s="3441" t="s">
        <v>3476</v>
      </c>
      <c r="AQ979" s="3441" t="s">
        <v>3571</v>
      </c>
      <c r="AW979" s="3441" t="s">
        <v>3572</v>
      </c>
      <c r="AY979" s="3524" t="s">
        <v>10098</v>
      </c>
      <c r="AZ979" s="3441" t="s">
        <v>3737</v>
      </c>
      <c r="BA979" s="3441" t="s">
        <v>3742</v>
      </c>
      <c r="BB979" s="3524" t="s">
        <v>3743</v>
      </c>
      <c r="BC979" s="3441" t="s">
        <v>3744</v>
      </c>
      <c r="BD979" s="3525">
        <v>100088</v>
      </c>
      <c r="BE979" s="3441">
        <v>82058259</v>
      </c>
      <c r="BF979" s="3526" t="s">
        <v>8595</v>
      </c>
      <c r="BG979" s="3478">
        <v>37915</v>
      </c>
      <c r="BH979" s="3441" t="s">
        <v>4753</v>
      </c>
      <c r="BI979" s="3441" t="s">
        <v>3476</v>
      </c>
      <c r="BJ979" s="3484">
        <v>37921</v>
      </c>
      <c r="BK979" s="3484" t="s">
        <v>3715</v>
      </c>
      <c r="BL979" s="3470" t="s">
        <v>3670</v>
      </c>
    </row>
    <row r="980" spans="1:71" s="3470" customFormat="1" ht="12" hidden="1">
      <c r="A980" s="3453" t="s">
        <v>10099</v>
      </c>
      <c r="B980" s="3470" t="s">
        <v>10100</v>
      </c>
      <c r="C980" s="3481" t="s">
        <v>10101</v>
      </c>
      <c r="D980" s="3470">
        <v>13901299541</v>
      </c>
      <c r="E980" s="3470" t="s">
        <v>3558</v>
      </c>
      <c r="F980" s="3470" t="s">
        <v>3559</v>
      </c>
      <c r="H980" s="3453" t="s">
        <v>9650</v>
      </c>
      <c r="I980" s="3453" t="s">
        <v>3726</v>
      </c>
      <c r="J980" s="3453" t="s">
        <v>10102</v>
      </c>
      <c r="K980" s="3470" t="s">
        <v>7737</v>
      </c>
      <c r="L980" s="3495">
        <v>73.680000000000007</v>
      </c>
      <c r="M980" s="3495">
        <v>7</v>
      </c>
      <c r="N980" s="3470" t="s">
        <v>3709</v>
      </c>
      <c r="O980" s="3495">
        <v>59.69</v>
      </c>
      <c r="P980" s="3470" t="s">
        <v>3452</v>
      </c>
      <c r="Q980" s="3457">
        <v>356611.2</v>
      </c>
      <c r="R980" s="3470">
        <v>4840</v>
      </c>
      <c r="S980" s="3472">
        <v>35.29</v>
      </c>
      <c r="T980" s="3527">
        <v>352900</v>
      </c>
      <c r="U980" s="3470">
        <v>4790</v>
      </c>
      <c r="V980" s="3512">
        <v>0.05</v>
      </c>
      <c r="W980" s="3475">
        <v>33.520000000000003</v>
      </c>
      <c r="X980" s="3476">
        <v>335200.00000000006</v>
      </c>
      <c r="Y980" s="3470">
        <v>2003</v>
      </c>
      <c r="Z980" s="3441">
        <v>10</v>
      </c>
      <c r="AA980" s="3470">
        <v>30</v>
      </c>
      <c r="AB980" s="3477">
        <v>1760</v>
      </c>
      <c r="AC980" s="3470" t="s">
        <v>9364</v>
      </c>
      <c r="AE980" s="3456" t="s">
        <v>3663</v>
      </c>
      <c r="AF980" s="3453" t="s">
        <v>3493</v>
      </c>
      <c r="AG980" s="3470" t="s">
        <v>3466</v>
      </c>
      <c r="AH980" s="3470" t="s">
        <v>3568</v>
      </c>
      <c r="AI980" s="3456" t="s">
        <v>5021</v>
      </c>
      <c r="AJ980" s="3478">
        <v>37918</v>
      </c>
      <c r="AK980" s="3500" t="s">
        <v>9283</v>
      </c>
      <c r="AL980" s="3441">
        <v>67641700</v>
      </c>
      <c r="AM980" s="3441"/>
      <c r="AN980" s="3456" t="s">
        <v>3680</v>
      </c>
      <c r="AO980" s="3470" t="s">
        <v>3568</v>
      </c>
      <c r="AP980" s="3456" t="s">
        <v>3476</v>
      </c>
      <c r="AQ980" s="3456" t="s">
        <v>3571</v>
      </c>
      <c r="AV980" s="3519"/>
      <c r="AW980" s="3470" t="s">
        <v>3572</v>
      </c>
      <c r="AY980" s="3495">
        <v>318518</v>
      </c>
      <c r="AZ980" s="3470" t="s">
        <v>7737</v>
      </c>
      <c r="BA980" s="3470" t="s">
        <v>10103</v>
      </c>
      <c r="BB980" s="3481" t="s">
        <v>9581</v>
      </c>
      <c r="BC980" s="3470" t="s">
        <v>3576</v>
      </c>
      <c r="BD980" s="3470">
        <v>100035</v>
      </c>
      <c r="BE980" s="3470">
        <v>84050010</v>
      </c>
      <c r="BF980" s="3520">
        <v>2.8</v>
      </c>
      <c r="BG980" s="3478">
        <v>37873</v>
      </c>
      <c r="BI980" s="3441" t="s">
        <v>9506</v>
      </c>
      <c r="BJ980" s="3484">
        <v>37922</v>
      </c>
      <c r="BK980" s="3470" t="s">
        <v>3568</v>
      </c>
      <c r="BL980" s="3441" t="s">
        <v>3670</v>
      </c>
      <c r="BP980" s="3441"/>
      <c r="BQ980" s="3441"/>
      <c r="BR980" s="3441"/>
    </row>
    <row r="981" spans="1:71" s="3441" customFormat="1" ht="12" hidden="1">
      <c r="A981" s="3542" t="s">
        <v>10104</v>
      </c>
      <c r="B981" s="3470" t="s">
        <v>10105</v>
      </c>
      <c r="C981" s="3481" t="s">
        <v>10106</v>
      </c>
      <c r="D981" s="3481" t="s">
        <v>10107</v>
      </c>
      <c r="E981" s="3470" t="s">
        <v>3558</v>
      </c>
      <c r="F981" s="3528" t="s">
        <v>3733</v>
      </c>
      <c r="G981" s="3470"/>
      <c r="H981" s="3470" t="s">
        <v>9989</v>
      </c>
      <c r="I981" s="3470" t="s">
        <v>4563</v>
      </c>
      <c r="J981" s="3470" t="s">
        <v>4473</v>
      </c>
      <c r="K981" s="3470" t="s">
        <v>3737</v>
      </c>
      <c r="L981" s="3470">
        <v>75.19</v>
      </c>
      <c r="M981" s="3470">
        <v>4</v>
      </c>
      <c r="N981" s="3470" t="s">
        <v>3451</v>
      </c>
      <c r="O981" s="3470">
        <v>60.28</v>
      </c>
      <c r="P981" s="3470" t="s">
        <v>3452</v>
      </c>
      <c r="Q981" s="3600">
        <v>447380.5</v>
      </c>
      <c r="R981" s="3470">
        <v>5950</v>
      </c>
      <c r="S981" s="3472">
        <v>43.33</v>
      </c>
      <c r="T981" s="3527">
        <v>433300</v>
      </c>
      <c r="U981" s="3470">
        <v>5763</v>
      </c>
      <c r="V981" s="3474">
        <v>0.1</v>
      </c>
      <c r="W981" s="3475">
        <v>38.99</v>
      </c>
      <c r="X981" s="3494">
        <v>389900</v>
      </c>
      <c r="Y981" s="3441">
        <v>2003</v>
      </c>
      <c r="Z981" s="3441">
        <v>11</v>
      </c>
      <c r="AA981" s="3470">
        <v>6</v>
      </c>
      <c r="AB981" s="3477">
        <v>2165</v>
      </c>
      <c r="AC981" s="3470" t="s">
        <v>9364</v>
      </c>
      <c r="AD981" s="3485"/>
      <c r="AE981" s="3441" t="s">
        <v>3663</v>
      </c>
      <c r="AF981" s="3470" t="s">
        <v>3604</v>
      </c>
      <c r="AG981" s="3522" t="s">
        <v>3466</v>
      </c>
      <c r="AH981" s="3485"/>
      <c r="AI981" s="3470" t="s">
        <v>5021</v>
      </c>
      <c r="AJ981" s="3523">
        <v>38122</v>
      </c>
      <c r="AK981" s="3603" t="s">
        <v>4773</v>
      </c>
      <c r="AL981" s="3441">
        <v>67641700</v>
      </c>
      <c r="AN981" s="3456" t="s">
        <v>3570</v>
      </c>
      <c r="AO981" s="3441" t="s">
        <v>10108</v>
      </c>
      <c r="AP981" s="3441" t="s">
        <v>3476</v>
      </c>
      <c r="AQ981" s="3441" t="s">
        <v>3571</v>
      </c>
      <c r="AW981" s="3441" t="s">
        <v>3572</v>
      </c>
      <c r="AY981" s="3524" t="s">
        <v>10109</v>
      </c>
      <c r="AZ981" s="3441" t="s">
        <v>3737</v>
      </c>
      <c r="BA981" s="3441" t="s">
        <v>3742</v>
      </c>
      <c r="BB981" s="3524" t="s">
        <v>3743</v>
      </c>
      <c r="BC981" s="3441" t="s">
        <v>3744</v>
      </c>
      <c r="BD981" s="3525">
        <v>100088</v>
      </c>
      <c r="BE981" s="3441">
        <v>82058259</v>
      </c>
      <c r="BF981" s="3526" t="s">
        <v>8595</v>
      </c>
      <c r="BG981" s="3478">
        <v>37911</v>
      </c>
      <c r="BH981" s="3441" t="s">
        <v>4753</v>
      </c>
      <c r="BI981" s="3441" t="s">
        <v>3476</v>
      </c>
      <c r="BJ981" s="3484">
        <v>37928</v>
      </c>
      <c r="BK981" s="3484" t="s">
        <v>2420</v>
      </c>
      <c r="BL981" s="3470" t="s">
        <v>3670</v>
      </c>
    </row>
    <row r="982" spans="1:71" s="3441" customFormat="1" ht="12" hidden="1">
      <c r="A982" s="3453" t="s">
        <v>10110</v>
      </c>
      <c r="B982" s="3470" t="s">
        <v>10111</v>
      </c>
      <c r="C982" s="3481" t="s">
        <v>10112</v>
      </c>
      <c r="D982" s="3481" t="s">
        <v>10113</v>
      </c>
      <c r="E982" s="3470" t="s">
        <v>3558</v>
      </c>
      <c r="F982" s="3528" t="s">
        <v>7652</v>
      </c>
      <c r="G982" s="3470"/>
      <c r="H982" s="3470" t="s">
        <v>10114</v>
      </c>
      <c r="I982" s="3470" t="s">
        <v>9411</v>
      </c>
      <c r="J982" s="3481" t="s">
        <v>6219</v>
      </c>
      <c r="K982" s="3470" t="s">
        <v>7653</v>
      </c>
      <c r="L982" s="3470">
        <v>104.67</v>
      </c>
      <c r="M982" s="3470">
        <v>11</v>
      </c>
      <c r="N982" s="3542" t="s">
        <v>3491</v>
      </c>
      <c r="O982" s="3470">
        <v>82.57</v>
      </c>
      <c r="P982" s="3470" t="s">
        <v>3452</v>
      </c>
      <c r="Q982" s="3457">
        <v>507649.5</v>
      </c>
      <c r="R982" s="3470">
        <v>4850</v>
      </c>
      <c r="S982" s="3472">
        <v>50.24</v>
      </c>
      <c r="T982" s="3550">
        <v>502400</v>
      </c>
      <c r="U982" s="3470">
        <v>4800</v>
      </c>
      <c r="V982" s="3512">
        <v>0.1</v>
      </c>
      <c r="W982" s="3475">
        <v>45.21</v>
      </c>
      <c r="X982" s="3511">
        <v>452100</v>
      </c>
      <c r="Y982" s="3441">
        <v>2003</v>
      </c>
      <c r="Z982" s="3524" t="s">
        <v>10115</v>
      </c>
      <c r="AA982" s="3481" t="s">
        <v>10116</v>
      </c>
      <c r="AB982" s="3485">
        <v>2510</v>
      </c>
      <c r="AC982" s="3470" t="s">
        <v>9007</v>
      </c>
      <c r="AD982" s="3485"/>
      <c r="AE982" s="3441" t="s">
        <v>3663</v>
      </c>
      <c r="AF982" s="3470" t="s">
        <v>7751</v>
      </c>
      <c r="AG982" s="3522" t="s">
        <v>3466</v>
      </c>
      <c r="AH982" s="3485" t="s">
        <v>3568</v>
      </c>
      <c r="AI982" s="3470" t="s">
        <v>5021</v>
      </c>
      <c r="AJ982" s="3523">
        <v>38123</v>
      </c>
      <c r="AK982" s="3500" t="s">
        <v>4773</v>
      </c>
      <c r="AL982" s="3441">
        <v>67641700</v>
      </c>
      <c r="AN982" s="3455" t="s">
        <v>3570</v>
      </c>
      <c r="AP982" s="3441" t="s">
        <v>3476</v>
      </c>
      <c r="AQ982" s="3441" t="s">
        <v>3571</v>
      </c>
      <c r="AV982" s="3441" t="s">
        <v>3568</v>
      </c>
      <c r="AW982" s="3441" t="s">
        <v>3572</v>
      </c>
      <c r="AY982" s="3524" t="s">
        <v>10117</v>
      </c>
      <c r="AZ982" s="3441" t="s">
        <v>7653</v>
      </c>
      <c r="BA982" s="3441" t="s">
        <v>7655</v>
      </c>
      <c r="BB982" s="3524" t="s">
        <v>7656</v>
      </c>
      <c r="BC982" s="3441" t="s">
        <v>7657</v>
      </c>
      <c r="BD982" s="3525">
        <v>100025</v>
      </c>
      <c r="BE982" s="3441">
        <v>62908858</v>
      </c>
      <c r="BF982" s="3526">
        <v>2.7</v>
      </c>
      <c r="BG982" s="3518">
        <v>37822</v>
      </c>
      <c r="BI982" s="3524" t="s">
        <v>8464</v>
      </c>
      <c r="BJ982" s="3518">
        <v>37923</v>
      </c>
      <c r="BK982" s="3518"/>
      <c r="BL982" s="3470" t="s">
        <v>3670</v>
      </c>
    </row>
    <row r="983" spans="1:71" s="3441" customFormat="1" ht="12" hidden="1">
      <c r="A983" s="3542" t="s">
        <v>10118</v>
      </c>
      <c r="B983" s="3470" t="s">
        <v>10119</v>
      </c>
      <c r="C983" s="3481" t="s">
        <v>10120</v>
      </c>
      <c r="D983" s="3481" t="s">
        <v>10121</v>
      </c>
      <c r="E983" s="3470" t="s">
        <v>3558</v>
      </c>
      <c r="F983" s="3528" t="s">
        <v>4669</v>
      </c>
      <c r="G983" s="3470"/>
      <c r="H983" s="3470" t="s">
        <v>10122</v>
      </c>
      <c r="I983" s="3470" t="s">
        <v>4124</v>
      </c>
      <c r="J983" s="3481" t="s">
        <v>10123</v>
      </c>
      <c r="K983" s="3470" t="s">
        <v>4673</v>
      </c>
      <c r="L983" s="3470">
        <v>53.71</v>
      </c>
      <c r="M983" s="3470">
        <v>8</v>
      </c>
      <c r="N983" s="3470" t="s">
        <v>6871</v>
      </c>
      <c r="O983" s="3470">
        <v>41.78</v>
      </c>
      <c r="P983" s="3470" t="s">
        <v>3452</v>
      </c>
      <c r="Q983" s="3457">
        <v>355560.2</v>
      </c>
      <c r="R983" s="3470">
        <v>6620</v>
      </c>
      <c r="S983" s="3472">
        <v>35.26</v>
      </c>
      <c r="T983" s="3527">
        <v>352600</v>
      </c>
      <c r="U983" s="3470">
        <v>6565</v>
      </c>
      <c r="V983" s="3474">
        <v>0.1</v>
      </c>
      <c r="W983" s="3475">
        <v>31.73</v>
      </c>
      <c r="X983" s="3494">
        <v>317300</v>
      </c>
      <c r="Y983" s="3441">
        <v>2003</v>
      </c>
      <c r="Z983" s="3524" t="s">
        <v>10115</v>
      </c>
      <c r="AA983" s="3481" t="s">
        <v>10116</v>
      </c>
      <c r="AB983" s="3477">
        <v>1760</v>
      </c>
      <c r="AC983" s="3470" t="s">
        <v>8955</v>
      </c>
      <c r="AD983" s="3485"/>
      <c r="AE983" s="3441" t="s">
        <v>3663</v>
      </c>
      <c r="AF983" s="3470" t="s">
        <v>4721</v>
      </c>
      <c r="AG983" s="3522" t="s">
        <v>3466</v>
      </c>
      <c r="AH983" s="3485"/>
      <c r="AI983" s="3470" t="s">
        <v>5021</v>
      </c>
      <c r="AJ983" s="3523">
        <v>38347</v>
      </c>
      <c r="AK983" s="3500" t="s">
        <v>9912</v>
      </c>
      <c r="AL983" s="3441">
        <v>67641700</v>
      </c>
      <c r="AN983" s="3455" t="s">
        <v>3570</v>
      </c>
      <c r="AO983" s="3441" t="s">
        <v>3568</v>
      </c>
      <c r="AP983" s="3441" t="s">
        <v>3476</v>
      </c>
      <c r="AQ983" s="3441" t="s">
        <v>3571</v>
      </c>
      <c r="AW983" s="3441" t="s">
        <v>3572</v>
      </c>
      <c r="AY983" s="3524" t="s">
        <v>10124</v>
      </c>
      <c r="AZ983" s="3441" t="s">
        <v>4677</v>
      </c>
      <c r="BA983" s="3441" t="s">
        <v>4678</v>
      </c>
      <c r="BB983" s="3524" t="s">
        <v>4679</v>
      </c>
      <c r="BC983" s="3441" t="s">
        <v>4680</v>
      </c>
      <c r="BD983" s="3525">
        <v>100089</v>
      </c>
      <c r="BE983" s="3441">
        <v>68719656</v>
      </c>
      <c r="BF983" s="3526">
        <v>2.8</v>
      </c>
      <c r="BG983" s="3518">
        <v>37906</v>
      </c>
      <c r="BI983" s="3470" t="s">
        <v>8464</v>
      </c>
      <c r="BJ983" s="3484">
        <v>37923</v>
      </c>
      <c r="BK983" s="3484"/>
      <c r="BL983" s="3470" t="s">
        <v>3670</v>
      </c>
    </row>
    <row r="984" spans="1:71" s="3470" customFormat="1" ht="12" hidden="1">
      <c r="A984" s="3453" t="s">
        <v>10125</v>
      </c>
      <c r="B984" s="3470" t="s">
        <v>10126</v>
      </c>
      <c r="C984" s="3481" t="s">
        <v>10127</v>
      </c>
      <c r="D984" s="3470">
        <v>13601339117</v>
      </c>
      <c r="E984" s="3470" t="s">
        <v>2736</v>
      </c>
      <c r="F984" s="3470" t="s">
        <v>10128</v>
      </c>
      <c r="H984" s="3470" t="s">
        <v>5409</v>
      </c>
      <c r="I984" s="3470" t="s">
        <v>8846</v>
      </c>
      <c r="J984" s="3470" t="s">
        <v>4335</v>
      </c>
      <c r="K984" s="3470" t="s">
        <v>8993</v>
      </c>
      <c r="L984" s="3470">
        <v>95.84</v>
      </c>
      <c r="M984" s="3470">
        <v>10</v>
      </c>
      <c r="N984" s="3470" t="s">
        <v>3709</v>
      </c>
      <c r="O984" s="3470">
        <v>75.180000000000007</v>
      </c>
      <c r="P984" s="3470" t="s">
        <v>3452</v>
      </c>
      <c r="Q984" s="3457">
        <v>480158.4</v>
      </c>
      <c r="R984" s="3470">
        <v>5010</v>
      </c>
      <c r="S984" s="3472">
        <v>47.53</v>
      </c>
      <c r="T984" s="3527">
        <v>475300</v>
      </c>
      <c r="U984" s="3470">
        <v>4960</v>
      </c>
      <c r="V984" s="3474">
        <v>0.1</v>
      </c>
      <c r="W984" s="3475">
        <v>42.77</v>
      </c>
      <c r="X984" s="3476">
        <v>427700.00000000006</v>
      </c>
      <c r="Y984" s="3470">
        <v>2003</v>
      </c>
      <c r="Z984" s="3524" t="s">
        <v>10115</v>
      </c>
      <c r="AA984" s="3481" t="s">
        <v>10116</v>
      </c>
      <c r="AB984" s="3477">
        <v>2375</v>
      </c>
      <c r="AC984" s="3470" t="s">
        <v>9077</v>
      </c>
      <c r="AE984" s="3470" t="s">
        <v>3663</v>
      </c>
      <c r="AF984" s="3453" t="s">
        <v>7751</v>
      </c>
      <c r="AG984" s="3456" t="s">
        <v>3466</v>
      </c>
      <c r="AI984" s="3470" t="s">
        <v>3664</v>
      </c>
      <c r="AJ984" s="3478">
        <v>38261</v>
      </c>
      <c r="AK984" s="3500" t="s">
        <v>4773</v>
      </c>
      <c r="AL984" s="3441">
        <v>67641700</v>
      </c>
      <c r="AM984" s="3441"/>
      <c r="AN984" s="3455" t="s">
        <v>3570</v>
      </c>
      <c r="AP984" s="3441" t="s">
        <v>3476</v>
      </c>
      <c r="AQ984" s="3470" t="s">
        <v>7265</v>
      </c>
      <c r="AW984" s="3470" t="s">
        <v>3458</v>
      </c>
      <c r="AX984" s="3508"/>
      <c r="AY984" s="3470">
        <v>552415</v>
      </c>
      <c r="AZ984" s="3470" t="s">
        <v>4789</v>
      </c>
      <c r="BA984" s="3470" t="s">
        <v>9034</v>
      </c>
      <c r="BB984" s="3470" t="s">
        <v>8995</v>
      </c>
      <c r="BC984" s="3470" t="s">
        <v>9035</v>
      </c>
      <c r="BD984" s="3470">
        <v>102308</v>
      </c>
      <c r="BE984" s="3470">
        <v>68041987</v>
      </c>
      <c r="BF984" s="3470">
        <v>2.8</v>
      </c>
      <c r="BG984" s="3478">
        <v>37912</v>
      </c>
      <c r="BI984" s="3470" t="s">
        <v>8464</v>
      </c>
      <c r="BJ984" s="3484">
        <v>37923</v>
      </c>
      <c r="BK984" s="3508"/>
      <c r="BL984" s="3470" t="s">
        <v>6897</v>
      </c>
      <c r="BP984" s="3441"/>
      <c r="BQ984" s="3441"/>
      <c r="BR984" s="3441"/>
    </row>
    <row r="985" spans="1:71" s="3441" customFormat="1" ht="12" hidden="1">
      <c r="A985" s="3542" t="s">
        <v>10129</v>
      </c>
      <c r="B985" s="3470" t="s">
        <v>10130</v>
      </c>
      <c r="C985" s="3481" t="s">
        <v>10131</v>
      </c>
      <c r="D985" s="3481" t="s">
        <v>10132</v>
      </c>
      <c r="E985" s="3470" t="s">
        <v>3558</v>
      </c>
      <c r="F985" s="3528" t="s">
        <v>3733</v>
      </c>
      <c r="G985" s="3470"/>
      <c r="H985" s="3470" t="s">
        <v>9989</v>
      </c>
      <c r="I985" s="3470" t="s">
        <v>5663</v>
      </c>
      <c r="J985" s="3470" t="s">
        <v>4473</v>
      </c>
      <c r="K985" s="3470" t="s">
        <v>3737</v>
      </c>
      <c r="L985" s="3470">
        <v>75.19</v>
      </c>
      <c r="M985" s="3470">
        <v>13</v>
      </c>
      <c r="N985" s="3470" t="s">
        <v>3451</v>
      </c>
      <c r="O985" s="3470">
        <v>60.28</v>
      </c>
      <c r="P985" s="3470" t="s">
        <v>3452</v>
      </c>
      <c r="Q985" s="3600">
        <v>478960.3</v>
      </c>
      <c r="R985" s="3470">
        <v>6370</v>
      </c>
      <c r="S985" s="3472">
        <v>46.44</v>
      </c>
      <c r="T985" s="3527">
        <v>464400</v>
      </c>
      <c r="U985" s="3470">
        <v>6177</v>
      </c>
      <c r="V985" s="3474">
        <v>0.1</v>
      </c>
      <c r="W985" s="3475">
        <v>41.79</v>
      </c>
      <c r="X985" s="3494">
        <v>417900</v>
      </c>
      <c r="Y985" s="3441">
        <v>2003</v>
      </c>
      <c r="Z985" s="3441">
        <v>11</v>
      </c>
      <c r="AA985" s="3470">
        <v>3</v>
      </c>
      <c r="AB985" s="3477">
        <v>2320</v>
      </c>
      <c r="AC985" s="3470" t="s">
        <v>9107</v>
      </c>
      <c r="AD985" s="3485"/>
      <c r="AE985" s="3441" t="s">
        <v>3663</v>
      </c>
      <c r="AF985" s="3470" t="s">
        <v>3604</v>
      </c>
      <c r="AG985" s="3522" t="s">
        <v>3466</v>
      </c>
      <c r="AH985" s="3485"/>
      <c r="AI985" s="3470" t="s">
        <v>5021</v>
      </c>
      <c r="AJ985" s="3523">
        <v>38122</v>
      </c>
      <c r="AK985" s="3603" t="s">
        <v>9912</v>
      </c>
      <c r="AL985" s="3441">
        <v>67641700</v>
      </c>
      <c r="AN985" s="3456" t="s">
        <v>3570</v>
      </c>
      <c r="AO985" s="3441" t="s">
        <v>2420</v>
      </c>
      <c r="AP985" s="3441" t="s">
        <v>3476</v>
      </c>
      <c r="AQ985" s="3441" t="s">
        <v>3571</v>
      </c>
      <c r="AW985" s="3441" t="s">
        <v>3572</v>
      </c>
      <c r="AY985" s="3524" t="s">
        <v>10133</v>
      </c>
      <c r="AZ985" s="3441" t="s">
        <v>3737</v>
      </c>
      <c r="BA985" s="3441" t="s">
        <v>3742</v>
      </c>
      <c r="BB985" s="3524" t="s">
        <v>3743</v>
      </c>
      <c r="BC985" s="3441" t="s">
        <v>3744</v>
      </c>
      <c r="BD985" s="3525">
        <v>100088</v>
      </c>
      <c r="BE985" s="3441">
        <v>82058259</v>
      </c>
      <c r="BF985" s="3526" t="s">
        <v>8595</v>
      </c>
      <c r="BG985" s="3478">
        <v>37915</v>
      </c>
      <c r="BH985" s="3441" t="s">
        <v>4753</v>
      </c>
      <c r="BI985" s="3441" t="s">
        <v>3476</v>
      </c>
      <c r="BJ985" s="3484">
        <v>37923</v>
      </c>
      <c r="BK985" s="3484" t="s">
        <v>2420</v>
      </c>
      <c r="BL985" s="3470" t="s">
        <v>3670</v>
      </c>
    </row>
    <row r="986" spans="1:71" s="3470" customFormat="1" ht="12" hidden="1">
      <c r="A986" s="3542" t="s">
        <v>10134</v>
      </c>
      <c r="B986" s="3470" t="s">
        <v>10135</v>
      </c>
      <c r="C986" s="3481" t="s">
        <v>10136</v>
      </c>
      <c r="D986" s="3470" t="s">
        <v>10137</v>
      </c>
      <c r="E986" s="3470" t="s">
        <v>3558</v>
      </c>
      <c r="F986" s="3470" t="s">
        <v>5335</v>
      </c>
      <c r="H986" s="3453" t="s">
        <v>10138</v>
      </c>
      <c r="J986" s="3470" t="s">
        <v>10139</v>
      </c>
      <c r="K986" s="3470" t="s">
        <v>5338</v>
      </c>
      <c r="L986" s="3470">
        <v>109.38</v>
      </c>
      <c r="M986" s="3470">
        <v>15</v>
      </c>
      <c r="N986" s="3470" t="s">
        <v>5289</v>
      </c>
      <c r="O986" s="3470">
        <v>90.22</v>
      </c>
      <c r="P986" s="3470" t="s">
        <v>3452</v>
      </c>
      <c r="Q986" s="3616">
        <v>467927.63999999996</v>
      </c>
      <c r="R986" s="3470">
        <v>4278</v>
      </c>
      <c r="S986" s="3472">
        <v>46.26</v>
      </c>
      <c r="T986" s="3550">
        <v>462600</v>
      </c>
      <c r="U986" s="3470">
        <v>4230</v>
      </c>
      <c r="V986" s="3474">
        <v>0.1</v>
      </c>
      <c r="W986" s="3475">
        <v>41.63</v>
      </c>
      <c r="X986" s="3511">
        <v>416300</v>
      </c>
      <c r="Y986" s="3470">
        <v>2003</v>
      </c>
      <c r="Z986" s="3441">
        <v>11</v>
      </c>
      <c r="AA986" s="3470">
        <v>3</v>
      </c>
      <c r="AB986" s="3485">
        <v>2310</v>
      </c>
      <c r="AC986" s="3470" t="s">
        <v>8955</v>
      </c>
      <c r="AE986" s="3470" t="s">
        <v>3663</v>
      </c>
      <c r="AF986" s="3470" t="s">
        <v>4721</v>
      </c>
      <c r="AG986" s="3456" t="s">
        <v>3466</v>
      </c>
      <c r="AH986" s="3470" t="s">
        <v>3568</v>
      </c>
      <c r="AI986" s="3470" t="s">
        <v>5021</v>
      </c>
      <c r="AJ986" s="3478">
        <v>38138</v>
      </c>
      <c r="AK986" s="3603" t="s">
        <v>4773</v>
      </c>
      <c r="AL986" s="3441">
        <v>67641700</v>
      </c>
      <c r="AM986" s="3441"/>
      <c r="AN986" s="3456" t="s">
        <v>3570</v>
      </c>
      <c r="AP986" s="3456" t="s">
        <v>3476</v>
      </c>
      <c r="AQ986" s="3470" t="s">
        <v>3571</v>
      </c>
      <c r="AV986" s="3470" t="s">
        <v>3568</v>
      </c>
      <c r="AW986" s="3470" t="s">
        <v>3572</v>
      </c>
      <c r="AY986" s="3470">
        <v>267148</v>
      </c>
      <c r="AZ986" s="3470" t="s">
        <v>5338</v>
      </c>
      <c r="BA986" s="3470" t="s">
        <v>5342</v>
      </c>
      <c r="BB986" s="3470" t="s">
        <v>5343</v>
      </c>
      <c r="BC986" s="3470" t="s">
        <v>5344</v>
      </c>
      <c r="BD986" s="3470">
        <v>102488</v>
      </c>
      <c r="BE986" s="3470">
        <v>63023627</v>
      </c>
      <c r="BF986" s="3538">
        <v>2.8</v>
      </c>
      <c r="BG986" s="3478">
        <v>37877</v>
      </c>
      <c r="BI986" s="3441" t="s">
        <v>3476</v>
      </c>
      <c r="BJ986" s="3484">
        <v>37893</v>
      </c>
      <c r="BL986" s="3470" t="s">
        <v>3670</v>
      </c>
      <c r="BP986" s="3441"/>
      <c r="BQ986" s="3441"/>
      <c r="BR986" s="3441"/>
      <c r="BS986" s="3441"/>
    </row>
    <row r="987" spans="1:71" s="3441" customFormat="1" ht="12" hidden="1">
      <c r="A987" s="3542" t="s">
        <v>10140</v>
      </c>
      <c r="B987" s="3470" t="s">
        <v>10141</v>
      </c>
      <c r="C987" s="3481" t="s">
        <v>10142</v>
      </c>
      <c r="D987" s="3481" t="s">
        <v>10143</v>
      </c>
      <c r="E987" s="3470" t="s">
        <v>3558</v>
      </c>
      <c r="F987" s="3470" t="s">
        <v>9389</v>
      </c>
      <c r="G987" s="3470"/>
      <c r="H987" s="3470" t="s">
        <v>9390</v>
      </c>
      <c r="I987" s="3453" t="s">
        <v>6989</v>
      </c>
      <c r="J987" s="3481" t="s">
        <v>7228</v>
      </c>
      <c r="K987" s="3470" t="s">
        <v>4772</v>
      </c>
      <c r="L987" s="3470">
        <v>104.73</v>
      </c>
      <c r="M987" s="3470">
        <v>2</v>
      </c>
      <c r="N987" s="3470" t="s">
        <v>7017</v>
      </c>
      <c r="O987" s="3470">
        <v>94.06</v>
      </c>
      <c r="P987" s="3470" t="s">
        <v>3452</v>
      </c>
      <c r="Q987" s="3457">
        <v>455470.77</v>
      </c>
      <c r="R987" s="3470">
        <v>4349</v>
      </c>
      <c r="S987" s="3472">
        <v>45.07</v>
      </c>
      <c r="T987" s="3550">
        <v>450700</v>
      </c>
      <c r="U987" s="3470">
        <v>4304</v>
      </c>
      <c r="V987" s="3474">
        <v>0.1</v>
      </c>
      <c r="W987" s="3475">
        <v>40.56</v>
      </c>
      <c r="X987" s="3602">
        <v>405600</v>
      </c>
      <c r="Y987" s="3441">
        <v>2003</v>
      </c>
      <c r="Z987" s="3441">
        <v>11</v>
      </c>
      <c r="AA987" s="3470">
        <v>3</v>
      </c>
      <c r="AB987" s="3477">
        <v>2250</v>
      </c>
      <c r="AC987" s="3470" t="s">
        <v>9077</v>
      </c>
      <c r="AD987" s="3485"/>
      <c r="AE987" s="3441" t="s">
        <v>3663</v>
      </c>
      <c r="AF987" s="3470" t="s">
        <v>10144</v>
      </c>
      <c r="AG987" s="3522" t="s">
        <v>3466</v>
      </c>
      <c r="AH987" s="3485"/>
      <c r="AI987" s="3470" t="s">
        <v>7643</v>
      </c>
      <c r="AJ987" s="3523">
        <v>37966</v>
      </c>
      <c r="AK987" s="3603" t="s">
        <v>4788</v>
      </c>
      <c r="AL987" s="3441">
        <v>67641700</v>
      </c>
      <c r="AN987" s="3456" t="s">
        <v>3570</v>
      </c>
      <c r="AP987" s="3441" t="s">
        <v>3476</v>
      </c>
      <c r="AQ987" s="3441" t="s">
        <v>3571</v>
      </c>
      <c r="AW987" s="3441" t="s">
        <v>3572</v>
      </c>
      <c r="AY987" s="3524" t="s">
        <v>10145</v>
      </c>
      <c r="AZ987" s="3441" t="s">
        <v>4772</v>
      </c>
      <c r="BA987" s="3441" t="s">
        <v>4775</v>
      </c>
      <c r="BB987" s="3524" t="s">
        <v>4776</v>
      </c>
      <c r="BC987" s="3441" t="s">
        <v>4777</v>
      </c>
      <c r="BD987" s="3525">
        <v>100083</v>
      </c>
      <c r="BE987" s="3441">
        <v>82355171</v>
      </c>
      <c r="BF987" s="3526">
        <v>2.7</v>
      </c>
      <c r="BG987" s="3518">
        <v>37909</v>
      </c>
      <c r="BH987" s="3441" t="s">
        <v>4681</v>
      </c>
      <c r="BI987" s="3441" t="s">
        <v>3476</v>
      </c>
      <c r="BJ987" s="3484">
        <v>37923</v>
      </c>
      <c r="BK987" s="3518"/>
      <c r="BL987" s="3470" t="s">
        <v>3670</v>
      </c>
    </row>
    <row r="988" spans="1:71" s="3441" customFormat="1" ht="12" hidden="1">
      <c r="A988" s="3453" t="s">
        <v>10146</v>
      </c>
      <c r="B988" s="3470" t="s">
        <v>10147</v>
      </c>
      <c r="C988" s="3481" t="s">
        <v>10148</v>
      </c>
      <c r="D988" s="3481" t="s">
        <v>10149</v>
      </c>
      <c r="E988" s="3470" t="s">
        <v>3558</v>
      </c>
      <c r="F988" s="3470" t="s">
        <v>10065</v>
      </c>
      <c r="G988" s="3470"/>
      <c r="H988" s="3470" t="s">
        <v>10150</v>
      </c>
      <c r="I988" s="3470" t="s">
        <v>4011</v>
      </c>
      <c r="J988" s="3481" t="s">
        <v>7435</v>
      </c>
      <c r="K988" s="3470" t="s">
        <v>10068</v>
      </c>
      <c r="L988" s="3470">
        <v>92.47</v>
      </c>
      <c r="M988" s="3470">
        <v>5</v>
      </c>
      <c r="N988" s="3470" t="s">
        <v>4030</v>
      </c>
      <c r="O988" s="3470">
        <v>80.38</v>
      </c>
      <c r="P988" s="3470" t="s">
        <v>3452</v>
      </c>
      <c r="Q988" s="3457">
        <v>451253.6</v>
      </c>
      <c r="R988" s="3470">
        <v>4880</v>
      </c>
      <c r="S988" s="3472">
        <v>44.66</v>
      </c>
      <c r="T988" s="3527">
        <v>446599.99999999994</v>
      </c>
      <c r="U988" s="3495">
        <v>4830</v>
      </c>
      <c r="V988" s="3474">
        <v>0.1</v>
      </c>
      <c r="W988" s="3475">
        <v>40.19</v>
      </c>
      <c r="X988" s="3476">
        <v>401900</v>
      </c>
      <c r="Y988" s="3495">
        <v>2003</v>
      </c>
      <c r="Z988" s="3441">
        <v>11</v>
      </c>
      <c r="AA988" s="3441">
        <v>10</v>
      </c>
      <c r="AB988" s="3477">
        <v>2230</v>
      </c>
      <c r="AC988" s="3470" t="s">
        <v>8955</v>
      </c>
      <c r="AD988" s="3485"/>
      <c r="AE988" s="3441" t="s">
        <v>3663</v>
      </c>
      <c r="AF988" s="3470" t="s">
        <v>3956</v>
      </c>
      <c r="AG988" s="3522" t="s">
        <v>3466</v>
      </c>
      <c r="AH988" s="3485" t="s">
        <v>3568</v>
      </c>
      <c r="AI988" s="3470" t="s">
        <v>5021</v>
      </c>
      <c r="AJ988" s="3523">
        <v>37986</v>
      </c>
      <c r="AK988" s="3603" t="s">
        <v>4788</v>
      </c>
      <c r="AL988" s="3441">
        <v>67641700</v>
      </c>
      <c r="AN988" s="3456" t="s">
        <v>3468</v>
      </c>
      <c r="AO988" s="3441" t="s">
        <v>3568</v>
      </c>
      <c r="AP988" s="3441" t="s">
        <v>3476</v>
      </c>
      <c r="AQ988" s="3441" t="s">
        <v>3571</v>
      </c>
      <c r="AR988" s="3441" t="s">
        <v>3568</v>
      </c>
      <c r="AS988" s="3441" t="s">
        <v>3568</v>
      </c>
      <c r="AT988" s="3441" t="s">
        <v>3568</v>
      </c>
      <c r="AW988" s="3441" t="s">
        <v>3572</v>
      </c>
      <c r="AX988" s="3441" t="s">
        <v>2420</v>
      </c>
      <c r="AY988" s="3524" t="s">
        <v>10151</v>
      </c>
      <c r="AZ988" s="3470" t="s">
        <v>10068</v>
      </c>
      <c r="BA988" s="3441" t="s">
        <v>10071</v>
      </c>
      <c r="BB988" s="3524" t="s">
        <v>10072</v>
      </c>
      <c r="BC988" s="3441" t="s">
        <v>10073</v>
      </c>
      <c r="BD988" s="3525">
        <v>100505</v>
      </c>
      <c r="BE988" s="3441">
        <v>62935226</v>
      </c>
      <c r="BF988" s="3526">
        <v>2.7</v>
      </c>
      <c r="BG988" s="3518">
        <v>37913</v>
      </c>
      <c r="BH988" s="3441" t="s">
        <v>3568</v>
      </c>
      <c r="BI988" s="3441" t="s">
        <v>3476</v>
      </c>
      <c r="BJ988" s="3518">
        <v>37923</v>
      </c>
      <c r="BK988" s="3518" t="s">
        <v>2420</v>
      </c>
      <c r="BL988" s="3470" t="s">
        <v>3670</v>
      </c>
    </row>
    <row r="989" spans="1:71" s="3441" customFormat="1" ht="12" hidden="1">
      <c r="A989" s="3542" t="s">
        <v>10152</v>
      </c>
      <c r="B989" s="3470" t="s">
        <v>10153</v>
      </c>
      <c r="C989" s="3481" t="s">
        <v>10154</v>
      </c>
      <c r="D989" s="3481" t="s">
        <v>10155</v>
      </c>
      <c r="E989" s="3470" t="s">
        <v>3558</v>
      </c>
      <c r="F989" s="3528" t="s">
        <v>3733</v>
      </c>
      <c r="G989" s="3470"/>
      <c r="H989" s="3470" t="s">
        <v>9875</v>
      </c>
      <c r="I989" s="3470" t="s">
        <v>7339</v>
      </c>
      <c r="J989" s="3470" t="s">
        <v>9397</v>
      </c>
      <c r="K989" s="3470" t="s">
        <v>3737</v>
      </c>
      <c r="L989" s="3470">
        <v>88.67</v>
      </c>
      <c r="M989" s="3470">
        <v>21</v>
      </c>
      <c r="N989" s="3470" t="s">
        <v>3491</v>
      </c>
      <c r="O989" s="3470">
        <v>71.09</v>
      </c>
      <c r="P989" s="3470" t="s">
        <v>3452</v>
      </c>
      <c r="Q989" s="3600">
        <v>610049.6</v>
      </c>
      <c r="R989" s="3470">
        <v>6880</v>
      </c>
      <c r="S989" s="3472">
        <v>59.45</v>
      </c>
      <c r="T989" s="3527">
        <v>594500</v>
      </c>
      <c r="U989" s="3470">
        <v>6705</v>
      </c>
      <c r="V989" s="3474">
        <v>0.1</v>
      </c>
      <c r="W989" s="3475">
        <v>53.5</v>
      </c>
      <c r="X989" s="3494">
        <v>535000</v>
      </c>
      <c r="Y989" s="3441">
        <v>2003</v>
      </c>
      <c r="Z989" s="3441">
        <v>11</v>
      </c>
      <c r="AA989" s="3441">
        <v>10</v>
      </c>
      <c r="AB989" s="3477">
        <v>2970</v>
      </c>
      <c r="AC989" s="3470" t="s">
        <v>8955</v>
      </c>
      <c r="AD989" s="3485"/>
      <c r="AE989" s="3441" t="s">
        <v>3663</v>
      </c>
      <c r="AF989" s="3470" t="s">
        <v>3604</v>
      </c>
      <c r="AG989" s="3522" t="s">
        <v>3466</v>
      </c>
      <c r="AH989" s="3485"/>
      <c r="AI989" s="3470" t="s">
        <v>5021</v>
      </c>
      <c r="AJ989" s="3523">
        <v>38122</v>
      </c>
      <c r="AK989" s="3603" t="s">
        <v>4773</v>
      </c>
      <c r="AL989" s="3441">
        <v>67641700</v>
      </c>
      <c r="AN989" s="3456" t="s">
        <v>3695</v>
      </c>
      <c r="AO989" s="3441" t="s">
        <v>10156</v>
      </c>
      <c r="AP989" s="3441" t="s">
        <v>3476</v>
      </c>
      <c r="AQ989" s="3441" t="s">
        <v>3571</v>
      </c>
      <c r="AW989" s="3441" t="s">
        <v>3572</v>
      </c>
      <c r="AY989" s="3524" t="s">
        <v>10157</v>
      </c>
      <c r="AZ989" s="3441" t="s">
        <v>3737</v>
      </c>
      <c r="BA989" s="3441" t="s">
        <v>3742</v>
      </c>
      <c r="BB989" s="3524" t="s">
        <v>3743</v>
      </c>
      <c r="BC989" s="3441" t="s">
        <v>3744</v>
      </c>
      <c r="BD989" s="3525">
        <v>100088</v>
      </c>
      <c r="BE989" s="3441">
        <v>82058259</v>
      </c>
      <c r="BF989" s="3526" t="s">
        <v>8595</v>
      </c>
      <c r="BG989" s="3478">
        <v>37914</v>
      </c>
      <c r="BH989" s="3441" t="s">
        <v>4753</v>
      </c>
      <c r="BI989" s="3441" t="s">
        <v>3476</v>
      </c>
      <c r="BJ989" s="3478">
        <v>37931</v>
      </c>
      <c r="BK989" s="3484" t="s">
        <v>2420</v>
      </c>
      <c r="BL989" s="3470" t="s">
        <v>3670</v>
      </c>
    </row>
    <row r="990" spans="1:71" s="3441" customFormat="1" ht="12">
      <c r="A990" s="3542" t="s">
        <v>10158</v>
      </c>
      <c r="B990" s="3470" t="s">
        <v>10159</v>
      </c>
      <c r="C990" s="3481" t="s">
        <v>10160</v>
      </c>
      <c r="D990" s="3481" t="s">
        <v>10161</v>
      </c>
      <c r="E990" s="3470" t="s">
        <v>2736</v>
      </c>
      <c r="F990" s="3687" t="s">
        <v>9471</v>
      </c>
      <c r="G990" s="3470"/>
      <c r="H990" s="3470" t="s">
        <v>2420</v>
      </c>
      <c r="I990" s="3470" t="s">
        <v>4124</v>
      </c>
      <c r="J990" s="3481" t="s">
        <v>10162</v>
      </c>
      <c r="K990" s="3470" t="s">
        <v>8795</v>
      </c>
      <c r="L990" s="3470">
        <v>61.66</v>
      </c>
      <c r="M990" s="3470">
        <v>8</v>
      </c>
      <c r="N990" s="3470" t="s">
        <v>3678</v>
      </c>
      <c r="O990" s="3470">
        <v>47.87</v>
      </c>
      <c r="P990" s="3470" t="s">
        <v>3452</v>
      </c>
      <c r="Q990" s="3457">
        <v>465533</v>
      </c>
      <c r="R990" s="3470">
        <v>7550</v>
      </c>
      <c r="S990" s="3472">
        <v>44.58</v>
      </c>
      <c r="T990" s="3527">
        <v>445800</v>
      </c>
      <c r="U990" s="3495">
        <v>7230</v>
      </c>
      <c r="V990" s="3474">
        <v>0.1</v>
      </c>
      <c r="W990" s="3475">
        <v>40.119999999999997</v>
      </c>
      <c r="X990" s="3473">
        <v>401200</v>
      </c>
      <c r="Y990" s="3495">
        <v>2003</v>
      </c>
      <c r="Z990" s="3441">
        <v>11</v>
      </c>
      <c r="AA990" s="3470">
        <v>5</v>
      </c>
      <c r="AB990" s="3477">
        <v>2225</v>
      </c>
      <c r="AC990" s="3470" t="s">
        <v>9007</v>
      </c>
      <c r="AD990" s="3485"/>
      <c r="AE990" s="3441" t="s">
        <v>3663</v>
      </c>
      <c r="AF990" s="3470" t="s">
        <v>3587</v>
      </c>
      <c r="AG990" s="3522" t="s">
        <v>3466</v>
      </c>
      <c r="AH990" s="3485"/>
      <c r="AI990" s="3470" t="s">
        <v>5021</v>
      </c>
      <c r="AJ990" s="3523">
        <v>38107</v>
      </c>
      <c r="AK990" s="3603" t="s">
        <v>4773</v>
      </c>
      <c r="AL990" s="3441">
        <v>67641700</v>
      </c>
      <c r="AN990" s="3456" t="s">
        <v>3570</v>
      </c>
      <c r="AO990" s="3441" t="s">
        <v>3568</v>
      </c>
      <c r="AP990" s="3441" t="s">
        <v>3476</v>
      </c>
      <c r="AQ990" s="3441" t="s">
        <v>3571</v>
      </c>
      <c r="AW990" s="3441" t="s">
        <v>3572</v>
      </c>
      <c r="AY990" s="3524" t="s">
        <v>10163</v>
      </c>
      <c r="AZ990" s="3470" t="s">
        <v>8862</v>
      </c>
      <c r="BA990" s="3441" t="s">
        <v>9474</v>
      </c>
      <c r="BB990" s="3524" t="s">
        <v>8799</v>
      </c>
      <c r="BC990" s="3441" t="s">
        <v>9534</v>
      </c>
      <c r="BD990" s="3525" t="s">
        <v>3715</v>
      </c>
      <c r="BE990" s="3441" t="s">
        <v>2420</v>
      </c>
      <c r="BF990" s="3526">
        <v>2.8</v>
      </c>
      <c r="BG990" s="3518">
        <v>37849</v>
      </c>
      <c r="BH990" s="3441" t="s">
        <v>8801</v>
      </c>
      <c r="BI990" s="3441" t="s">
        <v>3476</v>
      </c>
      <c r="BJ990" s="3484">
        <v>37925</v>
      </c>
      <c r="BK990" s="3484">
        <v>37928</v>
      </c>
      <c r="BL990" s="3470" t="s">
        <v>3670</v>
      </c>
    </row>
    <row r="991" spans="1:71" s="3441" customFormat="1" ht="12" hidden="1">
      <c r="A991" s="3542" t="s">
        <v>10164</v>
      </c>
      <c r="B991" s="3470" t="s">
        <v>10165</v>
      </c>
      <c r="C991" s="3481" t="s">
        <v>10166</v>
      </c>
      <c r="D991" s="3481" t="s">
        <v>10167</v>
      </c>
      <c r="E991" s="3470" t="s">
        <v>3558</v>
      </c>
      <c r="F991" s="3470" t="s">
        <v>7153</v>
      </c>
      <c r="G991" s="3470" t="s">
        <v>3568</v>
      </c>
      <c r="H991" s="3470" t="s">
        <v>5608</v>
      </c>
      <c r="I991" s="3453" t="s">
        <v>3726</v>
      </c>
      <c r="J991" s="3481" t="s">
        <v>5472</v>
      </c>
      <c r="K991" s="3470" t="s">
        <v>6117</v>
      </c>
      <c r="L991" s="3470">
        <v>98.22</v>
      </c>
      <c r="M991" s="3470">
        <v>6</v>
      </c>
      <c r="N991" s="3470" t="s">
        <v>4030</v>
      </c>
      <c r="O991" s="3470">
        <v>83.29</v>
      </c>
      <c r="P991" s="3470" t="s">
        <v>3452</v>
      </c>
      <c r="Q991" s="3457">
        <v>389933.4</v>
      </c>
      <c r="R991" s="3470">
        <v>3970</v>
      </c>
      <c r="S991" s="3472">
        <v>38.549999999999997</v>
      </c>
      <c r="T991" s="3527">
        <v>385500</v>
      </c>
      <c r="U991" s="3470">
        <v>3925</v>
      </c>
      <c r="V991" s="3474">
        <v>0.1</v>
      </c>
      <c r="W991" s="3475">
        <v>34.69</v>
      </c>
      <c r="X991" s="3476">
        <v>346900</v>
      </c>
      <c r="Y991" s="3441">
        <v>2003</v>
      </c>
      <c r="Z991" s="3441">
        <v>11</v>
      </c>
      <c r="AA991" s="3441">
        <v>13</v>
      </c>
      <c r="AB991" s="3477">
        <v>1925</v>
      </c>
      <c r="AC991" s="3470" t="s">
        <v>4800</v>
      </c>
      <c r="AD991" s="3485"/>
      <c r="AE991" s="3441" t="s">
        <v>3663</v>
      </c>
      <c r="AF991" s="3470" t="s">
        <v>4787</v>
      </c>
      <c r="AG991" s="3522" t="s">
        <v>3466</v>
      </c>
      <c r="AH991" s="3485"/>
      <c r="AI991" s="3470" t="s">
        <v>5021</v>
      </c>
      <c r="AJ991" s="3523">
        <v>38108</v>
      </c>
      <c r="AK991" s="3603" t="s">
        <v>4773</v>
      </c>
      <c r="AL991" s="3441">
        <v>67641700</v>
      </c>
      <c r="AN991" s="3456" t="s">
        <v>3695</v>
      </c>
      <c r="AO991" s="3441" t="s">
        <v>10168</v>
      </c>
      <c r="AP991" s="3441" t="s">
        <v>3476</v>
      </c>
      <c r="AQ991" s="3441" t="s">
        <v>3571</v>
      </c>
      <c r="AW991" s="3441" t="s">
        <v>3572</v>
      </c>
      <c r="AY991" s="3524" t="s">
        <v>10169</v>
      </c>
      <c r="AZ991" s="3441" t="s">
        <v>6117</v>
      </c>
      <c r="BA991" s="3441" t="s">
        <v>7157</v>
      </c>
      <c r="BB991" s="3524">
        <v>1102281326100</v>
      </c>
      <c r="BC991" s="3441" t="s">
        <v>7158</v>
      </c>
      <c r="BD991" s="3525">
        <v>100055</v>
      </c>
      <c r="BE991" s="3441">
        <v>82951881</v>
      </c>
      <c r="BF991" s="3526">
        <v>2.8</v>
      </c>
      <c r="BG991" s="3518">
        <v>37873</v>
      </c>
      <c r="BH991" s="3441" t="s">
        <v>4753</v>
      </c>
      <c r="BI991" s="3441" t="s">
        <v>3476</v>
      </c>
      <c r="BJ991" s="3478">
        <v>37925</v>
      </c>
      <c r="BK991" s="3484"/>
      <c r="BL991" s="3470" t="s">
        <v>3670</v>
      </c>
    </row>
    <row r="992" spans="1:71" s="3470" customFormat="1" ht="12" hidden="1">
      <c r="A992" s="3542" t="s">
        <v>10170</v>
      </c>
      <c r="B992" s="3470" t="s">
        <v>10171</v>
      </c>
      <c r="C992" s="3481" t="s">
        <v>10172</v>
      </c>
      <c r="D992" s="3470">
        <v>82316859</v>
      </c>
      <c r="E992" s="3470" t="s">
        <v>6987</v>
      </c>
      <c r="F992" s="3470" t="s">
        <v>10173</v>
      </c>
      <c r="H992" s="3470" t="s">
        <v>4262</v>
      </c>
      <c r="I992" s="3453" t="s">
        <v>7322</v>
      </c>
      <c r="J992" s="3470" t="s">
        <v>3449</v>
      </c>
      <c r="K992" s="3470" t="s">
        <v>10174</v>
      </c>
      <c r="L992" s="3470">
        <v>137.22999999999999</v>
      </c>
      <c r="M992" s="3470">
        <v>4</v>
      </c>
      <c r="N992" s="3470" t="s">
        <v>7070</v>
      </c>
      <c r="O992" s="3470">
        <v>118.74</v>
      </c>
      <c r="P992" s="3470" t="s">
        <v>3452</v>
      </c>
      <c r="Q992" s="3457">
        <v>791542.6399999999</v>
      </c>
      <c r="R992" s="3495">
        <v>5768</v>
      </c>
      <c r="S992" s="3472">
        <v>78.41</v>
      </c>
      <c r="T992" s="3550">
        <v>784100</v>
      </c>
      <c r="U992" s="3495">
        <v>5714</v>
      </c>
      <c r="V992" s="3474">
        <v>0.05</v>
      </c>
      <c r="W992" s="3475">
        <v>74.48</v>
      </c>
      <c r="X992" s="3511">
        <v>744800</v>
      </c>
      <c r="Y992" s="3515">
        <v>2003</v>
      </c>
      <c r="Z992" s="3441">
        <v>11</v>
      </c>
      <c r="AA992" s="3470">
        <v>5</v>
      </c>
      <c r="AB992" s="3485">
        <v>3920</v>
      </c>
      <c r="AC992" s="3470" t="s">
        <v>4800</v>
      </c>
      <c r="AE992" s="3441" t="s">
        <v>3547</v>
      </c>
      <c r="AF992" s="3470" t="s">
        <v>4063</v>
      </c>
      <c r="AG992" s="3522" t="s">
        <v>3454</v>
      </c>
      <c r="AI992" s="3470" t="s">
        <v>3664</v>
      </c>
      <c r="AJ992" s="3478">
        <v>37590</v>
      </c>
      <c r="AK992" s="3479" t="s">
        <v>9912</v>
      </c>
      <c r="AL992" s="3441">
        <v>67641700</v>
      </c>
      <c r="AM992" s="3441"/>
      <c r="AN992" s="3469" t="s">
        <v>6873</v>
      </c>
      <c r="AO992" s="3441" t="s">
        <v>10175</v>
      </c>
      <c r="AP992" s="3470" t="s">
        <v>3476</v>
      </c>
      <c r="AQ992" s="3441" t="s">
        <v>3457</v>
      </c>
      <c r="AW992" s="3470" t="s">
        <v>3572</v>
      </c>
      <c r="AY992" s="3481" t="s">
        <v>10176</v>
      </c>
      <c r="AZ992" s="3470" t="s">
        <v>3981</v>
      </c>
      <c r="BA992" s="3441" t="s">
        <v>3984</v>
      </c>
      <c r="BB992" s="3524" t="s">
        <v>8918</v>
      </c>
      <c r="BC992" s="3441" t="s">
        <v>3985</v>
      </c>
      <c r="BD992" s="3525">
        <v>100101</v>
      </c>
      <c r="BE992" s="3441">
        <v>64858999</v>
      </c>
      <c r="BF992" s="3526">
        <v>2.8</v>
      </c>
      <c r="BG992" s="3478">
        <v>37870</v>
      </c>
      <c r="BI992" s="3470" t="s">
        <v>8757</v>
      </c>
      <c r="BJ992" s="3518">
        <v>37925</v>
      </c>
      <c r="BK992" s="3478"/>
      <c r="BL992" s="3470" t="s">
        <v>3670</v>
      </c>
      <c r="BM992" s="3441"/>
      <c r="BN992" s="3441"/>
      <c r="BO992" s="3441"/>
      <c r="BP992" s="3441"/>
      <c r="BQ992" s="3441"/>
      <c r="BR992" s="3441"/>
    </row>
    <row r="993" spans="1:253" s="3441" customFormat="1" ht="12" hidden="1">
      <c r="A993" s="3453" t="s">
        <v>10177</v>
      </c>
      <c r="B993" s="3470" t="s">
        <v>10178</v>
      </c>
      <c r="C993" s="3481" t="s">
        <v>10179</v>
      </c>
      <c r="D993" s="3481" t="s">
        <v>10180</v>
      </c>
      <c r="E993" s="3470" t="s">
        <v>6987</v>
      </c>
      <c r="F993" s="3528" t="s">
        <v>9050</v>
      </c>
      <c r="G993" s="3470"/>
      <c r="H993" s="3470" t="s">
        <v>3657</v>
      </c>
      <c r="I993" s="3470" t="s">
        <v>3658</v>
      </c>
      <c r="J993" s="3481" t="s">
        <v>10181</v>
      </c>
      <c r="K993" s="3470" t="s">
        <v>9619</v>
      </c>
      <c r="L993" s="3470">
        <v>93.84</v>
      </c>
      <c r="M993" s="3470">
        <v>2</v>
      </c>
      <c r="N993" s="3453" t="s">
        <v>7070</v>
      </c>
      <c r="O993" s="3470"/>
      <c r="P993" s="3470" t="s">
        <v>3452</v>
      </c>
      <c r="Q993" s="3457">
        <v>533386.56000000006</v>
      </c>
      <c r="R993" s="3495">
        <v>5684</v>
      </c>
      <c r="S993" s="3472">
        <v>52.82</v>
      </c>
      <c r="T993" s="3527">
        <v>528200</v>
      </c>
      <c r="U993" s="3495">
        <v>5629</v>
      </c>
      <c r="V993" s="3512">
        <v>0.05</v>
      </c>
      <c r="W993" s="3475">
        <v>50.17</v>
      </c>
      <c r="X993" s="3473">
        <v>501700</v>
      </c>
      <c r="Y993" s="3495">
        <v>2003</v>
      </c>
      <c r="Z993" s="3441">
        <v>11</v>
      </c>
      <c r="AA993" s="3470">
        <v>3</v>
      </c>
      <c r="AB993" s="3477">
        <v>2640</v>
      </c>
      <c r="AC993" s="3470" t="s">
        <v>9502</v>
      </c>
      <c r="AD993" s="3485"/>
      <c r="AE993" s="3441" t="s">
        <v>3663</v>
      </c>
      <c r="AF993" s="3453" t="s">
        <v>3493</v>
      </c>
      <c r="AG993" s="3522" t="s">
        <v>3466</v>
      </c>
      <c r="AH993" s="3485" t="s">
        <v>3568</v>
      </c>
      <c r="AI993" s="3470" t="s">
        <v>4849</v>
      </c>
      <c r="AJ993" s="3523" t="s">
        <v>2420</v>
      </c>
      <c r="AK993" s="3603" t="s">
        <v>9912</v>
      </c>
      <c r="AL993" s="3441">
        <v>67641700</v>
      </c>
      <c r="AM993" s="3470"/>
      <c r="AN993" s="3456" t="s">
        <v>3570</v>
      </c>
      <c r="AO993" s="3441" t="s">
        <v>3568</v>
      </c>
      <c r="AP993" s="3441" t="s">
        <v>3476</v>
      </c>
      <c r="AQ993" s="3441" t="s">
        <v>7265</v>
      </c>
      <c r="AV993" s="3441" t="s">
        <v>3568</v>
      </c>
      <c r="AW993" s="3441" t="s">
        <v>6909</v>
      </c>
      <c r="AY993" s="3524"/>
      <c r="AZ993" s="3441" t="s">
        <v>9054</v>
      </c>
      <c r="BA993" s="3441" t="s">
        <v>10182</v>
      </c>
      <c r="BB993" s="3524" t="s">
        <v>10059</v>
      </c>
      <c r="BC993" s="3441" t="s">
        <v>9101</v>
      </c>
      <c r="BD993" s="3525">
        <v>100037</v>
      </c>
      <c r="BE993" s="3441">
        <v>88118245</v>
      </c>
      <c r="BF993" s="3526">
        <v>2.7</v>
      </c>
      <c r="BG993" s="3518">
        <v>37415</v>
      </c>
      <c r="BI993" s="3441" t="s">
        <v>3476</v>
      </c>
      <c r="BJ993" s="3484">
        <v>37924</v>
      </c>
      <c r="BK993" s="3518" t="s">
        <v>3568</v>
      </c>
      <c r="BL993" s="3470" t="s">
        <v>10060</v>
      </c>
      <c r="BS993" s="3472"/>
      <c r="BT993" s="3472"/>
      <c r="BU993" s="3472"/>
      <c r="BV993" s="3472"/>
      <c r="BW993" s="3472"/>
      <c r="BX993" s="3472"/>
      <c r="BY993" s="3472"/>
      <c r="BZ993" s="3472"/>
      <c r="CA993" s="3472"/>
      <c r="CB993" s="3472"/>
      <c r="CC993" s="3472"/>
      <c r="CD993" s="3472"/>
      <c r="CE993" s="3472"/>
      <c r="CF993" s="3472"/>
      <c r="CG993" s="3472"/>
      <c r="CH993" s="3472"/>
      <c r="CI993" s="3472"/>
      <c r="CJ993" s="3472"/>
      <c r="CK993" s="3472"/>
      <c r="CL993" s="3472"/>
      <c r="CM993" s="3472"/>
      <c r="CN993" s="3472"/>
      <c r="CO993" s="3472"/>
      <c r="CP993" s="3472"/>
      <c r="CQ993" s="3472"/>
      <c r="CR993" s="3472"/>
      <c r="CS993" s="3472"/>
      <c r="CT993" s="3472"/>
      <c r="CU993" s="3472"/>
      <c r="CV993" s="3472"/>
      <c r="CW993" s="3472"/>
      <c r="CX993" s="3472"/>
      <c r="CY993" s="3472"/>
      <c r="CZ993" s="3472"/>
      <c r="DA993" s="3472"/>
      <c r="DB993" s="3472"/>
      <c r="DC993" s="3472"/>
      <c r="DD993" s="3472"/>
      <c r="DE993" s="3472"/>
      <c r="DF993" s="3472"/>
      <c r="DG993" s="3472"/>
      <c r="DH993" s="3472"/>
      <c r="DI993" s="3472"/>
      <c r="DJ993" s="3472"/>
      <c r="DK993" s="3472"/>
      <c r="DL993" s="3472"/>
      <c r="DM993" s="3472"/>
      <c r="DN993" s="3472"/>
      <c r="DO993" s="3472"/>
      <c r="DP993" s="3472"/>
      <c r="DQ993" s="3472"/>
      <c r="DR993" s="3472"/>
      <c r="DS993" s="3472"/>
      <c r="DT993" s="3472"/>
      <c r="DU993" s="3472"/>
      <c r="DV993" s="3472"/>
      <c r="DW993" s="3472"/>
      <c r="DX993" s="3472"/>
      <c r="DY993" s="3472"/>
      <c r="DZ993" s="3472"/>
      <c r="EA993" s="3472"/>
      <c r="EB993" s="3472"/>
      <c r="EC993" s="3472"/>
      <c r="ED993" s="3472"/>
      <c r="EE993" s="3472"/>
      <c r="EF993" s="3472"/>
      <c r="EG993" s="3472"/>
      <c r="EH993" s="3472"/>
      <c r="EI993" s="3472"/>
      <c r="EJ993" s="3472"/>
      <c r="EK993" s="3472"/>
      <c r="EL993" s="3472"/>
      <c r="EM993" s="3472"/>
      <c r="EN993" s="3472"/>
      <c r="EO993" s="3472"/>
      <c r="EP993" s="3472"/>
      <c r="EQ993" s="3472"/>
      <c r="ER993" s="3472"/>
      <c r="ES993" s="3472"/>
      <c r="ET993" s="3472"/>
      <c r="EU993" s="3472"/>
      <c r="EV993" s="3472"/>
      <c r="EW993" s="3472"/>
      <c r="EX993" s="3472"/>
      <c r="EY993" s="3472"/>
      <c r="EZ993" s="3472"/>
      <c r="FA993" s="3472"/>
      <c r="FB993" s="3472"/>
      <c r="FC993" s="3472"/>
      <c r="FD993" s="3472"/>
      <c r="FE993" s="3472"/>
      <c r="FF993" s="3472"/>
      <c r="FG993" s="3472"/>
      <c r="FH993" s="3472"/>
      <c r="FI993" s="3472"/>
      <c r="FJ993" s="3472"/>
      <c r="FK993" s="3472"/>
      <c r="FL993" s="3472"/>
      <c r="FM993" s="3472"/>
      <c r="FN993" s="3472"/>
      <c r="FO993" s="3472"/>
      <c r="FP993" s="3472"/>
      <c r="FQ993" s="3472"/>
      <c r="FR993" s="3472"/>
      <c r="FS993" s="3472"/>
      <c r="FT993" s="3472"/>
      <c r="FU993" s="3472"/>
      <c r="FV993" s="3472"/>
      <c r="FW993" s="3472"/>
      <c r="FX993" s="3472"/>
      <c r="FY993" s="3472"/>
      <c r="FZ993" s="3472"/>
      <c r="GA993" s="3472"/>
      <c r="GB993" s="3472"/>
      <c r="GC993" s="3472"/>
      <c r="GD993" s="3472"/>
      <c r="GE993" s="3472"/>
      <c r="GF993" s="3472"/>
      <c r="GG993" s="3472"/>
      <c r="GH993" s="3472"/>
      <c r="GI993" s="3472"/>
      <c r="GJ993" s="3472"/>
      <c r="GK993" s="3472"/>
      <c r="GL993" s="3472"/>
      <c r="GM993" s="3472"/>
      <c r="GN993" s="3472"/>
      <c r="GO993" s="3472"/>
      <c r="GP993" s="3472"/>
      <c r="GQ993" s="3472"/>
      <c r="GR993" s="3472"/>
      <c r="GS993" s="3472"/>
      <c r="GT993" s="3472"/>
      <c r="GU993" s="3472"/>
      <c r="GV993" s="3472"/>
      <c r="GW993" s="3472"/>
      <c r="GX993" s="3472"/>
      <c r="GY993" s="3472"/>
      <c r="GZ993" s="3472"/>
      <c r="HA993" s="3472"/>
      <c r="HB993" s="3472"/>
      <c r="HC993" s="3472"/>
      <c r="HD993" s="3472"/>
      <c r="HE993" s="3472"/>
      <c r="HF993" s="3472"/>
      <c r="HG993" s="3472"/>
      <c r="HH993" s="3472"/>
      <c r="HI993" s="3472"/>
      <c r="HJ993" s="3472"/>
      <c r="HK993" s="3472"/>
      <c r="HL993" s="3472"/>
      <c r="HM993" s="3472"/>
      <c r="HN993" s="3472"/>
      <c r="HO993" s="3472"/>
      <c r="HP993" s="3472"/>
      <c r="HQ993" s="3472"/>
      <c r="HR993" s="3472"/>
      <c r="HS993" s="3472"/>
      <c r="HT993" s="3472"/>
      <c r="HU993" s="3472"/>
      <c r="HV993" s="3472"/>
      <c r="HW993" s="3472"/>
      <c r="HX993" s="3472"/>
      <c r="HY993" s="3472"/>
      <c r="HZ993" s="3472"/>
      <c r="IA993" s="3472"/>
      <c r="IB993" s="3472"/>
      <c r="IC993" s="3472"/>
      <c r="ID993" s="3472"/>
      <c r="IE993" s="3472"/>
      <c r="IF993" s="3472"/>
      <c r="IG993" s="3472"/>
      <c r="IH993" s="3472"/>
      <c r="II993" s="3472"/>
      <c r="IJ993" s="3472"/>
      <c r="IK993" s="3472"/>
      <c r="IL993" s="3472"/>
      <c r="IM993" s="3472"/>
      <c r="IN993" s="3472"/>
      <c r="IO993" s="3472"/>
      <c r="IP993" s="3472"/>
      <c r="IQ993" s="3472"/>
      <c r="IR993" s="3472"/>
      <c r="IS993" s="3472"/>
    </row>
    <row r="994" spans="1:253" s="3441" customFormat="1" ht="12" hidden="1">
      <c r="A994" s="3542" t="s">
        <v>10183</v>
      </c>
      <c r="B994" s="3470" t="s">
        <v>5381</v>
      </c>
      <c r="C994" s="3481" t="s">
        <v>10184</v>
      </c>
      <c r="D994" s="3481" t="s">
        <v>10185</v>
      </c>
      <c r="E994" s="3470" t="s">
        <v>3558</v>
      </c>
      <c r="F994" s="3528" t="s">
        <v>3733</v>
      </c>
      <c r="G994" s="3470"/>
      <c r="H994" s="3470" t="s">
        <v>10186</v>
      </c>
      <c r="I994" s="3470" t="s">
        <v>9411</v>
      </c>
      <c r="J994" s="3470" t="s">
        <v>4455</v>
      </c>
      <c r="K994" s="3470" t="s">
        <v>3737</v>
      </c>
      <c r="L994" s="3470">
        <v>54.68</v>
      </c>
      <c r="M994" s="3470">
        <v>11</v>
      </c>
      <c r="N994" s="3470" t="s">
        <v>3564</v>
      </c>
      <c r="O994" s="3470">
        <v>43.84</v>
      </c>
      <c r="P994" s="3470" t="s">
        <v>3452</v>
      </c>
      <c r="Q994" s="3600">
        <v>348858.4</v>
      </c>
      <c r="R994" s="3470">
        <v>6380</v>
      </c>
      <c r="S994" s="3472">
        <v>33.549999999999997</v>
      </c>
      <c r="T994" s="3527">
        <v>335500</v>
      </c>
      <c r="U994" s="3470">
        <v>6137</v>
      </c>
      <c r="V994" s="3474">
        <v>0.1</v>
      </c>
      <c r="W994" s="3475">
        <v>30.19</v>
      </c>
      <c r="X994" s="3494">
        <v>301900</v>
      </c>
      <c r="Y994" s="3441">
        <v>2003</v>
      </c>
      <c r="Z994" s="3441">
        <v>11</v>
      </c>
      <c r="AA994" s="3470">
        <v>3</v>
      </c>
      <c r="AB994" s="3477">
        <v>1675</v>
      </c>
      <c r="AC994" s="3470" t="s">
        <v>9336</v>
      </c>
      <c r="AD994" s="3485"/>
      <c r="AE994" s="3441" t="s">
        <v>3663</v>
      </c>
      <c r="AF994" s="3470" t="s">
        <v>3604</v>
      </c>
      <c r="AG994" s="3522" t="s">
        <v>3466</v>
      </c>
      <c r="AH994" s="3485"/>
      <c r="AI994" s="3470" t="s">
        <v>5021</v>
      </c>
      <c r="AJ994" s="3523">
        <v>38122</v>
      </c>
      <c r="AK994" s="3603" t="s">
        <v>4773</v>
      </c>
      <c r="AL994" s="3441">
        <v>67641700</v>
      </c>
      <c r="AN994" s="3456" t="s">
        <v>3570</v>
      </c>
      <c r="AO994" s="3441" t="s">
        <v>2420</v>
      </c>
      <c r="AP994" s="3441" t="s">
        <v>3476</v>
      </c>
      <c r="AQ994" s="3441" t="s">
        <v>3571</v>
      </c>
      <c r="AW994" s="3441" t="s">
        <v>3572</v>
      </c>
      <c r="AY994" s="3524" t="s">
        <v>10187</v>
      </c>
      <c r="AZ994" s="3441" t="s">
        <v>3737</v>
      </c>
      <c r="BA994" s="3441" t="s">
        <v>3742</v>
      </c>
      <c r="BB994" s="3524" t="s">
        <v>3743</v>
      </c>
      <c r="BC994" s="3441" t="s">
        <v>3744</v>
      </c>
      <c r="BD994" s="3525">
        <v>100088</v>
      </c>
      <c r="BE994" s="3441">
        <v>82058259</v>
      </c>
      <c r="BF994" s="3526" t="s">
        <v>8595</v>
      </c>
      <c r="BG994" s="3478">
        <v>37910</v>
      </c>
      <c r="BH994" s="3441" t="s">
        <v>4753</v>
      </c>
      <c r="BI994" s="3441" t="s">
        <v>3476</v>
      </c>
      <c r="BJ994" s="3508">
        <v>37925</v>
      </c>
      <c r="BK994" s="3484" t="s">
        <v>2420</v>
      </c>
      <c r="BL994" s="3470" t="s">
        <v>3670</v>
      </c>
    </row>
    <row r="995" spans="1:253" s="3441" customFormat="1" ht="12" hidden="1">
      <c r="A995" s="3542" t="s">
        <v>10188</v>
      </c>
      <c r="B995" s="3470" t="s">
        <v>10189</v>
      </c>
      <c r="C995" s="3481" t="s">
        <v>10190</v>
      </c>
      <c r="D995" s="3481" t="s">
        <v>10191</v>
      </c>
      <c r="E995" s="3470" t="s">
        <v>3558</v>
      </c>
      <c r="F995" s="3528" t="s">
        <v>3733</v>
      </c>
      <c r="G995" s="3470"/>
      <c r="H995" s="3470" t="s">
        <v>9900</v>
      </c>
      <c r="I995" s="3470" t="s">
        <v>4113</v>
      </c>
      <c r="J995" s="3470" t="s">
        <v>8731</v>
      </c>
      <c r="K995" s="3470" t="s">
        <v>3737</v>
      </c>
      <c r="L995" s="3470">
        <v>54.68</v>
      </c>
      <c r="M995" s="3470">
        <v>9</v>
      </c>
      <c r="N995" s="3470" t="s">
        <v>3564</v>
      </c>
      <c r="O995" s="3470">
        <v>43.84</v>
      </c>
      <c r="P995" s="3470" t="s">
        <v>3452</v>
      </c>
      <c r="Q995" s="3600">
        <v>341750</v>
      </c>
      <c r="R995" s="3470">
        <v>6250</v>
      </c>
      <c r="S995" s="3472">
        <v>32.840000000000003</v>
      </c>
      <c r="T995" s="3527">
        <v>328400.00000000006</v>
      </c>
      <c r="U995" s="3470">
        <v>6007</v>
      </c>
      <c r="V995" s="3474">
        <v>0.1</v>
      </c>
      <c r="W995" s="3475">
        <v>29.55</v>
      </c>
      <c r="X995" s="3494">
        <v>295500</v>
      </c>
      <c r="Y995" s="3441">
        <v>2003</v>
      </c>
      <c r="Z995" s="3441">
        <v>11</v>
      </c>
      <c r="AA995" s="3470">
        <v>3</v>
      </c>
      <c r="AB995" s="3477">
        <v>1640</v>
      </c>
      <c r="AC995" s="3470" t="s">
        <v>8752</v>
      </c>
      <c r="AD995" s="3485"/>
      <c r="AE995" s="3441" t="s">
        <v>3663</v>
      </c>
      <c r="AF995" s="3470" t="s">
        <v>3604</v>
      </c>
      <c r="AG995" s="3522" t="s">
        <v>3466</v>
      </c>
      <c r="AH995" s="3485"/>
      <c r="AI995" s="3470" t="s">
        <v>5021</v>
      </c>
      <c r="AJ995" s="3523">
        <v>38122</v>
      </c>
      <c r="AK995" s="3603" t="s">
        <v>4788</v>
      </c>
      <c r="AL995" s="3441">
        <v>67641700</v>
      </c>
      <c r="AN995" s="3456" t="s">
        <v>3570</v>
      </c>
      <c r="AO995" s="3441" t="s">
        <v>6879</v>
      </c>
      <c r="AP995" s="3441" t="s">
        <v>3476</v>
      </c>
      <c r="AQ995" s="3441" t="s">
        <v>3571</v>
      </c>
      <c r="AW995" s="3441" t="s">
        <v>3572</v>
      </c>
      <c r="AY995" s="3524" t="s">
        <v>10192</v>
      </c>
      <c r="AZ995" s="3441" t="s">
        <v>3737</v>
      </c>
      <c r="BA995" s="3441" t="s">
        <v>3742</v>
      </c>
      <c r="BB995" s="3524" t="s">
        <v>3743</v>
      </c>
      <c r="BC995" s="3441" t="s">
        <v>3744</v>
      </c>
      <c r="BD995" s="3525">
        <v>100088</v>
      </c>
      <c r="BE995" s="3441">
        <v>82058259</v>
      </c>
      <c r="BF995" s="3526" t="s">
        <v>8595</v>
      </c>
      <c r="BG995" s="3478">
        <v>37913</v>
      </c>
      <c r="BH995" s="3441" t="s">
        <v>4753</v>
      </c>
      <c r="BI995" s="3441" t="s">
        <v>3476</v>
      </c>
      <c r="BJ995" s="3508">
        <v>37921</v>
      </c>
      <c r="BK995" s="3484" t="s">
        <v>2420</v>
      </c>
      <c r="BL995" s="3470" t="s">
        <v>3670</v>
      </c>
    </row>
    <row r="996" spans="1:253" s="3441" customFormat="1" ht="12" hidden="1">
      <c r="A996" s="3542" t="s">
        <v>10193</v>
      </c>
      <c r="B996" s="3470" t="s">
        <v>10194</v>
      </c>
      <c r="C996" s="3481" t="s">
        <v>10195</v>
      </c>
      <c r="D996" s="3481" t="s">
        <v>10196</v>
      </c>
      <c r="E996" s="3470" t="s">
        <v>3558</v>
      </c>
      <c r="F996" s="3470" t="s">
        <v>4770</v>
      </c>
      <c r="G996" s="3470"/>
      <c r="H996" s="3470" t="s">
        <v>10197</v>
      </c>
      <c r="I996" s="3470" t="s">
        <v>6989</v>
      </c>
      <c r="J996" s="3481" t="s">
        <v>4325</v>
      </c>
      <c r="K996" s="3470" t="s">
        <v>4772</v>
      </c>
      <c r="L996" s="3470">
        <v>102.54</v>
      </c>
      <c r="M996" s="3470">
        <v>5</v>
      </c>
      <c r="N996" s="3470" t="s">
        <v>4030</v>
      </c>
      <c r="O996" s="3470">
        <v>91.66</v>
      </c>
      <c r="P996" s="3470" t="s">
        <v>3452</v>
      </c>
      <c r="Q996" s="3457">
        <v>452201.4</v>
      </c>
      <c r="R996" s="3470">
        <v>4410</v>
      </c>
      <c r="S996" s="3472">
        <v>44.74</v>
      </c>
      <c r="T996" s="3527">
        <v>447400</v>
      </c>
      <c r="U996" s="3470">
        <v>4364</v>
      </c>
      <c r="V996" s="3512">
        <v>0.1</v>
      </c>
      <c r="W996" s="3475">
        <v>40.26</v>
      </c>
      <c r="X996" s="3476">
        <v>402600</v>
      </c>
      <c r="Y996" s="3441">
        <v>2003</v>
      </c>
      <c r="Z996" s="3441">
        <v>11</v>
      </c>
      <c r="AA996" s="3470">
        <v>3</v>
      </c>
      <c r="AB996" s="3477">
        <v>2235</v>
      </c>
      <c r="AC996" s="3470" t="s">
        <v>9120</v>
      </c>
      <c r="AD996" s="3485"/>
      <c r="AE996" s="3441" t="s">
        <v>3663</v>
      </c>
      <c r="AF996" s="3470" t="s">
        <v>8923</v>
      </c>
      <c r="AG996" s="3522" t="s">
        <v>3466</v>
      </c>
      <c r="AH996" s="3485"/>
      <c r="AI996" s="3470" t="s">
        <v>7643</v>
      </c>
      <c r="AJ996" s="3523">
        <v>37991</v>
      </c>
      <c r="AK996" s="3603" t="s">
        <v>4773</v>
      </c>
      <c r="AL996" s="3441">
        <v>67641700</v>
      </c>
      <c r="AN996" s="3456" t="s">
        <v>3570</v>
      </c>
      <c r="AO996" s="3441" t="s">
        <v>3715</v>
      </c>
      <c r="AP996" s="3441" t="s">
        <v>3476</v>
      </c>
      <c r="AQ996" s="3441" t="s">
        <v>3571</v>
      </c>
      <c r="AW996" s="3441" t="s">
        <v>3572</v>
      </c>
      <c r="AY996" s="3441">
        <v>561579</v>
      </c>
      <c r="AZ996" s="3441" t="s">
        <v>4772</v>
      </c>
      <c r="BA996" s="3441" t="s">
        <v>4775</v>
      </c>
      <c r="BB996" s="3524" t="s">
        <v>4776</v>
      </c>
      <c r="BC996" s="3441" t="s">
        <v>4777</v>
      </c>
      <c r="BD996" s="3525">
        <v>100083</v>
      </c>
      <c r="BE996" s="3441">
        <v>82355171</v>
      </c>
      <c r="BF996" s="3526">
        <v>2.7</v>
      </c>
      <c r="BG996" s="3518">
        <v>37892</v>
      </c>
      <c r="BH996" s="3441" t="s">
        <v>4681</v>
      </c>
      <c r="BI996" s="3441" t="s">
        <v>3476</v>
      </c>
      <c r="BJ996" s="3508">
        <v>37923</v>
      </c>
      <c r="BK996" s="3484"/>
      <c r="BL996" s="3470" t="s">
        <v>3670</v>
      </c>
    </row>
    <row r="997" spans="1:253" s="3441" customFormat="1" ht="12">
      <c r="A997" s="3542" t="s">
        <v>10198</v>
      </c>
      <c r="B997" s="3470" t="s">
        <v>10199</v>
      </c>
      <c r="C997" s="3481" t="s">
        <v>10200</v>
      </c>
      <c r="D997" s="3481" t="s">
        <v>10201</v>
      </c>
      <c r="E997" s="3470" t="s">
        <v>2736</v>
      </c>
      <c r="F997" s="3687" t="s">
        <v>9471</v>
      </c>
      <c r="G997" s="3470"/>
      <c r="H997" s="3470" t="s">
        <v>3715</v>
      </c>
      <c r="I997" s="3470" t="s">
        <v>4707</v>
      </c>
      <c r="J997" s="3481" t="s">
        <v>10202</v>
      </c>
      <c r="K997" s="3470" t="s">
        <v>8795</v>
      </c>
      <c r="L997" s="3470">
        <v>52.37</v>
      </c>
      <c r="M997" s="3470">
        <v>14</v>
      </c>
      <c r="N997" s="3470" t="s">
        <v>3678</v>
      </c>
      <c r="O997" s="3470">
        <v>40.659999999999997</v>
      </c>
      <c r="P997" s="3470" t="s">
        <v>3452</v>
      </c>
      <c r="Q997" s="3457">
        <v>390156.5</v>
      </c>
      <c r="R997" s="3470">
        <v>7450</v>
      </c>
      <c r="S997" s="3472">
        <v>38.94</v>
      </c>
      <c r="T997" s="3527">
        <v>389400</v>
      </c>
      <c r="U997" s="3495">
        <v>7436</v>
      </c>
      <c r="V997" s="3474">
        <v>0.1</v>
      </c>
      <c r="W997" s="3475">
        <v>35.04</v>
      </c>
      <c r="X997" s="3473">
        <v>350400</v>
      </c>
      <c r="Y997" s="3495">
        <v>2003</v>
      </c>
      <c r="Z997" s="3441">
        <v>11</v>
      </c>
      <c r="AA997" s="3470">
        <v>13</v>
      </c>
      <c r="AB997" s="3477">
        <v>1945</v>
      </c>
      <c r="AC997" s="3470" t="s">
        <v>4750</v>
      </c>
      <c r="AD997" s="3485"/>
      <c r="AE997" s="3441" t="s">
        <v>3663</v>
      </c>
      <c r="AF997" s="3470" t="s">
        <v>3587</v>
      </c>
      <c r="AG997" s="3522" t="s">
        <v>3466</v>
      </c>
      <c r="AH997" s="3485"/>
      <c r="AI997" s="3470" t="s">
        <v>5021</v>
      </c>
      <c r="AJ997" s="3523">
        <v>38107</v>
      </c>
      <c r="AK997" s="3603" t="s">
        <v>4773</v>
      </c>
      <c r="AL997" s="3441">
        <v>67641700</v>
      </c>
      <c r="AN997" s="3456" t="s">
        <v>3468</v>
      </c>
      <c r="AO997" s="3441" t="s">
        <v>3568</v>
      </c>
      <c r="AP997" s="3441" t="s">
        <v>3476</v>
      </c>
      <c r="AQ997" s="3441" t="s">
        <v>3571</v>
      </c>
      <c r="AW997" s="3441" t="s">
        <v>3572</v>
      </c>
      <c r="AY997" s="3524" t="s">
        <v>10203</v>
      </c>
      <c r="AZ997" s="3470" t="s">
        <v>8862</v>
      </c>
      <c r="BA997" s="3441" t="s">
        <v>9474</v>
      </c>
      <c r="BB997" s="3524" t="s">
        <v>8864</v>
      </c>
      <c r="BC997" s="3441" t="s">
        <v>9534</v>
      </c>
      <c r="BD997" s="3525" t="s">
        <v>3715</v>
      </c>
      <c r="BE997" s="3441" t="s">
        <v>2420</v>
      </c>
      <c r="BF997" s="3526">
        <v>2.8</v>
      </c>
      <c r="BG997" s="3518">
        <v>37851</v>
      </c>
      <c r="BI997" s="3677" t="s">
        <v>8464</v>
      </c>
      <c r="BJ997" s="3484">
        <v>37924</v>
      </c>
      <c r="BK997" s="3484">
        <v>37908</v>
      </c>
      <c r="BL997" s="3470" t="s">
        <v>3670</v>
      </c>
    </row>
    <row r="998" spans="1:253" s="3470" customFormat="1" ht="12" hidden="1">
      <c r="A998" s="3453" t="s">
        <v>10204</v>
      </c>
      <c r="B998" s="3470" t="s">
        <v>10205</v>
      </c>
      <c r="C998" s="3481" t="s">
        <v>10206</v>
      </c>
      <c r="D998" s="3470">
        <v>13810094227</v>
      </c>
      <c r="E998" s="3470" t="s">
        <v>3558</v>
      </c>
      <c r="F998" s="3470" t="s">
        <v>3559</v>
      </c>
      <c r="H998" s="3453" t="s">
        <v>9650</v>
      </c>
      <c r="I998" s="3453" t="s">
        <v>4854</v>
      </c>
      <c r="J998" s="3453" t="s">
        <v>5137</v>
      </c>
      <c r="K998" s="3470" t="s">
        <v>7737</v>
      </c>
      <c r="L998" s="3495">
        <v>46.31</v>
      </c>
      <c r="M998" s="3495">
        <v>3</v>
      </c>
      <c r="N998" s="3470" t="s">
        <v>10207</v>
      </c>
      <c r="O998" s="3495">
        <v>37.520000000000003</v>
      </c>
      <c r="P998" s="3470" t="s">
        <v>3452</v>
      </c>
      <c r="Q998" s="3457">
        <v>217193.90000000002</v>
      </c>
      <c r="R998" s="3470">
        <v>4690</v>
      </c>
      <c r="S998" s="3472">
        <v>21.5</v>
      </c>
      <c r="T998" s="3527">
        <v>215000</v>
      </c>
      <c r="U998" s="3470">
        <v>4643</v>
      </c>
      <c r="V998" s="3512">
        <v>0.05</v>
      </c>
      <c r="W998" s="3475">
        <v>20.420000000000002</v>
      </c>
      <c r="X998" s="3476">
        <v>204200.00000000003</v>
      </c>
      <c r="Y998" s="3470">
        <v>2003</v>
      </c>
      <c r="Z998" s="3441">
        <v>11</v>
      </c>
      <c r="AA998" s="3470">
        <v>3</v>
      </c>
      <c r="AB998" s="3477">
        <v>1075</v>
      </c>
      <c r="AC998" s="3470" t="s">
        <v>9120</v>
      </c>
      <c r="AE998" s="3456" t="s">
        <v>3663</v>
      </c>
      <c r="AF998" s="3453" t="s">
        <v>3493</v>
      </c>
      <c r="AG998" s="3456" t="s">
        <v>3466</v>
      </c>
      <c r="AH998" s="3470" t="s">
        <v>3568</v>
      </c>
      <c r="AI998" s="3456" t="s">
        <v>5021</v>
      </c>
      <c r="AJ998" s="3478">
        <v>37924</v>
      </c>
      <c r="AK998" s="3500" t="s">
        <v>4788</v>
      </c>
      <c r="AL998" s="3441">
        <v>67641700</v>
      </c>
      <c r="AM998" s="3441"/>
      <c r="AN998" s="3455" t="s">
        <v>3570</v>
      </c>
      <c r="AO998" s="3470" t="s">
        <v>3568</v>
      </c>
      <c r="AP998" s="3456" t="s">
        <v>3476</v>
      </c>
      <c r="AQ998" s="3456" t="s">
        <v>3571</v>
      </c>
      <c r="AV998" s="3519"/>
      <c r="AW998" s="3470" t="s">
        <v>3572</v>
      </c>
      <c r="AY998" s="3495">
        <v>318469</v>
      </c>
      <c r="AZ998" s="3470" t="s">
        <v>7737</v>
      </c>
      <c r="BA998" s="3470" t="s">
        <v>9926</v>
      </c>
      <c r="BB998" s="3481" t="s">
        <v>9581</v>
      </c>
      <c r="BC998" s="3470" t="s">
        <v>3576</v>
      </c>
      <c r="BD998" s="3470">
        <v>100035</v>
      </c>
      <c r="BE998" s="3470">
        <v>84050010</v>
      </c>
      <c r="BF998" s="3520">
        <v>2.8</v>
      </c>
      <c r="BG998" s="3478">
        <v>37875</v>
      </c>
      <c r="BI998" s="3441" t="s">
        <v>8464</v>
      </c>
      <c r="BJ998" s="3484">
        <v>37917</v>
      </c>
      <c r="BK998" s="3470" t="s">
        <v>3568</v>
      </c>
      <c r="BL998" s="3441" t="s">
        <v>3670</v>
      </c>
      <c r="BP998" s="3441"/>
      <c r="BQ998" s="3441"/>
      <c r="BR998" s="3441"/>
    </row>
    <row r="999" spans="1:253" s="3441" customFormat="1" ht="12" hidden="1">
      <c r="A999" s="3453" t="s">
        <v>10208</v>
      </c>
      <c r="B999" s="3470" t="s">
        <v>10209</v>
      </c>
      <c r="C999" s="3481" t="s">
        <v>10210</v>
      </c>
      <c r="D999" s="3481" t="s">
        <v>10211</v>
      </c>
      <c r="E999" s="3470" t="s">
        <v>3558</v>
      </c>
      <c r="F999" s="3528" t="s">
        <v>7652</v>
      </c>
      <c r="G999" s="3470"/>
      <c r="H999" s="3470" t="s">
        <v>4148</v>
      </c>
      <c r="I999" s="3470" t="s">
        <v>4624</v>
      </c>
      <c r="J999" s="3481" t="s">
        <v>5869</v>
      </c>
      <c r="K999" s="3470" t="s">
        <v>7653</v>
      </c>
      <c r="L999" s="3470">
        <v>87.59</v>
      </c>
      <c r="M999" s="3470">
        <v>6</v>
      </c>
      <c r="N999" s="3542" t="s">
        <v>4871</v>
      </c>
      <c r="O999" s="3470">
        <v>69.27</v>
      </c>
      <c r="P999" s="3470" t="s">
        <v>3452</v>
      </c>
      <c r="Q999" s="3457">
        <v>399410.4</v>
      </c>
      <c r="R999" s="3470">
        <v>4560</v>
      </c>
      <c r="S999" s="3472">
        <v>39.53</v>
      </c>
      <c r="T999" s="3550">
        <v>395300</v>
      </c>
      <c r="U999" s="3470">
        <v>4514</v>
      </c>
      <c r="V999" s="3512">
        <v>0.1</v>
      </c>
      <c r="W999" s="3475">
        <v>35.57</v>
      </c>
      <c r="X999" s="3511">
        <v>355700</v>
      </c>
      <c r="Y999" s="3441">
        <v>2003</v>
      </c>
      <c r="Z999" s="3441">
        <v>11</v>
      </c>
      <c r="AA999" s="3470">
        <v>3</v>
      </c>
      <c r="AB999" s="3485">
        <v>1975</v>
      </c>
      <c r="AC999" s="3470" t="s">
        <v>9060</v>
      </c>
      <c r="AD999" s="3485"/>
      <c r="AE999" s="3441" t="s">
        <v>3663</v>
      </c>
      <c r="AF999" s="3470" t="s">
        <v>3587</v>
      </c>
      <c r="AG999" s="3522" t="s">
        <v>3466</v>
      </c>
      <c r="AH999" s="3485" t="s">
        <v>3568</v>
      </c>
      <c r="AI999" s="3470" t="s">
        <v>5021</v>
      </c>
      <c r="AJ999" s="3523">
        <v>38077</v>
      </c>
      <c r="AK999" s="3500" t="s">
        <v>4773</v>
      </c>
      <c r="AL999" s="3441">
        <v>67641700</v>
      </c>
      <c r="AN999" s="3470" t="s">
        <v>3456</v>
      </c>
      <c r="AP999" s="3441" t="s">
        <v>3476</v>
      </c>
      <c r="AQ999" s="3441" t="s">
        <v>3571</v>
      </c>
      <c r="AV999" s="3441" t="s">
        <v>3568</v>
      </c>
      <c r="AW999" s="3441" t="s">
        <v>3572</v>
      </c>
      <c r="AY999" s="3524" t="s">
        <v>10212</v>
      </c>
      <c r="AZ999" s="3441" t="s">
        <v>7653</v>
      </c>
      <c r="BA999" s="3441" t="s">
        <v>7655</v>
      </c>
      <c r="BB999" s="3524" t="s">
        <v>7656</v>
      </c>
      <c r="BC999" s="3441" t="s">
        <v>7657</v>
      </c>
      <c r="BD999" s="3525">
        <v>100025</v>
      </c>
      <c r="BE999" s="3441">
        <v>62908858</v>
      </c>
      <c r="BF999" s="3526">
        <v>2.7</v>
      </c>
      <c r="BG999" s="3518">
        <v>37890</v>
      </c>
      <c r="BI999" s="3441" t="s">
        <v>8464</v>
      </c>
      <c r="BJ999" s="3518">
        <v>37923</v>
      </c>
      <c r="BK999" s="3518"/>
      <c r="BL999" s="3470" t="s">
        <v>3670</v>
      </c>
    </row>
    <row r="1000" spans="1:253" s="3441" customFormat="1" ht="12" hidden="1">
      <c r="A1000" s="3453" t="s">
        <v>10213</v>
      </c>
      <c r="B1000" s="3470" t="s">
        <v>10214</v>
      </c>
      <c r="C1000" s="3481" t="s">
        <v>10215</v>
      </c>
      <c r="D1000" s="3481" t="s">
        <v>10216</v>
      </c>
      <c r="E1000" s="3470" t="s">
        <v>3558</v>
      </c>
      <c r="F1000" s="3528" t="s">
        <v>4645</v>
      </c>
      <c r="G1000" s="3470"/>
      <c r="H1000" s="3470" t="s">
        <v>6935</v>
      </c>
      <c r="I1000" s="3470" t="s">
        <v>8778</v>
      </c>
      <c r="J1000" s="3481" t="s">
        <v>10217</v>
      </c>
      <c r="K1000" s="3470" t="s">
        <v>4649</v>
      </c>
      <c r="L1000" s="3470">
        <v>129.99</v>
      </c>
      <c r="M1000" s="3470">
        <v>10</v>
      </c>
      <c r="N1000" s="3453" t="s">
        <v>7229</v>
      </c>
      <c r="O1000" s="3470">
        <v>102.47</v>
      </c>
      <c r="P1000" s="3470" t="s">
        <v>3452</v>
      </c>
      <c r="Q1000" s="3457">
        <v>994683.4800000001</v>
      </c>
      <c r="R1000" s="3470">
        <v>7652</v>
      </c>
      <c r="S1000" s="3472">
        <v>98.66</v>
      </c>
      <c r="T1000" s="3527">
        <v>986600</v>
      </c>
      <c r="U1000" s="3495">
        <v>7590</v>
      </c>
      <c r="V1000" s="3512">
        <v>0.1</v>
      </c>
      <c r="W1000" s="3475">
        <v>88.79</v>
      </c>
      <c r="X1000" s="3473">
        <v>887900.00000000012</v>
      </c>
      <c r="Y1000" s="3515">
        <v>2003</v>
      </c>
      <c r="Z1000" s="3441">
        <v>11</v>
      </c>
      <c r="AA1000" s="3470">
        <v>4</v>
      </c>
      <c r="AB1000" s="3477">
        <v>4930</v>
      </c>
      <c r="AC1000" s="3470" t="s">
        <v>9413</v>
      </c>
      <c r="AD1000" s="3485"/>
      <c r="AE1000" s="3441" t="s">
        <v>3663</v>
      </c>
      <c r="AF1000" s="3470" t="s">
        <v>3728</v>
      </c>
      <c r="AG1000" s="3522" t="s">
        <v>3466</v>
      </c>
      <c r="AH1000" s="3485"/>
      <c r="AI1000" s="3470" t="s">
        <v>5021</v>
      </c>
      <c r="AJ1000" s="3523">
        <v>38199</v>
      </c>
      <c r="AK1000" s="3603" t="s">
        <v>4773</v>
      </c>
      <c r="AL1000" s="3495">
        <v>67641700</v>
      </c>
      <c r="AM1000" s="3470"/>
      <c r="AN1000" s="3456" t="s">
        <v>3570</v>
      </c>
      <c r="AP1000" s="3441" t="s">
        <v>3476</v>
      </c>
      <c r="AQ1000" s="3441" t="s">
        <v>3571</v>
      </c>
      <c r="AW1000" s="3441" t="s">
        <v>3572</v>
      </c>
      <c r="AX1000" s="3441" t="s">
        <v>3568</v>
      </c>
      <c r="AY1000" s="3524" t="s">
        <v>10218</v>
      </c>
      <c r="AZ1000" s="3441" t="s">
        <v>4654</v>
      </c>
      <c r="BA1000" s="3441" t="s">
        <v>4688</v>
      </c>
      <c r="BB1000" s="3524" t="s">
        <v>4689</v>
      </c>
      <c r="BC1000" s="3441" t="s">
        <v>4656</v>
      </c>
      <c r="BD1000" s="3525">
        <v>100037</v>
      </c>
      <c r="BE1000" s="3441">
        <v>68347718</v>
      </c>
      <c r="BF1000" s="3526">
        <v>2.8</v>
      </c>
      <c r="BG1000" s="3518">
        <v>37872</v>
      </c>
      <c r="BH1000" s="3441" t="s">
        <v>4681</v>
      </c>
      <c r="BI1000" s="3441" t="s">
        <v>3476</v>
      </c>
      <c r="BJ1000" s="3484">
        <v>37892</v>
      </c>
      <c r="BK1000" s="3484"/>
      <c r="BL1000" s="3470" t="s">
        <v>3670</v>
      </c>
    </row>
    <row r="1001" spans="1:253" s="3441" customFormat="1" ht="12" hidden="1">
      <c r="A1001" s="3542" t="s">
        <v>10219</v>
      </c>
      <c r="B1001" s="3470" t="s">
        <v>10220</v>
      </c>
      <c r="C1001" s="3481" t="s">
        <v>10221</v>
      </c>
      <c r="D1001" s="3481" t="s">
        <v>10222</v>
      </c>
      <c r="E1001" s="3470" t="s">
        <v>3558</v>
      </c>
      <c r="F1001" s="3528" t="s">
        <v>3733</v>
      </c>
      <c r="G1001" s="3470"/>
      <c r="H1001" s="3470" t="s">
        <v>10223</v>
      </c>
      <c r="I1001" s="3470" t="s">
        <v>9349</v>
      </c>
      <c r="J1001" s="3470" t="s">
        <v>4455</v>
      </c>
      <c r="K1001" s="3470" t="s">
        <v>3737</v>
      </c>
      <c r="L1001" s="3470">
        <v>54.68</v>
      </c>
      <c r="M1001" s="3470">
        <v>18</v>
      </c>
      <c r="N1001" s="3470" t="s">
        <v>3564</v>
      </c>
      <c r="O1001" s="3470">
        <v>43.84</v>
      </c>
      <c r="P1001" s="3470" t="s">
        <v>3452</v>
      </c>
      <c r="Q1001" s="3600">
        <v>343937.2</v>
      </c>
      <c r="R1001" s="3470">
        <v>6290</v>
      </c>
      <c r="S1001" s="3472">
        <v>33.07</v>
      </c>
      <c r="T1001" s="3527">
        <v>330700</v>
      </c>
      <c r="U1001" s="3470">
        <v>6048</v>
      </c>
      <c r="V1001" s="3474">
        <v>0.1</v>
      </c>
      <c r="W1001" s="3475">
        <v>29.76</v>
      </c>
      <c r="X1001" s="3494">
        <v>297600</v>
      </c>
      <c r="Y1001" s="3441">
        <v>2003</v>
      </c>
      <c r="Z1001" s="3441">
        <v>11</v>
      </c>
      <c r="AA1001" s="3470">
        <v>4</v>
      </c>
      <c r="AB1001" s="3477">
        <v>1650</v>
      </c>
      <c r="AC1001" s="3470" t="s">
        <v>9364</v>
      </c>
      <c r="AD1001" s="3485"/>
      <c r="AE1001" s="3441" t="s">
        <v>3663</v>
      </c>
      <c r="AF1001" s="3470" t="s">
        <v>3604</v>
      </c>
      <c r="AG1001" s="3522" t="s">
        <v>3466</v>
      </c>
      <c r="AH1001" s="3485"/>
      <c r="AI1001" s="3470" t="s">
        <v>5021</v>
      </c>
      <c r="AJ1001" s="3523">
        <v>38132</v>
      </c>
      <c r="AK1001" s="3603" t="s">
        <v>4773</v>
      </c>
      <c r="AL1001" s="3441">
        <v>67641700</v>
      </c>
      <c r="AN1001" s="3456" t="s">
        <v>3570</v>
      </c>
      <c r="AO1001" s="3441" t="s">
        <v>2420</v>
      </c>
      <c r="AP1001" s="3441" t="s">
        <v>3476</v>
      </c>
      <c r="AQ1001" s="3441" t="s">
        <v>3571</v>
      </c>
      <c r="AW1001" s="3441" t="s">
        <v>3572</v>
      </c>
      <c r="AY1001" s="3524" t="s">
        <v>10224</v>
      </c>
      <c r="AZ1001" s="3441" t="s">
        <v>3737</v>
      </c>
      <c r="BA1001" s="3441" t="s">
        <v>3742</v>
      </c>
      <c r="BB1001" s="3524" t="s">
        <v>3743</v>
      </c>
      <c r="BC1001" s="3441" t="s">
        <v>3744</v>
      </c>
      <c r="BD1001" s="3525">
        <v>100088</v>
      </c>
      <c r="BE1001" s="3441">
        <v>82058259</v>
      </c>
      <c r="BF1001" s="3526" t="s">
        <v>8595</v>
      </c>
      <c r="BG1001" s="3478">
        <v>37919</v>
      </c>
      <c r="BH1001" s="3441" t="s">
        <v>4753</v>
      </c>
      <c r="BI1001" s="3441" t="s">
        <v>3476</v>
      </c>
      <c r="BJ1001" s="3484">
        <v>37925</v>
      </c>
      <c r="BK1001" s="3484" t="s">
        <v>6879</v>
      </c>
      <c r="BL1001" s="3470" t="s">
        <v>3670</v>
      </c>
    </row>
    <row r="1002" spans="1:253" s="3441" customFormat="1" ht="12" hidden="1">
      <c r="A1002" s="3542" t="s">
        <v>10225</v>
      </c>
      <c r="B1002" s="3470" t="s">
        <v>10226</v>
      </c>
      <c r="C1002" s="3481" t="s">
        <v>10227</v>
      </c>
      <c r="D1002" s="3481" t="s">
        <v>10228</v>
      </c>
      <c r="E1002" s="3470" t="s">
        <v>3558</v>
      </c>
      <c r="F1002" s="3528" t="s">
        <v>3733</v>
      </c>
      <c r="G1002" s="3470"/>
      <c r="H1002" s="3470" t="s">
        <v>9875</v>
      </c>
      <c r="I1002" s="3470" t="s">
        <v>4581</v>
      </c>
      <c r="J1002" s="3470" t="s">
        <v>4708</v>
      </c>
      <c r="K1002" s="3470" t="s">
        <v>3737</v>
      </c>
      <c r="L1002" s="3470">
        <v>76.069999999999993</v>
      </c>
      <c r="M1002" s="3470">
        <v>5</v>
      </c>
      <c r="N1002" s="3470" t="s">
        <v>4030</v>
      </c>
      <c r="O1002" s="3470">
        <v>60.99</v>
      </c>
      <c r="P1002" s="3470" t="s">
        <v>3452</v>
      </c>
      <c r="Q1002" s="3600">
        <v>457941.39999999997</v>
      </c>
      <c r="R1002" s="3470">
        <v>6020</v>
      </c>
      <c r="S1002" s="3472">
        <v>44.34</v>
      </c>
      <c r="T1002" s="3527">
        <v>443400.00000000006</v>
      </c>
      <c r="U1002" s="3470">
        <v>5830</v>
      </c>
      <c r="V1002" s="3474">
        <v>0.1</v>
      </c>
      <c r="W1002" s="3475">
        <v>39.9</v>
      </c>
      <c r="X1002" s="3494">
        <v>399000</v>
      </c>
      <c r="Y1002" s="3441">
        <v>2003</v>
      </c>
      <c r="Z1002" s="3441">
        <v>11</v>
      </c>
      <c r="AA1002" s="3470">
        <v>4</v>
      </c>
      <c r="AB1002" s="3477">
        <v>2215</v>
      </c>
      <c r="AC1002" s="3470" t="s">
        <v>9077</v>
      </c>
      <c r="AD1002" s="3485"/>
      <c r="AE1002" s="3441" t="s">
        <v>3663</v>
      </c>
      <c r="AF1002" s="3470" t="s">
        <v>3604</v>
      </c>
      <c r="AG1002" s="3522" t="s">
        <v>3466</v>
      </c>
      <c r="AH1002" s="3485"/>
      <c r="AI1002" s="3470" t="s">
        <v>5021</v>
      </c>
      <c r="AJ1002" s="3523">
        <v>38122</v>
      </c>
      <c r="AK1002" s="3603" t="s">
        <v>4773</v>
      </c>
      <c r="AL1002" s="3441">
        <v>67641700</v>
      </c>
      <c r="AN1002" s="3456" t="s">
        <v>3570</v>
      </c>
      <c r="AO1002" s="3441" t="s">
        <v>2420</v>
      </c>
      <c r="AP1002" s="3441" t="s">
        <v>3476</v>
      </c>
      <c r="AQ1002" s="3441" t="s">
        <v>3571</v>
      </c>
      <c r="AW1002" s="3441" t="s">
        <v>3572</v>
      </c>
      <c r="AY1002" s="3524" t="s">
        <v>10229</v>
      </c>
      <c r="AZ1002" s="3441" t="s">
        <v>3737</v>
      </c>
      <c r="BA1002" s="3441" t="s">
        <v>3742</v>
      </c>
      <c r="BB1002" s="3524" t="s">
        <v>3743</v>
      </c>
      <c r="BC1002" s="3441" t="s">
        <v>3744</v>
      </c>
      <c r="BD1002" s="3525">
        <v>100088</v>
      </c>
      <c r="BE1002" s="3441">
        <v>82058259</v>
      </c>
      <c r="BF1002" s="3526" t="s">
        <v>8595</v>
      </c>
      <c r="BG1002" s="3478">
        <v>37912</v>
      </c>
      <c r="BH1002" s="3441" t="s">
        <v>4753</v>
      </c>
      <c r="BI1002" s="3441" t="s">
        <v>3476</v>
      </c>
      <c r="BJ1002" s="3484">
        <v>37924</v>
      </c>
      <c r="BK1002" s="3484" t="s">
        <v>3715</v>
      </c>
      <c r="BL1002" s="3470" t="s">
        <v>3670</v>
      </c>
    </row>
    <row r="1003" spans="1:253" s="3441" customFormat="1" ht="12" hidden="1">
      <c r="A1003" s="3542" t="s">
        <v>10230</v>
      </c>
      <c r="B1003" s="3470" t="s">
        <v>10231</v>
      </c>
      <c r="C1003" s="3481" t="s">
        <v>10232</v>
      </c>
      <c r="D1003" s="3481" t="s">
        <v>10233</v>
      </c>
      <c r="E1003" s="3470" t="s">
        <v>3558</v>
      </c>
      <c r="F1003" s="3470" t="s">
        <v>4770</v>
      </c>
      <c r="G1003" s="3470"/>
      <c r="H1003" s="3470" t="s">
        <v>10197</v>
      </c>
      <c r="I1003" s="3470" t="s">
        <v>3464</v>
      </c>
      <c r="J1003" s="3481" t="s">
        <v>3474</v>
      </c>
      <c r="K1003" s="3470" t="s">
        <v>4772</v>
      </c>
      <c r="L1003" s="3470">
        <v>98.71</v>
      </c>
      <c r="M1003" s="3470">
        <v>5</v>
      </c>
      <c r="N1003" s="3470" t="s">
        <v>4030</v>
      </c>
      <c r="O1003" s="3470">
        <v>88.06</v>
      </c>
      <c r="P1003" s="3470" t="s">
        <v>3452</v>
      </c>
      <c r="Q1003" s="3457">
        <v>435311.1</v>
      </c>
      <c r="R1003" s="3470">
        <v>4410</v>
      </c>
      <c r="S1003" s="3472">
        <v>43.03</v>
      </c>
      <c r="T1003" s="3527">
        <v>430300</v>
      </c>
      <c r="U1003" s="3470">
        <v>4360</v>
      </c>
      <c r="V1003" s="3512">
        <v>0.1</v>
      </c>
      <c r="W1003" s="3475">
        <v>38.72</v>
      </c>
      <c r="X1003" s="3476">
        <v>387200</v>
      </c>
      <c r="Y1003" s="3441">
        <v>2003</v>
      </c>
      <c r="Z1003" s="3441">
        <v>11</v>
      </c>
      <c r="AA1003" s="3470">
        <v>4</v>
      </c>
      <c r="AB1003" s="3477">
        <v>2150</v>
      </c>
      <c r="AC1003" s="3470" t="s">
        <v>9364</v>
      </c>
      <c r="AD1003" s="3485"/>
      <c r="AE1003" s="3441" t="s">
        <v>3663</v>
      </c>
      <c r="AF1003" s="3470" t="s">
        <v>4295</v>
      </c>
      <c r="AG1003" s="3522" t="s">
        <v>3466</v>
      </c>
      <c r="AH1003" s="3485"/>
      <c r="AI1003" s="3470" t="s">
        <v>7643</v>
      </c>
      <c r="AJ1003" s="3523">
        <v>38002</v>
      </c>
      <c r="AK1003" s="3603" t="s">
        <v>4773</v>
      </c>
      <c r="AL1003" s="3441">
        <v>67641700</v>
      </c>
      <c r="AN1003" s="3456" t="s">
        <v>3570</v>
      </c>
      <c r="AO1003" s="3441" t="s">
        <v>2420</v>
      </c>
      <c r="AP1003" s="3441" t="s">
        <v>3476</v>
      </c>
      <c r="AQ1003" s="3441" t="s">
        <v>3571</v>
      </c>
      <c r="AW1003" s="3441" t="s">
        <v>3572</v>
      </c>
      <c r="AY1003" s="3441">
        <v>556817</v>
      </c>
      <c r="AZ1003" s="3441" t="s">
        <v>4772</v>
      </c>
      <c r="BA1003" s="3441" t="s">
        <v>4775</v>
      </c>
      <c r="BB1003" s="3524" t="s">
        <v>4776</v>
      </c>
      <c r="BC1003" s="3441" t="s">
        <v>4777</v>
      </c>
      <c r="BD1003" s="3525">
        <v>100083</v>
      </c>
      <c r="BE1003" s="3441">
        <v>82355171</v>
      </c>
      <c r="BF1003" s="3526">
        <v>2.7</v>
      </c>
      <c r="BG1003" s="3518">
        <v>37914</v>
      </c>
      <c r="BH1003" s="3441" t="s">
        <v>4681</v>
      </c>
      <c r="BI1003" s="3441" t="s">
        <v>3476</v>
      </c>
      <c r="BJ1003" s="3484">
        <v>37924</v>
      </c>
      <c r="BK1003" s="3484"/>
      <c r="BL1003" s="3470" t="s">
        <v>3670</v>
      </c>
    </row>
    <row r="1004" spans="1:253" s="3441" customFormat="1" ht="12" hidden="1">
      <c r="A1004" s="3542" t="s">
        <v>10234</v>
      </c>
      <c r="B1004" s="3470" t="s">
        <v>10235</v>
      </c>
      <c r="C1004" s="3481" t="s">
        <v>10236</v>
      </c>
      <c r="D1004" s="3481" t="s">
        <v>10237</v>
      </c>
      <c r="E1004" s="3470" t="s">
        <v>3558</v>
      </c>
      <c r="F1004" s="3470" t="s">
        <v>4693</v>
      </c>
      <c r="G1004" s="3470"/>
      <c r="H1004" s="3470" t="s">
        <v>10238</v>
      </c>
      <c r="I1004" s="3470" t="s">
        <v>9411</v>
      </c>
      <c r="J1004" s="3481" t="s">
        <v>10239</v>
      </c>
      <c r="K1004" s="3470" t="s">
        <v>4697</v>
      </c>
      <c r="L1004" s="3470">
        <v>44.8</v>
      </c>
      <c r="M1004" s="3470">
        <v>11</v>
      </c>
      <c r="N1004" s="3470" t="s">
        <v>3692</v>
      </c>
      <c r="O1004" s="3470">
        <v>33.28</v>
      </c>
      <c r="P1004" s="3470" t="s">
        <v>3452</v>
      </c>
      <c r="Q1004" s="3457">
        <v>379590.39999999997</v>
      </c>
      <c r="R1004" s="3470">
        <v>8473</v>
      </c>
      <c r="S1004" s="3472">
        <v>37.67</v>
      </c>
      <c r="T1004" s="3527">
        <v>376700</v>
      </c>
      <c r="U1004" s="3470">
        <v>8410</v>
      </c>
      <c r="V1004" s="3474">
        <v>0.1</v>
      </c>
      <c r="W1004" s="3475">
        <v>33.9</v>
      </c>
      <c r="X1004" s="3476">
        <v>339000</v>
      </c>
      <c r="Y1004" s="3441">
        <v>2003</v>
      </c>
      <c r="Z1004" s="3441">
        <v>11</v>
      </c>
      <c r="AA1004" s="3470">
        <v>4</v>
      </c>
      <c r="AB1004" s="3477">
        <v>1880</v>
      </c>
      <c r="AC1004" s="3470" t="s">
        <v>10240</v>
      </c>
      <c r="AD1004" s="3485"/>
      <c r="AE1004" s="3441" t="s">
        <v>3663</v>
      </c>
      <c r="AF1004" s="3470" t="s">
        <v>4721</v>
      </c>
      <c r="AG1004" s="3522" t="s">
        <v>3466</v>
      </c>
      <c r="AH1004" s="3485" t="s">
        <v>3463</v>
      </c>
      <c r="AI1004" s="3470" t="s">
        <v>5021</v>
      </c>
      <c r="AJ1004" s="3523">
        <v>38138</v>
      </c>
      <c r="AK1004" s="3603" t="s">
        <v>4773</v>
      </c>
      <c r="AL1004" s="3441">
        <v>67641700</v>
      </c>
      <c r="AN1004" s="3456" t="s">
        <v>3570</v>
      </c>
      <c r="AP1004" s="3441" t="s">
        <v>3476</v>
      </c>
      <c r="AQ1004" s="3441" t="s">
        <v>3571</v>
      </c>
      <c r="AV1004" s="3441" t="s">
        <v>3568</v>
      </c>
      <c r="AW1004" s="3441" t="s">
        <v>3572</v>
      </c>
      <c r="AX1004" s="3441" t="s">
        <v>3568</v>
      </c>
      <c r="AY1004" s="3524" t="s">
        <v>10241</v>
      </c>
      <c r="AZ1004" s="3441" t="s">
        <v>4697</v>
      </c>
      <c r="BA1004" s="3441" t="s">
        <v>4700</v>
      </c>
      <c r="BB1004" s="3524" t="s">
        <v>4701</v>
      </c>
      <c r="BC1004" s="3441" t="s">
        <v>4702</v>
      </c>
      <c r="BD1004" s="3525">
        <v>100011</v>
      </c>
      <c r="BE1004" s="3441">
        <v>62351476</v>
      </c>
      <c r="BF1004" s="3526">
        <v>2.8</v>
      </c>
      <c r="BG1004" s="3518">
        <v>37921</v>
      </c>
      <c r="BI1004" s="3441" t="s">
        <v>3476</v>
      </c>
      <c r="BJ1004" s="3484">
        <v>37922</v>
      </c>
      <c r="BK1004" s="3484"/>
      <c r="BL1004" s="3470" t="s">
        <v>3670</v>
      </c>
    </row>
    <row r="1005" spans="1:253" s="3470" customFormat="1" ht="12" hidden="1">
      <c r="A1005" s="3453" t="s">
        <v>10242</v>
      </c>
      <c r="B1005" s="3470" t="s">
        <v>10243</v>
      </c>
      <c r="C1005" s="3481" t="s">
        <v>10244</v>
      </c>
      <c r="D1005" s="3470">
        <v>13911805904</v>
      </c>
      <c r="E1005" s="3470" t="s">
        <v>3558</v>
      </c>
      <c r="F1005" s="3470" t="s">
        <v>8094</v>
      </c>
      <c r="H1005" s="3453" t="s">
        <v>7724</v>
      </c>
      <c r="I1005" s="3453" t="s">
        <v>3464</v>
      </c>
      <c r="J1005" s="3453" t="s">
        <v>3465</v>
      </c>
      <c r="K1005" s="3470" t="s">
        <v>8097</v>
      </c>
      <c r="L1005" s="3495">
        <v>137.69</v>
      </c>
      <c r="M1005" s="3495">
        <v>6</v>
      </c>
      <c r="N1005" s="3470" t="s">
        <v>5547</v>
      </c>
      <c r="O1005" s="3495">
        <v>117.73</v>
      </c>
      <c r="P1005" s="3470" t="s">
        <v>3452</v>
      </c>
      <c r="Q1005" s="3457">
        <v>634475.52000000002</v>
      </c>
      <c r="R1005" s="3470">
        <v>4608</v>
      </c>
      <c r="S1005" s="3472">
        <v>62.75</v>
      </c>
      <c r="T1005" s="3527">
        <v>627500</v>
      </c>
      <c r="U1005" s="3470">
        <v>4558</v>
      </c>
      <c r="V1005" s="3474">
        <v>0.05</v>
      </c>
      <c r="W1005" s="3475">
        <v>59.61</v>
      </c>
      <c r="X1005" s="3476">
        <v>596100</v>
      </c>
      <c r="Y1005" s="3441">
        <v>2003</v>
      </c>
      <c r="Z1005" s="3441">
        <v>11</v>
      </c>
      <c r="AA1005" s="3470">
        <v>4</v>
      </c>
      <c r="AB1005" s="3477">
        <v>3135</v>
      </c>
      <c r="AC1005" s="3470" t="s">
        <v>9007</v>
      </c>
      <c r="AE1005" s="3456" t="s">
        <v>3663</v>
      </c>
      <c r="AF1005" s="3453" t="s">
        <v>3493</v>
      </c>
      <c r="AG1005" s="3456" t="s">
        <v>3466</v>
      </c>
      <c r="AI1005" s="3456" t="s">
        <v>5021</v>
      </c>
      <c r="AJ1005" s="3478" t="s">
        <v>6879</v>
      </c>
      <c r="AK1005" s="3603" t="s">
        <v>4773</v>
      </c>
      <c r="AL1005" s="3441">
        <v>67641700</v>
      </c>
      <c r="AM1005" s="3441"/>
      <c r="AN1005" s="3456" t="s">
        <v>3570</v>
      </c>
      <c r="AP1005" s="3456" t="s">
        <v>3476</v>
      </c>
      <c r="AQ1005" s="3456" t="s">
        <v>3571</v>
      </c>
      <c r="AV1005" s="3519" t="s">
        <v>3568</v>
      </c>
      <c r="AW1005" s="3470" t="s">
        <v>3572</v>
      </c>
      <c r="AX1005" s="3470" t="s">
        <v>2511</v>
      </c>
      <c r="AY1005" s="3495">
        <v>145456</v>
      </c>
      <c r="AZ1005" s="3470" t="s">
        <v>8097</v>
      </c>
      <c r="BA1005" s="3470" t="s">
        <v>8100</v>
      </c>
      <c r="BB1005" s="3470" t="s">
        <v>8101</v>
      </c>
      <c r="BC1005" s="3470" t="s">
        <v>8102</v>
      </c>
      <c r="BD1005" s="3470">
        <v>100010</v>
      </c>
      <c r="BE1005" s="3470">
        <v>65233356</v>
      </c>
      <c r="BF1005" s="3520">
        <v>2.7</v>
      </c>
      <c r="BG1005" s="3478">
        <v>37919</v>
      </c>
      <c r="BI1005" s="3470" t="s">
        <v>3476</v>
      </c>
      <c r="BJ1005" s="3478">
        <v>37928</v>
      </c>
      <c r="BK1005" s="3478"/>
      <c r="BL1005" s="3470" t="s">
        <v>3670</v>
      </c>
      <c r="BP1005" s="3441"/>
      <c r="BQ1005" s="3441"/>
      <c r="BR1005" s="3441"/>
    </row>
    <row r="1006" spans="1:253" s="3441" customFormat="1" ht="13.2" hidden="1">
      <c r="A1006" s="3453" t="s">
        <v>10245</v>
      </c>
      <c r="B1006" s="3470" t="s">
        <v>10246</v>
      </c>
      <c r="C1006" s="3481" t="s">
        <v>10247</v>
      </c>
      <c r="D1006" s="3481" t="s">
        <v>10248</v>
      </c>
      <c r="E1006" s="3470" t="s">
        <v>3558</v>
      </c>
      <c r="F1006" s="3528" t="s">
        <v>3951</v>
      </c>
      <c r="G1006" s="3470"/>
      <c r="H1006" s="3470" t="s">
        <v>7428</v>
      </c>
      <c r="I1006" s="3470" t="s">
        <v>10249</v>
      </c>
      <c r="J1006" s="3481" t="s">
        <v>10250</v>
      </c>
      <c r="K1006" s="3470" t="s">
        <v>3955</v>
      </c>
      <c r="L1006" s="3470">
        <v>149.09</v>
      </c>
      <c r="M1006" s="3470" t="s">
        <v>10251</v>
      </c>
      <c r="N1006" s="3453" t="s">
        <v>7229</v>
      </c>
      <c r="O1006" s="3470">
        <v>133.91999999999999</v>
      </c>
      <c r="P1006" s="3470" t="s">
        <v>4222</v>
      </c>
      <c r="Q1006" s="3457">
        <v>659999.96103999997</v>
      </c>
      <c r="R1006" s="3470">
        <v>4426.8559999999998</v>
      </c>
      <c r="S1006" s="3472">
        <v>64.400000000000006</v>
      </c>
      <c r="T1006" s="3527">
        <v>644000</v>
      </c>
      <c r="U1006" s="3495">
        <v>4320</v>
      </c>
      <c r="V1006" s="3474">
        <v>0.1</v>
      </c>
      <c r="W1006" s="3475">
        <v>57.96</v>
      </c>
      <c r="X1006" s="3473">
        <v>579600</v>
      </c>
      <c r="Y1006" s="3495">
        <v>2003</v>
      </c>
      <c r="Z1006" s="3441">
        <v>11</v>
      </c>
      <c r="AA1006" s="3441">
        <v>10</v>
      </c>
      <c r="AB1006" s="3477">
        <v>3220</v>
      </c>
      <c r="AC1006" s="3470" t="s">
        <v>9336</v>
      </c>
      <c r="AD1006" s="3485"/>
      <c r="AE1006" s="3441" t="s">
        <v>3663</v>
      </c>
      <c r="AF1006" s="3470" t="s">
        <v>4126</v>
      </c>
      <c r="AG1006" s="3522" t="s">
        <v>3466</v>
      </c>
      <c r="AH1006" s="3485"/>
      <c r="AI1006" s="3470" t="s">
        <v>3664</v>
      </c>
      <c r="AJ1006" s="3523">
        <v>37975</v>
      </c>
      <c r="AK1006" s="3603" t="s">
        <v>4788</v>
      </c>
      <c r="AL1006" s="3441">
        <v>67641700</v>
      </c>
      <c r="AN1006" s="3456" t="s">
        <v>3695</v>
      </c>
      <c r="AO1006" s="3441" t="s">
        <v>10252</v>
      </c>
      <c r="AP1006" s="3441" t="s">
        <v>3476</v>
      </c>
      <c r="AQ1006" s="3441" t="s">
        <v>3571</v>
      </c>
      <c r="AV1006" s="3441" t="s">
        <v>3568</v>
      </c>
      <c r="AW1006" s="3441" t="s">
        <v>3572</v>
      </c>
      <c r="AX1006" s="3441" t="s">
        <v>2420</v>
      </c>
      <c r="AY1006" s="3524" t="s">
        <v>10253</v>
      </c>
      <c r="AZ1006" s="3441" t="s">
        <v>3955</v>
      </c>
      <c r="BA1006" s="3441" t="s">
        <v>3959</v>
      </c>
      <c r="BB1006" s="3524" t="s">
        <v>3960</v>
      </c>
      <c r="BC1006" s="3441" t="s">
        <v>3961</v>
      </c>
      <c r="BD1006" s="3525">
        <v>102100</v>
      </c>
      <c r="BE1006" s="3441">
        <v>62998398</v>
      </c>
      <c r="BF1006" s="3526">
        <v>2.8</v>
      </c>
      <c r="BG1006" s="3518">
        <v>37884</v>
      </c>
      <c r="BI1006" s="3441" t="s">
        <v>3476</v>
      </c>
      <c r="BJ1006" s="3478">
        <v>37932</v>
      </c>
      <c r="BK1006" s="3518"/>
      <c r="BL1006" s="3470" t="s">
        <v>3670</v>
      </c>
    </row>
    <row r="1007" spans="1:253" s="3441" customFormat="1" ht="12" hidden="1">
      <c r="A1007" s="3453" t="s">
        <v>10254</v>
      </c>
      <c r="B1007" s="3470" t="s">
        <v>10255</v>
      </c>
      <c r="C1007" s="3481" t="s">
        <v>10256</v>
      </c>
      <c r="D1007" s="3481" t="s">
        <v>10257</v>
      </c>
      <c r="E1007" s="3470" t="s">
        <v>3558</v>
      </c>
      <c r="F1007" s="3528" t="s">
        <v>4645</v>
      </c>
      <c r="G1007" s="3470"/>
      <c r="H1007" s="3470" t="s">
        <v>10258</v>
      </c>
      <c r="I1007" s="3470" t="s">
        <v>4718</v>
      </c>
      <c r="J1007" s="3481" t="s">
        <v>10259</v>
      </c>
      <c r="K1007" s="3470" t="s">
        <v>4649</v>
      </c>
      <c r="L1007" s="3470">
        <v>89.07</v>
      </c>
      <c r="M1007" s="3470">
        <v>17</v>
      </c>
      <c r="N1007" s="3470" t="s">
        <v>3489</v>
      </c>
      <c r="O1007" s="3470">
        <v>70.209999999999994</v>
      </c>
      <c r="P1007" s="3470" t="s">
        <v>3452</v>
      </c>
      <c r="Q1007" s="3457">
        <v>643174.47</v>
      </c>
      <c r="R1007" s="3470">
        <v>7221</v>
      </c>
      <c r="S1007" s="3472">
        <v>63.73</v>
      </c>
      <c r="T1007" s="3527">
        <v>637300</v>
      </c>
      <c r="U1007" s="3495">
        <v>7156</v>
      </c>
      <c r="V1007" s="3512">
        <v>0.1</v>
      </c>
      <c r="W1007" s="3475">
        <v>57.35</v>
      </c>
      <c r="X1007" s="3473">
        <v>573500</v>
      </c>
      <c r="Y1007" s="3515">
        <v>2003</v>
      </c>
      <c r="Z1007" s="3441">
        <v>11</v>
      </c>
      <c r="AA1007" s="3470">
        <v>5</v>
      </c>
      <c r="AB1007" s="3477">
        <v>3185</v>
      </c>
      <c r="AC1007" s="3470" t="s">
        <v>9237</v>
      </c>
      <c r="AD1007" s="3485"/>
      <c r="AE1007" s="3441" t="s">
        <v>3663</v>
      </c>
      <c r="AF1007" s="3470" t="s">
        <v>3728</v>
      </c>
      <c r="AG1007" s="3522" t="s">
        <v>3466</v>
      </c>
      <c r="AH1007" s="3485"/>
      <c r="AI1007" s="3470" t="s">
        <v>5021</v>
      </c>
      <c r="AJ1007" s="3523">
        <v>38199</v>
      </c>
      <c r="AK1007" s="3603" t="s">
        <v>9912</v>
      </c>
      <c r="AL1007" s="3495">
        <v>67641700</v>
      </c>
      <c r="AM1007" s="3470"/>
      <c r="AN1007" s="3456" t="s">
        <v>3570</v>
      </c>
      <c r="AP1007" s="3441" t="s">
        <v>3476</v>
      </c>
      <c r="AQ1007" s="3441" t="s">
        <v>3571</v>
      </c>
      <c r="AW1007" s="3441" t="s">
        <v>3572</v>
      </c>
      <c r="AX1007" s="3441" t="s">
        <v>3568</v>
      </c>
      <c r="AY1007" s="3524" t="s">
        <v>10260</v>
      </c>
      <c r="AZ1007" s="3441" t="s">
        <v>4654</v>
      </c>
      <c r="BA1007" s="3441" t="s">
        <v>4688</v>
      </c>
      <c r="BB1007" s="3524" t="s">
        <v>4689</v>
      </c>
      <c r="BC1007" s="3441" t="s">
        <v>4656</v>
      </c>
      <c r="BD1007" s="3525">
        <v>100037</v>
      </c>
      <c r="BE1007" s="3441">
        <v>68347718</v>
      </c>
      <c r="BF1007" s="3526">
        <v>2.8</v>
      </c>
      <c r="BG1007" s="3518">
        <v>37916</v>
      </c>
      <c r="BH1007" s="3441" t="s">
        <v>4681</v>
      </c>
      <c r="BI1007" s="3441" t="s">
        <v>3476</v>
      </c>
      <c r="BJ1007" s="3484">
        <v>37928</v>
      </c>
      <c r="BK1007" s="3484"/>
      <c r="BL1007" s="3470" t="s">
        <v>3670</v>
      </c>
    </row>
    <row r="1008" spans="1:253" s="3441" customFormat="1" ht="12" hidden="1">
      <c r="A1008" s="3542" t="s">
        <v>10261</v>
      </c>
      <c r="B1008" s="3470" t="s">
        <v>10262</v>
      </c>
      <c r="C1008" s="3481" t="s">
        <v>10263</v>
      </c>
      <c r="D1008" s="3481" t="s">
        <v>10264</v>
      </c>
      <c r="E1008" s="3470" t="s">
        <v>3558</v>
      </c>
      <c r="F1008" s="3528" t="s">
        <v>4669</v>
      </c>
      <c r="G1008" s="3470"/>
      <c r="H1008" s="3470" t="s">
        <v>9764</v>
      </c>
      <c r="I1008" s="3470" t="s">
        <v>6936</v>
      </c>
      <c r="J1008" s="3481" t="s">
        <v>10265</v>
      </c>
      <c r="K1008" s="3470" t="s">
        <v>4673</v>
      </c>
      <c r="L1008" s="3470">
        <v>101.39</v>
      </c>
      <c r="M1008" s="3470">
        <v>6</v>
      </c>
      <c r="N1008" s="3470" t="s">
        <v>4871</v>
      </c>
      <c r="O1008" s="3470">
        <v>78.86</v>
      </c>
      <c r="P1008" s="3470" t="s">
        <v>3452</v>
      </c>
      <c r="Q1008" s="3457">
        <v>616045.64</v>
      </c>
      <c r="R1008" s="3470">
        <v>6076</v>
      </c>
      <c r="S1008" s="3472">
        <v>61.01</v>
      </c>
      <c r="T1008" s="3527">
        <v>610100</v>
      </c>
      <c r="U1008" s="3470">
        <v>6018</v>
      </c>
      <c r="V1008" s="3474">
        <v>0.1</v>
      </c>
      <c r="W1008" s="3475">
        <v>54.9</v>
      </c>
      <c r="X1008" s="3494">
        <v>549000</v>
      </c>
      <c r="Y1008" s="3441">
        <v>2003</v>
      </c>
      <c r="Z1008" s="3441">
        <v>11</v>
      </c>
      <c r="AA1008" s="3470">
        <v>5</v>
      </c>
      <c r="AB1008" s="3477">
        <v>3050</v>
      </c>
      <c r="AC1008" s="3470" t="s">
        <v>9336</v>
      </c>
      <c r="AD1008" s="3485"/>
      <c r="AE1008" s="3441" t="s">
        <v>3663</v>
      </c>
      <c r="AF1008" s="3470" t="s">
        <v>4721</v>
      </c>
      <c r="AG1008" s="3522" t="s">
        <v>3466</v>
      </c>
      <c r="AH1008" s="3485"/>
      <c r="AI1008" s="3470" t="s">
        <v>5021</v>
      </c>
      <c r="AJ1008" s="3523">
        <v>38347</v>
      </c>
      <c r="AK1008" s="3603" t="s">
        <v>4773</v>
      </c>
      <c r="AL1008" s="3495">
        <v>67641700</v>
      </c>
      <c r="AM1008" s="3470"/>
      <c r="AN1008" s="3456" t="s">
        <v>3570</v>
      </c>
      <c r="AO1008" s="3441" t="s">
        <v>3568</v>
      </c>
      <c r="AP1008" s="3441" t="s">
        <v>3476</v>
      </c>
      <c r="AQ1008" s="3441" t="s">
        <v>3571</v>
      </c>
      <c r="AW1008" s="3441" t="s">
        <v>3572</v>
      </c>
      <c r="AY1008" s="3524" t="s">
        <v>10266</v>
      </c>
      <c r="AZ1008" s="3441" t="s">
        <v>4677</v>
      </c>
      <c r="BA1008" s="3441" t="s">
        <v>4678</v>
      </c>
      <c r="BB1008" s="3524" t="s">
        <v>4679</v>
      </c>
      <c r="BC1008" s="3441" t="s">
        <v>4680</v>
      </c>
      <c r="BD1008" s="3525">
        <v>100089</v>
      </c>
      <c r="BE1008" s="3441">
        <v>68719656</v>
      </c>
      <c r="BF1008" s="3526">
        <v>2.8</v>
      </c>
      <c r="BG1008" s="3518">
        <v>37891</v>
      </c>
      <c r="BI1008" s="3470" t="s">
        <v>3476</v>
      </c>
      <c r="BJ1008" s="3484">
        <v>37929</v>
      </c>
      <c r="BK1008" s="3484"/>
      <c r="BL1008" s="3470" t="s">
        <v>3670</v>
      </c>
    </row>
    <row r="1009" spans="1:70" s="3441" customFormat="1" ht="12" hidden="1">
      <c r="A1009" s="3542" t="s">
        <v>10267</v>
      </c>
      <c r="B1009" s="3470" t="s">
        <v>10268</v>
      </c>
      <c r="C1009" s="3481" t="s">
        <v>10269</v>
      </c>
      <c r="D1009" s="3481" t="s">
        <v>10270</v>
      </c>
      <c r="E1009" s="3470" t="s">
        <v>3558</v>
      </c>
      <c r="F1009" s="3470" t="s">
        <v>4693</v>
      </c>
      <c r="G1009" s="3470"/>
      <c r="H1009" s="3470" t="s">
        <v>4453</v>
      </c>
      <c r="I1009" s="3470" t="s">
        <v>4124</v>
      </c>
      <c r="J1009" s="3481" t="s">
        <v>5441</v>
      </c>
      <c r="K1009" s="3470" t="s">
        <v>4697</v>
      </c>
      <c r="L1009" s="3470">
        <v>37.99</v>
      </c>
      <c r="M1009" s="3470">
        <v>8</v>
      </c>
      <c r="N1009" s="3470" t="s">
        <v>3692</v>
      </c>
      <c r="O1009" s="3470">
        <v>28.22</v>
      </c>
      <c r="P1009" s="3470" t="s">
        <v>3452</v>
      </c>
      <c r="Q1009" s="3457">
        <v>320749.57</v>
      </c>
      <c r="R1009" s="3470">
        <v>8443</v>
      </c>
      <c r="S1009" s="3472">
        <v>31.79</v>
      </c>
      <c r="T1009" s="3527">
        <v>317900</v>
      </c>
      <c r="U1009" s="3470">
        <v>8370</v>
      </c>
      <c r="V1009" s="3474">
        <v>0.1</v>
      </c>
      <c r="W1009" s="3475">
        <v>28.61</v>
      </c>
      <c r="X1009" s="3476">
        <v>286100</v>
      </c>
      <c r="Y1009" s="3441">
        <v>2003</v>
      </c>
      <c r="Z1009" s="3441">
        <v>11</v>
      </c>
      <c r="AA1009" s="3470">
        <v>5</v>
      </c>
      <c r="AB1009" s="3477">
        <v>1585</v>
      </c>
      <c r="AC1009" s="3470" t="s">
        <v>9336</v>
      </c>
      <c r="AD1009" s="3485"/>
      <c r="AE1009" s="3441" t="s">
        <v>3663</v>
      </c>
      <c r="AF1009" s="3470" t="s">
        <v>3587</v>
      </c>
      <c r="AG1009" s="3522" t="s">
        <v>3466</v>
      </c>
      <c r="AH1009" s="3485" t="s">
        <v>3463</v>
      </c>
      <c r="AI1009" s="3470" t="s">
        <v>5021</v>
      </c>
      <c r="AJ1009" s="3523">
        <v>38138</v>
      </c>
      <c r="AK1009" s="3603" t="s">
        <v>4773</v>
      </c>
      <c r="AL1009" s="3441">
        <v>67641700</v>
      </c>
      <c r="AN1009" s="3456" t="s">
        <v>3570</v>
      </c>
      <c r="AP1009" s="3441" t="s">
        <v>3476</v>
      </c>
      <c r="AQ1009" s="3441" t="s">
        <v>3571</v>
      </c>
      <c r="AV1009" s="3441" t="s">
        <v>3568</v>
      </c>
      <c r="AW1009" s="3441" t="s">
        <v>3572</v>
      </c>
      <c r="AX1009" s="3441" t="s">
        <v>3568</v>
      </c>
      <c r="AY1009" s="3524" t="s">
        <v>10271</v>
      </c>
      <c r="AZ1009" s="3441" t="s">
        <v>4697</v>
      </c>
      <c r="BA1009" s="3441" t="s">
        <v>4700</v>
      </c>
      <c r="BB1009" s="3524" t="s">
        <v>4701</v>
      </c>
      <c r="BC1009" s="3441" t="s">
        <v>4702</v>
      </c>
      <c r="BD1009" s="3525">
        <v>100011</v>
      </c>
      <c r="BE1009" s="3441">
        <v>62351476</v>
      </c>
      <c r="BF1009" s="3526">
        <v>2.8</v>
      </c>
      <c r="BG1009" s="3518">
        <v>37921</v>
      </c>
      <c r="BI1009" s="3441" t="s">
        <v>3476</v>
      </c>
      <c r="BJ1009" s="3484">
        <v>37929</v>
      </c>
      <c r="BK1009" s="3484"/>
      <c r="BL1009" s="3470" t="s">
        <v>3670</v>
      </c>
    </row>
    <row r="1010" spans="1:70" s="3441" customFormat="1" ht="12" hidden="1">
      <c r="A1010" s="3453" t="s">
        <v>10272</v>
      </c>
      <c r="B1010" s="3470" t="s">
        <v>10273</v>
      </c>
      <c r="C1010" s="3481" t="s">
        <v>10274</v>
      </c>
      <c r="D1010" s="3481" t="s">
        <v>10275</v>
      </c>
      <c r="E1010" s="3470" t="s">
        <v>3558</v>
      </c>
      <c r="F1010" s="3528" t="s">
        <v>4716</v>
      </c>
      <c r="G1010" s="3470"/>
      <c r="H1010" s="3470" t="s">
        <v>10276</v>
      </c>
      <c r="I1010" s="3470" t="s">
        <v>10277</v>
      </c>
      <c r="J1010" s="3481" t="s">
        <v>10278</v>
      </c>
      <c r="K1010" s="3470" t="s">
        <v>4720</v>
      </c>
      <c r="L1010" s="3470">
        <v>66.02</v>
      </c>
      <c r="M1010" s="3470">
        <v>20</v>
      </c>
      <c r="N1010" s="3470" t="s">
        <v>3489</v>
      </c>
      <c r="O1010" s="3470">
        <v>51.96</v>
      </c>
      <c r="P1010" s="3453" t="s">
        <v>3452</v>
      </c>
      <c r="Q1010" s="3600">
        <v>290198.15879999998</v>
      </c>
      <c r="R1010" s="3470">
        <v>5585.03</v>
      </c>
      <c r="S1010" s="3472">
        <v>28.71</v>
      </c>
      <c r="T1010" s="3527">
        <v>287100</v>
      </c>
      <c r="U1010" s="3470">
        <v>4350</v>
      </c>
      <c r="V1010" s="3474">
        <v>0.1</v>
      </c>
      <c r="W1010" s="3475">
        <v>25.83</v>
      </c>
      <c r="X1010" s="3494">
        <v>258299.99999999997</v>
      </c>
      <c r="Y1010" s="3441">
        <v>2003</v>
      </c>
      <c r="Z1010" s="3441">
        <v>11</v>
      </c>
      <c r="AA1010" s="3470">
        <v>13</v>
      </c>
      <c r="AB1010" s="3477">
        <v>1435</v>
      </c>
      <c r="AC1010" s="3470" t="s">
        <v>9007</v>
      </c>
      <c r="AD1010" s="3485"/>
      <c r="AE1010" s="3441" t="s">
        <v>3663</v>
      </c>
      <c r="AF1010" s="3470" t="s">
        <v>4721</v>
      </c>
      <c r="AG1010" s="3522" t="s">
        <v>3466</v>
      </c>
      <c r="AH1010" s="3485"/>
      <c r="AI1010" s="3470" t="s">
        <v>5021</v>
      </c>
      <c r="AJ1010" s="3523">
        <v>38230</v>
      </c>
      <c r="AK1010" s="3603" t="s">
        <v>4773</v>
      </c>
      <c r="AL1010" s="3441">
        <v>67641700</v>
      </c>
      <c r="AN1010" s="3456" t="s">
        <v>3695</v>
      </c>
      <c r="AO1010" s="3441" t="s">
        <v>3568</v>
      </c>
      <c r="AP1010" s="3441" t="s">
        <v>3476</v>
      </c>
      <c r="AQ1010" s="3441" t="s">
        <v>3571</v>
      </c>
      <c r="AW1010" s="3441" t="s">
        <v>3572</v>
      </c>
      <c r="AY1010" s="3524" t="s">
        <v>10279</v>
      </c>
      <c r="AZ1010" s="3441" t="s">
        <v>4720</v>
      </c>
      <c r="BA1010" s="3441" t="s">
        <v>4725</v>
      </c>
      <c r="BB1010" s="3524" t="s">
        <v>4726</v>
      </c>
      <c r="BC1010" s="3441" t="s">
        <v>4727</v>
      </c>
      <c r="BD1010" s="3525">
        <v>100005</v>
      </c>
      <c r="BE1010" s="3441">
        <v>65128628</v>
      </c>
      <c r="BF1010" s="3526">
        <v>2.8</v>
      </c>
      <c r="BG1010" s="3518">
        <v>37905</v>
      </c>
      <c r="BI1010" s="3441" t="s">
        <v>8464</v>
      </c>
      <c r="BJ1010" s="3484">
        <v>37929</v>
      </c>
      <c r="BK1010" s="3484" t="s">
        <v>3568</v>
      </c>
      <c r="BL1010" s="3470" t="s">
        <v>3670</v>
      </c>
    </row>
    <row r="1011" spans="1:70" s="3441" customFormat="1" ht="12" hidden="1">
      <c r="A1011" s="3453" t="s">
        <v>10280</v>
      </c>
      <c r="B1011" s="3470" t="s">
        <v>10281</v>
      </c>
      <c r="C1011" s="3481" t="s">
        <v>10282</v>
      </c>
      <c r="D1011" s="3481" t="s">
        <v>10283</v>
      </c>
      <c r="E1011" s="3470" t="s">
        <v>3558</v>
      </c>
      <c r="F1011" s="3528" t="s">
        <v>4645</v>
      </c>
      <c r="G1011" s="3470"/>
      <c r="H1011" s="3470" t="s">
        <v>10284</v>
      </c>
      <c r="I1011" s="3470" t="s">
        <v>4718</v>
      </c>
      <c r="J1011" s="3481" t="s">
        <v>10285</v>
      </c>
      <c r="K1011" s="3470" t="s">
        <v>4649</v>
      </c>
      <c r="L1011" s="3470">
        <v>59.94</v>
      </c>
      <c r="M1011" s="3470">
        <v>17</v>
      </c>
      <c r="N1011" s="3470" t="s">
        <v>3584</v>
      </c>
      <c r="O1011" s="3470">
        <v>47.25</v>
      </c>
      <c r="P1011" s="3470" t="s">
        <v>3452</v>
      </c>
      <c r="Q1011" s="3457">
        <v>470648.88</v>
      </c>
      <c r="R1011" s="3470">
        <v>7852</v>
      </c>
      <c r="S1011" s="3472">
        <v>46.68</v>
      </c>
      <c r="T1011" s="3527">
        <v>466800</v>
      </c>
      <c r="U1011" s="3495">
        <v>7788</v>
      </c>
      <c r="V1011" s="3512">
        <v>0.1</v>
      </c>
      <c r="W1011" s="3475">
        <v>42.01</v>
      </c>
      <c r="X1011" s="3473">
        <v>420100</v>
      </c>
      <c r="Y1011" s="3515">
        <v>2003</v>
      </c>
      <c r="Z1011" s="3441">
        <v>11</v>
      </c>
      <c r="AA1011" s="3470">
        <v>5</v>
      </c>
      <c r="AB1011" s="3477">
        <v>2330</v>
      </c>
      <c r="AC1011" s="3470" t="s">
        <v>9007</v>
      </c>
      <c r="AD1011" s="3485"/>
      <c r="AE1011" s="3441" t="s">
        <v>3663</v>
      </c>
      <c r="AF1011" s="3470" t="s">
        <v>3728</v>
      </c>
      <c r="AG1011" s="3522" t="s">
        <v>3466</v>
      </c>
      <c r="AH1011" s="3485"/>
      <c r="AI1011" s="3470" t="s">
        <v>5021</v>
      </c>
      <c r="AJ1011" s="3523">
        <v>38199</v>
      </c>
      <c r="AK1011" s="3603" t="s">
        <v>4788</v>
      </c>
      <c r="AL1011" s="3495">
        <v>67641700</v>
      </c>
      <c r="AM1011" s="3470"/>
      <c r="AN1011" s="3456" t="s">
        <v>3570</v>
      </c>
      <c r="AP1011" s="3441" t="s">
        <v>3476</v>
      </c>
      <c r="AQ1011" s="3441" t="s">
        <v>3571</v>
      </c>
      <c r="AW1011" s="3441" t="s">
        <v>3572</v>
      </c>
      <c r="AX1011" s="3441" t="s">
        <v>3568</v>
      </c>
      <c r="AY1011" s="3524" t="s">
        <v>10286</v>
      </c>
      <c r="AZ1011" s="3441" t="s">
        <v>4654</v>
      </c>
      <c r="BA1011" s="3441" t="s">
        <v>4688</v>
      </c>
      <c r="BB1011" s="3524" t="s">
        <v>4689</v>
      </c>
      <c r="BC1011" s="3441" t="s">
        <v>4656</v>
      </c>
      <c r="BD1011" s="3525">
        <v>100037</v>
      </c>
      <c r="BE1011" s="3441">
        <v>68347718</v>
      </c>
      <c r="BF1011" s="3526">
        <v>2.8</v>
      </c>
      <c r="BG1011" s="3518">
        <v>37903</v>
      </c>
      <c r="BH1011" s="3441" t="s">
        <v>4681</v>
      </c>
      <c r="BI1011" s="3441" t="s">
        <v>3476</v>
      </c>
      <c r="BJ1011" s="3484">
        <v>37929</v>
      </c>
      <c r="BK1011" s="3484"/>
      <c r="BL1011" s="3470" t="s">
        <v>3670</v>
      </c>
    </row>
    <row r="1012" spans="1:70" s="3441" customFormat="1" ht="12" hidden="1">
      <c r="A1012" s="3542" t="s">
        <v>10287</v>
      </c>
      <c r="B1012" s="3470" t="s">
        <v>10288</v>
      </c>
      <c r="C1012" s="3481" t="s">
        <v>10289</v>
      </c>
      <c r="D1012" s="3481" t="s">
        <v>10290</v>
      </c>
      <c r="E1012" s="3470" t="s">
        <v>2736</v>
      </c>
      <c r="F1012" s="3521" t="s">
        <v>10291</v>
      </c>
      <c r="G1012" s="3470"/>
      <c r="H1012" s="3470" t="s">
        <v>4797</v>
      </c>
      <c r="I1012" s="3470" t="s">
        <v>3676</v>
      </c>
      <c r="J1012" s="3481" t="s">
        <v>6035</v>
      </c>
      <c r="K1012" s="3470" t="s">
        <v>10288</v>
      </c>
      <c r="L1012" s="3470">
        <v>45.4</v>
      </c>
      <c r="M1012" s="3470">
        <v>1</v>
      </c>
      <c r="N1012" s="3470" t="s">
        <v>6871</v>
      </c>
      <c r="O1012" s="3470"/>
      <c r="P1012" s="3470" t="s">
        <v>3452</v>
      </c>
      <c r="Q1012" s="3457">
        <v>179999.65</v>
      </c>
      <c r="R1012" s="3470">
        <v>3964.75</v>
      </c>
      <c r="S1012" s="3472">
        <v>21.11</v>
      </c>
      <c r="T1012" s="3550">
        <v>211100</v>
      </c>
      <c r="U1012" s="3470">
        <v>4650</v>
      </c>
      <c r="V1012" s="3474">
        <v>0.05</v>
      </c>
      <c r="W1012" s="3475">
        <v>20.05</v>
      </c>
      <c r="X1012" s="3511">
        <v>200500</v>
      </c>
      <c r="Y1012" s="3441">
        <v>2003</v>
      </c>
      <c r="Z1012" s="3441">
        <v>11</v>
      </c>
      <c r="AA1012" s="3441">
        <v>10</v>
      </c>
      <c r="AB1012" s="3485">
        <v>1055</v>
      </c>
      <c r="AC1012" s="3470" t="s">
        <v>8955</v>
      </c>
      <c r="AD1012" s="3485"/>
      <c r="AE1012" s="3470" t="s">
        <v>9744</v>
      </c>
      <c r="AF1012" s="3470" t="s">
        <v>7256</v>
      </c>
      <c r="AG1012" s="3456" t="s">
        <v>3466</v>
      </c>
      <c r="AH1012" s="3485"/>
      <c r="AI1012" s="3470" t="s">
        <v>3569</v>
      </c>
      <c r="AJ1012" s="3523"/>
      <c r="AK1012" s="3683" t="s">
        <v>9912</v>
      </c>
      <c r="AL1012" s="3441">
        <v>82253557</v>
      </c>
      <c r="AP1012" s="3441" t="s">
        <v>9744</v>
      </c>
      <c r="AQ1012" s="3441" t="s">
        <v>7265</v>
      </c>
      <c r="AW1012" s="3441" t="s">
        <v>6909</v>
      </c>
      <c r="AY1012" s="3524"/>
      <c r="BB1012" s="3524"/>
      <c r="BD1012" s="3525"/>
      <c r="BF1012" s="3526"/>
      <c r="BG1012" s="3518">
        <v>37909</v>
      </c>
      <c r="BJ1012" s="3518">
        <v>37924</v>
      </c>
      <c r="BK1012" s="3518"/>
      <c r="BL1012" s="3470"/>
      <c r="BM1012" s="3441" t="s">
        <v>10292</v>
      </c>
      <c r="BN1012" s="3441" t="s">
        <v>3483</v>
      </c>
      <c r="BO1012" s="3441" t="s">
        <v>10293</v>
      </c>
    </row>
    <row r="1013" spans="1:70" s="3605" customFormat="1" ht="12" hidden="1">
      <c r="A1013" s="3453" t="s">
        <v>10294</v>
      </c>
      <c r="B1013" s="3470" t="s">
        <v>10295</v>
      </c>
      <c r="C1013" s="3454" t="s">
        <v>10296</v>
      </c>
      <c r="D1013" s="3470">
        <v>13683220319</v>
      </c>
      <c r="E1013" s="3470" t="s">
        <v>6987</v>
      </c>
      <c r="F1013" s="3470" t="s">
        <v>5592</v>
      </c>
      <c r="G1013" s="3470" t="s">
        <v>2420</v>
      </c>
      <c r="H1013" s="3470" t="s">
        <v>9223</v>
      </c>
      <c r="I1013" s="3453" t="s">
        <v>3464</v>
      </c>
      <c r="J1013" s="3453" t="s">
        <v>9803</v>
      </c>
      <c r="K1013" s="3470" t="s">
        <v>5586</v>
      </c>
      <c r="L1013" s="3495">
        <v>82.55</v>
      </c>
      <c r="M1013" s="3495">
        <v>7</v>
      </c>
      <c r="N1013" s="3453" t="s">
        <v>3486</v>
      </c>
      <c r="O1013" s="3495">
        <v>67.23</v>
      </c>
      <c r="P1013" s="3470" t="s">
        <v>3452</v>
      </c>
      <c r="Q1013" s="3457">
        <v>326898</v>
      </c>
      <c r="R1013" s="3470">
        <v>3960</v>
      </c>
      <c r="S1013" s="3472">
        <v>32.270000000000003</v>
      </c>
      <c r="T1013" s="3550">
        <v>322700.00000000006</v>
      </c>
      <c r="U1013" s="3470">
        <v>3910</v>
      </c>
      <c r="V1013" s="3474">
        <v>0.1</v>
      </c>
      <c r="W1013" s="3475">
        <v>29.04</v>
      </c>
      <c r="X1013" s="3511">
        <v>290400</v>
      </c>
      <c r="Y1013" s="3441">
        <v>2003</v>
      </c>
      <c r="Z1013" s="3441">
        <v>11</v>
      </c>
      <c r="AA1013" s="3441">
        <v>14</v>
      </c>
      <c r="AB1013" s="3485">
        <v>1610</v>
      </c>
      <c r="AC1013" s="3470" t="s">
        <v>9007</v>
      </c>
      <c r="AD1013" s="3470"/>
      <c r="AE1013" s="3456" t="s">
        <v>3663</v>
      </c>
      <c r="AF1013" s="3470" t="s">
        <v>4721</v>
      </c>
      <c r="AG1013" s="3456" t="s">
        <v>3466</v>
      </c>
      <c r="AH1013" s="3470"/>
      <c r="AI1013" s="3470" t="s">
        <v>3664</v>
      </c>
      <c r="AJ1013" s="3478">
        <v>38352</v>
      </c>
      <c r="AK1013" s="3603" t="s">
        <v>4773</v>
      </c>
      <c r="AL1013" s="3495">
        <v>67641700</v>
      </c>
      <c r="AM1013" s="3470"/>
      <c r="AN1013" s="3456" t="s">
        <v>3695</v>
      </c>
      <c r="AO1013" s="3441" t="s">
        <v>10297</v>
      </c>
      <c r="AP1013" s="3456" t="s">
        <v>3476</v>
      </c>
      <c r="AQ1013" s="3456" t="s">
        <v>3571</v>
      </c>
      <c r="AR1013" s="3470"/>
      <c r="AS1013" s="3470"/>
      <c r="AT1013" s="3470"/>
      <c r="AU1013" s="3470"/>
      <c r="AV1013" s="3519"/>
      <c r="AW1013" s="3470" t="s">
        <v>3572</v>
      </c>
      <c r="AX1013" s="3470" t="s">
        <v>2420</v>
      </c>
      <c r="AY1013" s="3495">
        <v>565371</v>
      </c>
      <c r="AZ1013" s="3470" t="s">
        <v>5601</v>
      </c>
      <c r="BA1013" s="3470" t="s">
        <v>5587</v>
      </c>
      <c r="BB1013" s="3619">
        <v>1102281326100</v>
      </c>
      <c r="BC1013" s="3470" t="s">
        <v>5588</v>
      </c>
      <c r="BD1013" s="3470">
        <v>100055</v>
      </c>
      <c r="BE1013" s="3470">
        <v>82951881</v>
      </c>
      <c r="BF1013" s="3520">
        <v>2.8</v>
      </c>
      <c r="BG1013" s="3478">
        <v>37923</v>
      </c>
      <c r="BH1013" s="3470"/>
      <c r="BI1013" s="3441" t="s">
        <v>8464</v>
      </c>
      <c r="BJ1013" s="3478">
        <v>37938</v>
      </c>
      <c r="BK1013" s="3478"/>
      <c r="BL1013" s="3441" t="s">
        <v>3670</v>
      </c>
      <c r="BM1013" s="3441"/>
      <c r="BN1013" s="3441"/>
      <c r="BO1013" s="3441"/>
      <c r="BP1013" s="3441"/>
      <c r="BQ1013" s="3441"/>
      <c r="BR1013" s="3441"/>
    </row>
    <row r="1014" spans="1:70" s="3441" customFormat="1" ht="12" hidden="1">
      <c r="A1014" s="3453" t="s">
        <v>10298</v>
      </c>
      <c r="B1014" s="3470" t="s">
        <v>10299</v>
      </c>
      <c r="C1014" s="3481" t="s">
        <v>10300</v>
      </c>
      <c r="D1014" s="3481" t="s">
        <v>10301</v>
      </c>
      <c r="E1014" s="3470" t="s">
        <v>3558</v>
      </c>
      <c r="F1014" s="3528" t="s">
        <v>7652</v>
      </c>
      <c r="G1014" s="3470"/>
      <c r="H1014" s="3470" t="s">
        <v>3614</v>
      </c>
      <c r="I1014" s="3453" t="s">
        <v>4784</v>
      </c>
      <c r="J1014" s="3481" t="s">
        <v>9797</v>
      </c>
      <c r="K1014" s="3470" t="s">
        <v>7653</v>
      </c>
      <c r="L1014" s="3470">
        <v>85.74</v>
      </c>
      <c r="M1014" s="3470">
        <v>16</v>
      </c>
      <c r="N1014" s="3470" t="s">
        <v>3486</v>
      </c>
      <c r="O1014" s="3470">
        <v>67.81</v>
      </c>
      <c r="P1014" s="3470" t="s">
        <v>3452</v>
      </c>
      <c r="Q1014" s="3457">
        <v>404692.8</v>
      </c>
      <c r="R1014" s="3470">
        <v>4720</v>
      </c>
      <c r="S1014" s="3472">
        <v>40.04</v>
      </c>
      <c r="T1014" s="3527">
        <v>400400</v>
      </c>
      <c r="U1014" s="3470">
        <v>4670</v>
      </c>
      <c r="V1014" s="3512">
        <v>0.1</v>
      </c>
      <c r="W1014" s="3475">
        <v>36.03</v>
      </c>
      <c r="X1014" s="3473">
        <v>360300</v>
      </c>
      <c r="Y1014" s="3441">
        <v>2003</v>
      </c>
      <c r="Z1014" s="3441">
        <v>11</v>
      </c>
      <c r="AA1014" s="3470">
        <v>6</v>
      </c>
      <c r="AB1014" s="3485">
        <v>2000</v>
      </c>
      <c r="AC1014" s="3470" t="s">
        <v>8752</v>
      </c>
      <c r="AD1014" s="3485"/>
      <c r="AE1014" s="3441" t="s">
        <v>3663</v>
      </c>
      <c r="AF1014" s="3470" t="s">
        <v>8923</v>
      </c>
      <c r="AG1014" s="3522" t="s">
        <v>3466</v>
      </c>
      <c r="AH1014" s="3485" t="s">
        <v>3568</v>
      </c>
      <c r="AI1014" s="3470" t="s">
        <v>5021</v>
      </c>
      <c r="AJ1014" s="3523">
        <v>38077</v>
      </c>
      <c r="AK1014" s="3603" t="s">
        <v>9912</v>
      </c>
      <c r="AL1014" s="3441">
        <v>67641700</v>
      </c>
      <c r="AN1014" s="3456" t="s">
        <v>3570</v>
      </c>
      <c r="AP1014" s="3441" t="s">
        <v>3476</v>
      </c>
      <c r="AQ1014" s="3441" t="s">
        <v>3571</v>
      </c>
      <c r="AV1014" s="3441" t="s">
        <v>3568</v>
      </c>
      <c r="AW1014" s="3441" t="s">
        <v>3572</v>
      </c>
      <c r="AY1014" s="3524" t="s">
        <v>10302</v>
      </c>
      <c r="AZ1014" s="3441" t="s">
        <v>7653</v>
      </c>
      <c r="BA1014" s="3441" t="s">
        <v>7655</v>
      </c>
      <c r="BB1014" s="3524" t="s">
        <v>7656</v>
      </c>
      <c r="BC1014" s="3441" t="s">
        <v>7657</v>
      </c>
      <c r="BD1014" s="3525">
        <v>100025</v>
      </c>
      <c r="BE1014" s="3441">
        <v>62908858</v>
      </c>
      <c r="BF1014" s="3526">
        <v>2.7</v>
      </c>
      <c r="BG1014" s="3518">
        <v>37898</v>
      </c>
      <c r="BH1014" s="3441" t="s">
        <v>4681</v>
      </c>
      <c r="BI1014" s="3441" t="s">
        <v>3476</v>
      </c>
      <c r="BJ1014" s="3484">
        <v>37929</v>
      </c>
      <c r="BK1014" s="3484"/>
      <c r="BL1014" s="3470" t="s">
        <v>3670</v>
      </c>
    </row>
    <row r="1015" spans="1:70" s="3441" customFormat="1" ht="12" hidden="1">
      <c r="A1015" s="3453" t="s">
        <v>10303</v>
      </c>
      <c r="B1015" s="3470" t="s">
        <v>10304</v>
      </c>
      <c r="C1015" s="3481" t="s">
        <v>10305</v>
      </c>
      <c r="D1015" s="3481" t="s">
        <v>10306</v>
      </c>
      <c r="E1015" s="3470" t="s">
        <v>3558</v>
      </c>
      <c r="F1015" s="3528" t="s">
        <v>4645</v>
      </c>
      <c r="G1015" s="3470"/>
      <c r="H1015" s="3470" t="s">
        <v>10307</v>
      </c>
      <c r="I1015" s="3470" t="s">
        <v>4563</v>
      </c>
      <c r="J1015" s="3481" t="s">
        <v>10308</v>
      </c>
      <c r="K1015" s="3470" t="s">
        <v>4649</v>
      </c>
      <c r="L1015" s="3470">
        <v>129.99</v>
      </c>
      <c r="M1015" s="3470">
        <v>4</v>
      </c>
      <c r="N1015" s="3542" t="s">
        <v>7229</v>
      </c>
      <c r="O1015" s="3470">
        <v>102.47</v>
      </c>
      <c r="P1015" s="3470" t="s">
        <v>3452</v>
      </c>
      <c r="Q1015" s="3457">
        <v>963355.89</v>
      </c>
      <c r="R1015" s="3470">
        <v>7411</v>
      </c>
      <c r="S1015" s="3472">
        <v>96.27</v>
      </c>
      <c r="T1015" s="3527">
        <v>962700</v>
      </c>
      <c r="U1015" s="3495">
        <v>7406</v>
      </c>
      <c r="V1015" s="3512">
        <v>0.1</v>
      </c>
      <c r="W1015" s="3475">
        <v>86.64</v>
      </c>
      <c r="X1015" s="3473">
        <v>866400</v>
      </c>
      <c r="Y1015" s="3515">
        <v>2003</v>
      </c>
      <c r="Z1015" s="3441">
        <v>11</v>
      </c>
      <c r="AA1015" s="3470">
        <v>6</v>
      </c>
      <c r="AB1015" s="3477">
        <v>4810</v>
      </c>
      <c r="AC1015" s="3470" t="s">
        <v>9007</v>
      </c>
      <c r="AD1015" s="3485"/>
      <c r="AE1015" s="3441" t="s">
        <v>3663</v>
      </c>
      <c r="AF1015" s="3470" t="s">
        <v>3728</v>
      </c>
      <c r="AG1015" s="3522" t="s">
        <v>3466</v>
      </c>
      <c r="AH1015" s="3485"/>
      <c r="AI1015" s="3470" t="s">
        <v>5021</v>
      </c>
      <c r="AJ1015" s="3523">
        <v>38199</v>
      </c>
      <c r="AK1015" s="3603" t="s">
        <v>4773</v>
      </c>
      <c r="AL1015" s="3495">
        <v>67641700</v>
      </c>
      <c r="AM1015" s="3470"/>
      <c r="AN1015" s="3456" t="s">
        <v>3570</v>
      </c>
      <c r="AP1015" s="3441" t="s">
        <v>3476</v>
      </c>
      <c r="AQ1015" s="3441" t="s">
        <v>3571</v>
      </c>
      <c r="AW1015" s="3441" t="s">
        <v>3572</v>
      </c>
      <c r="AX1015" s="3441" t="s">
        <v>3568</v>
      </c>
      <c r="AY1015" s="3524" t="s">
        <v>10309</v>
      </c>
      <c r="AZ1015" s="3441" t="s">
        <v>4654</v>
      </c>
      <c r="BA1015" s="3441" t="s">
        <v>4688</v>
      </c>
      <c r="BB1015" s="3524" t="s">
        <v>4689</v>
      </c>
      <c r="BC1015" s="3441" t="s">
        <v>4656</v>
      </c>
      <c r="BD1015" s="3525">
        <v>100037</v>
      </c>
      <c r="BE1015" s="3441">
        <v>68347718</v>
      </c>
      <c r="BF1015" s="3526">
        <v>2.8</v>
      </c>
      <c r="BG1015" s="3518">
        <v>37906</v>
      </c>
      <c r="BH1015" s="3441" t="s">
        <v>4681</v>
      </c>
      <c r="BI1015" s="3441" t="s">
        <v>3476</v>
      </c>
      <c r="BJ1015" s="3484">
        <v>37930</v>
      </c>
      <c r="BK1015" s="3484"/>
      <c r="BL1015" s="3470" t="s">
        <v>3670</v>
      </c>
    </row>
    <row r="1016" spans="1:70" s="3470" customFormat="1" ht="12" hidden="1">
      <c r="A1016" s="3485" t="s">
        <v>10310</v>
      </c>
      <c r="B1016" s="3470" t="s">
        <v>10311</v>
      </c>
      <c r="C1016" s="3454" t="s">
        <v>10312</v>
      </c>
      <c r="D1016" s="3470">
        <v>13520203956</v>
      </c>
      <c r="E1016" s="3470" t="s">
        <v>2736</v>
      </c>
      <c r="F1016" s="3470" t="s">
        <v>5592</v>
      </c>
      <c r="G1016" s="3470" t="s">
        <v>6879</v>
      </c>
      <c r="H1016" s="3470" t="s">
        <v>10313</v>
      </c>
      <c r="I1016" s="3453" t="s">
        <v>7114</v>
      </c>
      <c r="J1016" s="3453" t="s">
        <v>3809</v>
      </c>
      <c r="K1016" s="3470" t="s">
        <v>5586</v>
      </c>
      <c r="L1016" s="3495">
        <v>98.22</v>
      </c>
      <c r="M1016" s="3495">
        <v>8</v>
      </c>
      <c r="N1016" s="3470" t="s">
        <v>3451</v>
      </c>
      <c r="O1016" s="3495">
        <v>83.29</v>
      </c>
      <c r="P1016" s="3470" t="s">
        <v>3452</v>
      </c>
      <c r="Q1016" s="3457">
        <v>403684.2</v>
      </c>
      <c r="R1016" s="3470">
        <v>4110</v>
      </c>
      <c r="S1016" s="3472">
        <v>39.909999999999997</v>
      </c>
      <c r="T1016" s="3550">
        <v>399100</v>
      </c>
      <c r="U1016" s="3470">
        <v>4064</v>
      </c>
      <c r="V1016" s="3474">
        <v>0.1</v>
      </c>
      <c r="W1016" s="3475">
        <v>35.909999999999997</v>
      </c>
      <c r="X1016" s="3511">
        <v>359100</v>
      </c>
      <c r="Y1016" s="3441">
        <v>2003</v>
      </c>
      <c r="Z1016" s="3441">
        <v>12</v>
      </c>
      <c r="AA1016" s="3441">
        <v>2</v>
      </c>
      <c r="AB1016" s="3485">
        <v>1995</v>
      </c>
      <c r="AC1016" s="3470" t="s">
        <v>9120</v>
      </c>
      <c r="AE1016" s="3456" t="s">
        <v>3663</v>
      </c>
      <c r="AF1016" s="3470" t="s">
        <v>4721</v>
      </c>
      <c r="AG1016" s="3470" t="s">
        <v>3466</v>
      </c>
      <c r="AI1016" s="3470" t="s">
        <v>4849</v>
      </c>
      <c r="AJ1016" s="3478">
        <v>38352</v>
      </c>
      <c r="AK1016" s="3603" t="s">
        <v>3467</v>
      </c>
      <c r="AL1016" s="3441">
        <v>67641700</v>
      </c>
      <c r="AM1016" s="3441"/>
      <c r="AN1016" s="3456" t="s">
        <v>3570</v>
      </c>
      <c r="AO1016" s="3441" t="s">
        <v>10314</v>
      </c>
      <c r="AP1016" s="3456" t="s">
        <v>3476</v>
      </c>
      <c r="AQ1016" s="3456" t="s">
        <v>3571</v>
      </c>
      <c r="AV1016" s="3519"/>
      <c r="AW1016" s="3470" t="s">
        <v>3572</v>
      </c>
      <c r="AX1016" s="3470" t="s">
        <v>2420</v>
      </c>
      <c r="AY1016" s="3495">
        <v>565892</v>
      </c>
      <c r="AZ1016" s="3470" t="s">
        <v>6880</v>
      </c>
      <c r="BA1016" s="3470" t="s">
        <v>5587</v>
      </c>
      <c r="BB1016" s="3619">
        <v>1102281326100</v>
      </c>
      <c r="BC1016" s="3470" t="s">
        <v>5588</v>
      </c>
      <c r="BD1016" s="3470">
        <v>100055</v>
      </c>
      <c r="BE1016" s="3470">
        <v>82951881</v>
      </c>
      <c r="BF1016" s="3520">
        <v>2.8</v>
      </c>
      <c r="BG1016" s="3478">
        <v>37924</v>
      </c>
      <c r="BI1016" s="3441" t="s">
        <v>3476</v>
      </c>
      <c r="BJ1016" s="3484">
        <v>37952</v>
      </c>
      <c r="BK1016" s="3478"/>
      <c r="BL1016" s="3441" t="s">
        <v>3670</v>
      </c>
      <c r="BM1016" s="3441"/>
      <c r="BN1016" s="3441"/>
      <c r="BO1016" s="3441"/>
      <c r="BP1016" s="3441"/>
      <c r="BQ1016" s="3441"/>
      <c r="BR1016" s="3441"/>
    </row>
    <row r="1017" spans="1:70" s="3441" customFormat="1" ht="12" hidden="1">
      <c r="A1017" s="3542" t="s">
        <v>10315</v>
      </c>
      <c r="B1017" s="3470" t="s">
        <v>10316</v>
      </c>
      <c r="C1017" s="3481" t="s">
        <v>10317</v>
      </c>
      <c r="D1017" s="3481" t="s">
        <v>10318</v>
      </c>
      <c r="E1017" s="3470" t="s">
        <v>3558</v>
      </c>
      <c r="F1017" s="3528" t="s">
        <v>3733</v>
      </c>
      <c r="G1017" s="3470"/>
      <c r="H1017" s="3470" t="s">
        <v>10319</v>
      </c>
      <c r="I1017" s="3470" t="s">
        <v>4563</v>
      </c>
      <c r="J1017" s="3470" t="s">
        <v>4455</v>
      </c>
      <c r="K1017" s="3470" t="s">
        <v>3737</v>
      </c>
      <c r="L1017" s="3470">
        <v>54.68</v>
      </c>
      <c r="M1017" s="3470">
        <v>4</v>
      </c>
      <c r="N1017" s="3470" t="s">
        <v>3584</v>
      </c>
      <c r="O1017" s="3470">
        <v>43.84</v>
      </c>
      <c r="P1017" s="3470" t="s">
        <v>3452</v>
      </c>
      <c r="Q1017" s="3600">
        <v>326439.59999999998</v>
      </c>
      <c r="R1017" s="3470">
        <v>5970</v>
      </c>
      <c r="S1017" s="3472">
        <v>31.32</v>
      </c>
      <c r="T1017" s="3527">
        <v>313200</v>
      </c>
      <c r="U1017" s="3470">
        <v>5729</v>
      </c>
      <c r="V1017" s="3474">
        <v>0.1</v>
      </c>
      <c r="W1017" s="3475">
        <v>28.18</v>
      </c>
      <c r="X1017" s="3494">
        <v>281800</v>
      </c>
      <c r="Y1017" s="3441">
        <v>2003</v>
      </c>
      <c r="Z1017" s="3441">
        <v>11</v>
      </c>
      <c r="AA1017" s="3470">
        <v>12</v>
      </c>
      <c r="AB1017" s="3477">
        <v>1565</v>
      </c>
      <c r="AC1017" s="3470" t="s">
        <v>9120</v>
      </c>
      <c r="AD1017" s="3485"/>
      <c r="AE1017" s="3441" t="s">
        <v>3663</v>
      </c>
      <c r="AF1017" s="3470" t="s">
        <v>4295</v>
      </c>
      <c r="AG1017" s="3522" t="s">
        <v>3466</v>
      </c>
      <c r="AH1017" s="3485"/>
      <c r="AI1017" s="3470" t="s">
        <v>5021</v>
      </c>
      <c r="AJ1017" s="3523">
        <v>38122</v>
      </c>
      <c r="AK1017" s="3603" t="s">
        <v>4773</v>
      </c>
      <c r="AL1017" s="3441">
        <v>67641700</v>
      </c>
      <c r="AN1017" s="3456" t="s">
        <v>3695</v>
      </c>
      <c r="AO1017" s="3441" t="s">
        <v>10320</v>
      </c>
      <c r="AP1017" s="3441" t="s">
        <v>3476</v>
      </c>
      <c r="AQ1017" s="3441" t="s">
        <v>3571</v>
      </c>
      <c r="AW1017" s="3441" t="s">
        <v>3572</v>
      </c>
      <c r="AY1017" s="3524" t="s">
        <v>10321</v>
      </c>
      <c r="AZ1017" s="3441" t="s">
        <v>3737</v>
      </c>
      <c r="BA1017" s="3441" t="s">
        <v>3742</v>
      </c>
      <c r="BB1017" s="3524" t="s">
        <v>3743</v>
      </c>
      <c r="BC1017" s="3441" t="s">
        <v>3744</v>
      </c>
      <c r="BD1017" s="3525">
        <v>100088</v>
      </c>
      <c r="BE1017" s="3441">
        <v>82058259</v>
      </c>
      <c r="BF1017" s="3526" t="s">
        <v>8595</v>
      </c>
      <c r="BG1017" s="3478">
        <v>37911</v>
      </c>
      <c r="BH1017" s="3441" t="s">
        <v>4753</v>
      </c>
      <c r="BI1017" s="3441" t="s">
        <v>3476</v>
      </c>
      <c r="BJ1017" s="3478">
        <v>37929</v>
      </c>
      <c r="BK1017" s="3484" t="s">
        <v>6879</v>
      </c>
      <c r="BL1017" s="3470" t="s">
        <v>3670</v>
      </c>
    </row>
    <row r="1018" spans="1:70" s="3441" customFormat="1" ht="12" hidden="1">
      <c r="A1018" s="3542" t="s">
        <v>10322</v>
      </c>
      <c r="B1018" s="3470" t="s">
        <v>10323</v>
      </c>
      <c r="C1018" s="3481" t="s">
        <v>10324</v>
      </c>
      <c r="D1018" s="3481" t="s">
        <v>10325</v>
      </c>
      <c r="E1018" s="3470" t="s">
        <v>3558</v>
      </c>
      <c r="F1018" s="3528" t="s">
        <v>3733</v>
      </c>
      <c r="G1018" s="3470"/>
      <c r="H1018" s="3470" t="s">
        <v>10326</v>
      </c>
      <c r="I1018" s="3470" t="s">
        <v>8730</v>
      </c>
      <c r="J1018" s="3470" t="s">
        <v>6011</v>
      </c>
      <c r="K1018" s="3470" t="s">
        <v>3737</v>
      </c>
      <c r="L1018" s="3470">
        <v>75.19</v>
      </c>
      <c r="M1018" s="3470">
        <v>5</v>
      </c>
      <c r="N1018" s="3542" t="s">
        <v>3709</v>
      </c>
      <c r="O1018" s="3470">
        <v>60.28</v>
      </c>
      <c r="P1018" s="3470" t="s">
        <v>3452</v>
      </c>
      <c r="Q1018" s="3600">
        <v>460162.8</v>
      </c>
      <c r="R1018" s="3470">
        <v>6120</v>
      </c>
      <c r="S1018" s="3472">
        <v>44.56</v>
      </c>
      <c r="T1018" s="3527">
        <v>445600</v>
      </c>
      <c r="U1018" s="3470">
        <v>5927</v>
      </c>
      <c r="V1018" s="3474">
        <v>0.1</v>
      </c>
      <c r="W1018" s="3475">
        <v>40.1</v>
      </c>
      <c r="X1018" s="3494">
        <v>401000</v>
      </c>
      <c r="Y1018" s="3441">
        <v>2003</v>
      </c>
      <c r="Z1018" s="3441">
        <v>11</v>
      </c>
      <c r="AA1018" s="3470">
        <v>17</v>
      </c>
      <c r="AB1018" s="3477">
        <v>2225</v>
      </c>
      <c r="AC1018" s="3470" t="s">
        <v>9077</v>
      </c>
      <c r="AD1018" s="3485"/>
      <c r="AE1018" s="3441" t="s">
        <v>3663</v>
      </c>
      <c r="AF1018" s="3470" t="s">
        <v>3604</v>
      </c>
      <c r="AG1018" s="3522" t="s">
        <v>3466</v>
      </c>
      <c r="AH1018" s="3485"/>
      <c r="AI1018" s="3470" t="s">
        <v>5021</v>
      </c>
      <c r="AJ1018" s="3523">
        <v>38122</v>
      </c>
      <c r="AK1018" s="3603" t="s">
        <v>4773</v>
      </c>
      <c r="AL1018" s="3441">
        <v>67641700</v>
      </c>
      <c r="AN1018" s="3456" t="s">
        <v>3482</v>
      </c>
      <c r="AO1018" s="3441" t="s">
        <v>10327</v>
      </c>
      <c r="AP1018" s="3441" t="s">
        <v>3476</v>
      </c>
      <c r="AQ1018" s="3441" t="s">
        <v>3571</v>
      </c>
      <c r="AW1018" s="3441" t="s">
        <v>3572</v>
      </c>
      <c r="AY1018" s="3524" t="s">
        <v>10328</v>
      </c>
      <c r="AZ1018" s="3441" t="s">
        <v>3737</v>
      </c>
      <c r="BA1018" s="3441" t="s">
        <v>3742</v>
      </c>
      <c r="BB1018" s="3524" t="s">
        <v>3743</v>
      </c>
      <c r="BC1018" s="3441" t="s">
        <v>3744</v>
      </c>
      <c r="BD1018" s="3525">
        <v>100088</v>
      </c>
      <c r="BE1018" s="3441">
        <v>82058259</v>
      </c>
      <c r="BF1018" s="3526" t="s">
        <v>8595</v>
      </c>
      <c r="BG1018" s="3478">
        <v>37909</v>
      </c>
      <c r="BH1018" s="3441" t="s">
        <v>4753</v>
      </c>
      <c r="BI1018" s="3441" t="s">
        <v>3476</v>
      </c>
      <c r="BJ1018" s="3478">
        <v>37938</v>
      </c>
      <c r="BK1018" s="3484" t="s">
        <v>2420</v>
      </c>
      <c r="BL1018" s="3470" t="s">
        <v>3670</v>
      </c>
    </row>
    <row r="1019" spans="1:70" s="3441" customFormat="1" ht="12" hidden="1">
      <c r="A1019" s="3453" t="s">
        <v>10329</v>
      </c>
      <c r="B1019" s="3470" t="s">
        <v>10330</v>
      </c>
      <c r="C1019" s="3481" t="s">
        <v>10331</v>
      </c>
      <c r="D1019" s="3481" t="s">
        <v>10332</v>
      </c>
      <c r="E1019" s="3470" t="s">
        <v>3558</v>
      </c>
      <c r="F1019" s="3528" t="s">
        <v>7652</v>
      </c>
      <c r="G1019" s="3470"/>
      <c r="H1019" s="3470" t="s">
        <v>7014</v>
      </c>
      <c r="I1019" s="3453" t="s">
        <v>7322</v>
      </c>
      <c r="J1019" s="3481" t="s">
        <v>7090</v>
      </c>
      <c r="K1019" s="3470" t="s">
        <v>7653</v>
      </c>
      <c r="L1019" s="3470">
        <v>88.31</v>
      </c>
      <c r="M1019" s="3470">
        <v>6</v>
      </c>
      <c r="N1019" s="3470" t="s">
        <v>7017</v>
      </c>
      <c r="O1019" s="3470">
        <v>71.430000000000007</v>
      </c>
      <c r="P1019" s="3470" t="s">
        <v>3452</v>
      </c>
      <c r="Q1019" s="3457">
        <v>424329.55</v>
      </c>
      <c r="R1019" s="3470">
        <v>4805</v>
      </c>
      <c r="S1019" s="3472">
        <v>41.99</v>
      </c>
      <c r="T1019" s="3527">
        <v>419900</v>
      </c>
      <c r="U1019" s="3470">
        <v>4755</v>
      </c>
      <c r="V1019" s="3512">
        <v>0.1</v>
      </c>
      <c r="W1019" s="3475">
        <v>37.79</v>
      </c>
      <c r="X1019" s="3473">
        <v>377900</v>
      </c>
      <c r="Y1019" s="3441">
        <v>2003</v>
      </c>
      <c r="Z1019" s="3441">
        <v>11</v>
      </c>
      <c r="AA1019" s="3470">
        <v>6</v>
      </c>
      <c r="AB1019" s="3485">
        <v>2095</v>
      </c>
      <c r="AC1019" s="3470" t="s">
        <v>10333</v>
      </c>
      <c r="AD1019" s="3485"/>
      <c r="AE1019" s="3441" t="s">
        <v>3663</v>
      </c>
      <c r="AF1019" s="3470" t="s">
        <v>8923</v>
      </c>
      <c r="AG1019" s="3522" t="s">
        <v>3466</v>
      </c>
      <c r="AH1019" s="3485" t="s">
        <v>3568</v>
      </c>
      <c r="AI1019" s="3470" t="s">
        <v>5021</v>
      </c>
      <c r="AJ1019" s="3523">
        <v>37986</v>
      </c>
      <c r="AK1019" s="3603" t="s">
        <v>4773</v>
      </c>
      <c r="AL1019" s="3441">
        <v>67641700</v>
      </c>
      <c r="AN1019" s="3456" t="s">
        <v>3570</v>
      </c>
      <c r="AP1019" s="3441" t="s">
        <v>3476</v>
      </c>
      <c r="AQ1019" s="3441" t="s">
        <v>3571</v>
      </c>
      <c r="AV1019" s="3441" t="s">
        <v>3568</v>
      </c>
      <c r="AW1019" s="3441" t="s">
        <v>3572</v>
      </c>
      <c r="AY1019" s="3524" t="s">
        <v>10334</v>
      </c>
      <c r="AZ1019" s="3441" t="s">
        <v>7653</v>
      </c>
      <c r="BA1019" s="3441" t="s">
        <v>7655</v>
      </c>
      <c r="BB1019" s="3524" t="s">
        <v>7656</v>
      </c>
      <c r="BC1019" s="3441" t="s">
        <v>7657</v>
      </c>
      <c r="BD1019" s="3525">
        <v>100025</v>
      </c>
      <c r="BE1019" s="3441">
        <v>62908858</v>
      </c>
      <c r="BF1019" s="3526">
        <v>2.7</v>
      </c>
      <c r="BG1019" s="3518">
        <v>37895</v>
      </c>
      <c r="BH1019" s="3441" t="s">
        <v>4681</v>
      </c>
      <c r="BI1019" s="3441" t="s">
        <v>3476</v>
      </c>
      <c r="BJ1019" s="3484">
        <v>37930</v>
      </c>
      <c r="BK1019" s="3484"/>
      <c r="BL1019" s="3470" t="s">
        <v>3670</v>
      </c>
    </row>
    <row r="1020" spans="1:70" s="3441" customFormat="1" ht="12" hidden="1">
      <c r="A1020" s="3453" t="s">
        <v>10335</v>
      </c>
      <c r="B1020" s="3470" t="s">
        <v>10336</v>
      </c>
      <c r="C1020" s="3481" t="s">
        <v>10337</v>
      </c>
      <c r="D1020" s="3481" t="s">
        <v>10338</v>
      </c>
      <c r="E1020" s="3470" t="s">
        <v>3558</v>
      </c>
      <c r="F1020" s="3528" t="s">
        <v>4645</v>
      </c>
      <c r="G1020" s="3470"/>
      <c r="H1020" s="3470" t="s">
        <v>9611</v>
      </c>
      <c r="I1020" s="3470" t="s">
        <v>9376</v>
      </c>
      <c r="J1020" s="3481" t="s">
        <v>10339</v>
      </c>
      <c r="K1020" s="3470" t="s">
        <v>4649</v>
      </c>
      <c r="L1020" s="3470">
        <v>86.06</v>
      </c>
      <c r="M1020" s="3470">
        <v>15</v>
      </c>
      <c r="N1020" s="3470" t="s">
        <v>3489</v>
      </c>
      <c r="O1020" s="3470">
        <v>67.84</v>
      </c>
      <c r="P1020" s="3470" t="s">
        <v>3452</v>
      </c>
      <c r="Q1020" s="3457">
        <v>620664.72</v>
      </c>
      <c r="R1020" s="3470">
        <v>7212</v>
      </c>
      <c r="S1020" s="3472">
        <v>61.49</v>
      </c>
      <c r="T1020" s="3527">
        <v>614900</v>
      </c>
      <c r="U1020" s="3495">
        <v>7146</v>
      </c>
      <c r="V1020" s="3512">
        <v>0.1</v>
      </c>
      <c r="W1020" s="3475">
        <v>55.34</v>
      </c>
      <c r="X1020" s="3473">
        <v>553400</v>
      </c>
      <c r="Y1020" s="3515">
        <v>2003</v>
      </c>
      <c r="Z1020" s="3441">
        <v>11</v>
      </c>
      <c r="AA1020" s="3470">
        <v>6</v>
      </c>
      <c r="AB1020" s="3477">
        <v>3070</v>
      </c>
      <c r="AC1020" s="3470" t="s">
        <v>8840</v>
      </c>
      <c r="AD1020" s="3485"/>
      <c r="AE1020" s="3441" t="s">
        <v>3663</v>
      </c>
      <c r="AF1020" s="3470" t="s">
        <v>3728</v>
      </c>
      <c r="AG1020" s="3522" t="s">
        <v>3466</v>
      </c>
      <c r="AH1020" s="3485"/>
      <c r="AI1020" s="3470" t="s">
        <v>5021</v>
      </c>
      <c r="AJ1020" s="3523">
        <v>38199</v>
      </c>
      <c r="AK1020" s="3603" t="s">
        <v>4788</v>
      </c>
      <c r="AL1020" s="3495">
        <v>67641700</v>
      </c>
      <c r="AM1020" s="3470"/>
      <c r="AN1020" s="3456" t="s">
        <v>3570</v>
      </c>
      <c r="AP1020" s="3441" t="s">
        <v>3476</v>
      </c>
      <c r="AQ1020" s="3441" t="s">
        <v>3571</v>
      </c>
      <c r="AW1020" s="3441" t="s">
        <v>3572</v>
      </c>
      <c r="AX1020" s="3441" t="s">
        <v>3568</v>
      </c>
      <c r="AY1020" s="3524" t="s">
        <v>10340</v>
      </c>
      <c r="AZ1020" s="3441" t="s">
        <v>4654</v>
      </c>
      <c r="BA1020" s="3441" t="s">
        <v>4688</v>
      </c>
      <c r="BB1020" s="3524" t="s">
        <v>4689</v>
      </c>
      <c r="BC1020" s="3441" t="s">
        <v>4656</v>
      </c>
      <c r="BD1020" s="3525">
        <v>100037</v>
      </c>
      <c r="BE1020" s="3441">
        <v>68347718</v>
      </c>
      <c r="BF1020" s="3526">
        <v>2.8</v>
      </c>
      <c r="BG1020" s="3518">
        <v>37919</v>
      </c>
      <c r="BH1020" s="3441" t="s">
        <v>4681</v>
      </c>
      <c r="BI1020" s="3441" t="s">
        <v>3476</v>
      </c>
      <c r="BJ1020" s="3484">
        <v>37929</v>
      </c>
      <c r="BK1020" s="3484"/>
      <c r="BL1020" s="3470" t="s">
        <v>3670</v>
      </c>
    </row>
    <row r="1021" spans="1:70" s="3441" customFormat="1" ht="12" hidden="1">
      <c r="A1021" s="3542" t="s">
        <v>10341</v>
      </c>
      <c r="B1021" s="3470" t="s">
        <v>10342</v>
      </c>
      <c r="C1021" s="3481" t="s">
        <v>10343</v>
      </c>
      <c r="D1021" s="3481" t="s">
        <v>10344</v>
      </c>
      <c r="E1021" s="3470" t="s">
        <v>3558</v>
      </c>
      <c r="F1021" s="3528" t="s">
        <v>3733</v>
      </c>
      <c r="G1021" s="3470"/>
      <c r="H1021" s="3470" t="s">
        <v>10326</v>
      </c>
      <c r="I1021" s="3470" t="s">
        <v>7204</v>
      </c>
      <c r="J1021" s="3470" t="s">
        <v>6333</v>
      </c>
      <c r="K1021" s="3470" t="s">
        <v>3737</v>
      </c>
      <c r="L1021" s="3470">
        <v>76.069999999999993</v>
      </c>
      <c r="M1021" s="3470">
        <v>9</v>
      </c>
      <c r="N1021" s="3470" t="s">
        <v>3451</v>
      </c>
      <c r="O1021" s="3470">
        <v>60.99</v>
      </c>
      <c r="P1021" s="3470" t="s">
        <v>3452</v>
      </c>
      <c r="Q1021" s="3600">
        <v>473155.39999999997</v>
      </c>
      <c r="R1021" s="3470">
        <v>6220</v>
      </c>
      <c r="S1021" s="3472">
        <v>45.87</v>
      </c>
      <c r="T1021" s="3527">
        <v>458700</v>
      </c>
      <c r="U1021" s="3470">
        <v>6030</v>
      </c>
      <c r="V1021" s="3474">
        <v>0.1</v>
      </c>
      <c r="W1021" s="3475">
        <v>41.28</v>
      </c>
      <c r="X1021" s="3494">
        <v>412800</v>
      </c>
      <c r="Y1021" s="3441">
        <v>2003</v>
      </c>
      <c r="Z1021" s="3441">
        <v>11</v>
      </c>
      <c r="AA1021" s="3470">
        <v>6</v>
      </c>
      <c r="AB1021" s="3477">
        <v>2290</v>
      </c>
      <c r="AC1021" s="3470" t="s">
        <v>9107</v>
      </c>
      <c r="AD1021" s="3485"/>
      <c r="AE1021" s="3441" t="s">
        <v>3663</v>
      </c>
      <c r="AF1021" s="3470" t="s">
        <v>8923</v>
      </c>
      <c r="AG1021" s="3522" t="s">
        <v>3466</v>
      </c>
      <c r="AH1021" s="3485"/>
      <c r="AI1021" s="3470" t="s">
        <v>5021</v>
      </c>
      <c r="AJ1021" s="3523">
        <v>38122</v>
      </c>
      <c r="AK1021" s="3603" t="s">
        <v>4773</v>
      </c>
      <c r="AL1021" s="3441">
        <v>67641700</v>
      </c>
      <c r="AN1021" s="3456" t="s">
        <v>3570</v>
      </c>
      <c r="AO1021" s="3441" t="s">
        <v>3715</v>
      </c>
      <c r="AP1021" s="3441" t="s">
        <v>3476</v>
      </c>
      <c r="AQ1021" s="3441" t="s">
        <v>3571</v>
      </c>
      <c r="AW1021" s="3441" t="s">
        <v>3572</v>
      </c>
      <c r="AY1021" s="3524" t="s">
        <v>10345</v>
      </c>
      <c r="AZ1021" s="3441" t="s">
        <v>3737</v>
      </c>
      <c r="BA1021" s="3441" t="s">
        <v>3742</v>
      </c>
      <c r="BB1021" s="3524" t="s">
        <v>3743</v>
      </c>
      <c r="BC1021" s="3441" t="s">
        <v>3744</v>
      </c>
      <c r="BD1021" s="3525">
        <v>100088</v>
      </c>
      <c r="BE1021" s="3441">
        <v>82058259</v>
      </c>
      <c r="BF1021" s="3526" t="s">
        <v>8595</v>
      </c>
      <c r="BG1021" s="3478">
        <v>37916</v>
      </c>
      <c r="BH1021" s="3441" t="s">
        <v>4753</v>
      </c>
      <c r="BI1021" s="3441" t="s">
        <v>3476</v>
      </c>
      <c r="BJ1021" s="3484">
        <v>37923</v>
      </c>
      <c r="BK1021" s="3484" t="s">
        <v>6879</v>
      </c>
      <c r="BL1021" s="3470" t="s">
        <v>3670</v>
      </c>
    </row>
    <row r="1022" spans="1:70" s="3441" customFormat="1" ht="12" hidden="1">
      <c r="A1022" s="3542" t="s">
        <v>10346</v>
      </c>
      <c r="B1022" s="3470" t="s">
        <v>10347</v>
      </c>
      <c r="C1022" s="3481" t="s">
        <v>10348</v>
      </c>
      <c r="D1022" s="3481" t="s">
        <v>10349</v>
      </c>
      <c r="E1022" s="3470" t="s">
        <v>3558</v>
      </c>
      <c r="F1022" s="3528" t="s">
        <v>3733</v>
      </c>
      <c r="G1022" s="3470"/>
      <c r="H1022" s="3470" t="s">
        <v>9989</v>
      </c>
      <c r="I1022" s="3470" t="s">
        <v>4707</v>
      </c>
      <c r="J1022" s="3470" t="s">
        <v>9990</v>
      </c>
      <c r="K1022" s="3470" t="s">
        <v>3737</v>
      </c>
      <c r="L1022" s="3470">
        <v>76.069999999999993</v>
      </c>
      <c r="M1022" s="3470">
        <v>14</v>
      </c>
      <c r="N1022" s="3470" t="s">
        <v>3709</v>
      </c>
      <c r="O1022" s="3470">
        <v>60.99</v>
      </c>
      <c r="P1022" s="3470" t="s">
        <v>3452</v>
      </c>
      <c r="Q1022" s="3600">
        <v>468591.19999999995</v>
      </c>
      <c r="R1022" s="3470">
        <v>6160</v>
      </c>
      <c r="S1022" s="3472">
        <v>45.41</v>
      </c>
      <c r="T1022" s="3527">
        <v>454099.99999999994</v>
      </c>
      <c r="U1022" s="3470">
        <v>5970</v>
      </c>
      <c r="V1022" s="3474">
        <v>0.1</v>
      </c>
      <c r="W1022" s="3475">
        <v>40.86</v>
      </c>
      <c r="X1022" s="3494">
        <v>408600</v>
      </c>
      <c r="Y1022" s="3441">
        <v>2003</v>
      </c>
      <c r="Z1022" s="3441">
        <v>11</v>
      </c>
      <c r="AA1022" s="3470">
        <v>6</v>
      </c>
      <c r="AB1022" s="3477">
        <v>2270</v>
      </c>
      <c r="AC1022" s="3470" t="s">
        <v>4800</v>
      </c>
      <c r="AD1022" s="3485"/>
      <c r="AE1022" s="3441" t="s">
        <v>3663</v>
      </c>
      <c r="AF1022" s="3470" t="s">
        <v>3604</v>
      </c>
      <c r="AG1022" s="3522" t="s">
        <v>3466</v>
      </c>
      <c r="AH1022" s="3485"/>
      <c r="AI1022" s="3470" t="s">
        <v>5021</v>
      </c>
      <c r="AJ1022" s="3523">
        <v>38122</v>
      </c>
      <c r="AK1022" s="3603" t="s">
        <v>4773</v>
      </c>
      <c r="AL1022" s="3441">
        <v>67641700</v>
      </c>
      <c r="AN1022" s="3456" t="s">
        <v>3570</v>
      </c>
      <c r="AO1022" s="3441" t="s">
        <v>2420</v>
      </c>
      <c r="AP1022" s="3441" t="s">
        <v>3476</v>
      </c>
      <c r="AQ1022" s="3441" t="s">
        <v>3571</v>
      </c>
      <c r="AW1022" s="3441" t="s">
        <v>3572</v>
      </c>
      <c r="AY1022" s="3524" t="s">
        <v>10350</v>
      </c>
      <c r="AZ1022" s="3441" t="s">
        <v>3737</v>
      </c>
      <c r="BA1022" s="3441" t="s">
        <v>3742</v>
      </c>
      <c r="BB1022" s="3524" t="s">
        <v>3743</v>
      </c>
      <c r="BC1022" s="3441" t="s">
        <v>3744</v>
      </c>
      <c r="BD1022" s="3525">
        <v>100088</v>
      </c>
      <c r="BE1022" s="3441">
        <v>82058259</v>
      </c>
      <c r="BF1022" s="3526" t="s">
        <v>8595</v>
      </c>
      <c r="BG1022" s="3478">
        <v>37918</v>
      </c>
      <c r="BH1022" s="3441" t="s">
        <v>4753</v>
      </c>
      <c r="BI1022" s="3441" t="s">
        <v>3476</v>
      </c>
      <c r="BJ1022" s="3484">
        <v>37928</v>
      </c>
      <c r="BK1022" s="3484" t="s">
        <v>2420</v>
      </c>
      <c r="BL1022" s="3470" t="s">
        <v>3670</v>
      </c>
    </row>
    <row r="1023" spans="1:70" s="3441" customFormat="1" ht="12" hidden="1">
      <c r="A1023" s="3542" t="s">
        <v>10351</v>
      </c>
      <c r="B1023" s="3470" t="s">
        <v>10352</v>
      </c>
      <c r="C1023" s="3481" t="s">
        <v>10353</v>
      </c>
      <c r="D1023" s="3481" t="s">
        <v>10354</v>
      </c>
      <c r="E1023" s="3470" t="s">
        <v>3558</v>
      </c>
      <c r="F1023" s="3528" t="s">
        <v>3733</v>
      </c>
      <c r="G1023" s="3470"/>
      <c r="H1023" s="3470" t="s">
        <v>10326</v>
      </c>
      <c r="I1023" s="3470" t="s">
        <v>9837</v>
      </c>
      <c r="J1023" s="3470" t="s">
        <v>5263</v>
      </c>
      <c r="K1023" s="3470" t="s">
        <v>3737</v>
      </c>
      <c r="L1023" s="3470">
        <v>88.67</v>
      </c>
      <c r="M1023" s="3470">
        <v>14</v>
      </c>
      <c r="N1023" s="3470" t="s">
        <v>3491</v>
      </c>
      <c r="O1023" s="3470">
        <v>71.09</v>
      </c>
      <c r="P1023" s="3470" t="s">
        <v>3452</v>
      </c>
      <c r="Q1023" s="3600">
        <v>592315.6</v>
      </c>
      <c r="R1023" s="3470">
        <v>6680</v>
      </c>
      <c r="S1023" s="3472">
        <v>58.78</v>
      </c>
      <c r="T1023" s="3527">
        <v>587800</v>
      </c>
      <c r="U1023" s="3470">
        <v>6630</v>
      </c>
      <c r="V1023" s="3474">
        <v>0.1</v>
      </c>
      <c r="W1023" s="3475">
        <v>52.9</v>
      </c>
      <c r="X1023" s="3494">
        <v>529000</v>
      </c>
      <c r="Y1023" s="3441">
        <v>2003</v>
      </c>
      <c r="Z1023" s="3441">
        <v>11</v>
      </c>
      <c r="AA1023" s="3470">
        <v>6</v>
      </c>
      <c r="AB1023" s="3477">
        <v>2935</v>
      </c>
      <c r="AC1023" s="3470" t="s">
        <v>4800</v>
      </c>
      <c r="AD1023" s="3485"/>
      <c r="AE1023" s="3441" t="s">
        <v>3663</v>
      </c>
      <c r="AF1023" s="3470" t="s">
        <v>3604</v>
      </c>
      <c r="AG1023" s="3522" t="s">
        <v>3466</v>
      </c>
      <c r="AH1023" s="3485"/>
      <c r="AI1023" s="3470" t="s">
        <v>5021</v>
      </c>
      <c r="AJ1023" s="3523">
        <v>38122</v>
      </c>
      <c r="AK1023" s="3603" t="s">
        <v>9912</v>
      </c>
      <c r="AL1023" s="3441">
        <v>67641700</v>
      </c>
      <c r="AN1023" s="3456" t="s">
        <v>3570</v>
      </c>
      <c r="AO1023" s="3441" t="s">
        <v>2420</v>
      </c>
      <c r="AP1023" s="3441" t="s">
        <v>3476</v>
      </c>
      <c r="AQ1023" s="3441" t="s">
        <v>3571</v>
      </c>
      <c r="AW1023" s="3441" t="s">
        <v>3572</v>
      </c>
      <c r="AY1023" s="3524" t="s">
        <v>10355</v>
      </c>
      <c r="AZ1023" s="3441" t="s">
        <v>3737</v>
      </c>
      <c r="BA1023" s="3441" t="s">
        <v>3742</v>
      </c>
      <c r="BB1023" s="3524" t="s">
        <v>3743</v>
      </c>
      <c r="BC1023" s="3441" t="s">
        <v>3744</v>
      </c>
      <c r="BD1023" s="3525">
        <v>100088</v>
      </c>
      <c r="BE1023" s="3441">
        <v>82058259</v>
      </c>
      <c r="BF1023" s="3526" t="s">
        <v>8595</v>
      </c>
      <c r="BG1023" s="3478">
        <v>37915</v>
      </c>
      <c r="BH1023" s="3441" t="s">
        <v>4753</v>
      </c>
      <c r="BI1023" s="3441" t="s">
        <v>3476</v>
      </c>
      <c r="BJ1023" s="3484">
        <v>37928</v>
      </c>
      <c r="BK1023" s="3484" t="s">
        <v>6879</v>
      </c>
      <c r="BL1023" s="3470" t="s">
        <v>3670</v>
      </c>
    </row>
    <row r="1024" spans="1:70" s="3441" customFormat="1" ht="12" hidden="1">
      <c r="A1024" s="3542" t="s">
        <v>10356</v>
      </c>
      <c r="B1024" s="3470" t="s">
        <v>10357</v>
      </c>
      <c r="C1024" s="3481" t="s">
        <v>10358</v>
      </c>
      <c r="D1024" s="3481" t="s">
        <v>10359</v>
      </c>
      <c r="E1024" s="3470" t="s">
        <v>3558</v>
      </c>
      <c r="F1024" s="3470" t="s">
        <v>7803</v>
      </c>
      <c r="G1024" s="3470"/>
      <c r="H1024" s="3470" t="s">
        <v>4262</v>
      </c>
      <c r="I1024" s="3470" t="s">
        <v>3676</v>
      </c>
      <c r="J1024" s="3481" t="s">
        <v>5472</v>
      </c>
      <c r="K1024" s="3470" t="s">
        <v>7804</v>
      </c>
      <c r="L1024" s="3470">
        <v>59.68</v>
      </c>
      <c r="M1024" s="3470">
        <v>6</v>
      </c>
      <c r="N1024" s="3470" t="s">
        <v>3489</v>
      </c>
      <c r="O1024" s="3470">
        <v>52.08</v>
      </c>
      <c r="P1024" s="3470" t="s">
        <v>3452</v>
      </c>
      <c r="Q1024" s="3457">
        <v>252804.48000000001</v>
      </c>
      <c r="R1024" s="3470">
        <v>4236</v>
      </c>
      <c r="S1024" s="3472">
        <v>24.98</v>
      </c>
      <c r="T1024" s="3527">
        <v>249800</v>
      </c>
      <c r="U1024" s="3470">
        <v>4186</v>
      </c>
      <c r="V1024" s="3474">
        <v>0.1</v>
      </c>
      <c r="W1024" s="3475">
        <v>22.48</v>
      </c>
      <c r="X1024" s="3476">
        <v>224800</v>
      </c>
      <c r="Y1024" s="3441">
        <v>2003</v>
      </c>
      <c r="Z1024" s="3441">
        <v>11</v>
      </c>
      <c r="AA1024" s="3470">
        <v>6</v>
      </c>
      <c r="AB1024" s="3477">
        <v>1245</v>
      </c>
      <c r="AC1024" s="3470" t="s">
        <v>9007</v>
      </c>
      <c r="AD1024" s="3485"/>
      <c r="AE1024" s="3441" t="s">
        <v>3663</v>
      </c>
      <c r="AF1024" s="3470" t="s">
        <v>4721</v>
      </c>
      <c r="AG1024" s="3522" t="s">
        <v>3466</v>
      </c>
      <c r="AH1024" s="3485"/>
      <c r="AI1024" s="3470" t="s">
        <v>5021</v>
      </c>
      <c r="AJ1024" s="3523">
        <v>38077</v>
      </c>
      <c r="AK1024" s="3603" t="s">
        <v>4773</v>
      </c>
      <c r="AL1024" s="3441">
        <v>67641700</v>
      </c>
      <c r="AN1024" s="3456" t="s">
        <v>3570</v>
      </c>
      <c r="AO1024" s="3441" t="s">
        <v>3568</v>
      </c>
      <c r="AP1024" s="3441" t="s">
        <v>3476</v>
      </c>
      <c r="AQ1024" s="3441" t="s">
        <v>3571</v>
      </c>
      <c r="AW1024" s="3441" t="s">
        <v>3572</v>
      </c>
      <c r="AY1024" s="3524" t="s">
        <v>10360</v>
      </c>
      <c r="AZ1024" s="3441" t="s">
        <v>7804</v>
      </c>
      <c r="BA1024" s="3441" t="s">
        <v>7807</v>
      </c>
      <c r="BB1024" s="3524">
        <v>1102281149818</v>
      </c>
      <c r="BC1024" s="3441" t="s">
        <v>7808</v>
      </c>
      <c r="BD1024" s="3525">
        <v>100044</v>
      </c>
      <c r="BE1024" s="3441">
        <v>88018575</v>
      </c>
      <c r="BF1024" s="3526">
        <v>2.7</v>
      </c>
      <c r="BG1024" s="3518">
        <v>37837</v>
      </c>
      <c r="BI1024" s="3441" t="s">
        <v>3476</v>
      </c>
      <c r="BJ1024" s="3508">
        <v>37930</v>
      </c>
      <c r="BK1024" s="3484"/>
      <c r="BL1024" s="3470" t="s">
        <v>3670</v>
      </c>
    </row>
    <row r="1025" spans="1:253" s="3441" customFormat="1" ht="12">
      <c r="A1025" s="3542" t="s">
        <v>10361</v>
      </c>
      <c r="B1025" s="3470" t="s">
        <v>10362</v>
      </c>
      <c r="C1025" s="3481" t="s">
        <v>10363</v>
      </c>
      <c r="D1025" s="3481" t="s">
        <v>10364</v>
      </c>
      <c r="E1025" s="3470" t="s">
        <v>2736</v>
      </c>
      <c r="F1025" s="3687" t="s">
        <v>9697</v>
      </c>
      <c r="G1025" s="3470"/>
      <c r="H1025" s="3470" t="s">
        <v>3715</v>
      </c>
      <c r="I1025" s="3470" t="s">
        <v>9411</v>
      </c>
      <c r="J1025" s="3481" t="s">
        <v>10365</v>
      </c>
      <c r="K1025" s="3470" t="s">
        <v>8795</v>
      </c>
      <c r="L1025" s="3470">
        <v>48.52</v>
      </c>
      <c r="M1025" s="3470">
        <v>11</v>
      </c>
      <c r="N1025" s="3470" t="s">
        <v>3678</v>
      </c>
      <c r="O1025" s="3470">
        <v>37.67</v>
      </c>
      <c r="P1025" s="3470" t="s">
        <v>3452</v>
      </c>
      <c r="Q1025" s="3457">
        <v>356622</v>
      </c>
      <c r="R1025" s="3470">
        <v>7350</v>
      </c>
      <c r="S1025" s="3472">
        <v>33.74</v>
      </c>
      <c r="T1025" s="3527">
        <v>337400</v>
      </c>
      <c r="U1025" s="3495">
        <v>6955</v>
      </c>
      <c r="V1025" s="3474">
        <v>0.1</v>
      </c>
      <c r="W1025" s="3475">
        <v>30.36</v>
      </c>
      <c r="X1025" s="3473">
        <v>303600</v>
      </c>
      <c r="Y1025" s="3495">
        <v>2003</v>
      </c>
      <c r="Z1025" s="3441">
        <v>11</v>
      </c>
      <c r="AA1025" s="3470">
        <v>6</v>
      </c>
      <c r="AB1025" s="3477">
        <v>1685</v>
      </c>
      <c r="AC1025" s="3470" t="s">
        <v>9413</v>
      </c>
      <c r="AD1025" s="3485"/>
      <c r="AE1025" s="3441" t="s">
        <v>3663</v>
      </c>
      <c r="AF1025" s="3470" t="s">
        <v>7198</v>
      </c>
      <c r="AG1025" s="3522" t="s">
        <v>3466</v>
      </c>
      <c r="AH1025" s="3485"/>
      <c r="AI1025" s="3470" t="s">
        <v>5021</v>
      </c>
      <c r="AJ1025" s="3523">
        <v>38107</v>
      </c>
      <c r="AK1025" s="3603" t="s">
        <v>4773</v>
      </c>
      <c r="AL1025" s="3441">
        <v>67641700</v>
      </c>
      <c r="AN1025" s="3456" t="s">
        <v>3570</v>
      </c>
      <c r="AO1025" s="3441" t="s">
        <v>3568</v>
      </c>
      <c r="AP1025" s="3441" t="s">
        <v>3476</v>
      </c>
      <c r="AQ1025" s="3441" t="s">
        <v>3571</v>
      </c>
      <c r="AW1025" s="3441" t="s">
        <v>3572</v>
      </c>
      <c r="AY1025" s="3524" t="s">
        <v>10366</v>
      </c>
      <c r="AZ1025" s="3470" t="s">
        <v>8795</v>
      </c>
      <c r="BA1025" s="3441" t="s">
        <v>8798</v>
      </c>
      <c r="BB1025" s="3524" t="s">
        <v>8799</v>
      </c>
      <c r="BC1025" s="3441" t="s">
        <v>8800</v>
      </c>
      <c r="BD1025" s="3525" t="s">
        <v>3715</v>
      </c>
      <c r="BE1025" s="3441" t="s">
        <v>3715</v>
      </c>
      <c r="BF1025" s="3526">
        <v>2.8</v>
      </c>
      <c r="BG1025" s="3518">
        <v>37913</v>
      </c>
      <c r="BH1025" s="3441" t="s">
        <v>8801</v>
      </c>
      <c r="BI1025" s="3441" t="s">
        <v>3476</v>
      </c>
      <c r="BJ1025" s="3484">
        <v>37929</v>
      </c>
      <c r="BK1025" s="3484">
        <v>37922</v>
      </c>
      <c r="BL1025" s="3470" t="s">
        <v>3670</v>
      </c>
    </row>
    <row r="1026" spans="1:253" s="3441" customFormat="1" ht="12" hidden="1">
      <c r="A1026" s="3453" t="s">
        <v>10367</v>
      </c>
      <c r="B1026" s="3470" t="s">
        <v>10368</v>
      </c>
      <c r="C1026" s="3481" t="s">
        <v>10369</v>
      </c>
      <c r="D1026" s="3481" t="s">
        <v>10370</v>
      </c>
      <c r="E1026" s="3470" t="s">
        <v>3558</v>
      </c>
      <c r="F1026" s="3528" t="s">
        <v>7652</v>
      </c>
      <c r="G1026" s="3470"/>
      <c r="H1026" s="3470" t="s">
        <v>4281</v>
      </c>
      <c r="I1026" s="3453" t="s">
        <v>10371</v>
      </c>
      <c r="J1026" s="3481" t="s">
        <v>5441</v>
      </c>
      <c r="K1026" s="3470" t="s">
        <v>7653</v>
      </c>
      <c r="L1026" s="3470">
        <v>88.2</v>
      </c>
      <c r="M1026" s="3470">
        <v>8</v>
      </c>
      <c r="N1026" s="3470" t="s">
        <v>7017</v>
      </c>
      <c r="O1026" s="3470">
        <v>71.430000000000007</v>
      </c>
      <c r="P1026" s="3470" t="s">
        <v>3452</v>
      </c>
      <c r="Q1026" s="3457">
        <v>428211</v>
      </c>
      <c r="R1026" s="3470">
        <v>4855</v>
      </c>
      <c r="S1026" s="3472">
        <v>42.38</v>
      </c>
      <c r="T1026" s="3527">
        <v>423800</v>
      </c>
      <c r="U1026" s="3470">
        <v>4805</v>
      </c>
      <c r="V1026" s="3512">
        <v>0.1</v>
      </c>
      <c r="W1026" s="3475">
        <v>38.14</v>
      </c>
      <c r="X1026" s="3473">
        <v>381400</v>
      </c>
      <c r="Y1026" s="3441">
        <v>2003</v>
      </c>
      <c r="Z1026" s="3441">
        <v>11</v>
      </c>
      <c r="AA1026" s="3470">
        <v>6</v>
      </c>
      <c r="AB1026" s="3485">
        <v>2115</v>
      </c>
      <c r="AC1026" s="3470" t="s">
        <v>9383</v>
      </c>
      <c r="AD1026" s="3485"/>
      <c r="AE1026" s="3441" t="s">
        <v>3663</v>
      </c>
      <c r="AF1026" s="3470" t="s">
        <v>8923</v>
      </c>
      <c r="AG1026" s="3522" t="s">
        <v>3466</v>
      </c>
      <c r="AH1026" s="3485" t="s">
        <v>3568</v>
      </c>
      <c r="AI1026" s="3470" t="s">
        <v>5021</v>
      </c>
      <c r="AJ1026" s="3523">
        <v>37986</v>
      </c>
      <c r="AK1026" s="3603" t="s">
        <v>4788</v>
      </c>
      <c r="AL1026" s="3441">
        <v>67641700</v>
      </c>
      <c r="AN1026" s="3456" t="s">
        <v>3570</v>
      </c>
      <c r="AP1026" s="3441" t="s">
        <v>3476</v>
      </c>
      <c r="AQ1026" s="3441" t="s">
        <v>3571</v>
      </c>
      <c r="AV1026" s="3441" t="s">
        <v>3568</v>
      </c>
      <c r="AW1026" s="3441" t="s">
        <v>3572</v>
      </c>
      <c r="AY1026" s="3524" t="s">
        <v>10372</v>
      </c>
      <c r="AZ1026" s="3441" t="s">
        <v>7653</v>
      </c>
      <c r="BA1026" s="3441" t="s">
        <v>7655</v>
      </c>
      <c r="BB1026" s="3524" t="s">
        <v>7656</v>
      </c>
      <c r="BC1026" s="3441" t="s">
        <v>7657</v>
      </c>
      <c r="BD1026" s="3525">
        <v>100025</v>
      </c>
      <c r="BE1026" s="3441">
        <v>62908858</v>
      </c>
      <c r="BF1026" s="3526">
        <v>2.7</v>
      </c>
      <c r="BG1026" s="3518">
        <v>37896</v>
      </c>
      <c r="BH1026" s="3441" t="s">
        <v>4681</v>
      </c>
      <c r="BI1026" s="3441" t="s">
        <v>3476</v>
      </c>
      <c r="BJ1026" s="3484">
        <v>37930</v>
      </c>
      <c r="BK1026" s="3484"/>
      <c r="BL1026" s="3470" t="s">
        <v>3670</v>
      </c>
    </row>
    <row r="1027" spans="1:253" s="3441" customFormat="1" ht="12" hidden="1">
      <c r="A1027" s="3454" t="s">
        <v>10373</v>
      </c>
      <c r="B1027" s="3470" t="s">
        <v>10374</v>
      </c>
      <c r="C1027" s="3481" t="s">
        <v>10375</v>
      </c>
      <c r="D1027" s="3481" t="s">
        <v>10376</v>
      </c>
      <c r="E1027" s="3470" t="s">
        <v>3558</v>
      </c>
      <c r="F1027" s="3528" t="s">
        <v>3733</v>
      </c>
      <c r="G1027" s="3470"/>
      <c r="H1027" s="3470" t="s">
        <v>9989</v>
      </c>
      <c r="I1027" s="3470" t="s">
        <v>10377</v>
      </c>
      <c r="J1027" s="3470" t="s">
        <v>4473</v>
      </c>
      <c r="K1027" s="3470" t="s">
        <v>3737</v>
      </c>
      <c r="L1027" s="3470">
        <v>75.19</v>
      </c>
      <c r="M1027" s="3470">
        <v>19</v>
      </c>
      <c r="N1027" s="3470" t="s">
        <v>7017</v>
      </c>
      <c r="O1027" s="3470">
        <v>60.28</v>
      </c>
      <c r="P1027" s="3470" t="s">
        <v>3452</v>
      </c>
      <c r="Q1027" s="3600">
        <v>487983.1</v>
      </c>
      <c r="R1027" s="3470">
        <v>6490</v>
      </c>
      <c r="S1027" s="3472">
        <v>47.34</v>
      </c>
      <c r="T1027" s="3527">
        <v>473400.00000000006</v>
      </c>
      <c r="U1027" s="3470">
        <v>6297</v>
      </c>
      <c r="V1027" s="3474">
        <v>0.1</v>
      </c>
      <c r="W1027" s="3475">
        <v>42.6</v>
      </c>
      <c r="X1027" s="3494">
        <v>426000</v>
      </c>
      <c r="Y1027" s="3441">
        <v>2003</v>
      </c>
      <c r="Z1027" s="3441">
        <v>11</v>
      </c>
      <c r="AA1027" s="3470">
        <v>7</v>
      </c>
      <c r="AB1027" s="3477">
        <v>2365</v>
      </c>
      <c r="AC1027" s="3470" t="s">
        <v>9243</v>
      </c>
      <c r="AD1027" s="3485"/>
      <c r="AE1027" s="3441" t="s">
        <v>3663</v>
      </c>
      <c r="AF1027" s="3470" t="s">
        <v>10378</v>
      </c>
      <c r="AG1027" s="3522" t="s">
        <v>3466</v>
      </c>
      <c r="AH1027" s="3485"/>
      <c r="AI1027" s="3470" t="s">
        <v>5021</v>
      </c>
      <c r="AJ1027" s="3523">
        <v>38122</v>
      </c>
      <c r="AK1027" s="3683" t="s">
        <v>9912</v>
      </c>
      <c r="AL1027" s="3441">
        <v>67641700</v>
      </c>
      <c r="AN1027" s="3456" t="s">
        <v>3619</v>
      </c>
      <c r="AO1027" s="3441" t="s">
        <v>2420</v>
      </c>
      <c r="AP1027" s="3441" t="s">
        <v>3476</v>
      </c>
      <c r="AQ1027" s="3441" t="s">
        <v>3571</v>
      </c>
      <c r="AW1027" s="3441" t="s">
        <v>3572</v>
      </c>
      <c r="AY1027" s="3495">
        <v>581068</v>
      </c>
      <c r="AZ1027" s="3441" t="s">
        <v>3737</v>
      </c>
      <c r="BA1027" s="3441" t="s">
        <v>3742</v>
      </c>
      <c r="BB1027" s="3524" t="s">
        <v>3743</v>
      </c>
      <c r="BC1027" s="3441" t="s">
        <v>3744</v>
      </c>
      <c r="BD1027" s="3525">
        <v>100088</v>
      </c>
      <c r="BE1027" s="3441">
        <v>82058259</v>
      </c>
      <c r="BF1027" s="3526">
        <v>2.7</v>
      </c>
      <c r="BG1027" s="3478">
        <v>37918</v>
      </c>
      <c r="BI1027" s="3441" t="s">
        <v>8464</v>
      </c>
      <c r="BJ1027" s="3484">
        <v>37931</v>
      </c>
      <c r="BK1027" s="3484" t="s">
        <v>6879</v>
      </c>
      <c r="BL1027" s="3470" t="s">
        <v>3670</v>
      </c>
    </row>
    <row r="1028" spans="1:253" s="3441" customFormat="1" ht="12" hidden="1">
      <c r="A1028" s="3542" t="s">
        <v>10379</v>
      </c>
      <c r="B1028" s="3470" t="s">
        <v>10380</v>
      </c>
      <c r="C1028" s="3481" t="s">
        <v>10381</v>
      </c>
      <c r="D1028" s="3481" t="s">
        <v>10382</v>
      </c>
      <c r="E1028" s="3470" t="s">
        <v>3558</v>
      </c>
      <c r="F1028" s="3528" t="s">
        <v>7652</v>
      </c>
      <c r="G1028" s="3470"/>
      <c r="H1028" s="3470" t="s">
        <v>7428</v>
      </c>
      <c r="I1028" s="3453" t="s">
        <v>4041</v>
      </c>
      <c r="J1028" s="3481" t="s">
        <v>4174</v>
      </c>
      <c r="K1028" s="3470" t="s">
        <v>7653</v>
      </c>
      <c r="L1028" s="3470">
        <v>105.33</v>
      </c>
      <c r="M1028" s="3470">
        <v>2</v>
      </c>
      <c r="N1028" s="3453" t="s">
        <v>10383</v>
      </c>
      <c r="O1028" s="3470">
        <v>94.04</v>
      </c>
      <c r="P1028" s="3470" t="s">
        <v>3452</v>
      </c>
      <c r="Q1028" s="3457">
        <v>557722.35</v>
      </c>
      <c r="R1028" s="3470">
        <v>5295</v>
      </c>
      <c r="S1028" s="3472">
        <v>55.24</v>
      </c>
      <c r="T1028" s="3527">
        <v>552400</v>
      </c>
      <c r="U1028" s="3470">
        <v>5245</v>
      </c>
      <c r="V1028" s="3512">
        <v>0.1</v>
      </c>
      <c r="W1028" s="3475">
        <v>49.71</v>
      </c>
      <c r="X1028" s="3473">
        <v>497100</v>
      </c>
      <c r="Y1028" s="3441">
        <v>2003</v>
      </c>
      <c r="Z1028" s="3441">
        <v>11</v>
      </c>
      <c r="AA1028" s="3470">
        <v>7</v>
      </c>
      <c r="AB1028" s="3485">
        <v>2760</v>
      </c>
      <c r="AC1028" s="3470" t="s">
        <v>8931</v>
      </c>
      <c r="AD1028" s="3485"/>
      <c r="AE1028" s="3441" t="s">
        <v>3663</v>
      </c>
      <c r="AF1028" s="3470" t="s">
        <v>8923</v>
      </c>
      <c r="AG1028" s="3522" t="s">
        <v>3466</v>
      </c>
      <c r="AH1028" s="3485" t="s">
        <v>3568</v>
      </c>
      <c r="AI1028" s="3470" t="s">
        <v>5021</v>
      </c>
      <c r="AJ1028" s="3523">
        <v>37986</v>
      </c>
      <c r="AK1028" s="3603" t="s">
        <v>4788</v>
      </c>
      <c r="AL1028" s="3441">
        <v>67641700</v>
      </c>
      <c r="AN1028" s="3456" t="s">
        <v>3570</v>
      </c>
      <c r="AP1028" s="3441" t="s">
        <v>3476</v>
      </c>
      <c r="AQ1028" s="3441" t="s">
        <v>3571</v>
      </c>
      <c r="AV1028" s="3441" t="s">
        <v>3568</v>
      </c>
      <c r="AW1028" s="3441" t="s">
        <v>3572</v>
      </c>
      <c r="AY1028" s="3524" t="s">
        <v>10384</v>
      </c>
      <c r="AZ1028" s="3441" t="s">
        <v>7653</v>
      </c>
      <c r="BA1028" s="3441" t="s">
        <v>7655</v>
      </c>
      <c r="BB1028" s="3524" t="s">
        <v>7656</v>
      </c>
      <c r="BC1028" s="3441" t="s">
        <v>7657</v>
      </c>
      <c r="BD1028" s="3525">
        <v>100025</v>
      </c>
      <c r="BE1028" s="3441">
        <v>62908858</v>
      </c>
      <c r="BF1028" s="3526">
        <v>2.7</v>
      </c>
      <c r="BG1028" s="3518">
        <v>37857</v>
      </c>
      <c r="BH1028" s="3441" t="s">
        <v>4681</v>
      </c>
      <c r="BI1028" s="3441" t="s">
        <v>3476</v>
      </c>
      <c r="BJ1028" s="3478">
        <v>37930</v>
      </c>
      <c r="BK1028" s="3484"/>
      <c r="BL1028" s="3470" t="s">
        <v>3670</v>
      </c>
    </row>
    <row r="1029" spans="1:253" s="3470" customFormat="1" ht="12" hidden="1">
      <c r="A1029" s="3453" t="s">
        <v>10385</v>
      </c>
      <c r="B1029" s="3470" t="s">
        <v>10386</v>
      </c>
      <c r="C1029" s="3481" t="s">
        <v>10387</v>
      </c>
      <c r="D1029" s="3470">
        <v>13651165877</v>
      </c>
      <c r="E1029" s="3470" t="s">
        <v>2736</v>
      </c>
      <c r="F1029" s="3470" t="s">
        <v>4782</v>
      </c>
      <c r="H1029" s="3470" t="s">
        <v>4281</v>
      </c>
      <c r="I1029" s="3470" t="s">
        <v>5663</v>
      </c>
      <c r="J1029" s="3470" t="s">
        <v>10388</v>
      </c>
      <c r="K1029" s="3470" t="s">
        <v>8738</v>
      </c>
      <c r="L1029" s="3470">
        <v>95.84</v>
      </c>
      <c r="M1029" s="3470">
        <v>13</v>
      </c>
      <c r="N1029" s="3470" t="s">
        <v>7017</v>
      </c>
      <c r="O1029" s="3470">
        <v>75.180000000000007</v>
      </c>
      <c r="P1029" s="3470" t="s">
        <v>3452</v>
      </c>
      <c r="Q1029" s="3457">
        <v>516577.60000000003</v>
      </c>
      <c r="R1029" s="3470">
        <v>5390</v>
      </c>
      <c r="S1029" s="3472">
        <v>51.15</v>
      </c>
      <c r="T1029" s="3550">
        <v>511500</v>
      </c>
      <c r="U1029" s="3470">
        <v>5338</v>
      </c>
      <c r="V1029" s="3474">
        <v>0.1</v>
      </c>
      <c r="W1029" s="3475">
        <v>46.03</v>
      </c>
      <c r="X1029" s="3602">
        <v>460300</v>
      </c>
      <c r="Y1029" s="3470">
        <v>2003</v>
      </c>
      <c r="Z1029" s="3470">
        <v>11</v>
      </c>
      <c r="AA1029" s="3470">
        <v>7</v>
      </c>
      <c r="AB1029" s="3477">
        <v>2555</v>
      </c>
      <c r="AC1029" s="3470" t="s">
        <v>10389</v>
      </c>
      <c r="AE1029" s="3470" t="s">
        <v>3663</v>
      </c>
      <c r="AF1029" s="3453" t="s">
        <v>7751</v>
      </c>
      <c r="AG1029" s="3456" t="s">
        <v>3466</v>
      </c>
      <c r="AI1029" s="3470" t="s">
        <v>3664</v>
      </c>
      <c r="AJ1029" s="3478">
        <v>38261</v>
      </c>
      <c r="AK1029" s="3606" t="s">
        <v>4773</v>
      </c>
      <c r="AL1029" s="3470">
        <v>67641700</v>
      </c>
      <c r="AN1029" s="3441" t="s">
        <v>3570</v>
      </c>
      <c r="AP1029" s="3441" t="s">
        <v>3476</v>
      </c>
      <c r="AQ1029" s="3470" t="s">
        <v>3457</v>
      </c>
      <c r="AW1029" s="3470" t="s">
        <v>6909</v>
      </c>
      <c r="AX1029" s="3508"/>
      <c r="AY1029" s="3470">
        <v>552409</v>
      </c>
      <c r="AZ1029" s="3470" t="s">
        <v>4789</v>
      </c>
      <c r="BA1029" s="3470" t="s">
        <v>8741</v>
      </c>
      <c r="BB1029" s="3470" t="s">
        <v>8995</v>
      </c>
      <c r="BC1029" s="3470" t="s">
        <v>9035</v>
      </c>
      <c r="BD1029" s="3470">
        <v>102308</v>
      </c>
      <c r="BE1029" s="3470">
        <v>68041987</v>
      </c>
      <c r="BF1029" s="3470">
        <v>2.8</v>
      </c>
      <c r="BG1029" s="3478">
        <v>37908</v>
      </c>
      <c r="BI1029" s="3441" t="s">
        <v>8464</v>
      </c>
      <c r="BJ1029" s="3478">
        <v>37930</v>
      </c>
      <c r="BK1029" s="3478"/>
      <c r="BL1029" s="3470" t="s">
        <v>3594</v>
      </c>
      <c r="BP1029" s="3441"/>
      <c r="BQ1029" s="3441"/>
      <c r="BR1029" s="3441"/>
    </row>
    <row r="1030" spans="1:253" s="3441" customFormat="1" ht="12">
      <c r="A1030" s="3542" t="s">
        <v>10390</v>
      </c>
      <c r="B1030" s="3470" t="s">
        <v>10391</v>
      </c>
      <c r="C1030" s="3481" t="s">
        <v>10392</v>
      </c>
      <c r="D1030" s="3481" t="s">
        <v>10393</v>
      </c>
      <c r="E1030" s="3470" t="s">
        <v>2736</v>
      </c>
      <c r="F1030" s="3687" t="s">
        <v>9471</v>
      </c>
      <c r="G1030" s="3470"/>
      <c r="H1030" s="3470" t="s">
        <v>3715</v>
      </c>
      <c r="I1030" s="3470" t="s">
        <v>9342</v>
      </c>
      <c r="J1030" s="3481" t="s">
        <v>10394</v>
      </c>
      <c r="K1030" s="3470" t="s">
        <v>9472</v>
      </c>
      <c r="L1030" s="3470">
        <v>48.52</v>
      </c>
      <c r="M1030" s="3470">
        <v>14</v>
      </c>
      <c r="N1030" s="3470" t="s">
        <v>7131</v>
      </c>
      <c r="O1030" s="3470">
        <v>37.67</v>
      </c>
      <c r="P1030" s="3470" t="s">
        <v>3452</v>
      </c>
      <c r="Q1030" s="3457">
        <v>346918</v>
      </c>
      <c r="R1030" s="3470">
        <v>7150</v>
      </c>
      <c r="S1030" s="3472">
        <v>34.46</v>
      </c>
      <c r="T1030" s="3527">
        <v>344600</v>
      </c>
      <c r="U1030" s="3495">
        <v>7104</v>
      </c>
      <c r="V1030" s="3474">
        <v>0.1</v>
      </c>
      <c r="W1030" s="3475">
        <v>31.01</v>
      </c>
      <c r="X1030" s="3473">
        <v>310100</v>
      </c>
      <c r="Y1030" s="3495">
        <v>2003</v>
      </c>
      <c r="Z1030" s="3441">
        <v>11</v>
      </c>
      <c r="AA1030" s="3441">
        <v>10</v>
      </c>
      <c r="AB1030" s="3477">
        <v>1720</v>
      </c>
      <c r="AC1030" s="3470" t="s">
        <v>4800</v>
      </c>
      <c r="AD1030" s="3485"/>
      <c r="AE1030" s="3441" t="s">
        <v>3663</v>
      </c>
      <c r="AF1030" s="3470" t="s">
        <v>3618</v>
      </c>
      <c r="AG1030" s="3522" t="s">
        <v>3466</v>
      </c>
      <c r="AH1030" s="3485"/>
      <c r="AI1030" s="3470" t="s">
        <v>5021</v>
      </c>
      <c r="AJ1030" s="3523">
        <v>38107</v>
      </c>
      <c r="AK1030" s="3603" t="s">
        <v>4788</v>
      </c>
      <c r="AL1030" s="3441">
        <v>67641700</v>
      </c>
      <c r="AN1030" s="3456" t="s">
        <v>3695</v>
      </c>
      <c r="AO1030" s="3441" t="s">
        <v>3568</v>
      </c>
      <c r="AP1030" s="3441" t="s">
        <v>3476</v>
      </c>
      <c r="AQ1030" s="3441" t="s">
        <v>3571</v>
      </c>
      <c r="AW1030" s="3441" t="s">
        <v>3572</v>
      </c>
      <c r="AY1030" s="3524" t="s">
        <v>10395</v>
      </c>
      <c r="AZ1030" s="3470" t="s">
        <v>8795</v>
      </c>
      <c r="BA1030" s="3441" t="s">
        <v>8863</v>
      </c>
      <c r="BB1030" s="3524" t="s">
        <v>9833</v>
      </c>
      <c r="BC1030" s="3441" t="s">
        <v>8800</v>
      </c>
      <c r="BD1030" s="3525" t="s">
        <v>2420</v>
      </c>
      <c r="BE1030" s="3441" t="s">
        <v>6879</v>
      </c>
      <c r="BF1030" s="3526">
        <v>2.8</v>
      </c>
      <c r="BG1030" s="3518">
        <v>37886</v>
      </c>
      <c r="BH1030" s="3441" t="s">
        <v>8801</v>
      </c>
      <c r="BI1030" s="3441" t="s">
        <v>3476</v>
      </c>
      <c r="BJ1030" s="3484">
        <v>37929</v>
      </c>
      <c r="BK1030" s="3484">
        <v>37908</v>
      </c>
      <c r="BL1030" s="3470" t="s">
        <v>3670</v>
      </c>
    </row>
    <row r="1031" spans="1:253" s="3441" customFormat="1" ht="12">
      <c r="A1031" s="3542" t="s">
        <v>10396</v>
      </c>
      <c r="B1031" s="3470" t="s">
        <v>10397</v>
      </c>
      <c r="C1031" s="3481" t="s">
        <v>10398</v>
      </c>
      <c r="D1031" s="3481" t="s">
        <v>10399</v>
      </c>
      <c r="E1031" s="3470" t="s">
        <v>2736</v>
      </c>
      <c r="F1031" s="3687" t="s">
        <v>9697</v>
      </c>
      <c r="G1031" s="3470"/>
      <c r="H1031" s="3470" t="s">
        <v>2420</v>
      </c>
      <c r="I1031" s="3470" t="s">
        <v>4124</v>
      </c>
      <c r="J1031" s="3481" t="s">
        <v>10400</v>
      </c>
      <c r="K1031" s="3470" t="s">
        <v>8795</v>
      </c>
      <c r="L1031" s="3470">
        <v>48.03</v>
      </c>
      <c r="M1031" s="3470">
        <v>8</v>
      </c>
      <c r="N1031" s="3470" t="s">
        <v>3678</v>
      </c>
      <c r="O1031" s="3470">
        <v>37.29</v>
      </c>
      <c r="P1031" s="3470" t="s">
        <v>3452</v>
      </c>
      <c r="Q1031" s="3457">
        <v>338611.5</v>
      </c>
      <c r="R1031" s="3470">
        <v>7050</v>
      </c>
      <c r="S1031" s="3472">
        <v>31.94</v>
      </c>
      <c r="T1031" s="3527">
        <v>319400</v>
      </c>
      <c r="U1031" s="3495">
        <v>6652</v>
      </c>
      <c r="V1031" s="3474">
        <v>0.1</v>
      </c>
      <c r="W1031" s="3475">
        <v>28.74</v>
      </c>
      <c r="X1031" s="3473">
        <v>287400</v>
      </c>
      <c r="Y1031" s="3495">
        <v>2003</v>
      </c>
      <c r="Z1031" s="3441">
        <v>11</v>
      </c>
      <c r="AA1031" s="3441">
        <v>10</v>
      </c>
      <c r="AB1031" s="3477">
        <v>1595</v>
      </c>
      <c r="AC1031" s="3470" t="s">
        <v>9107</v>
      </c>
      <c r="AD1031" s="3485"/>
      <c r="AE1031" s="3441" t="s">
        <v>3663</v>
      </c>
      <c r="AF1031" s="3470" t="s">
        <v>3587</v>
      </c>
      <c r="AG1031" s="3522" t="s">
        <v>3466</v>
      </c>
      <c r="AH1031" s="3485"/>
      <c r="AI1031" s="3470" t="s">
        <v>5021</v>
      </c>
      <c r="AJ1031" s="3523">
        <v>38107</v>
      </c>
      <c r="AK1031" s="3603" t="s">
        <v>4773</v>
      </c>
      <c r="AL1031" s="3441">
        <v>67641700</v>
      </c>
      <c r="AN1031" s="3456" t="s">
        <v>3695</v>
      </c>
      <c r="AO1031" s="3441" t="s">
        <v>3568</v>
      </c>
      <c r="AP1031" s="3441" t="s">
        <v>3476</v>
      </c>
      <c r="AQ1031" s="3441" t="s">
        <v>3571</v>
      </c>
      <c r="AW1031" s="3441" t="s">
        <v>3572</v>
      </c>
      <c r="AY1031" s="3524" t="s">
        <v>10401</v>
      </c>
      <c r="AZ1031" s="3470" t="s">
        <v>8862</v>
      </c>
      <c r="BA1031" s="3441" t="s">
        <v>8798</v>
      </c>
      <c r="BB1031" s="3524" t="s">
        <v>8799</v>
      </c>
      <c r="BC1031" s="3441" t="s">
        <v>9475</v>
      </c>
      <c r="BD1031" s="3525" t="s">
        <v>2420</v>
      </c>
      <c r="BE1031" s="3441" t="s">
        <v>3715</v>
      </c>
      <c r="BF1031" s="3526">
        <v>2.8</v>
      </c>
      <c r="BG1031" s="3518">
        <v>37877</v>
      </c>
      <c r="BH1031" s="3441" t="s">
        <v>8801</v>
      </c>
      <c r="BI1031" s="3441" t="s">
        <v>3476</v>
      </c>
      <c r="BJ1031" s="3484">
        <v>37929</v>
      </c>
      <c r="BK1031" s="3484">
        <v>37908</v>
      </c>
      <c r="BL1031" s="3470" t="s">
        <v>3670</v>
      </c>
    </row>
    <row r="1032" spans="1:253" s="3441" customFormat="1" ht="12" hidden="1">
      <c r="A1032" s="3454" t="s">
        <v>10402</v>
      </c>
      <c r="B1032" s="3470" t="s">
        <v>10403</v>
      </c>
      <c r="C1032" s="3481" t="s">
        <v>10404</v>
      </c>
      <c r="D1032" s="3481" t="s">
        <v>10405</v>
      </c>
      <c r="E1032" s="3470" t="s">
        <v>3558</v>
      </c>
      <c r="F1032" s="3528" t="s">
        <v>3733</v>
      </c>
      <c r="G1032" s="3470"/>
      <c r="H1032" s="3470" t="s">
        <v>9875</v>
      </c>
      <c r="I1032" s="3470" t="s">
        <v>7339</v>
      </c>
      <c r="J1032" s="3470" t="s">
        <v>8949</v>
      </c>
      <c r="K1032" s="3470" t="s">
        <v>3737</v>
      </c>
      <c r="L1032" s="3470">
        <v>54.68</v>
      </c>
      <c r="M1032" s="3470">
        <v>21</v>
      </c>
      <c r="N1032" s="3470" t="s">
        <v>3489</v>
      </c>
      <c r="O1032" s="3470">
        <v>43.84</v>
      </c>
      <c r="P1032" s="3470" t="s">
        <v>3452</v>
      </c>
      <c r="Q1032" s="3600">
        <v>353232.8</v>
      </c>
      <c r="R1032" s="3470">
        <v>6460</v>
      </c>
      <c r="S1032" s="3472">
        <v>33.99</v>
      </c>
      <c r="T1032" s="3527">
        <v>339900</v>
      </c>
      <c r="U1032" s="3470">
        <v>6217</v>
      </c>
      <c r="V1032" s="3474">
        <v>0.1</v>
      </c>
      <c r="W1032" s="3475">
        <v>30.59</v>
      </c>
      <c r="X1032" s="3494">
        <v>305900</v>
      </c>
      <c r="Y1032" s="3441">
        <v>2003</v>
      </c>
      <c r="Z1032" s="3441">
        <v>11</v>
      </c>
      <c r="AA1032" s="3470">
        <v>7</v>
      </c>
      <c r="AB1032" s="3477">
        <v>1695</v>
      </c>
      <c r="AC1032" s="3470" t="s">
        <v>9243</v>
      </c>
      <c r="AD1032" s="3485"/>
      <c r="AE1032" s="3441" t="s">
        <v>3663</v>
      </c>
      <c r="AF1032" s="3470" t="s">
        <v>8923</v>
      </c>
      <c r="AG1032" s="3522" t="s">
        <v>3466</v>
      </c>
      <c r="AH1032" s="3485"/>
      <c r="AI1032" s="3470" t="s">
        <v>5021</v>
      </c>
      <c r="AJ1032" s="3523">
        <v>38122</v>
      </c>
      <c r="AK1032" s="3683" t="s">
        <v>4773</v>
      </c>
      <c r="AL1032" s="3441">
        <v>67641700</v>
      </c>
      <c r="AN1032" s="3456" t="s">
        <v>3619</v>
      </c>
      <c r="AO1032" s="3441" t="s">
        <v>3715</v>
      </c>
      <c r="AP1032" s="3441" t="s">
        <v>2153</v>
      </c>
      <c r="AQ1032" s="3441" t="s">
        <v>3571</v>
      </c>
      <c r="AW1032" s="3441" t="s">
        <v>3572</v>
      </c>
      <c r="AY1032" s="3495">
        <v>581515</v>
      </c>
      <c r="AZ1032" s="3441" t="s">
        <v>3737</v>
      </c>
      <c r="BA1032" s="3441" t="s">
        <v>3742</v>
      </c>
      <c r="BB1032" s="3524" t="s">
        <v>3743</v>
      </c>
      <c r="BC1032" s="3441" t="s">
        <v>3744</v>
      </c>
      <c r="BD1032" s="3525">
        <v>100088</v>
      </c>
      <c r="BE1032" s="3441">
        <v>82058259</v>
      </c>
      <c r="BF1032" s="3526">
        <v>2.7</v>
      </c>
      <c r="BG1032" s="3478">
        <v>37913</v>
      </c>
      <c r="BH1032" s="3441" t="s">
        <v>4753</v>
      </c>
      <c r="BI1032" s="3470" t="s">
        <v>2153</v>
      </c>
      <c r="BJ1032" s="3484">
        <v>37931</v>
      </c>
      <c r="BK1032" s="3484" t="s">
        <v>6879</v>
      </c>
      <c r="BL1032" s="3470" t="s">
        <v>3670</v>
      </c>
    </row>
    <row r="1033" spans="1:253" s="3441" customFormat="1" ht="12" hidden="1">
      <c r="A1033" s="3453" t="s">
        <v>10406</v>
      </c>
      <c r="B1033" s="3470" t="s">
        <v>10407</v>
      </c>
      <c r="C1033" s="3481" t="s">
        <v>10408</v>
      </c>
      <c r="D1033" s="3456">
        <v>13701085273</v>
      </c>
      <c r="E1033" s="3470" t="s">
        <v>3558</v>
      </c>
      <c r="F1033" s="3470" t="s">
        <v>6512</v>
      </c>
      <c r="G1033" s="3470"/>
      <c r="H1033" s="3453" t="s">
        <v>10409</v>
      </c>
      <c r="I1033" s="3453" t="s">
        <v>3676</v>
      </c>
      <c r="J1033" s="3453" t="s">
        <v>10410</v>
      </c>
      <c r="K1033" s="3470" t="s">
        <v>6514</v>
      </c>
      <c r="L1033" s="3495">
        <v>129.79</v>
      </c>
      <c r="M1033" s="3495">
        <v>8</v>
      </c>
      <c r="N1033" s="3470" t="s">
        <v>7070</v>
      </c>
      <c r="O1033" s="3495">
        <v>110.61</v>
      </c>
      <c r="P1033" s="3470" t="s">
        <v>3452</v>
      </c>
      <c r="Q1033" s="3457">
        <v>687887</v>
      </c>
      <c r="R1033" s="3470">
        <v>5300</v>
      </c>
      <c r="S1033" s="3472">
        <v>68.13</v>
      </c>
      <c r="T1033" s="3527">
        <v>681300</v>
      </c>
      <c r="U1033" s="3470">
        <v>5250</v>
      </c>
      <c r="V1033" s="3474">
        <v>0.1</v>
      </c>
      <c r="W1033" s="3475">
        <v>61.31</v>
      </c>
      <c r="X1033" s="3476">
        <v>613100</v>
      </c>
      <c r="Y1033" s="3441">
        <v>2003</v>
      </c>
      <c r="Z1033" s="3441">
        <v>11</v>
      </c>
      <c r="AA1033" s="3441">
        <v>7</v>
      </c>
      <c r="AB1033" s="3477">
        <v>3405</v>
      </c>
      <c r="AC1033" s="3470" t="s">
        <v>7371</v>
      </c>
      <c r="AD1033" s="3470"/>
      <c r="AE1033" s="3456" t="s">
        <v>3663</v>
      </c>
      <c r="AF1033" s="3470" t="s">
        <v>4721</v>
      </c>
      <c r="AG1033" s="3456" t="s">
        <v>3466</v>
      </c>
      <c r="AH1033" s="3470"/>
      <c r="AI1033" s="3470" t="s">
        <v>3664</v>
      </c>
      <c r="AJ1033" s="3478">
        <v>38230</v>
      </c>
      <c r="AK1033" s="3683" t="s">
        <v>9912</v>
      </c>
      <c r="AL1033" s="3495">
        <v>67641700</v>
      </c>
      <c r="AM1033" s="3470" t="s">
        <v>3568</v>
      </c>
      <c r="AN1033" s="3456" t="s">
        <v>3456</v>
      </c>
      <c r="AO1033" s="3470" t="s">
        <v>3715</v>
      </c>
      <c r="AP1033" s="3456" t="s">
        <v>3476</v>
      </c>
      <c r="AQ1033" s="3456" t="s">
        <v>3571</v>
      </c>
      <c r="AR1033" s="3470"/>
      <c r="AS1033" s="3470"/>
      <c r="AT1033" s="3470"/>
      <c r="AU1033" s="3470"/>
      <c r="AV1033" s="3495" t="s">
        <v>3568</v>
      </c>
      <c r="AW1033" s="3470" t="s">
        <v>3572</v>
      </c>
      <c r="AX1033" s="3470"/>
      <c r="AY1033" s="3453">
        <v>267062</v>
      </c>
      <c r="AZ1033" s="3470" t="s">
        <v>6514</v>
      </c>
      <c r="BA1033" s="3470" t="s">
        <v>6517</v>
      </c>
      <c r="BB1033" s="3470" t="s">
        <v>6518</v>
      </c>
      <c r="BC1033" s="3470" t="s">
        <v>6519</v>
      </c>
      <c r="BD1033" s="3470">
        <v>100089</v>
      </c>
      <c r="BE1033" s="3470">
        <v>88471460</v>
      </c>
      <c r="BF1033" s="3520">
        <v>2.9</v>
      </c>
      <c r="BG1033" s="3478">
        <v>37880</v>
      </c>
      <c r="BH1033" s="3470"/>
      <c r="BI1033" s="3441" t="s">
        <v>8757</v>
      </c>
      <c r="BJ1033" s="3478">
        <v>37930</v>
      </c>
      <c r="BK1033" s="3478"/>
      <c r="BL1033" s="3470" t="s">
        <v>3594</v>
      </c>
      <c r="BS1033" s="3470"/>
      <c r="BT1033" s="3470"/>
      <c r="BU1033" s="3470"/>
      <c r="BV1033" s="3470"/>
      <c r="BW1033" s="3470"/>
      <c r="BX1033" s="3470"/>
      <c r="BY1033" s="3470"/>
      <c r="BZ1033" s="3470"/>
      <c r="CA1033" s="3470"/>
      <c r="CB1033" s="3470"/>
      <c r="CC1033" s="3470"/>
      <c r="CD1033" s="3470"/>
      <c r="CE1033" s="3470"/>
      <c r="CF1033" s="3470"/>
      <c r="CG1033" s="3470"/>
      <c r="CH1033" s="3470"/>
      <c r="CI1033" s="3470"/>
      <c r="CJ1033" s="3470"/>
      <c r="CK1033" s="3470"/>
      <c r="CL1033" s="3470"/>
      <c r="CM1033" s="3470"/>
      <c r="CN1033" s="3470"/>
      <c r="CO1033" s="3470"/>
      <c r="CP1033" s="3470"/>
      <c r="CQ1033" s="3470"/>
      <c r="CR1033" s="3470"/>
      <c r="CS1033" s="3470"/>
      <c r="CT1033" s="3470"/>
      <c r="CU1033" s="3470"/>
      <c r="CV1033" s="3470"/>
      <c r="CW1033" s="3470"/>
      <c r="CX1033" s="3470"/>
      <c r="CY1033" s="3470"/>
      <c r="CZ1033" s="3470"/>
      <c r="DA1033" s="3470"/>
      <c r="DB1033" s="3470"/>
      <c r="DC1033" s="3470"/>
      <c r="DD1033" s="3470"/>
      <c r="DE1033" s="3470"/>
      <c r="DF1033" s="3470"/>
      <c r="DG1033" s="3470"/>
      <c r="DH1033" s="3470"/>
      <c r="DI1033" s="3470"/>
      <c r="DJ1033" s="3470"/>
      <c r="DK1033" s="3470"/>
      <c r="DL1033" s="3470"/>
      <c r="DM1033" s="3470"/>
      <c r="DN1033" s="3470"/>
      <c r="DO1033" s="3470"/>
      <c r="DP1033" s="3470"/>
      <c r="DQ1033" s="3470"/>
      <c r="DR1033" s="3470"/>
      <c r="DS1033" s="3470"/>
      <c r="DT1033" s="3470"/>
      <c r="DU1033" s="3470"/>
      <c r="DV1033" s="3470"/>
      <c r="DW1033" s="3470"/>
      <c r="DX1033" s="3470"/>
      <c r="DY1033" s="3470"/>
      <c r="DZ1033" s="3470"/>
      <c r="EA1033" s="3470"/>
      <c r="EB1033" s="3470"/>
      <c r="EC1033" s="3470"/>
      <c r="ED1033" s="3470"/>
      <c r="EE1033" s="3470"/>
      <c r="EF1033" s="3470"/>
      <c r="EG1033" s="3470"/>
      <c r="EH1033" s="3470"/>
      <c r="EI1033" s="3470"/>
      <c r="EJ1033" s="3470"/>
      <c r="EK1033" s="3470"/>
      <c r="EL1033" s="3470"/>
      <c r="EM1033" s="3470"/>
      <c r="EN1033" s="3470"/>
      <c r="EO1033" s="3470"/>
      <c r="EP1033" s="3470"/>
      <c r="EQ1033" s="3470"/>
      <c r="ER1033" s="3470"/>
      <c r="ES1033" s="3470"/>
      <c r="ET1033" s="3470"/>
      <c r="EU1033" s="3470"/>
      <c r="EV1033" s="3470"/>
      <c r="EW1033" s="3470"/>
      <c r="EX1033" s="3470"/>
      <c r="EY1033" s="3470"/>
      <c r="EZ1033" s="3470"/>
      <c r="FA1033" s="3470"/>
      <c r="FB1033" s="3470"/>
      <c r="FC1033" s="3470"/>
      <c r="FD1033" s="3470"/>
      <c r="FE1033" s="3470"/>
      <c r="FF1033" s="3470"/>
      <c r="FG1033" s="3470"/>
      <c r="FH1033" s="3470"/>
      <c r="FI1033" s="3470"/>
      <c r="FJ1033" s="3470"/>
      <c r="FK1033" s="3470"/>
      <c r="FL1033" s="3470"/>
      <c r="FM1033" s="3470"/>
      <c r="FN1033" s="3470"/>
      <c r="FO1033" s="3470"/>
      <c r="FP1033" s="3470"/>
      <c r="FQ1033" s="3470"/>
      <c r="FR1033" s="3470"/>
      <c r="FS1033" s="3470"/>
      <c r="FT1033" s="3470"/>
      <c r="FU1033" s="3470"/>
      <c r="FV1033" s="3470"/>
      <c r="FW1033" s="3470"/>
      <c r="FX1033" s="3470"/>
      <c r="FY1033" s="3470"/>
      <c r="FZ1033" s="3470"/>
      <c r="GA1033" s="3470"/>
      <c r="GB1033" s="3470"/>
      <c r="GC1033" s="3470"/>
      <c r="GD1033" s="3470"/>
      <c r="GE1033" s="3470"/>
      <c r="GF1033" s="3470"/>
      <c r="GG1033" s="3470"/>
      <c r="GH1033" s="3470"/>
      <c r="GI1033" s="3470"/>
      <c r="GJ1033" s="3470"/>
      <c r="GK1033" s="3470"/>
      <c r="GL1033" s="3470"/>
      <c r="GM1033" s="3470"/>
      <c r="GN1033" s="3470"/>
      <c r="GO1033" s="3470"/>
      <c r="GP1033" s="3470"/>
      <c r="GQ1033" s="3470"/>
      <c r="GR1033" s="3470"/>
      <c r="GS1033" s="3470"/>
      <c r="GT1033" s="3470"/>
      <c r="GU1033" s="3470"/>
      <c r="GV1033" s="3470"/>
      <c r="GW1033" s="3470"/>
      <c r="GX1033" s="3470"/>
      <c r="GY1033" s="3470"/>
      <c r="GZ1033" s="3470"/>
      <c r="HA1033" s="3470"/>
      <c r="HB1033" s="3470"/>
      <c r="HC1033" s="3470"/>
      <c r="HD1033" s="3470"/>
      <c r="HE1033" s="3470"/>
      <c r="HF1033" s="3470"/>
      <c r="HG1033" s="3470"/>
      <c r="HH1033" s="3470"/>
      <c r="HI1033" s="3470"/>
      <c r="HJ1033" s="3470"/>
      <c r="HK1033" s="3470"/>
      <c r="HL1033" s="3470"/>
      <c r="HM1033" s="3470"/>
      <c r="HN1033" s="3470"/>
      <c r="HO1033" s="3470"/>
      <c r="HP1033" s="3470"/>
      <c r="HQ1033" s="3470"/>
      <c r="HR1033" s="3470"/>
      <c r="HS1033" s="3470"/>
      <c r="HT1033" s="3470"/>
      <c r="HU1033" s="3470"/>
      <c r="HV1033" s="3470"/>
      <c r="HW1033" s="3470"/>
      <c r="HX1033" s="3470"/>
      <c r="HY1033" s="3470"/>
      <c r="HZ1033" s="3470"/>
      <c r="IA1033" s="3470"/>
      <c r="IB1033" s="3470"/>
      <c r="IC1033" s="3470"/>
      <c r="ID1033" s="3470"/>
      <c r="IE1033" s="3470"/>
      <c r="IF1033" s="3470"/>
      <c r="IG1033" s="3470"/>
      <c r="IH1033" s="3470"/>
      <c r="II1033" s="3470"/>
      <c r="IJ1033" s="3470"/>
      <c r="IK1033" s="3470"/>
      <c r="IL1033" s="3470"/>
      <c r="IM1033" s="3470"/>
      <c r="IN1033" s="3470"/>
      <c r="IO1033" s="3470"/>
      <c r="IP1033" s="3470"/>
      <c r="IQ1033" s="3470"/>
      <c r="IR1033" s="3470"/>
      <c r="IS1033" s="3470"/>
    </row>
    <row r="1034" spans="1:253" s="3441" customFormat="1" ht="12" hidden="1">
      <c r="A1034" s="3454" t="s">
        <v>10411</v>
      </c>
      <c r="B1034" s="3470" t="s">
        <v>10412</v>
      </c>
      <c r="C1034" s="3481" t="s">
        <v>10413</v>
      </c>
      <c r="D1034" s="3481" t="s">
        <v>10414</v>
      </c>
      <c r="E1034" s="3470" t="s">
        <v>3558</v>
      </c>
      <c r="F1034" s="3528" t="s">
        <v>3733</v>
      </c>
      <c r="G1034" s="3470"/>
      <c r="H1034" s="3470" t="s">
        <v>10415</v>
      </c>
      <c r="I1034" s="3470" t="s">
        <v>10416</v>
      </c>
      <c r="J1034" s="3470" t="s">
        <v>10417</v>
      </c>
      <c r="K1034" s="3470" t="s">
        <v>3737</v>
      </c>
      <c r="L1034" s="3470">
        <v>76.069999999999993</v>
      </c>
      <c r="M1034" s="3470">
        <v>6</v>
      </c>
      <c r="N1034" s="3470" t="s">
        <v>10418</v>
      </c>
      <c r="O1034" s="3470">
        <v>60.99</v>
      </c>
      <c r="P1034" s="3470" t="s">
        <v>3452</v>
      </c>
      <c r="Q1034" s="3600">
        <v>466309.1</v>
      </c>
      <c r="R1034" s="3470">
        <v>6130</v>
      </c>
      <c r="S1034" s="3472">
        <v>45.18</v>
      </c>
      <c r="T1034" s="3527">
        <v>451800</v>
      </c>
      <c r="U1034" s="3470">
        <v>5940</v>
      </c>
      <c r="V1034" s="3474">
        <v>0.1</v>
      </c>
      <c r="W1034" s="3475">
        <v>40.659999999999997</v>
      </c>
      <c r="X1034" s="3494">
        <v>406599.99999999994</v>
      </c>
      <c r="Y1034" s="3441">
        <v>2003</v>
      </c>
      <c r="Z1034" s="3441">
        <v>11</v>
      </c>
      <c r="AA1034" s="3470">
        <v>7</v>
      </c>
      <c r="AB1034" s="3477">
        <v>2255</v>
      </c>
      <c r="AC1034" s="3470" t="s">
        <v>10419</v>
      </c>
      <c r="AD1034" s="3485"/>
      <c r="AE1034" s="3441" t="s">
        <v>3663</v>
      </c>
      <c r="AF1034" s="3470" t="s">
        <v>10420</v>
      </c>
      <c r="AG1034" s="3522" t="s">
        <v>3466</v>
      </c>
      <c r="AH1034" s="3485"/>
      <c r="AI1034" s="3470" t="s">
        <v>5021</v>
      </c>
      <c r="AJ1034" s="3523">
        <v>38132</v>
      </c>
      <c r="AK1034" s="3683" t="s">
        <v>10421</v>
      </c>
      <c r="AL1034" s="3441">
        <v>67641700</v>
      </c>
      <c r="AN1034" s="3456" t="s">
        <v>10422</v>
      </c>
      <c r="AO1034" s="3441" t="s">
        <v>10423</v>
      </c>
      <c r="AP1034" s="3441" t="s">
        <v>10424</v>
      </c>
      <c r="AQ1034" s="3441" t="s">
        <v>3571</v>
      </c>
      <c r="AW1034" s="3441" t="s">
        <v>3572</v>
      </c>
      <c r="AY1034" s="3495" t="s">
        <v>10425</v>
      </c>
      <c r="AZ1034" s="3441" t="s">
        <v>3737</v>
      </c>
      <c r="BA1034" s="3441" t="s">
        <v>3742</v>
      </c>
      <c r="BB1034" s="3524" t="s">
        <v>3743</v>
      </c>
      <c r="BC1034" s="3441" t="s">
        <v>3744</v>
      </c>
      <c r="BD1034" s="3525">
        <v>100088</v>
      </c>
      <c r="BE1034" s="3441">
        <v>82058259</v>
      </c>
      <c r="BF1034" s="3526">
        <v>2.7</v>
      </c>
      <c r="BG1034" s="3478">
        <v>37925</v>
      </c>
      <c r="BH1034" s="3441" t="s">
        <v>4753</v>
      </c>
      <c r="BI1034" s="3470" t="s">
        <v>10424</v>
      </c>
      <c r="BJ1034" s="3484">
        <v>37930</v>
      </c>
      <c r="BK1034" s="3484" t="s">
        <v>10423</v>
      </c>
      <c r="BL1034" s="3470" t="s">
        <v>3670</v>
      </c>
    </row>
    <row r="1035" spans="1:253" s="3441" customFormat="1" ht="12" hidden="1">
      <c r="A1035" s="3542" t="s">
        <v>10426</v>
      </c>
      <c r="B1035" s="3470" t="s">
        <v>10427</v>
      </c>
      <c r="C1035" s="3481" t="s">
        <v>10428</v>
      </c>
      <c r="D1035" s="3481" t="s">
        <v>10429</v>
      </c>
      <c r="E1035" s="3470" t="s">
        <v>3558</v>
      </c>
      <c r="F1035" s="3470" t="s">
        <v>4693</v>
      </c>
      <c r="G1035" s="3470"/>
      <c r="H1035" s="3470" t="s">
        <v>4453</v>
      </c>
      <c r="I1035" s="3470" t="s">
        <v>4124</v>
      </c>
      <c r="J1035" s="3481" t="s">
        <v>10430</v>
      </c>
      <c r="K1035" s="3470" t="s">
        <v>4697</v>
      </c>
      <c r="L1035" s="3470">
        <v>37.979999999999997</v>
      </c>
      <c r="M1035" s="3470">
        <v>8</v>
      </c>
      <c r="N1035" s="3470" t="s">
        <v>3692</v>
      </c>
      <c r="O1035" s="3470">
        <v>28.21</v>
      </c>
      <c r="P1035" s="3470" t="s">
        <v>3452</v>
      </c>
      <c r="Q1035" s="3457">
        <v>316791.18</v>
      </c>
      <c r="R1035" s="3470">
        <v>8341</v>
      </c>
      <c r="S1035" s="3472">
        <v>31.42</v>
      </c>
      <c r="T1035" s="3527">
        <v>314200</v>
      </c>
      <c r="U1035" s="3470">
        <v>8273</v>
      </c>
      <c r="V1035" s="3474">
        <v>0.1</v>
      </c>
      <c r="W1035" s="3475">
        <v>28.27</v>
      </c>
      <c r="X1035" s="3476">
        <v>282700</v>
      </c>
      <c r="Y1035" s="3441">
        <v>2003</v>
      </c>
      <c r="Z1035" s="3441">
        <v>11</v>
      </c>
      <c r="AA1035" s="3470">
        <v>7</v>
      </c>
      <c r="AB1035" s="3477">
        <v>1570</v>
      </c>
      <c r="AC1035" s="3470" t="s">
        <v>9864</v>
      </c>
      <c r="AD1035" s="3485"/>
      <c r="AE1035" s="3441" t="s">
        <v>3663</v>
      </c>
      <c r="AF1035" s="3470" t="s">
        <v>4721</v>
      </c>
      <c r="AG1035" s="3522" t="s">
        <v>3466</v>
      </c>
      <c r="AH1035" s="3485" t="s">
        <v>3463</v>
      </c>
      <c r="AI1035" s="3470" t="s">
        <v>5021</v>
      </c>
      <c r="AJ1035" s="3523">
        <v>38138</v>
      </c>
      <c r="AK1035" s="3603" t="s">
        <v>4773</v>
      </c>
      <c r="AL1035" s="3441">
        <v>67641700</v>
      </c>
      <c r="AN1035" s="3456" t="s">
        <v>3695</v>
      </c>
      <c r="AP1035" s="3441" t="s">
        <v>2153</v>
      </c>
      <c r="AQ1035" s="3441" t="s">
        <v>3571</v>
      </c>
      <c r="AV1035" s="3441" t="s">
        <v>3568</v>
      </c>
      <c r="AW1035" s="3441" t="s">
        <v>3572</v>
      </c>
      <c r="AX1035" s="3441" t="s">
        <v>3568</v>
      </c>
      <c r="AY1035" s="3524" t="s">
        <v>10431</v>
      </c>
      <c r="AZ1035" s="3441" t="s">
        <v>4697</v>
      </c>
      <c r="BA1035" s="3441" t="s">
        <v>4700</v>
      </c>
      <c r="BB1035" s="3524" t="s">
        <v>4701</v>
      </c>
      <c r="BC1035" s="3441" t="s">
        <v>4702</v>
      </c>
      <c r="BD1035" s="3525">
        <v>100011</v>
      </c>
      <c r="BE1035" s="3441">
        <v>62351476</v>
      </c>
      <c r="BF1035" s="3526">
        <v>2.8</v>
      </c>
      <c r="BG1035" s="3518">
        <v>37914</v>
      </c>
      <c r="BH1035" s="3441" t="s">
        <v>4681</v>
      </c>
      <c r="BI1035" s="3441" t="s">
        <v>2153</v>
      </c>
      <c r="BJ1035" s="3508">
        <v>37930</v>
      </c>
      <c r="BK1035" s="3484"/>
      <c r="BL1035" s="3470" t="s">
        <v>3670</v>
      </c>
    </row>
    <row r="1036" spans="1:253" s="3470" customFormat="1" ht="12" hidden="1">
      <c r="A1036" s="3542" t="s">
        <v>10432</v>
      </c>
      <c r="B1036" s="3470" t="s">
        <v>10433</v>
      </c>
      <c r="C1036" s="3481" t="s">
        <v>10434</v>
      </c>
      <c r="D1036" s="3470">
        <v>13911001419</v>
      </c>
      <c r="E1036" s="3470" t="s">
        <v>2736</v>
      </c>
      <c r="F1036" s="3470" t="s">
        <v>5335</v>
      </c>
      <c r="H1036" s="3453" t="s">
        <v>9624</v>
      </c>
      <c r="J1036" s="3470" t="s">
        <v>10217</v>
      </c>
      <c r="K1036" s="3470" t="s">
        <v>5338</v>
      </c>
      <c r="L1036" s="3470">
        <v>110.36</v>
      </c>
      <c r="M1036" s="3470">
        <v>10</v>
      </c>
      <c r="N1036" s="3470" t="s">
        <v>3778</v>
      </c>
      <c r="O1036" s="3470">
        <v>89.46</v>
      </c>
      <c r="P1036" s="3470" t="s">
        <v>3452</v>
      </c>
      <c r="Q1036" s="3616">
        <v>455014.27999999997</v>
      </c>
      <c r="R1036" s="3470">
        <v>4123</v>
      </c>
      <c r="S1036" s="3472">
        <v>44.96</v>
      </c>
      <c r="T1036" s="3550">
        <v>449600</v>
      </c>
      <c r="U1036" s="3470">
        <v>4074</v>
      </c>
      <c r="V1036" s="3474">
        <v>0.1</v>
      </c>
      <c r="W1036" s="3475">
        <v>40.46</v>
      </c>
      <c r="X1036" s="3511">
        <v>404600</v>
      </c>
      <c r="Y1036" s="3470">
        <v>2003</v>
      </c>
      <c r="Z1036" s="3441">
        <v>11</v>
      </c>
      <c r="AA1036" s="3470">
        <v>12</v>
      </c>
      <c r="AB1036" s="3485">
        <v>2245</v>
      </c>
      <c r="AC1036" s="3470" t="s">
        <v>4800</v>
      </c>
      <c r="AE1036" s="3470" t="s">
        <v>3663</v>
      </c>
      <c r="AF1036" s="3470" t="s">
        <v>4721</v>
      </c>
      <c r="AG1036" s="3456" t="s">
        <v>3466</v>
      </c>
      <c r="AH1036" s="3470" t="s">
        <v>3568</v>
      </c>
      <c r="AI1036" s="3470" t="s">
        <v>5021</v>
      </c>
      <c r="AJ1036" s="3478">
        <v>38138</v>
      </c>
      <c r="AK1036" s="3603" t="s">
        <v>4773</v>
      </c>
      <c r="AL1036" s="3441">
        <v>67641700</v>
      </c>
      <c r="AM1036" s="3441"/>
      <c r="AN1036" s="3456" t="s">
        <v>3468</v>
      </c>
      <c r="AO1036" s="3470" t="s">
        <v>10435</v>
      </c>
      <c r="AP1036" s="3456" t="s">
        <v>3476</v>
      </c>
      <c r="AQ1036" s="3470" t="s">
        <v>3571</v>
      </c>
      <c r="AV1036" s="3470" t="s">
        <v>3568</v>
      </c>
      <c r="AW1036" s="3470" t="s">
        <v>3572</v>
      </c>
      <c r="AY1036" s="3470">
        <v>267109</v>
      </c>
      <c r="AZ1036" s="3470" t="s">
        <v>5338</v>
      </c>
      <c r="BA1036" s="3470" t="s">
        <v>5342</v>
      </c>
      <c r="BB1036" s="3470" t="s">
        <v>5343</v>
      </c>
      <c r="BC1036" s="3470" t="s">
        <v>5344</v>
      </c>
      <c r="BD1036" s="3470">
        <v>102488</v>
      </c>
      <c r="BE1036" s="3470">
        <v>63023627</v>
      </c>
      <c r="BF1036" s="3538">
        <v>2.8</v>
      </c>
      <c r="BG1036" s="3478">
        <v>37900</v>
      </c>
      <c r="BI1036" s="3441" t="s">
        <v>8464</v>
      </c>
      <c r="BJ1036" s="3478">
        <v>37931</v>
      </c>
      <c r="BL1036" s="3470" t="s">
        <v>3670</v>
      </c>
      <c r="BP1036" s="3441"/>
      <c r="BQ1036" s="3441"/>
      <c r="BR1036" s="3441"/>
      <c r="BS1036" s="3441"/>
    </row>
    <row r="1037" spans="1:253" s="3441" customFormat="1" ht="12" hidden="1">
      <c r="A1037" s="3542" t="s">
        <v>10436</v>
      </c>
      <c r="B1037" s="3470" t="s">
        <v>10437</v>
      </c>
      <c r="C1037" s="3481" t="s">
        <v>10438</v>
      </c>
      <c r="D1037" s="3481" t="s">
        <v>10439</v>
      </c>
      <c r="E1037" s="3470" t="s">
        <v>3558</v>
      </c>
      <c r="F1037" s="3470" t="s">
        <v>7153</v>
      </c>
      <c r="G1037" s="3470" t="s">
        <v>3568</v>
      </c>
      <c r="H1037" s="3470" t="s">
        <v>5608</v>
      </c>
      <c r="I1037" s="3453" t="s">
        <v>3464</v>
      </c>
      <c r="J1037" s="3481" t="s">
        <v>3825</v>
      </c>
      <c r="K1037" s="3470" t="s">
        <v>6117</v>
      </c>
      <c r="L1037" s="3470">
        <v>114.33</v>
      </c>
      <c r="M1037" s="3470">
        <v>8</v>
      </c>
      <c r="N1037" s="3470" t="s">
        <v>3632</v>
      </c>
      <c r="O1037" s="3470">
        <v>96.96</v>
      </c>
      <c r="P1037" s="3470" t="s">
        <v>3452</v>
      </c>
      <c r="Q1037" s="3457">
        <v>448173.6</v>
      </c>
      <c r="R1037" s="3470">
        <v>3920</v>
      </c>
      <c r="S1037" s="3472">
        <v>44.24</v>
      </c>
      <c r="T1037" s="3550">
        <v>442400</v>
      </c>
      <c r="U1037" s="3470">
        <v>3870</v>
      </c>
      <c r="V1037" s="3474">
        <v>0.1</v>
      </c>
      <c r="W1037" s="3475">
        <v>39.81</v>
      </c>
      <c r="X1037" s="3602">
        <v>398100</v>
      </c>
      <c r="Y1037" s="3441">
        <v>2003</v>
      </c>
      <c r="Z1037" s="3441">
        <v>11</v>
      </c>
      <c r="AA1037" s="3470">
        <v>12</v>
      </c>
      <c r="AB1037" s="3477">
        <v>2210</v>
      </c>
      <c r="AC1037" s="3470" t="s">
        <v>4800</v>
      </c>
      <c r="AD1037" s="3485"/>
      <c r="AE1037" s="3441" t="s">
        <v>3663</v>
      </c>
      <c r="AF1037" s="3470" t="s">
        <v>4721</v>
      </c>
      <c r="AG1037" s="3522" t="s">
        <v>3466</v>
      </c>
      <c r="AH1037" s="3485"/>
      <c r="AI1037" s="3470" t="s">
        <v>5021</v>
      </c>
      <c r="AJ1037" s="3523">
        <v>38108</v>
      </c>
      <c r="AK1037" s="3603" t="s">
        <v>4773</v>
      </c>
      <c r="AL1037" s="3441">
        <v>67641700</v>
      </c>
      <c r="AN1037" s="3456" t="s">
        <v>3468</v>
      </c>
      <c r="AO1037" s="3441" t="s">
        <v>10440</v>
      </c>
      <c r="AP1037" s="3441" t="s">
        <v>3476</v>
      </c>
      <c r="AQ1037" s="3441" t="s">
        <v>3571</v>
      </c>
      <c r="AW1037" s="3441" t="s">
        <v>3572</v>
      </c>
      <c r="AX1037" s="3441" t="s">
        <v>3568</v>
      </c>
      <c r="AY1037" s="3524" t="s">
        <v>10441</v>
      </c>
      <c r="AZ1037" s="3441" t="s">
        <v>6117</v>
      </c>
      <c r="BA1037" s="3441" t="s">
        <v>7157</v>
      </c>
      <c r="BB1037" s="3524" t="s">
        <v>9225</v>
      </c>
      <c r="BC1037" s="3441" t="s">
        <v>7158</v>
      </c>
      <c r="BD1037" s="3525">
        <v>100055</v>
      </c>
      <c r="BE1037" s="3441">
        <v>82951881</v>
      </c>
      <c r="BF1037" s="3526">
        <v>2.8</v>
      </c>
      <c r="BG1037" s="3518">
        <v>37888</v>
      </c>
      <c r="BI1037" s="3441" t="s">
        <v>8464</v>
      </c>
      <c r="BJ1037" s="3518">
        <v>37930</v>
      </c>
      <c r="BK1037" s="3518"/>
      <c r="BL1037" s="3470" t="s">
        <v>3670</v>
      </c>
    </row>
    <row r="1038" spans="1:253" s="3604" customFormat="1" ht="12" hidden="1">
      <c r="A1038" s="3453" t="s">
        <v>10442</v>
      </c>
      <c r="B1038" s="3470" t="s">
        <v>10443</v>
      </c>
      <c r="C1038" s="3481" t="s">
        <v>10444</v>
      </c>
      <c r="D1038" s="3454" t="s">
        <v>10445</v>
      </c>
      <c r="E1038" s="3470" t="s">
        <v>2736</v>
      </c>
      <c r="F1038" s="3528" t="s">
        <v>5792</v>
      </c>
      <c r="G1038" s="3470"/>
      <c r="H1038" s="3470" t="s">
        <v>6820</v>
      </c>
      <c r="I1038" s="3470" t="s">
        <v>3676</v>
      </c>
      <c r="J1038" s="3481" t="s">
        <v>3449</v>
      </c>
      <c r="K1038" s="3470" t="s">
        <v>4811</v>
      </c>
      <c r="L1038" s="3470">
        <v>122.41</v>
      </c>
      <c r="M1038" s="3470">
        <v>4</v>
      </c>
      <c r="N1038" s="3453" t="s">
        <v>3661</v>
      </c>
      <c r="O1038" s="3470">
        <v>105.99</v>
      </c>
      <c r="P1038" s="3470" t="s">
        <v>3452</v>
      </c>
      <c r="Q1038" s="3457">
        <v>683047.79999999993</v>
      </c>
      <c r="R1038" s="3470">
        <v>5580</v>
      </c>
      <c r="S1038" s="3472">
        <v>67.63</v>
      </c>
      <c r="T1038" s="3550">
        <v>676300</v>
      </c>
      <c r="U1038" s="3470">
        <v>5525</v>
      </c>
      <c r="V1038" s="3474">
        <v>0.1</v>
      </c>
      <c r="W1038" s="3475">
        <v>60.86</v>
      </c>
      <c r="X1038" s="3611">
        <v>608600</v>
      </c>
      <c r="Y1038" s="3441">
        <v>2003</v>
      </c>
      <c r="Z1038" s="3441">
        <v>11</v>
      </c>
      <c r="AA1038" s="3441">
        <v>10</v>
      </c>
      <c r="AB1038" s="3477">
        <v>3380</v>
      </c>
      <c r="AC1038" s="3470" t="s">
        <v>4800</v>
      </c>
      <c r="AD1038" s="3485"/>
      <c r="AE1038" s="3441" t="s">
        <v>3663</v>
      </c>
      <c r="AF1038" s="3470" t="s">
        <v>7751</v>
      </c>
      <c r="AG1038" s="3522" t="s">
        <v>3466</v>
      </c>
      <c r="AH1038" s="3485"/>
      <c r="AI1038" s="3470" t="s">
        <v>3664</v>
      </c>
      <c r="AJ1038" s="3523">
        <v>38166</v>
      </c>
      <c r="AK1038" s="3603" t="s">
        <v>4773</v>
      </c>
      <c r="AL1038" s="3441">
        <v>67641700</v>
      </c>
      <c r="AM1038" s="3441"/>
      <c r="AN1038" s="3456" t="s">
        <v>3468</v>
      </c>
      <c r="AO1038" s="3470"/>
      <c r="AP1038" s="3456" t="s">
        <v>3476</v>
      </c>
      <c r="AQ1038" s="3441" t="s">
        <v>3571</v>
      </c>
      <c r="AR1038" s="3441"/>
      <c r="AS1038" s="3441"/>
      <c r="AT1038" s="3441"/>
      <c r="AU1038" s="3441"/>
      <c r="AV1038" s="3441"/>
      <c r="AW1038" s="3441" t="s">
        <v>3572</v>
      </c>
      <c r="AX1038" s="3441"/>
      <c r="AY1038" s="3465" t="s">
        <v>10446</v>
      </c>
      <c r="AZ1038" s="3441" t="s">
        <v>4811</v>
      </c>
      <c r="BA1038" s="3441" t="s">
        <v>10447</v>
      </c>
      <c r="BB1038" s="3524" t="s">
        <v>4813</v>
      </c>
      <c r="BC1038" s="3441" t="s">
        <v>10448</v>
      </c>
      <c r="BD1038" s="3525">
        <v>101500</v>
      </c>
      <c r="BE1038" s="3441">
        <v>62964593</v>
      </c>
      <c r="BF1038" s="3526">
        <v>2.8</v>
      </c>
      <c r="BG1038" s="3478">
        <v>37906</v>
      </c>
      <c r="BH1038" s="3441"/>
      <c r="BI1038" s="3470" t="s">
        <v>3721</v>
      </c>
      <c r="BJ1038" s="3518">
        <v>37931</v>
      </c>
      <c r="BK1038" s="3484"/>
      <c r="BL1038" s="3441" t="s">
        <v>3594</v>
      </c>
      <c r="BM1038" s="3441"/>
      <c r="BN1038" s="3441"/>
      <c r="BO1038" s="3441"/>
      <c r="BP1038" s="3441"/>
      <c r="BQ1038" s="3441"/>
      <c r="BR1038" s="3441"/>
    </row>
    <row r="1039" spans="1:253" s="3604" customFormat="1" ht="12" hidden="1">
      <c r="A1039" s="3453" t="s">
        <v>10449</v>
      </c>
      <c r="B1039" s="3470" t="s">
        <v>10450</v>
      </c>
      <c r="C1039" s="3481" t="s">
        <v>10451</v>
      </c>
      <c r="D1039" s="3481" t="s">
        <v>10452</v>
      </c>
      <c r="E1039" s="3470" t="s">
        <v>3558</v>
      </c>
      <c r="F1039" s="3528" t="s">
        <v>4645</v>
      </c>
      <c r="G1039" s="3470"/>
      <c r="H1039" s="3470" t="s">
        <v>9611</v>
      </c>
      <c r="I1039" s="3470" t="s">
        <v>5663</v>
      </c>
      <c r="J1039" s="3481" t="s">
        <v>10453</v>
      </c>
      <c r="K1039" s="3470" t="s">
        <v>4649</v>
      </c>
      <c r="L1039" s="3470">
        <v>59.94</v>
      </c>
      <c r="M1039" s="3470">
        <v>13</v>
      </c>
      <c r="N1039" s="3542" t="s">
        <v>3489</v>
      </c>
      <c r="O1039" s="3470">
        <v>47.25</v>
      </c>
      <c r="P1039" s="3470" t="s">
        <v>3452</v>
      </c>
      <c r="Q1039" s="3457">
        <v>464055.48</v>
      </c>
      <c r="R1039" s="3470">
        <v>7742</v>
      </c>
      <c r="S1039" s="3472">
        <v>46</v>
      </c>
      <c r="T1039" s="3527">
        <v>460000</v>
      </c>
      <c r="U1039" s="3495">
        <v>7675</v>
      </c>
      <c r="V1039" s="3512">
        <v>0.1</v>
      </c>
      <c r="W1039" s="3475">
        <v>41.4</v>
      </c>
      <c r="X1039" s="3473">
        <v>414000</v>
      </c>
      <c r="Y1039" s="3515">
        <v>2003</v>
      </c>
      <c r="Z1039" s="3441">
        <v>11</v>
      </c>
      <c r="AA1039" s="3470">
        <v>10</v>
      </c>
      <c r="AB1039" s="3477">
        <v>2300</v>
      </c>
      <c r="AC1039" s="3470" t="s">
        <v>9007</v>
      </c>
      <c r="AD1039" s="3485"/>
      <c r="AE1039" s="3441" t="s">
        <v>3663</v>
      </c>
      <c r="AF1039" s="3470" t="s">
        <v>4721</v>
      </c>
      <c r="AG1039" s="3522" t="s">
        <v>3466</v>
      </c>
      <c r="AH1039" s="3485"/>
      <c r="AI1039" s="3470" t="s">
        <v>5021</v>
      </c>
      <c r="AJ1039" s="3523">
        <v>38199</v>
      </c>
      <c r="AK1039" s="3603" t="s">
        <v>4773</v>
      </c>
      <c r="AL1039" s="3495">
        <v>67641700</v>
      </c>
      <c r="AM1039" s="3470"/>
      <c r="AN1039" s="3456" t="s">
        <v>3695</v>
      </c>
      <c r="AO1039" s="3441"/>
      <c r="AP1039" s="3441" t="s">
        <v>3476</v>
      </c>
      <c r="AQ1039" s="3441" t="s">
        <v>3571</v>
      </c>
      <c r="AR1039" s="3441"/>
      <c r="AS1039" s="3441"/>
      <c r="AT1039" s="3441"/>
      <c r="AU1039" s="3441"/>
      <c r="AV1039" s="3441"/>
      <c r="AW1039" s="3441" t="s">
        <v>3572</v>
      </c>
      <c r="AX1039" s="3441"/>
      <c r="AY1039" s="3441">
        <v>550669</v>
      </c>
      <c r="AZ1039" s="3441" t="s">
        <v>4654</v>
      </c>
      <c r="BA1039" s="3441" t="s">
        <v>4688</v>
      </c>
      <c r="BB1039" s="3524" t="s">
        <v>4689</v>
      </c>
      <c r="BC1039" s="3441" t="s">
        <v>4656</v>
      </c>
      <c r="BD1039" s="3525">
        <v>100037</v>
      </c>
      <c r="BE1039" s="3441">
        <v>68347718</v>
      </c>
      <c r="BF1039" s="3526">
        <v>2.8</v>
      </c>
      <c r="BG1039" s="3518">
        <v>37901</v>
      </c>
      <c r="BH1039" s="3441"/>
      <c r="BI1039" s="3441" t="s">
        <v>8464</v>
      </c>
      <c r="BJ1039" s="3484">
        <v>37932</v>
      </c>
      <c r="BK1039" s="3484"/>
      <c r="BL1039" s="3470" t="s">
        <v>3670</v>
      </c>
      <c r="BM1039" s="3441"/>
      <c r="BN1039" s="3441"/>
      <c r="BO1039" s="3441"/>
      <c r="BP1039" s="3441"/>
      <c r="BQ1039" s="3441"/>
      <c r="BR1039" s="3441"/>
    </row>
    <row r="1040" spans="1:253" s="3441" customFormat="1" ht="12" hidden="1">
      <c r="A1040" s="3542" t="s">
        <v>10454</v>
      </c>
      <c r="B1040" s="3470" t="s">
        <v>10455</v>
      </c>
      <c r="C1040" s="3481" t="s">
        <v>10456</v>
      </c>
      <c r="D1040" s="3481" t="s">
        <v>10457</v>
      </c>
      <c r="E1040" s="3470" t="s">
        <v>3558</v>
      </c>
      <c r="F1040" s="3528" t="s">
        <v>7652</v>
      </c>
      <c r="G1040" s="3470"/>
      <c r="H1040" s="3470" t="s">
        <v>3614</v>
      </c>
      <c r="I1040" s="3453" t="s">
        <v>4124</v>
      </c>
      <c r="J1040" s="3481" t="s">
        <v>5441</v>
      </c>
      <c r="K1040" s="3470" t="s">
        <v>7653</v>
      </c>
      <c r="L1040" s="3470">
        <v>66.56</v>
      </c>
      <c r="M1040" s="3470">
        <v>8</v>
      </c>
      <c r="N1040" s="3453" t="s">
        <v>3489</v>
      </c>
      <c r="O1040" s="3470">
        <v>52.64</v>
      </c>
      <c r="P1040" s="3470" t="s">
        <v>3452</v>
      </c>
      <c r="Q1040" s="3457">
        <v>284211.20000000001</v>
      </c>
      <c r="R1040" s="3470">
        <v>4270</v>
      </c>
      <c r="S1040" s="3472">
        <v>28.11</v>
      </c>
      <c r="T1040" s="3527">
        <v>281100</v>
      </c>
      <c r="U1040" s="3470">
        <v>4224</v>
      </c>
      <c r="V1040" s="3512">
        <v>0.1</v>
      </c>
      <c r="W1040" s="3475">
        <v>25.29</v>
      </c>
      <c r="X1040" s="3473">
        <v>252900</v>
      </c>
      <c r="Y1040" s="3441">
        <v>2003</v>
      </c>
      <c r="Z1040" s="3441">
        <v>11</v>
      </c>
      <c r="AA1040" s="3470">
        <v>10</v>
      </c>
      <c r="AB1040" s="3485">
        <v>1405</v>
      </c>
      <c r="AC1040" s="3470" t="s">
        <v>9077</v>
      </c>
      <c r="AD1040" s="3485"/>
      <c r="AE1040" s="3441" t="s">
        <v>3663</v>
      </c>
      <c r="AF1040" s="3470" t="s">
        <v>4200</v>
      </c>
      <c r="AG1040" s="3522" t="s">
        <v>3466</v>
      </c>
      <c r="AH1040" s="3485" t="s">
        <v>3568</v>
      </c>
      <c r="AI1040" s="3470" t="s">
        <v>5021</v>
      </c>
      <c r="AJ1040" s="3523">
        <v>38077</v>
      </c>
      <c r="AK1040" s="3603" t="s">
        <v>4773</v>
      </c>
      <c r="AL1040" s="3441">
        <v>67641700</v>
      </c>
      <c r="AN1040" s="3456" t="s">
        <v>3695</v>
      </c>
      <c r="AP1040" s="3441" t="s">
        <v>3476</v>
      </c>
      <c r="AQ1040" s="3441" t="s">
        <v>3571</v>
      </c>
      <c r="AV1040" s="3441" t="s">
        <v>3568</v>
      </c>
      <c r="AW1040" s="3441" t="s">
        <v>3572</v>
      </c>
      <c r="AY1040" s="3524" t="s">
        <v>10458</v>
      </c>
      <c r="AZ1040" s="3441" t="s">
        <v>7653</v>
      </c>
      <c r="BA1040" s="3441" t="s">
        <v>7655</v>
      </c>
      <c r="BB1040" s="3524" t="s">
        <v>7656</v>
      </c>
      <c r="BC1040" s="3441" t="s">
        <v>7657</v>
      </c>
      <c r="BD1040" s="3525">
        <v>100025</v>
      </c>
      <c r="BE1040" s="3441">
        <v>62908858</v>
      </c>
      <c r="BF1040" s="3526">
        <v>2.7</v>
      </c>
      <c r="BG1040" s="3518">
        <v>37882</v>
      </c>
      <c r="BH1040" s="3441" t="s">
        <v>4681</v>
      </c>
      <c r="BI1040" s="3441" t="s">
        <v>3476</v>
      </c>
      <c r="BJ1040" s="3478">
        <v>37929</v>
      </c>
      <c r="BK1040" s="3484"/>
      <c r="BL1040" s="3470" t="s">
        <v>3670</v>
      </c>
    </row>
    <row r="1041" spans="1:70" s="3470" customFormat="1" ht="12" hidden="1">
      <c r="A1041" s="3453" t="s">
        <v>10459</v>
      </c>
      <c r="B1041" s="3470" t="s">
        <v>10460</v>
      </c>
      <c r="C1041" s="3481" t="s">
        <v>10461</v>
      </c>
      <c r="D1041" s="3453">
        <v>82614404</v>
      </c>
      <c r="E1041" s="3470" t="s">
        <v>2736</v>
      </c>
      <c r="F1041" s="3470" t="s">
        <v>6121</v>
      </c>
      <c r="H1041" s="3453" t="s">
        <v>6122</v>
      </c>
      <c r="I1041" s="3453" t="s">
        <v>4854</v>
      </c>
      <c r="J1041" s="3453" t="s">
        <v>10462</v>
      </c>
      <c r="K1041" s="3470" t="s">
        <v>6124</v>
      </c>
      <c r="L1041" s="3495">
        <v>56.16</v>
      </c>
      <c r="M1041" s="3495">
        <v>4</v>
      </c>
      <c r="N1041" s="3470" t="s">
        <v>3489</v>
      </c>
      <c r="O1041" s="3495">
        <v>44.08</v>
      </c>
      <c r="P1041" s="3470" t="s">
        <v>3452</v>
      </c>
      <c r="Q1041" s="3457">
        <v>481000.95999999996</v>
      </c>
      <c r="R1041" s="3495">
        <v>10912</v>
      </c>
      <c r="S1041" s="3472">
        <v>46.21</v>
      </c>
      <c r="T1041" s="3550">
        <v>462100</v>
      </c>
      <c r="U1041" s="3470">
        <v>8230</v>
      </c>
      <c r="V1041" s="3474">
        <v>0.1</v>
      </c>
      <c r="W1041" s="3475">
        <v>41.58</v>
      </c>
      <c r="X1041" s="3602">
        <v>415800</v>
      </c>
      <c r="Y1041" s="3470">
        <v>2003</v>
      </c>
      <c r="Z1041" s="3441">
        <v>11</v>
      </c>
      <c r="AA1041" s="3470">
        <v>12</v>
      </c>
      <c r="AB1041" s="3477">
        <v>2310</v>
      </c>
      <c r="AC1041" s="3470" t="s">
        <v>9077</v>
      </c>
      <c r="AE1041" s="3456" t="s">
        <v>3663</v>
      </c>
      <c r="AF1041" s="3470" t="s">
        <v>6065</v>
      </c>
      <c r="AG1041" s="3456" t="s">
        <v>3466</v>
      </c>
      <c r="AI1041" s="3470" t="s">
        <v>3664</v>
      </c>
      <c r="AJ1041" s="3478">
        <v>37925</v>
      </c>
      <c r="AK1041" s="3603" t="s">
        <v>4773</v>
      </c>
      <c r="AL1041" s="3441">
        <v>67641700</v>
      </c>
      <c r="AM1041" s="3441"/>
      <c r="AN1041" s="3456" t="s">
        <v>3695</v>
      </c>
      <c r="AP1041" s="3456" t="s">
        <v>3476</v>
      </c>
      <c r="AQ1041" s="3456" t="s">
        <v>3571</v>
      </c>
      <c r="AV1041" s="3519"/>
      <c r="AW1041" s="3441" t="s">
        <v>3572</v>
      </c>
      <c r="AY1041" s="3495">
        <v>302491</v>
      </c>
      <c r="AZ1041" s="3470" t="s">
        <v>6124</v>
      </c>
      <c r="BA1041" s="3470" t="s">
        <v>6127</v>
      </c>
      <c r="BB1041" s="3481" t="s">
        <v>10463</v>
      </c>
      <c r="BC1041" s="3470" t="s">
        <v>10464</v>
      </c>
      <c r="BD1041" s="3470">
        <v>100089</v>
      </c>
      <c r="BE1041" s="3470">
        <v>62637089</v>
      </c>
      <c r="BF1041" s="3520">
        <v>3.2</v>
      </c>
      <c r="BG1041" s="3478">
        <v>37769</v>
      </c>
      <c r="BH1041" s="3470" t="s">
        <v>6130</v>
      </c>
      <c r="BI1041" s="3441" t="s">
        <v>3476</v>
      </c>
      <c r="BJ1041" s="3478">
        <v>37915</v>
      </c>
      <c r="BK1041" s="3478"/>
      <c r="BL1041" s="3470" t="s">
        <v>3670</v>
      </c>
      <c r="BM1041" s="3441"/>
      <c r="BN1041" s="3441"/>
      <c r="BO1041" s="3441"/>
      <c r="BP1041" s="3441"/>
      <c r="BQ1041" s="3441"/>
      <c r="BR1041" s="3441"/>
    </row>
    <row r="1042" spans="1:70" s="3441" customFormat="1" ht="12" hidden="1">
      <c r="A1042" s="3542" t="s">
        <v>10465</v>
      </c>
      <c r="B1042" s="3470" t="s">
        <v>10466</v>
      </c>
      <c r="C1042" s="3481" t="s">
        <v>10467</v>
      </c>
      <c r="D1042" s="3481" t="s">
        <v>10468</v>
      </c>
      <c r="E1042" s="3470" t="s">
        <v>3558</v>
      </c>
      <c r="F1042" s="3528" t="s">
        <v>3733</v>
      </c>
      <c r="G1042" s="3470"/>
      <c r="H1042" s="3470" t="s">
        <v>4706</v>
      </c>
      <c r="I1042" s="3470" t="s">
        <v>4718</v>
      </c>
      <c r="J1042" s="3470" t="s">
        <v>6359</v>
      </c>
      <c r="K1042" s="3470" t="s">
        <v>3737</v>
      </c>
      <c r="L1042" s="3470">
        <v>75.45</v>
      </c>
      <c r="M1042" s="3470">
        <v>17</v>
      </c>
      <c r="N1042" s="3470" t="s">
        <v>4030</v>
      </c>
      <c r="O1042" s="3470">
        <v>60.28</v>
      </c>
      <c r="P1042" s="3470" t="s">
        <v>3452</v>
      </c>
      <c r="Q1042" s="3600">
        <v>448173</v>
      </c>
      <c r="R1042" s="3470">
        <v>5940</v>
      </c>
      <c r="S1042" s="3472">
        <v>43.42</v>
      </c>
      <c r="T1042" s="3527">
        <v>434200</v>
      </c>
      <c r="U1042" s="3470">
        <v>5755</v>
      </c>
      <c r="V1042" s="3474">
        <v>0.1</v>
      </c>
      <c r="W1042" s="3475">
        <v>39.07</v>
      </c>
      <c r="X1042" s="3494">
        <v>390700</v>
      </c>
      <c r="Y1042" s="3441">
        <v>2003</v>
      </c>
      <c r="Z1042" s="3441">
        <v>11</v>
      </c>
      <c r="AA1042" s="3441">
        <v>10</v>
      </c>
      <c r="AB1042" s="3477">
        <v>2170</v>
      </c>
      <c r="AC1042" s="3470" t="s">
        <v>9077</v>
      </c>
      <c r="AD1042" s="3485"/>
      <c r="AE1042" s="3441" t="s">
        <v>3663</v>
      </c>
      <c r="AF1042" s="3470" t="s">
        <v>3604</v>
      </c>
      <c r="AG1042" s="3522" t="s">
        <v>3466</v>
      </c>
      <c r="AH1042" s="3485"/>
      <c r="AI1042" s="3470" t="s">
        <v>5021</v>
      </c>
      <c r="AJ1042" s="3523">
        <v>38045</v>
      </c>
      <c r="AK1042" s="3603" t="s">
        <v>4773</v>
      </c>
      <c r="AL1042" s="3441">
        <v>67641700</v>
      </c>
      <c r="AN1042" s="3456" t="s">
        <v>3695</v>
      </c>
      <c r="AO1042" s="3441" t="s">
        <v>2420</v>
      </c>
      <c r="AP1042" s="3441" t="s">
        <v>3476</v>
      </c>
      <c r="AQ1042" s="3441" t="s">
        <v>3571</v>
      </c>
      <c r="AW1042" s="3441" t="s">
        <v>3572</v>
      </c>
      <c r="AY1042" s="3524" t="s">
        <v>10469</v>
      </c>
      <c r="AZ1042" s="3441" t="s">
        <v>3737</v>
      </c>
      <c r="BA1042" s="3441" t="s">
        <v>3742</v>
      </c>
      <c r="BB1042" s="3524" t="s">
        <v>3743</v>
      </c>
      <c r="BC1042" s="3441" t="s">
        <v>3744</v>
      </c>
      <c r="BD1042" s="3525">
        <v>100088</v>
      </c>
      <c r="BE1042" s="3441">
        <v>82058259</v>
      </c>
      <c r="BF1042" s="3526" t="s">
        <v>8595</v>
      </c>
      <c r="BG1042" s="3478">
        <v>37874</v>
      </c>
      <c r="BH1042" s="3441" t="s">
        <v>4753</v>
      </c>
      <c r="BI1042" s="3441" t="s">
        <v>3476</v>
      </c>
      <c r="BJ1042" s="3478">
        <v>37932</v>
      </c>
      <c r="BK1042" s="3484" t="s">
        <v>2420</v>
      </c>
      <c r="BL1042" s="3470" t="s">
        <v>3670</v>
      </c>
    </row>
    <row r="1043" spans="1:70" s="3441" customFormat="1" ht="12" hidden="1">
      <c r="A1043" s="3453" t="s">
        <v>10470</v>
      </c>
      <c r="B1043" s="3470" t="s">
        <v>10471</v>
      </c>
      <c r="C1043" s="3481" t="s">
        <v>10472</v>
      </c>
      <c r="D1043" s="3454" t="s">
        <v>10473</v>
      </c>
      <c r="E1043" s="3470" t="s">
        <v>2736</v>
      </c>
      <c r="F1043" s="3528" t="s">
        <v>5792</v>
      </c>
      <c r="G1043" s="3470"/>
      <c r="H1043" s="3470" t="s">
        <v>9230</v>
      </c>
      <c r="I1043" s="3470" t="s">
        <v>3464</v>
      </c>
      <c r="J1043" s="3481" t="s">
        <v>4012</v>
      </c>
      <c r="K1043" s="3470" t="s">
        <v>4811</v>
      </c>
      <c r="L1043" s="3470">
        <v>151.93</v>
      </c>
      <c r="M1043" s="3470">
        <v>2</v>
      </c>
      <c r="N1043" s="3453" t="s">
        <v>3632</v>
      </c>
      <c r="O1043" s="3470">
        <v>136.93</v>
      </c>
      <c r="P1043" s="3470" t="s">
        <v>3452</v>
      </c>
      <c r="Q1043" s="3457">
        <v>817383.4</v>
      </c>
      <c r="R1043" s="3470">
        <v>5380</v>
      </c>
      <c r="S1043" s="3472">
        <v>80.900000000000006</v>
      </c>
      <c r="T1043" s="3550">
        <v>809000</v>
      </c>
      <c r="U1043" s="3470">
        <v>5325</v>
      </c>
      <c r="V1043" s="3474">
        <v>0.1</v>
      </c>
      <c r="W1043" s="3475">
        <v>72.81</v>
      </c>
      <c r="X1043" s="3611">
        <v>728100</v>
      </c>
      <c r="Y1043" s="3441">
        <v>2003</v>
      </c>
      <c r="Z1043" s="3441">
        <v>11</v>
      </c>
      <c r="AA1043" s="3441">
        <v>10</v>
      </c>
      <c r="AB1043" s="3477">
        <v>4045</v>
      </c>
      <c r="AC1043" s="3470" t="s">
        <v>9007</v>
      </c>
      <c r="AD1043" s="3485"/>
      <c r="AE1043" s="3441" t="s">
        <v>3663</v>
      </c>
      <c r="AF1043" s="3470" t="s">
        <v>7751</v>
      </c>
      <c r="AG1043" s="3522" t="s">
        <v>3466</v>
      </c>
      <c r="AH1043" s="3485"/>
      <c r="AI1043" s="3470" t="s">
        <v>3664</v>
      </c>
      <c r="AJ1043" s="3523">
        <v>38166</v>
      </c>
      <c r="AK1043" s="3603" t="s">
        <v>4773</v>
      </c>
      <c r="AL1043" s="3441">
        <v>67641700</v>
      </c>
      <c r="AN1043" s="3456" t="s">
        <v>3468</v>
      </c>
      <c r="AO1043" s="3470"/>
      <c r="AP1043" s="3456" t="s">
        <v>3476</v>
      </c>
      <c r="AQ1043" s="3441" t="s">
        <v>3571</v>
      </c>
      <c r="AW1043" s="3441" t="s">
        <v>3572</v>
      </c>
      <c r="AY1043" s="3465" t="s">
        <v>10474</v>
      </c>
      <c r="AZ1043" s="3441" t="s">
        <v>4811</v>
      </c>
      <c r="BA1043" s="3441" t="s">
        <v>10447</v>
      </c>
      <c r="BB1043" s="3524" t="s">
        <v>4813</v>
      </c>
      <c r="BC1043" s="3441" t="s">
        <v>10448</v>
      </c>
      <c r="BD1043" s="3525">
        <v>101500</v>
      </c>
      <c r="BE1043" s="3441">
        <v>62964593</v>
      </c>
      <c r="BF1043" s="3526">
        <v>2.8</v>
      </c>
      <c r="BG1043" s="3478">
        <v>37877</v>
      </c>
      <c r="BI1043" s="3470" t="s">
        <v>3721</v>
      </c>
      <c r="BJ1043" s="3518">
        <v>37932</v>
      </c>
      <c r="BK1043" s="3484"/>
      <c r="BL1043" s="3441" t="s">
        <v>3594</v>
      </c>
    </row>
    <row r="1044" spans="1:70" s="3441" customFormat="1" ht="12" hidden="1">
      <c r="A1044" s="3453" t="s">
        <v>10475</v>
      </c>
      <c r="B1044" s="3470" t="s">
        <v>10476</v>
      </c>
      <c r="C1044" s="3481" t="s">
        <v>10477</v>
      </c>
      <c r="D1044" s="3481" t="s">
        <v>10478</v>
      </c>
      <c r="E1044" s="3470" t="s">
        <v>3558</v>
      </c>
      <c r="F1044" s="3528" t="s">
        <v>4716</v>
      </c>
      <c r="G1044" s="3470"/>
      <c r="H1044" s="3470" t="s">
        <v>4453</v>
      </c>
      <c r="I1044" s="3470" t="s">
        <v>4447</v>
      </c>
      <c r="J1044" s="3481" t="s">
        <v>10479</v>
      </c>
      <c r="K1044" s="3470" t="s">
        <v>4720</v>
      </c>
      <c r="L1044" s="3470">
        <v>142.54</v>
      </c>
      <c r="M1044" s="3470">
        <v>12</v>
      </c>
      <c r="N1044" s="3470" t="s">
        <v>3632</v>
      </c>
      <c r="O1044" s="3470">
        <v>112.11</v>
      </c>
      <c r="P1044" s="3470" t="s">
        <v>3452</v>
      </c>
      <c r="Q1044" s="3600">
        <v>587037.10860000004</v>
      </c>
      <c r="R1044" s="3470">
        <v>5236.26</v>
      </c>
      <c r="S1044" s="3472">
        <v>58.09</v>
      </c>
      <c r="T1044" s="3527">
        <v>580900</v>
      </c>
      <c r="U1044" s="3470">
        <v>4076</v>
      </c>
      <c r="V1044" s="3474">
        <v>0.1</v>
      </c>
      <c r="W1044" s="3475">
        <v>52.28</v>
      </c>
      <c r="X1044" s="3494">
        <v>522800</v>
      </c>
      <c r="Y1044" s="3441">
        <v>2003</v>
      </c>
      <c r="Z1044" s="3441">
        <v>11</v>
      </c>
      <c r="AA1044" s="3470">
        <v>10</v>
      </c>
      <c r="AB1044" s="3477">
        <v>2900</v>
      </c>
      <c r="AC1044" s="3470" t="s">
        <v>4761</v>
      </c>
      <c r="AD1044" s="3485"/>
      <c r="AE1044" s="3441" t="s">
        <v>3663</v>
      </c>
      <c r="AF1044" s="3470" t="s">
        <v>4721</v>
      </c>
      <c r="AG1044" s="3522" t="s">
        <v>3466</v>
      </c>
      <c r="AH1044" s="3485"/>
      <c r="AI1044" s="3470" t="s">
        <v>5021</v>
      </c>
      <c r="AJ1044" s="3523">
        <v>38230</v>
      </c>
      <c r="AK1044" s="3603" t="s">
        <v>4773</v>
      </c>
      <c r="AL1044" s="3441">
        <v>67641700</v>
      </c>
      <c r="AN1044" s="3456" t="s">
        <v>3695</v>
      </c>
      <c r="AO1044" s="3441" t="s">
        <v>3568</v>
      </c>
      <c r="AP1044" s="3441" t="s">
        <v>3476</v>
      </c>
      <c r="AQ1044" s="3441" t="s">
        <v>3571</v>
      </c>
      <c r="AW1044" s="3441" t="s">
        <v>3572</v>
      </c>
      <c r="AY1044" s="3524" t="s">
        <v>10480</v>
      </c>
      <c r="AZ1044" s="3441" t="s">
        <v>4720</v>
      </c>
      <c r="BA1044" s="3441" t="s">
        <v>4725</v>
      </c>
      <c r="BB1044" s="3524" t="s">
        <v>4726</v>
      </c>
      <c r="BC1044" s="3441" t="s">
        <v>4727</v>
      </c>
      <c r="BD1044" s="3525">
        <v>100005</v>
      </c>
      <c r="BE1044" s="3441">
        <v>65128628</v>
      </c>
      <c r="BF1044" s="3526">
        <v>2.8</v>
      </c>
      <c r="BG1044" s="3518">
        <v>37829</v>
      </c>
      <c r="BI1044" s="3441" t="s">
        <v>8464</v>
      </c>
      <c r="BJ1044" s="3484">
        <v>37893</v>
      </c>
      <c r="BK1044" s="3484" t="s">
        <v>3568</v>
      </c>
      <c r="BL1044" s="3470" t="s">
        <v>3670</v>
      </c>
    </row>
    <row r="1045" spans="1:70" s="3441" customFormat="1" ht="13.2" hidden="1">
      <c r="A1045" s="3542" t="s">
        <v>10481</v>
      </c>
      <c r="B1045" s="3470" t="s">
        <v>10482</v>
      </c>
      <c r="C1045" s="3481" t="s">
        <v>10483</v>
      </c>
      <c r="D1045" s="3481" t="s">
        <v>10484</v>
      </c>
      <c r="E1045" s="3470" t="s">
        <v>2736</v>
      </c>
      <c r="F1045" s="3521" t="s">
        <v>10485</v>
      </c>
      <c r="G1045" s="3470"/>
      <c r="H1045" s="3470" t="s">
        <v>10486</v>
      </c>
      <c r="I1045" s="3470" t="s">
        <v>10487</v>
      </c>
      <c r="J1045" s="3481" t="s">
        <v>7640</v>
      </c>
      <c r="K1045" s="3470" t="s">
        <v>10488</v>
      </c>
      <c r="L1045" s="3470">
        <v>58.5</v>
      </c>
      <c r="M1045" s="3470">
        <v>5</v>
      </c>
      <c r="N1045" s="3470" t="s">
        <v>3451</v>
      </c>
      <c r="O1045" s="3470"/>
      <c r="P1045" s="3470" t="s">
        <v>3452</v>
      </c>
      <c r="Q1045" s="3457">
        <v>310050</v>
      </c>
      <c r="R1045" s="3470">
        <v>5300</v>
      </c>
      <c r="S1045" s="3472">
        <v>30.88</v>
      </c>
      <c r="T1045" s="3550">
        <v>308800</v>
      </c>
      <c r="U1045" s="3470">
        <v>5280</v>
      </c>
      <c r="V1045" s="3474">
        <v>0.05</v>
      </c>
      <c r="W1045" s="3475">
        <v>29.33</v>
      </c>
      <c r="X1045" s="3511">
        <v>293300</v>
      </c>
      <c r="Y1045" s="3441">
        <v>2003</v>
      </c>
      <c r="Z1045" s="3441">
        <v>11</v>
      </c>
      <c r="AA1045" s="3441">
        <v>13</v>
      </c>
      <c r="AB1045" s="3485">
        <v>1540</v>
      </c>
      <c r="AC1045" s="3470" t="s">
        <v>9077</v>
      </c>
      <c r="AD1045" s="3485"/>
      <c r="AE1045" s="3470" t="s">
        <v>2152</v>
      </c>
      <c r="AF1045" s="3470" t="s">
        <v>3453</v>
      </c>
      <c r="AG1045" s="3456" t="s">
        <v>3466</v>
      </c>
      <c r="AH1045" s="3485"/>
      <c r="AI1045" s="3470" t="s">
        <v>3569</v>
      </c>
      <c r="AJ1045" s="3523"/>
      <c r="AK1045" s="3683" t="s">
        <v>4773</v>
      </c>
      <c r="AL1045" s="3441">
        <v>82253557</v>
      </c>
      <c r="AP1045" s="3441" t="s">
        <v>2152</v>
      </c>
      <c r="AQ1045" s="3441" t="s">
        <v>3457</v>
      </c>
      <c r="AW1045" s="3441" t="s">
        <v>3458</v>
      </c>
      <c r="AY1045" s="3524"/>
      <c r="BB1045" s="3524"/>
      <c r="BD1045" s="3525"/>
      <c r="BF1045" s="3526"/>
      <c r="BG1045" s="3518">
        <v>37909</v>
      </c>
      <c r="BJ1045" s="3518">
        <v>37924</v>
      </c>
      <c r="BK1045" s="3518"/>
      <c r="BL1045" s="3470"/>
      <c r="BM1045" s="3441" t="s">
        <v>10489</v>
      </c>
      <c r="BN1045" s="3441" t="s">
        <v>3483</v>
      </c>
      <c r="BO1045" s="3441" t="s">
        <v>10293</v>
      </c>
    </row>
    <row r="1046" spans="1:70" s="3470" customFormat="1" ht="12" hidden="1">
      <c r="A1046" s="3453" t="s">
        <v>10490</v>
      </c>
      <c r="B1046" s="3470" t="s">
        <v>10491</v>
      </c>
      <c r="C1046" s="3481" t="s">
        <v>10492</v>
      </c>
      <c r="D1046" s="3470" t="s">
        <v>10493</v>
      </c>
      <c r="E1046" s="3470" t="s">
        <v>2736</v>
      </c>
      <c r="F1046" s="3470" t="s">
        <v>4782</v>
      </c>
      <c r="H1046" s="3470" t="s">
        <v>6148</v>
      </c>
      <c r="I1046" s="3470" t="s">
        <v>8768</v>
      </c>
      <c r="J1046" s="3470" t="s">
        <v>10494</v>
      </c>
      <c r="K1046" s="3470" t="s">
        <v>4789</v>
      </c>
      <c r="L1046" s="3470">
        <v>89.62</v>
      </c>
      <c r="M1046" s="3470">
        <v>16</v>
      </c>
      <c r="N1046" s="3470" t="s">
        <v>3451</v>
      </c>
      <c r="O1046" s="3470">
        <v>70.3</v>
      </c>
      <c r="P1046" s="3470" t="s">
        <v>3452</v>
      </c>
      <c r="Q1046" s="3457">
        <v>479467</v>
      </c>
      <c r="R1046" s="3470">
        <v>5350</v>
      </c>
      <c r="S1046" s="3472">
        <v>47.49</v>
      </c>
      <c r="T1046" s="3550">
        <v>474900</v>
      </c>
      <c r="U1046" s="3470">
        <v>5300</v>
      </c>
      <c r="V1046" s="3474">
        <v>0.1</v>
      </c>
      <c r="W1046" s="3475">
        <v>42.74</v>
      </c>
      <c r="X1046" s="3602">
        <v>427400</v>
      </c>
      <c r="Y1046" s="3470">
        <v>2003</v>
      </c>
      <c r="Z1046" s="3470">
        <v>11</v>
      </c>
      <c r="AA1046" s="3470">
        <v>10</v>
      </c>
      <c r="AB1046" s="3477">
        <v>2370</v>
      </c>
      <c r="AC1046" s="3470" t="s">
        <v>9364</v>
      </c>
      <c r="AE1046" s="3470" t="s">
        <v>3663</v>
      </c>
      <c r="AF1046" s="3453" t="s">
        <v>7751</v>
      </c>
      <c r="AG1046" s="3456" t="s">
        <v>3466</v>
      </c>
      <c r="AI1046" s="3470" t="s">
        <v>3664</v>
      </c>
      <c r="AJ1046" s="3478">
        <v>38261</v>
      </c>
      <c r="AK1046" s="3606" t="s">
        <v>4773</v>
      </c>
      <c r="AL1046" s="3470">
        <v>67641700</v>
      </c>
      <c r="AN1046" s="3456" t="s">
        <v>3695</v>
      </c>
      <c r="AP1046" s="3441" t="s">
        <v>3476</v>
      </c>
      <c r="AQ1046" s="3470" t="s">
        <v>3457</v>
      </c>
      <c r="AW1046" s="3470" t="s">
        <v>3458</v>
      </c>
      <c r="AX1046" s="3508"/>
      <c r="AY1046" s="3470">
        <v>552433</v>
      </c>
      <c r="AZ1046" s="3470" t="s">
        <v>4789</v>
      </c>
      <c r="BA1046" s="3470" t="s">
        <v>8741</v>
      </c>
      <c r="BB1046" s="3470" t="s">
        <v>4791</v>
      </c>
      <c r="BC1046" s="3470" t="s">
        <v>8742</v>
      </c>
      <c r="BD1046" s="3470">
        <v>102308</v>
      </c>
      <c r="BE1046" s="3470">
        <v>68041987</v>
      </c>
      <c r="BF1046" s="3470">
        <v>2.8</v>
      </c>
      <c r="BG1046" s="3478">
        <v>37927</v>
      </c>
      <c r="BI1046" s="3441" t="s">
        <v>8464</v>
      </c>
      <c r="BJ1046" s="3478">
        <v>37932</v>
      </c>
      <c r="BK1046" s="3478"/>
      <c r="BL1046" s="3470" t="s">
        <v>3594</v>
      </c>
      <c r="BP1046" s="3441"/>
      <c r="BQ1046" s="3441"/>
      <c r="BR1046" s="3441"/>
    </row>
    <row r="1047" spans="1:70" s="3441" customFormat="1" ht="12" hidden="1">
      <c r="A1047" s="3542" t="s">
        <v>10495</v>
      </c>
      <c r="B1047" s="3470" t="s">
        <v>10496</v>
      </c>
      <c r="C1047" s="3481" t="s">
        <v>10497</v>
      </c>
      <c r="D1047" s="3481" t="s">
        <v>10498</v>
      </c>
      <c r="E1047" s="3470" t="s">
        <v>3558</v>
      </c>
      <c r="F1047" s="3528" t="s">
        <v>4669</v>
      </c>
      <c r="G1047" s="3470"/>
      <c r="H1047" s="3470" t="s">
        <v>4453</v>
      </c>
      <c r="I1047" s="3470" t="s">
        <v>4447</v>
      </c>
      <c r="J1047" s="3481" t="s">
        <v>10499</v>
      </c>
      <c r="K1047" s="3470" t="s">
        <v>4673</v>
      </c>
      <c r="L1047" s="3470">
        <v>101.48</v>
      </c>
      <c r="M1047" s="3470">
        <v>12</v>
      </c>
      <c r="N1047" s="3470" t="s">
        <v>4030</v>
      </c>
      <c r="O1047" s="3470">
        <v>78.930000000000007</v>
      </c>
      <c r="P1047" s="3470" t="s">
        <v>3452</v>
      </c>
      <c r="Q1047" s="3457">
        <v>710288.70209999999</v>
      </c>
      <c r="R1047" s="3470">
        <v>8998.9699999999993</v>
      </c>
      <c r="S1047" s="3472">
        <v>70.510000000000005</v>
      </c>
      <c r="T1047" s="3527">
        <v>705100</v>
      </c>
      <c r="U1047" s="3470">
        <v>6949</v>
      </c>
      <c r="V1047" s="3474">
        <v>0.1</v>
      </c>
      <c r="W1047" s="3475">
        <v>63.45</v>
      </c>
      <c r="X1047" s="3494">
        <v>634500</v>
      </c>
      <c r="Y1047" s="3441">
        <v>2003</v>
      </c>
      <c r="Z1047" s="3441">
        <v>11</v>
      </c>
      <c r="AA1047" s="3441">
        <v>11</v>
      </c>
      <c r="AB1047" s="3477">
        <v>3525</v>
      </c>
      <c r="AC1047" s="3470" t="s">
        <v>9007</v>
      </c>
      <c r="AD1047" s="3485"/>
      <c r="AE1047" s="3441" t="s">
        <v>3663</v>
      </c>
      <c r="AF1047" s="3470" t="s">
        <v>4721</v>
      </c>
      <c r="AG1047" s="3522" t="s">
        <v>3466</v>
      </c>
      <c r="AH1047" s="3485" t="s">
        <v>10500</v>
      </c>
      <c r="AI1047" s="3470" t="s">
        <v>5021</v>
      </c>
      <c r="AJ1047" s="3523">
        <v>38347</v>
      </c>
      <c r="AK1047" s="3603" t="s">
        <v>4773</v>
      </c>
      <c r="AL1047" s="3495">
        <v>67641700</v>
      </c>
      <c r="AM1047" s="3470"/>
      <c r="AN1047" s="3456" t="s">
        <v>3695</v>
      </c>
      <c r="AO1047" s="3441" t="s">
        <v>3568</v>
      </c>
      <c r="AP1047" s="3441" t="s">
        <v>3476</v>
      </c>
      <c r="AQ1047" s="3441" t="s">
        <v>3571</v>
      </c>
      <c r="AW1047" s="3441" t="s">
        <v>3572</v>
      </c>
      <c r="AY1047" s="3524" t="s">
        <v>10501</v>
      </c>
      <c r="AZ1047" s="3441" t="s">
        <v>4677</v>
      </c>
      <c r="BA1047" s="3441" t="s">
        <v>4678</v>
      </c>
      <c r="BB1047" s="3524" t="s">
        <v>4679</v>
      </c>
      <c r="BC1047" s="3441" t="s">
        <v>4680</v>
      </c>
      <c r="BD1047" s="3525">
        <v>100089</v>
      </c>
      <c r="BE1047" s="3441">
        <v>68719656</v>
      </c>
      <c r="BF1047" s="3526">
        <v>2.8</v>
      </c>
      <c r="BG1047" s="3518">
        <v>37909</v>
      </c>
      <c r="BI1047" s="3470" t="s">
        <v>3476</v>
      </c>
      <c r="BJ1047" s="3478">
        <v>37935</v>
      </c>
      <c r="BK1047" s="3484"/>
      <c r="BL1047" s="3470" t="s">
        <v>3670</v>
      </c>
    </row>
    <row r="1048" spans="1:70" s="3441" customFormat="1" ht="12">
      <c r="A1048" s="3485" t="s">
        <v>10502</v>
      </c>
      <c r="B1048" s="3470" t="s">
        <v>10503</v>
      </c>
      <c r="C1048" s="3481" t="s">
        <v>10504</v>
      </c>
      <c r="D1048" s="3481" t="s">
        <v>10505</v>
      </c>
      <c r="E1048" s="3470" t="s">
        <v>2736</v>
      </c>
      <c r="F1048" s="3687" t="s">
        <v>9471</v>
      </c>
      <c r="G1048" s="3470"/>
      <c r="H1048" s="3470" t="s">
        <v>2420</v>
      </c>
      <c r="I1048" s="3470" t="s">
        <v>5663</v>
      </c>
      <c r="J1048" s="3481" t="s">
        <v>10506</v>
      </c>
      <c r="K1048" s="3470" t="s">
        <v>8795</v>
      </c>
      <c r="L1048" s="3470">
        <v>48.03</v>
      </c>
      <c r="M1048" s="3470">
        <v>13</v>
      </c>
      <c r="N1048" s="3470" t="s">
        <v>3678</v>
      </c>
      <c r="O1048" s="3470">
        <v>37.29</v>
      </c>
      <c r="P1048" s="3470" t="s">
        <v>3452</v>
      </c>
      <c r="Q1048" s="3457">
        <v>338611.5</v>
      </c>
      <c r="R1048" s="3470">
        <v>7050</v>
      </c>
      <c r="S1048" s="3472">
        <v>33.57</v>
      </c>
      <c r="T1048" s="3527">
        <v>335700</v>
      </c>
      <c r="U1048" s="3495">
        <v>6990</v>
      </c>
      <c r="V1048" s="3474">
        <v>0.1</v>
      </c>
      <c r="W1048" s="3475">
        <v>30.21</v>
      </c>
      <c r="X1048" s="3473">
        <v>302100</v>
      </c>
      <c r="Y1048" s="3495">
        <v>2003</v>
      </c>
      <c r="Z1048" s="3441">
        <v>11</v>
      </c>
      <c r="AA1048" s="3470">
        <v>28</v>
      </c>
      <c r="AB1048" s="3477">
        <v>1675</v>
      </c>
      <c r="AC1048" s="3470" t="s">
        <v>9364</v>
      </c>
      <c r="AD1048" s="3485"/>
      <c r="AE1048" s="3441" t="s">
        <v>3663</v>
      </c>
      <c r="AF1048" s="3470" t="s">
        <v>3587</v>
      </c>
      <c r="AG1048" s="3522" t="s">
        <v>3466</v>
      </c>
      <c r="AH1048" s="3485"/>
      <c r="AI1048" s="3470" t="s">
        <v>5021</v>
      </c>
      <c r="AJ1048" s="3523">
        <v>38107</v>
      </c>
      <c r="AK1048" s="3603" t="s">
        <v>4773</v>
      </c>
      <c r="AL1048" s="3441">
        <v>67641700</v>
      </c>
      <c r="AN1048" s="3456" t="s">
        <v>3680</v>
      </c>
      <c r="AO1048" s="3470" t="s">
        <v>2420</v>
      </c>
      <c r="AP1048" s="3441" t="s">
        <v>3476</v>
      </c>
      <c r="AQ1048" s="3441" t="s">
        <v>3571</v>
      </c>
      <c r="AW1048" s="3441" t="s">
        <v>3572</v>
      </c>
      <c r="AY1048" s="3524" t="s">
        <v>10507</v>
      </c>
      <c r="AZ1048" s="3470" t="s">
        <v>8795</v>
      </c>
      <c r="BA1048" s="3441" t="s">
        <v>9474</v>
      </c>
      <c r="BB1048" s="3524" t="s">
        <v>8799</v>
      </c>
      <c r="BC1048" s="3441" t="s">
        <v>8800</v>
      </c>
      <c r="BD1048" s="3525" t="s">
        <v>2420</v>
      </c>
      <c r="BE1048" s="3441" t="s">
        <v>2420</v>
      </c>
      <c r="BF1048" s="3526">
        <v>2.8</v>
      </c>
      <c r="BG1048" s="3484">
        <v>37878</v>
      </c>
      <c r="BH1048" s="3441" t="s">
        <v>8801</v>
      </c>
      <c r="BI1048" s="3441" t="s">
        <v>3476</v>
      </c>
      <c r="BJ1048" s="3478">
        <v>37932</v>
      </c>
      <c r="BK1048" s="3484">
        <v>37908</v>
      </c>
      <c r="BL1048" s="3470" t="s">
        <v>3670</v>
      </c>
    </row>
    <row r="1049" spans="1:70" s="3470" customFormat="1" ht="12" hidden="1">
      <c r="A1049" s="3542" t="s">
        <v>10508</v>
      </c>
      <c r="B1049" s="3470" t="s">
        <v>10509</v>
      </c>
      <c r="C1049" s="3481" t="s">
        <v>10510</v>
      </c>
      <c r="D1049" s="3470">
        <v>13701028305</v>
      </c>
      <c r="E1049" s="3470" t="s">
        <v>3558</v>
      </c>
      <c r="F1049" s="3470" t="s">
        <v>10511</v>
      </c>
      <c r="H1049" s="3470" t="s">
        <v>4168</v>
      </c>
      <c r="I1049" s="3470" t="s">
        <v>3561</v>
      </c>
      <c r="J1049" s="3470" t="s">
        <v>10512</v>
      </c>
      <c r="K1049" s="3470" t="s">
        <v>10513</v>
      </c>
      <c r="L1049" s="3470">
        <v>119.69</v>
      </c>
      <c r="M1049" s="3470">
        <v>14</v>
      </c>
      <c r="N1049" s="3470" t="s">
        <v>3632</v>
      </c>
      <c r="O1049" s="3470">
        <v>103.06</v>
      </c>
      <c r="P1049" s="3470" t="s">
        <v>3452</v>
      </c>
      <c r="Q1049" s="3457">
        <v>657098.1</v>
      </c>
      <c r="R1049" s="3470">
        <v>5490</v>
      </c>
      <c r="S1049" s="3472">
        <v>65.05</v>
      </c>
      <c r="T1049" s="3550">
        <v>650500</v>
      </c>
      <c r="U1049" s="3470">
        <v>5435</v>
      </c>
      <c r="V1049" s="3474">
        <v>0.1</v>
      </c>
      <c r="W1049" s="3475">
        <v>58.54</v>
      </c>
      <c r="X1049" s="3602">
        <v>585400</v>
      </c>
      <c r="Y1049" s="3470">
        <v>2003</v>
      </c>
      <c r="Z1049" s="3441">
        <v>11</v>
      </c>
      <c r="AA1049" s="3441">
        <v>11</v>
      </c>
      <c r="AB1049" s="3477">
        <v>3250</v>
      </c>
      <c r="AC1049" s="3470" t="s">
        <v>9077</v>
      </c>
      <c r="AE1049" s="3470" t="s">
        <v>3663</v>
      </c>
      <c r="AF1049" s="3470" t="s">
        <v>3587</v>
      </c>
      <c r="AG1049" s="3456" t="s">
        <v>3466</v>
      </c>
      <c r="AI1049" s="3470" t="s">
        <v>5021</v>
      </c>
      <c r="AJ1049" s="3478">
        <v>38076</v>
      </c>
      <c r="AK1049" s="3603" t="s">
        <v>10514</v>
      </c>
      <c r="AL1049" s="3470">
        <v>67641700</v>
      </c>
      <c r="AM1049" s="3441"/>
      <c r="AN1049" s="3456" t="s">
        <v>3695</v>
      </c>
      <c r="AP1049" s="3470" t="s">
        <v>3476</v>
      </c>
      <c r="AQ1049" s="3470" t="s">
        <v>3571</v>
      </c>
      <c r="AW1049" s="3470" t="s">
        <v>3572</v>
      </c>
      <c r="AX1049" s="3470" t="s">
        <v>2511</v>
      </c>
      <c r="AY1049" s="3481" t="s">
        <v>10515</v>
      </c>
      <c r="AZ1049" s="3470" t="s">
        <v>10513</v>
      </c>
      <c r="BA1049" s="3470" t="s">
        <v>10516</v>
      </c>
      <c r="BB1049" s="3481" t="s">
        <v>10517</v>
      </c>
      <c r="BC1049" s="3470" t="s">
        <v>10518</v>
      </c>
      <c r="BD1049" s="3482">
        <v>100085</v>
      </c>
      <c r="BE1049" s="3470">
        <v>62981809</v>
      </c>
      <c r="BF1049" s="3483">
        <v>2.8</v>
      </c>
      <c r="BG1049" s="3478">
        <v>37905</v>
      </c>
      <c r="BI1049" s="3470" t="s">
        <v>3476</v>
      </c>
      <c r="BJ1049" s="3478">
        <v>37922</v>
      </c>
      <c r="BK1049" s="3478" t="s">
        <v>2420</v>
      </c>
      <c r="BL1049" s="3470" t="s">
        <v>3670</v>
      </c>
      <c r="BM1049" s="3441"/>
      <c r="BN1049" s="3441"/>
      <c r="BO1049" s="3441"/>
      <c r="BP1049" s="3441"/>
      <c r="BQ1049" s="3441"/>
      <c r="BR1049" s="3441"/>
    </row>
    <row r="1050" spans="1:70" s="3470" customFormat="1" ht="12" hidden="1">
      <c r="A1050" s="3453" t="s">
        <v>10519</v>
      </c>
      <c r="B1050" s="3470" t="s">
        <v>10520</v>
      </c>
      <c r="C1050" s="3481" t="s">
        <v>10521</v>
      </c>
      <c r="D1050" s="3470">
        <v>13910180318</v>
      </c>
      <c r="E1050" s="3470" t="s">
        <v>3558</v>
      </c>
      <c r="F1050" s="3470" t="s">
        <v>9289</v>
      </c>
      <c r="H1050" s="3453" t="s">
        <v>4168</v>
      </c>
      <c r="I1050" s="3453" t="s">
        <v>8778</v>
      </c>
      <c r="J1050" s="3453" t="s">
        <v>10522</v>
      </c>
      <c r="K1050" s="3470" t="s">
        <v>6499</v>
      </c>
      <c r="L1050" s="3495">
        <v>116.73</v>
      </c>
      <c r="M1050" s="3495">
        <v>10</v>
      </c>
      <c r="N1050" s="3470" t="s">
        <v>3488</v>
      </c>
      <c r="O1050" s="3495">
        <v>94.38</v>
      </c>
      <c r="P1050" s="3470" t="s">
        <v>3452</v>
      </c>
      <c r="Q1050" s="3457">
        <v>501939</v>
      </c>
      <c r="R1050" s="3470">
        <v>4300</v>
      </c>
      <c r="S1050" s="3472">
        <v>49.66</v>
      </c>
      <c r="T1050" s="3527">
        <v>496599.99999999994</v>
      </c>
      <c r="U1050" s="3470">
        <v>4255</v>
      </c>
      <c r="V1050" s="3474">
        <v>0.1</v>
      </c>
      <c r="W1050" s="3475">
        <v>44.69</v>
      </c>
      <c r="X1050" s="3476">
        <v>446900</v>
      </c>
      <c r="Y1050" s="3441">
        <v>2003</v>
      </c>
      <c r="Z1050" s="3441">
        <v>11</v>
      </c>
      <c r="AA1050" s="3441">
        <v>11</v>
      </c>
      <c r="AB1050" s="3477">
        <v>2480</v>
      </c>
      <c r="AC1050" s="3470" t="s">
        <v>9413</v>
      </c>
      <c r="AE1050" s="3456" t="s">
        <v>3663</v>
      </c>
      <c r="AF1050" s="3453" t="s">
        <v>4721</v>
      </c>
      <c r="AG1050" s="3456" t="s">
        <v>3466</v>
      </c>
      <c r="AH1050" s="3470" t="s">
        <v>3463</v>
      </c>
      <c r="AI1050" s="3456" t="s">
        <v>5021</v>
      </c>
      <c r="AJ1050" s="3478">
        <v>38352</v>
      </c>
      <c r="AK1050" s="3603" t="s">
        <v>4773</v>
      </c>
      <c r="AL1050" s="3441">
        <v>67641700</v>
      </c>
      <c r="AM1050" s="3441"/>
      <c r="AN1050" s="3456" t="s">
        <v>3695</v>
      </c>
      <c r="AO1050" s="3470" t="s">
        <v>3568</v>
      </c>
      <c r="AP1050" s="3456" t="s">
        <v>3476</v>
      </c>
      <c r="AQ1050" s="3456" t="s">
        <v>3571</v>
      </c>
      <c r="AV1050" s="3519"/>
      <c r="AW1050" s="3470" t="s">
        <v>3572</v>
      </c>
      <c r="AX1050" s="3470" t="s">
        <v>3568</v>
      </c>
      <c r="AY1050" s="3495">
        <v>519364</v>
      </c>
      <c r="AZ1050" s="3470" t="s">
        <v>6499</v>
      </c>
      <c r="BA1050" s="3470" t="s">
        <v>3984</v>
      </c>
      <c r="BB1050" s="3470" t="s">
        <v>9292</v>
      </c>
      <c r="BC1050" s="3470" t="s">
        <v>9293</v>
      </c>
      <c r="BD1050" s="3470">
        <v>100096</v>
      </c>
      <c r="BE1050" s="3470">
        <v>82903819</v>
      </c>
      <c r="BF1050" s="3520">
        <v>2.8</v>
      </c>
      <c r="BG1050" s="3478">
        <v>37928</v>
      </c>
      <c r="BI1050" s="3470" t="s">
        <v>3476</v>
      </c>
      <c r="BJ1050" s="3478">
        <v>37935</v>
      </c>
      <c r="BK1050" s="3478"/>
      <c r="BL1050" s="3470" t="s">
        <v>3670</v>
      </c>
      <c r="BP1050" s="3441"/>
      <c r="BQ1050" s="3441"/>
      <c r="BR1050" s="3441"/>
    </row>
    <row r="1051" spans="1:70" s="3441" customFormat="1" ht="12" hidden="1">
      <c r="A1051" s="3542" t="s">
        <v>10523</v>
      </c>
      <c r="B1051" s="3470" t="s">
        <v>10524</v>
      </c>
      <c r="C1051" s="3481" t="s">
        <v>10525</v>
      </c>
      <c r="D1051" s="3481" t="s">
        <v>10526</v>
      </c>
      <c r="E1051" s="3470" t="s">
        <v>3558</v>
      </c>
      <c r="F1051" s="3470" t="s">
        <v>7153</v>
      </c>
      <c r="G1051" s="3470" t="s">
        <v>3568</v>
      </c>
      <c r="H1051" s="3470" t="s">
        <v>9230</v>
      </c>
      <c r="I1051" s="3453" t="s">
        <v>4854</v>
      </c>
      <c r="J1051" s="3481" t="s">
        <v>4485</v>
      </c>
      <c r="K1051" s="3470" t="s">
        <v>6117</v>
      </c>
      <c r="L1051" s="3470">
        <v>53.97</v>
      </c>
      <c r="M1051" s="3470">
        <v>9</v>
      </c>
      <c r="N1051" s="3470" t="s">
        <v>3489</v>
      </c>
      <c r="O1051" s="3470">
        <v>44.19</v>
      </c>
      <c r="P1051" s="3470" t="s">
        <v>3452</v>
      </c>
      <c r="Q1051" s="3457">
        <v>214800.6</v>
      </c>
      <c r="R1051" s="3470">
        <v>3980</v>
      </c>
      <c r="S1051" s="3472">
        <v>21.36</v>
      </c>
      <c r="T1051" s="3527">
        <v>213600</v>
      </c>
      <c r="U1051" s="3470">
        <v>3958</v>
      </c>
      <c r="V1051" s="3474">
        <v>0.1</v>
      </c>
      <c r="W1051" s="3475">
        <v>19.22</v>
      </c>
      <c r="X1051" s="3476">
        <v>192200</v>
      </c>
      <c r="Y1051" s="3441">
        <v>2003</v>
      </c>
      <c r="Z1051" s="3441">
        <v>11</v>
      </c>
      <c r="AA1051" s="3441">
        <v>11</v>
      </c>
      <c r="AB1051" s="3477">
        <v>1065</v>
      </c>
      <c r="AC1051" s="3470" t="s">
        <v>9413</v>
      </c>
      <c r="AD1051" s="3485"/>
      <c r="AE1051" s="3441" t="s">
        <v>3663</v>
      </c>
      <c r="AF1051" s="3470" t="s">
        <v>7751</v>
      </c>
      <c r="AG1051" s="3522" t="s">
        <v>3466</v>
      </c>
      <c r="AH1051" s="3485"/>
      <c r="AI1051" s="3470" t="s">
        <v>5021</v>
      </c>
      <c r="AJ1051" s="3523">
        <v>38352</v>
      </c>
      <c r="AK1051" s="3603" t="s">
        <v>4773</v>
      </c>
      <c r="AL1051" s="3441">
        <v>67641700</v>
      </c>
      <c r="AN1051" s="3456" t="s">
        <v>3695</v>
      </c>
      <c r="AO1051" s="3441" t="s">
        <v>2420</v>
      </c>
      <c r="AP1051" s="3441" t="s">
        <v>3476</v>
      </c>
      <c r="AQ1051" s="3441" t="s">
        <v>3571</v>
      </c>
      <c r="AW1051" s="3441" t="s">
        <v>3572</v>
      </c>
      <c r="AY1051" s="3524" t="s">
        <v>10527</v>
      </c>
      <c r="AZ1051" s="3441" t="s">
        <v>6117</v>
      </c>
      <c r="BA1051" s="3441" t="s">
        <v>7157</v>
      </c>
      <c r="BB1051" s="3524">
        <v>1102281326100</v>
      </c>
      <c r="BC1051" s="3441" t="s">
        <v>7158</v>
      </c>
      <c r="BD1051" s="3525">
        <v>100055</v>
      </c>
      <c r="BE1051" s="3441">
        <v>82951881</v>
      </c>
      <c r="BF1051" s="3526">
        <v>2.8</v>
      </c>
      <c r="BG1051" s="3518">
        <v>37893</v>
      </c>
      <c r="BH1051" s="3441" t="s">
        <v>4753</v>
      </c>
      <c r="BI1051" s="3441" t="s">
        <v>3476</v>
      </c>
      <c r="BJ1051" s="3478">
        <v>37935</v>
      </c>
      <c r="BK1051" s="3484"/>
      <c r="BL1051" s="3470" t="s">
        <v>3670</v>
      </c>
    </row>
    <row r="1052" spans="1:70" s="3441" customFormat="1" ht="12">
      <c r="A1052" s="3485" t="s">
        <v>10528</v>
      </c>
      <c r="B1052" s="3470" t="s">
        <v>10529</v>
      </c>
      <c r="C1052" s="3481" t="s">
        <v>10530</v>
      </c>
      <c r="D1052" s="3481" t="s">
        <v>10531</v>
      </c>
      <c r="E1052" s="3470" t="s">
        <v>2736</v>
      </c>
      <c r="F1052" s="3687" t="s">
        <v>9471</v>
      </c>
      <c r="G1052" s="3470"/>
      <c r="H1052" s="3470" t="s">
        <v>2420</v>
      </c>
      <c r="I1052" s="3470" t="s">
        <v>5663</v>
      </c>
      <c r="J1052" s="3481" t="s">
        <v>10532</v>
      </c>
      <c r="K1052" s="3470" t="s">
        <v>8795</v>
      </c>
      <c r="L1052" s="3470">
        <v>47.67</v>
      </c>
      <c r="M1052" s="3470">
        <v>13</v>
      </c>
      <c r="N1052" s="3470" t="s">
        <v>3678</v>
      </c>
      <c r="O1052" s="3470">
        <v>37.01</v>
      </c>
      <c r="P1052" s="3470" t="s">
        <v>3452</v>
      </c>
      <c r="Q1052" s="3457">
        <v>344654.10000000003</v>
      </c>
      <c r="R1052" s="3470">
        <v>7230</v>
      </c>
      <c r="S1052" s="3472">
        <v>34.47</v>
      </c>
      <c r="T1052" s="3527">
        <v>344700</v>
      </c>
      <c r="U1052" s="3495">
        <v>7231</v>
      </c>
      <c r="V1052" s="3474">
        <v>0.1</v>
      </c>
      <c r="W1052" s="3475">
        <v>31.02</v>
      </c>
      <c r="X1052" s="3473">
        <v>310200</v>
      </c>
      <c r="Y1052" s="3495">
        <v>2003</v>
      </c>
      <c r="Z1052" s="3441">
        <v>12</v>
      </c>
      <c r="AA1052" s="3470">
        <v>16</v>
      </c>
      <c r="AB1052" s="3477">
        <v>1720</v>
      </c>
      <c r="AC1052" s="3470" t="s">
        <v>10533</v>
      </c>
      <c r="AD1052" s="3485"/>
      <c r="AE1052" s="3441" t="s">
        <v>3663</v>
      </c>
      <c r="AF1052" s="3470" t="s">
        <v>4126</v>
      </c>
      <c r="AG1052" s="3522" t="s">
        <v>3466</v>
      </c>
      <c r="AH1052" s="3485"/>
      <c r="AI1052" s="3470" t="s">
        <v>5021</v>
      </c>
      <c r="AJ1052" s="3523">
        <v>38107</v>
      </c>
      <c r="AK1052" s="3612" t="s">
        <v>3467</v>
      </c>
      <c r="AL1052" s="3441">
        <v>67641700</v>
      </c>
      <c r="AN1052" s="3480" t="s">
        <v>3739</v>
      </c>
      <c r="AO1052" s="3470" t="s">
        <v>2420</v>
      </c>
      <c r="AP1052" s="3441" t="s">
        <v>3476</v>
      </c>
      <c r="AQ1052" s="3441" t="s">
        <v>3571</v>
      </c>
      <c r="AW1052" s="3441" t="s">
        <v>3572</v>
      </c>
      <c r="AY1052" s="3524" t="s">
        <v>10534</v>
      </c>
      <c r="AZ1052" s="3470" t="s">
        <v>8795</v>
      </c>
      <c r="BA1052" s="3441" t="s">
        <v>9474</v>
      </c>
      <c r="BB1052" s="3524" t="s">
        <v>8799</v>
      </c>
      <c r="BC1052" s="3441" t="s">
        <v>8800</v>
      </c>
      <c r="BD1052" s="3525" t="s">
        <v>2420</v>
      </c>
      <c r="BE1052" s="3441" t="s">
        <v>2420</v>
      </c>
      <c r="BF1052" s="3526">
        <v>2.8</v>
      </c>
      <c r="BG1052" s="3484">
        <v>37907</v>
      </c>
      <c r="BH1052" s="3441" t="s">
        <v>8801</v>
      </c>
      <c r="BI1052" s="3441" t="s">
        <v>3476</v>
      </c>
      <c r="BJ1052" s="3484">
        <v>37935</v>
      </c>
      <c r="BK1052" s="3484">
        <v>37939</v>
      </c>
      <c r="BL1052" s="3470" t="s">
        <v>3670</v>
      </c>
    </row>
    <row r="1053" spans="1:70" s="3470" customFormat="1" ht="12" hidden="1">
      <c r="A1053" s="3453" t="s">
        <v>10535</v>
      </c>
      <c r="B1053" s="3470" t="s">
        <v>10536</v>
      </c>
      <c r="C1053" s="3454" t="s">
        <v>10537</v>
      </c>
      <c r="D1053" s="3470">
        <v>13611368996</v>
      </c>
      <c r="E1053" s="3470" t="s">
        <v>2736</v>
      </c>
      <c r="F1053" s="3470" t="s">
        <v>5592</v>
      </c>
      <c r="G1053" s="3470" t="s">
        <v>2420</v>
      </c>
      <c r="H1053" s="3470" t="s">
        <v>9911</v>
      </c>
      <c r="I1053" s="3453" t="s">
        <v>4019</v>
      </c>
      <c r="J1053" s="3453" t="s">
        <v>10538</v>
      </c>
      <c r="K1053" s="3470" t="s">
        <v>5586</v>
      </c>
      <c r="L1053" s="3495">
        <v>82.55</v>
      </c>
      <c r="M1053" s="3495">
        <v>11</v>
      </c>
      <c r="N1053" s="3470" t="s">
        <v>3486</v>
      </c>
      <c r="O1053" s="3495">
        <v>67.23</v>
      </c>
      <c r="P1053" s="3470" t="s">
        <v>3452</v>
      </c>
      <c r="Q1053" s="3457">
        <v>333502</v>
      </c>
      <c r="R1053" s="3470">
        <v>4040</v>
      </c>
      <c r="S1053" s="3472">
        <v>32.97</v>
      </c>
      <c r="T1053" s="3550">
        <v>329700</v>
      </c>
      <c r="U1053" s="3470">
        <v>3995</v>
      </c>
      <c r="V1053" s="3474">
        <v>0.1</v>
      </c>
      <c r="W1053" s="3475">
        <v>29.67</v>
      </c>
      <c r="X1053" s="3511">
        <v>296700</v>
      </c>
      <c r="Y1053" s="3441">
        <v>2003</v>
      </c>
      <c r="Z1053" s="3441">
        <v>11</v>
      </c>
      <c r="AA1053" s="3470">
        <v>27</v>
      </c>
      <c r="AB1053" s="3485">
        <v>1645</v>
      </c>
      <c r="AC1053" s="3470" t="s">
        <v>9007</v>
      </c>
      <c r="AE1053" s="3456" t="s">
        <v>3663</v>
      </c>
      <c r="AF1053" s="3470" t="s">
        <v>4721</v>
      </c>
      <c r="AG1053" s="3470" t="s">
        <v>3466</v>
      </c>
      <c r="AI1053" s="3470" t="s">
        <v>3664</v>
      </c>
      <c r="AJ1053" s="3478">
        <v>38352</v>
      </c>
      <c r="AK1053" s="3612" t="s">
        <v>4773</v>
      </c>
      <c r="AL1053" s="3495">
        <v>67641700</v>
      </c>
      <c r="AN1053" s="3456" t="s">
        <v>3680</v>
      </c>
      <c r="AO1053" s="3441" t="s">
        <v>10539</v>
      </c>
      <c r="AP1053" s="3456" t="s">
        <v>3476</v>
      </c>
      <c r="AQ1053" s="3456" t="s">
        <v>3571</v>
      </c>
      <c r="AV1053" s="3519"/>
      <c r="AW1053" s="3470" t="s">
        <v>3572</v>
      </c>
      <c r="AX1053" s="3470" t="s">
        <v>2420</v>
      </c>
      <c r="AY1053" s="3495">
        <v>565870</v>
      </c>
      <c r="AZ1053" s="3470" t="s">
        <v>5586</v>
      </c>
      <c r="BA1053" s="3470" t="s">
        <v>5587</v>
      </c>
      <c r="BB1053" s="3619">
        <v>1102281326100</v>
      </c>
      <c r="BC1053" s="3470" t="s">
        <v>5588</v>
      </c>
      <c r="BD1053" s="3470">
        <v>100055</v>
      </c>
      <c r="BE1053" s="3470">
        <v>82951881</v>
      </c>
      <c r="BF1053" s="3520">
        <v>2.8</v>
      </c>
      <c r="BG1053" s="3478">
        <v>37934</v>
      </c>
      <c r="BI1053" s="3441" t="s">
        <v>3476</v>
      </c>
      <c r="BJ1053" s="3484">
        <v>37951</v>
      </c>
      <c r="BK1053" s="3478"/>
      <c r="BL1053" s="3441" t="s">
        <v>3670</v>
      </c>
      <c r="BM1053" s="3441"/>
      <c r="BN1053" s="3441"/>
      <c r="BO1053" s="3441"/>
      <c r="BP1053" s="3441"/>
      <c r="BQ1053" s="3441"/>
      <c r="BR1053" s="3441"/>
    </row>
    <row r="1054" spans="1:70" s="3441" customFormat="1" ht="12" hidden="1">
      <c r="A1054" s="3542" t="s">
        <v>10540</v>
      </c>
      <c r="B1054" s="3470" t="s">
        <v>10541</v>
      </c>
      <c r="C1054" s="3481" t="s">
        <v>10542</v>
      </c>
      <c r="D1054" s="3481" t="s">
        <v>10543</v>
      </c>
      <c r="E1054" s="3470" t="s">
        <v>3558</v>
      </c>
      <c r="F1054" s="3528" t="s">
        <v>3733</v>
      </c>
      <c r="G1054" s="3470"/>
      <c r="H1054" s="3470" t="s">
        <v>10326</v>
      </c>
      <c r="I1054" s="3470" t="s">
        <v>10544</v>
      </c>
      <c r="J1054" s="3470" t="s">
        <v>6359</v>
      </c>
      <c r="K1054" s="3470" t="s">
        <v>3737</v>
      </c>
      <c r="L1054" s="3470">
        <v>75.19</v>
      </c>
      <c r="M1054" s="3470">
        <v>2</v>
      </c>
      <c r="N1054" s="3470" t="s">
        <v>3486</v>
      </c>
      <c r="O1054" s="3470">
        <v>60.28</v>
      </c>
      <c r="P1054" s="3470" t="s">
        <v>3452</v>
      </c>
      <c r="Q1054" s="3600">
        <v>433094.39999999997</v>
      </c>
      <c r="R1054" s="3470">
        <v>5760</v>
      </c>
      <c r="S1054" s="3472">
        <v>42.29</v>
      </c>
      <c r="T1054" s="3527">
        <v>422900</v>
      </c>
      <c r="U1054" s="3470">
        <v>5625</v>
      </c>
      <c r="V1054" s="3474">
        <v>0.1</v>
      </c>
      <c r="W1054" s="3475">
        <v>38.06</v>
      </c>
      <c r="X1054" s="3494">
        <v>380600</v>
      </c>
      <c r="Y1054" s="3441">
        <v>2003</v>
      </c>
      <c r="Z1054" s="3441">
        <v>11</v>
      </c>
      <c r="AA1054" s="3470">
        <v>12</v>
      </c>
      <c r="AB1054" s="3477">
        <v>2110</v>
      </c>
      <c r="AC1054" s="3470" t="s">
        <v>4800</v>
      </c>
      <c r="AD1054" s="3485"/>
      <c r="AE1054" s="3441" t="s">
        <v>3663</v>
      </c>
      <c r="AF1054" s="3470" t="s">
        <v>3604</v>
      </c>
      <c r="AG1054" s="3522" t="s">
        <v>3466</v>
      </c>
      <c r="AH1054" s="3485"/>
      <c r="AI1054" s="3470" t="s">
        <v>5021</v>
      </c>
      <c r="AJ1054" s="3523">
        <v>38122</v>
      </c>
      <c r="AK1054" s="3603" t="s">
        <v>4773</v>
      </c>
      <c r="AL1054" s="3441">
        <v>67641700</v>
      </c>
      <c r="AN1054" s="3456" t="s">
        <v>3695</v>
      </c>
      <c r="AO1054" s="3441" t="s">
        <v>2420</v>
      </c>
      <c r="AP1054" s="3441" t="s">
        <v>3476</v>
      </c>
      <c r="AQ1054" s="3441" t="s">
        <v>3571</v>
      </c>
      <c r="AW1054" s="3441" t="s">
        <v>3572</v>
      </c>
      <c r="AY1054" s="3524" t="s">
        <v>10545</v>
      </c>
      <c r="AZ1054" s="3441" t="s">
        <v>3737</v>
      </c>
      <c r="BA1054" s="3441" t="s">
        <v>3742</v>
      </c>
      <c r="BB1054" s="3524" t="s">
        <v>3743</v>
      </c>
      <c r="BC1054" s="3441" t="s">
        <v>3744</v>
      </c>
      <c r="BD1054" s="3525">
        <v>100088</v>
      </c>
      <c r="BE1054" s="3441">
        <v>82058259</v>
      </c>
      <c r="BF1054" s="3526" t="s">
        <v>8595</v>
      </c>
      <c r="BG1054" s="3478">
        <v>37917</v>
      </c>
      <c r="BH1054" s="3441" t="s">
        <v>4753</v>
      </c>
      <c r="BI1054" s="3441" t="s">
        <v>3476</v>
      </c>
      <c r="BJ1054" s="3478">
        <v>37929</v>
      </c>
      <c r="BK1054" s="3484" t="s">
        <v>2420</v>
      </c>
      <c r="BL1054" s="3470" t="s">
        <v>3670</v>
      </c>
    </row>
    <row r="1055" spans="1:70" s="3441" customFormat="1" ht="12" hidden="1">
      <c r="A1055" s="3542" t="s">
        <v>10546</v>
      </c>
      <c r="B1055" s="3470" t="s">
        <v>10547</v>
      </c>
      <c r="C1055" s="3481" t="s">
        <v>10548</v>
      </c>
      <c r="D1055" s="3481" t="s">
        <v>10549</v>
      </c>
      <c r="E1055" s="3470" t="s">
        <v>3558</v>
      </c>
      <c r="F1055" s="3470" t="s">
        <v>7153</v>
      </c>
      <c r="G1055" s="3470" t="s">
        <v>3568</v>
      </c>
      <c r="H1055" s="3470" t="s">
        <v>9119</v>
      </c>
      <c r="I1055" s="3453" t="s">
        <v>3676</v>
      </c>
      <c r="J1055" s="3481" t="s">
        <v>4485</v>
      </c>
      <c r="K1055" s="3470" t="s">
        <v>5586</v>
      </c>
      <c r="L1055" s="3470">
        <v>53.97</v>
      </c>
      <c r="M1055" s="3470">
        <v>9</v>
      </c>
      <c r="N1055" s="3542" t="s">
        <v>3489</v>
      </c>
      <c r="O1055" s="3470">
        <v>44.19</v>
      </c>
      <c r="P1055" s="3470" t="s">
        <v>3452</v>
      </c>
      <c r="Q1055" s="3457">
        <v>214800.6</v>
      </c>
      <c r="R1055" s="3470">
        <v>3980</v>
      </c>
      <c r="S1055" s="3472">
        <v>21.21</v>
      </c>
      <c r="T1055" s="3550">
        <v>212100</v>
      </c>
      <c r="U1055" s="3470">
        <v>3930</v>
      </c>
      <c r="V1055" s="3474">
        <v>0.1</v>
      </c>
      <c r="W1055" s="3475">
        <v>19.079999999999998</v>
      </c>
      <c r="X1055" s="3602">
        <v>190799.99999999997</v>
      </c>
      <c r="Y1055" s="3441">
        <v>2003</v>
      </c>
      <c r="Z1055" s="3441">
        <v>11</v>
      </c>
      <c r="AA1055" s="3470">
        <v>12</v>
      </c>
      <c r="AB1055" s="3477">
        <v>1060</v>
      </c>
      <c r="AC1055" s="3470" t="s">
        <v>9077</v>
      </c>
      <c r="AD1055" s="3485"/>
      <c r="AE1055" s="3441" t="s">
        <v>3663</v>
      </c>
      <c r="AF1055" s="3470" t="s">
        <v>4721</v>
      </c>
      <c r="AG1055" s="3522" t="s">
        <v>3466</v>
      </c>
      <c r="AH1055" s="3485"/>
      <c r="AI1055" s="3470" t="s">
        <v>5021</v>
      </c>
      <c r="AJ1055" s="3523">
        <v>38352</v>
      </c>
      <c r="AK1055" s="3603" t="s">
        <v>4773</v>
      </c>
      <c r="AL1055" s="3441">
        <v>67641700</v>
      </c>
      <c r="AN1055" s="3456" t="s">
        <v>3468</v>
      </c>
      <c r="AO1055" s="3441" t="s">
        <v>10440</v>
      </c>
      <c r="AP1055" s="3441" t="s">
        <v>3476</v>
      </c>
      <c r="AQ1055" s="3441" t="s">
        <v>3571</v>
      </c>
      <c r="AW1055" s="3441" t="s">
        <v>3572</v>
      </c>
      <c r="AX1055" s="3441" t="s">
        <v>3568</v>
      </c>
      <c r="AY1055" s="3524" t="s">
        <v>10550</v>
      </c>
      <c r="AZ1055" s="3441" t="s">
        <v>6117</v>
      </c>
      <c r="BA1055" s="3441" t="s">
        <v>7157</v>
      </c>
      <c r="BB1055" s="3524" t="s">
        <v>9225</v>
      </c>
      <c r="BC1055" s="3441" t="s">
        <v>7158</v>
      </c>
      <c r="BD1055" s="3525">
        <v>100055</v>
      </c>
      <c r="BE1055" s="3441">
        <v>82951881</v>
      </c>
      <c r="BF1055" s="3526">
        <v>2.8</v>
      </c>
      <c r="BG1055" s="3518">
        <v>37929</v>
      </c>
      <c r="BI1055" s="3441" t="s">
        <v>8464</v>
      </c>
      <c r="BJ1055" s="3518">
        <v>37935</v>
      </c>
      <c r="BK1055" s="3518"/>
      <c r="BL1055" s="3470" t="s">
        <v>3670</v>
      </c>
    </row>
    <row r="1056" spans="1:70" s="3441" customFormat="1" ht="12" hidden="1">
      <c r="A1056" s="3453" t="s">
        <v>10551</v>
      </c>
      <c r="B1056" s="3470" t="s">
        <v>10552</v>
      </c>
      <c r="C1056" s="3481" t="s">
        <v>10553</v>
      </c>
      <c r="D1056" s="3481" t="s">
        <v>10554</v>
      </c>
      <c r="E1056" s="3470" t="s">
        <v>3558</v>
      </c>
      <c r="F1056" s="3528" t="s">
        <v>7652</v>
      </c>
      <c r="G1056" s="3470"/>
      <c r="H1056" s="3470" t="s">
        <v>3614</v>
      </c>
      <c r="I1056" s="3453" t="s">
        <v>4387</v>
      </c>
      <c r="J1056" s="3481" t="s">
        <v>10555</v>
      </c>
      <c r="K1056" s="3470" t="s">
        <v>7653</v>
      </c>
      <c r="L1056" s="3470">
        <v>104.4</v>
      </c>
      <c r="M1056" s="3470">
        <v>7</v>
      </c>
      <c r="N1056" s="3470" t="s">
        <v>3491</v>
      </c>
      <c r="O1056" s="3470">
        <v>82.57</v>
      </c>
      <c r="P1056" s="3470" t="s">
        <v>3452</v>
      </c>
      <c r="Q1056" s="3457">
        <v>486504</v>
      </c>
      <c r="R1056" s="3470">
        <v>4660</v>
      </c>
      <c r="S1056" s="3472">
        <v>48.12</v>
      </c>
      <c r="T1056" s="3527">
        <v>481200</v>
      </c>
      <c r="U1056" s="3470">
        <v>4610</v>
      </c>
      <c r="V1056" s="3512">
        <v>0.1</v>
      </c>
      <c r="W1056" s="3475">
        <v>43.3</v>
      </c>
      <c r="X1056" s="3473">
        <v>433000</v>
      </c>
      <c r="Y1056" s="3441">
        <v>2003</v>
      </c>
      <c r="Z1056" s="3441">
        <v>11</v>
      </c>
      <c r="AA1056" s="3470">
        <v>12</v>
      </c>
      <c r="AB1056" s="3485">
        <v>2405</v>
      </c>
      <c r="AC1056" s="3470" t="s">
        <v>9077</v>
      </c>
      <c r="AD1056" s="3485"/>
      <c r="AE1056" s="3441" t="s">
        <v>3663</v>
      </c>
      <c r="AF1056" s="3470" t="s">
        <v>4721</v>
      </c>
      <c r="AG1056" s="3522" t="s">
        <v>3466</v>
      </c>
      <c r="AH1056" s="3485" t="s">
        <v>3568</v>
      </c>
      <c r="AI1056" s="3470" t="s">
        <v>5021</v>
      </c>
      <c r="AJ1056" s="3523">
        <v>38077</v>
      </c>
      <c r="AK1056" s="3603" t="s">
        <v>4773</v>
      </c>
      <c r="AL1056" s="3441">
        <v>67641700</v>
      </c>
      <c r="AN1056" s="3456" t="s">
        <v>3468</v>
      </c>
      <c r="AP1056" s="3441" t="s">
        <v>3476</v>
      </c>
      <c r="AQ1056" s="3441" t="s">
        <v>3571</v>
      </c>
      <c r="AV1056" s="3441" t="s">
        <v>3568</v>
      </c>
      <c r="AW1056" s="3441" t="s">
        <v>3572</v>
      </c>
      <c r="AY1056" s="3524" t="s">
        <v>10556</v>
      </c>
      <c r="AZ1056" s="3441" t="s">
        <v>7653</v>
      </c>
      <c r="BA1056" s="3441" t="s">
        <v>7655</v>
      </c>
      <c r="BB1056" s="3524" t="s">
        <v>7656</v>
      </c>
      <c r="BC1056" s="3441" t="s">
        <v>7657</v>
      </c>
      <c r="BD1056" s="3525">
        <v>100025</v>
      </c>
      <c r="BE1056" s="3441">
        <v>62908858</v>
      </c>
      <c r="BF1056" s="3526">
        <v>2.7</v>
      </c>
      <c r="BG1056" s="3518">
        <v>37892</v>
      </c>
      <c r="BI1056" s="3441" t="s">
        <v>8464</v>
      </c>
      <c r="BJ1056" s="3484">
        <v>37932</v>
      </c>
      <c r="BK1056" s="3484"/>
      <c r="BL1056" s="3470" t="s">
        <v>3670</v>
      </c>
    </row>
    <row r="1057" spans="1:70" s="3441" customFormat="1" ht="12" hidden="1">
      <c r="A1057" s="3453" t="s">
        <v>10557</v>
      </c>
      <c r="B1057" s="3470" t="s">
        <v>10558</v>
      </c>
      <c r="C1057" s="3481" t="s">
        <v>10559</v>
      </c>
      <c r="D1057" s="3481" t="s">
        <v>10560</v>
      </c>
      <c r="E1057" s="3470" t="s">
        <v>3558</v>
      </c>
      <c r="F1057" s="3528" t="s">
        <v>7652</v>
      </c>
      <c r="G1057" s="3470"/>
      <c r="H1057" s="3470" t="s">
        <v>10114</v>
      </c>
      <c r="I1057" s="3453" t="s">
        <v>4387</v>
      </c>
      <c r="J1057" s="3481" t="s">
        <v>6752</v>
      </c>
      <c r="K1057" s="3470" t="s">
        <v>7653</v>
      </c>
      <c r="L1057" s="3470">
        <v>80.430000000000007</v>
      </c>
      <c r="M1057" s="3470">
        <v>7</v>
      </c>
      <c r="N1057" s="3470" t="s">
        <v>3486</v>
      </c>
      <c r="O1057" s="3470">
        <v>63.45</v>
      </c>
      <c r="P1057" s="3470" t="s">
        <v>3452</v>
      </c>
      <c r="Q1057" s="3457">
        <v>369978.00000000006</v>
      </c>
      <c r="R1057" s="3470">
        <v>4600</v>
      </c>
      <c r="S1057" s="3472">
        <v>36.69</v>
      </c>
      <c r="T1057" s="3527">
        <v>366900</v>
      </c>
      <c r="U1057" s="3470">
        <v>4562</v>
      </c>
      <c r="V1057" s="3512">
        <v>0.1</v>
      </c>
      <c r="W1057" s="3475">
        <v>33.020000000000003</v>
      </c>
      <c r="X1057" s="3473">
        <v>330200.00000000006</v>
      </c>
      <c r="Y1057" s="3441">
        <v>2003</v>
      </c>
      <c r="Z1057" s="3441">
        <v>11</v>
      </c>
      <c r="AA1057" s="3470">
        <v>12</v>
      </c>
      <c r="AB1057" s="3485">
        <v>1830</v>
      </c>
      <c r="AC1057" s="3470" t="s">
        <v>9077</v>
      </c>
      <c r="AD1057" s="3485"/>
      <c r="AE1057" s="3441" t="s">
        <v>3663</v>
      </c>
      <c r="AF1057" s="3470" t="s">
        <v>4721</v>
      </c>
      <c r="AG1057" s="3522" t="s">
        <v>3466</v>
      </c>
      <c r="AH1057" s="3485" t="s">
        <v>3568</v>
      </c>
      <c r="AI1057" s="3470" t="s">
        <v>5021</v>
      </c>
      <c r="AJ1057" s="3523">
        <v>38123</v>
      </c>
      <c r="AK1057" s="3603" t="s">
        <v>4773</v>
      </c>
      <c r="AL1057" s="3441">
        <v>67641700</v>
      </c>
      <c r="AN1057" s="3456" t="s">
        <v>3468</v>
      </c>
      <c r="AP1057" s="3441" t="s">
        <v>3476</v>
      </c>
      <c r="AQ1057" s="3441" t="s">
        <v>3571</v>
      </c>
      <c r="AV1057" s="3441" t="s">
        <v>3568</v>
      </c>
      <c r="AW1057" s="3441" t="s">
        <v>3572</v>
      </c>
      <c r="AY1057" s="3524" t="s">
        <v>10561</v>
      </c>
      <c r="AZ1057" s="3441" t="s">
        <v>7653</v>
      </c>
      <c r="BA1057" s="3441" t="s">
        <v>7655</v>
      </c>
      <c r="BB1057" s="3524" t="s">
        <v>7656</v>
      </c>
      <c r="BC1057" s="3441" t="s">
        <v>7657</v>
      </c>
      <c r="BD1057" s="3525">
        <v>100025</v>
      </c>
      <c r="BE1057" s="3441">
        <v>62908858</v>
      </c>
      <c r="BF1057" s="3526">
        <v>2.7</v>
      </c>
      <c r="BG1057" s="3518">
        <v>37915</v>
      </c>
      <c r="BI1057" s="3441" t="s">
        <v>8464</v>
      </c>
      <c r="BJ1057" s="3484">
        <v>37932</v>
      </c>
      <c r="BK1057" s="3484"/>
      <c r="BL1057" s="3470" t="s">
        <v>3670</v>
      </c>
    </row>
    <row r="1058" spans="1:70" s="3441" customFormat="1" ht="12">
      <c r="A1058" s="3542" t="s">
        <v>10562</v>
      </c>
      <c r="B1058" s="3470" t="s">
        <v>10563</v>
      </c>
      <c r="C1058" s="3481" t="s">
        <v>10564</v>
      </c>
      <c r="D1058" s="3481" t="s">
        <v>10565</v>
      </c>
      <c r="E1058" s="3470" t="s">
        <v>2736</v>
      </c>
      <c r="F1058" s="3687" t="s">
        <v>9471</v>
      </c>
      <c r="G1058" s="3470"/>
      <c r="H1058" s="3470" t="s">
        <v>2420</v>
      </c>
      <c r="I1058" s="3470" t="s">
        <v>4124</v>
      </c>
      <c r="J1058" s="3481" t="s">
        <v>10566</v>
      </c>
      <c r="K1058" s="3470" t="s">
        <v>8795</v>
      </c>
      <c r="L1058" s="3470">
        <v>43.12</v>
      </c>
      <c r="M1058" s="3470">
        <v>8</v>
      </c>
      <c r="N1058" s="3470" t="s">
        <v>3678</v>
      </c>
      <c r="O1058" s="3470">
        <v>33.479999999999997</v>
      </c>
      <c r="P1058" s="3470" t="s">
        <v>3452</v>
      </c>
      <c r="Q1058" s="3457">
        <v>312620</v>
      </c>
      <c r="R1058" s="3470">
        <v>7250</v>
      </c>
      <c r="S1058" s="3472">
        <v>31.13</v>
      </c>
      <c r="T1058" s="3527">
        <v>311300</v>
      </c>
      <c r="U1058" s="3495">
        <v>7220</v>
      </c>
      <c r="V1058" s="3474">
        <v>0.1</v>
      </c>
      <c r="W1058" s="3475">
        <v>28.01</v>
      </c>
      <c r="X1058" s="3473">
        <v>280100</v>
      </c>
      <c r="Y1058" s="3495">
        <v>2003</v>
      </c>
      <c r="Z1058" s="3441">
        <v>11</v>
      </c>
      <c r="AA1058" s="3470">
        <v>12</v>
      </c>
      <c r="AB1058" s="3477">
        <v>1555</v>
      </c>
      <c r="AC1058" s="3470" t="s">
        <v>9007</v>
      </c>
      <c r="AD1058" s="3485"/>
      <c r="AE1058" s="3441" t="s">
        <v>3663</v>
      </c>
      <c r="AF1058" s="3470" t="s">
        <v>3587</v>
      </c>
      <c r="AG1058" s="3522" t="s">
        <v>3466</v>
      </c>
      <c r="AH1058" s="3485"/>
      <c r="AI1058" s="3470" t="s">
        <v>5021</v>
      </c>
      <c r="AJ1058" s="3523">
        <v>38107</v>
      </c>
      <c r="AK1058" s="3603" t="s">
        <v>4773</v>
      </c>
      <c r="AL1058" s="3441">
        <v>67641700</v>
      </c>
      <c r="AN1058" s="3456" t="s">
        <v>3695</v>
      </c>
      <c r="AO1058" s="3470" t="s">
        <v>2420</v>
      </c>
      <c r="AP1058" s="3441" t="s">
        <v>3476</v>
      </c>
      <c r="AQ1058" s="3441" t="s">
        <v>3571</v>
      </c>
      <c r="AW1058" s="3441" t="s">
        <v>3572</v>
      </c>
      <c r="AY1058" s="3524" t="s">
        <v>10567</v>
      </c>
      <c r="AZ1058" s="3470" t="s">
        <v>8795</v>
      </c>
      <c r="BA1058" s="3441" t="s">
        <v>9474</v>
      </c>
      <c r="BB1058" s="3524" t="s">
        <v>8799</v>
      </c>
      <c r="BC1058" s="3441" t="s">
        <v>8800</v>
      </c>
      <c r="BD1058" s="3525" t="s">
        <v>2420</v>
      </c>
      <c r="BE1058" s="3441" t="s">
        <v>2420</v>
      </c>
      <c r="BF1058" s="3526">
        <v>2.8</v>
      </c>
      <c r="BG1058" s="3484">
        <v>37874</v>
      </c>
      <c r="BH1058" s="3441" t="s">
        <v>8801</v>
      </c>
      <c r="BI1058" s="3441" t="s">
        <v>3476</v>
      </c>
      <c r="BJ1058" s="3484">
        <v>37936</v>
      </c>
      <c r="BK1058" s="3484">
        <v>37908</v>
      </c>
      <c r="BL1058" s="3470" t="s">
        <v>3670</v>
      </c>
    </row>
    <row r="1059" spans="1:70" s="3441" customFormat="1" ht="12" hidden="1">
      <c r="A1059" s="3542" t="s">
        <v>10568</v>
      </c>
      <c r="B1059" s="3470" t="s">
        <v>10569</v>
      </c>
      <c r="C1059" s="3481" t="s">
        <v>10570</v>
      </c>
      <c r="D1059" s="3481" t="s">
        <v>10571</v>
      </c>
      <c r="E1059" s="3470" t="s">
        <v>3558</v>
      </c>
      <c r="F1059" s="3528" t="s">
        <v>3733</v>
      </c>
      <c r="G1059" s="3470"/>
      <c r="H1059" s="3470" t="s">
        <v>10572</v>
      </c>
      <c r="I1059" s="3470" t="s">
        <v>4124</v>
      </c>
      <c r="J1059" s="3470" t="s">
        <v>6333</v>
      </c>
      <c r="K1059" s="3470" t="s">
        <v>3737</v>
      </c>
      <c r="L1059" s="3470">
        <v>78.25</v>
      </c>
      <c r="M1059" s="3470">
        <v>8</v>
      </c>
      <c r="N1059" s="3470" t="s">
        <v>4030</v>
      </c>
      <c r="O1059" s="3470">
        <v>64.59</v>
      </c>
      <c r="P1059" s="3470" t="s">
        <v>3452</v>
      </c>
      <c r="Q1059" s="3600">
        <v>481237.5</v>
      </c>
      <c r="R1059" s="3470">
        <v>6150</v>
      </c>
      <c r="S1059" s="3472">
        <v>46.76</v>
      </c>
      <c r="T1059" s="3527">
        <v>467600</v>
      </c>
      <c r="U1059" s="3470">
        <v>5976</v>
      </c>
      <c r="V1059" s="3474">
        <v>0.1</v>
      </c>
      <c r="W1059" s="3475">
        <v>42.08</v>
      </c>
      <c r="X1059" s="3494">
        <v>420800</v>
      </c>
      <c r="Y1059" s="3441">
        <v>2003</v>
      </c>
      <c r="Z1059" s="3441">
        <v>11</v>
      </c>
      <c r="AA1059" s="3441">
        <v>13</v>
      </c>
      <c r="AB1059" s="3477">
        <v>2335</v>
      </c>
      <c r="AC1059" s="3470" t="s">
        <v>9413</v>
      </c>
      <c r="AD1059" s="3485"/>
      <c r="AE1059" s="3441" t="s">
        <v>3663</v>
      </c>
      <c r="AF1059" s="3453" t="s">
        <v>7751</v>
      </c>
      <c r="AG1059" s="3522" t="s">
        <v>3466</v>
      </c>
      <c r="AH1059" s="3485"/>
      <c r="AI1059" s="3470" t="s">
        <v>5021</v>
      </c>
      <c r="AJ1059" s="3523">
        <v>38183</v>
      </c>
      <c r="AK1059" s="3603" t="s">
        <v>4773</v>
      </c>
      <c r="AL1059" s="3441">
        <v>67641700</v>
      </c>
      <c r="AN1059" s="3456" t="s">
        <v>3695</v>
      </c>
      <c r="AO1059" s="3441" t="s">
        <v>2420</v>
      </c>
      <c r="AP1059" s="3441" t="s">
        <v>3476</v>
      </c>
      <c r="AQ1059" s="3441" t="s">
        <v>3571</v>
      </c>
      <c r="AW1059" s="3441" t="s">
        <v>3572</v>
      </c>
      <c r="AY1059" s="3524" t="s">
        <v>10573</v>
      </c>
      <c r="AZ1059" s="3441" t="s">
        <v>3737</v>
      </c>
      <c r="BA1059" s="3441" t="s">
        <v>3742</v>
      </c>
      <c r="BB1059" s="3524" t="s">
        <v>3743</v>
      </c>
      <c r="BC1059" s="3441" t="s">
        <v>3744</v>
      </c>
      <c r="BD1059" s="3525">
        <v>100088</v>
      </c>
      <c r="BE1059" s="3441">
        <v>82058259</v>
      </c>
      <c r="BF1059" s="3526" t="s">
        <v>8595</v>
      </c>
      <c r="BG1059" s="3478">
        <v>37931</v>
      </c>
      <c r="BH1059" s="3441" t="s">
        <v>4753</v>
      </c>
      <c r="BI1059" s="3441" t="s">
        <v>3476</v>
      </c>
      <c r="BJ1059" s="3484">
        <v>37937</v>
      </c>
      <c r="BK1059" s="3484" t="s">
        <v>2420</v>
      </c>
      <c r="BL1059" s="3470" t="s">
        <v>3670</v>
      </c>
    </row>
    <row r="1060" spans="1:70" s="3441" customFormat="1" ht="12" hidden="1">
      <c r="A1060" s="3542" t="s">
        <v>10574</v>
      </c>
      <c r="B1060" s="3470" t="s">
        <v>10575</v>
      </c>
      <c r="C1060" s="3454" t="s">
        <v>10576</v>
      </c>
      <c r="D1060" s="3470" t="s">
        <v>10577</v>
      </c>
      <c r="E1060" s="3470" t="s">
        <v>2736</v>
      </c>
      <c r="F1060" s="3470" t="s">
        <v>10578</v>
      </c>
      <c r="G1060" s="3470"/>
      <c r="H1060" s="3470" t="s">
        <v>10579</v>
      </c>
      <c r="I1060" s="3470" t="s">
        <v>3478</v>
      </c>
      <c r="J1060" s="3470" t="s">
        <v>10580</v>
      </c>
      <c r="K1060" s="3470" t="s">
        <v>10575</v>
      </c>
      <c r="L1060" s="3470">
        <v>82</v>
      </c>
      <c r="M1060" s="3470">
        <v>4</v>
      </c>
      <c r="N1060" s="3470" t="s">
        <v>3486</v>
      </c>
      <c r="O1060" s="3470"/>
      <c r="P1060" s="3470" t="s">
        <v>3452</v>
      </c>
      <c r="Q1060" s="3470">
        <v>448000</v>
      </c>
      <c r="R1060" s="3470">
        <v>5463</v>
      </c>
      <c r="S1060" s="3472">
        <v>44.16</v>
      </c>
      <c r="T1060" s="3527">
        <v>441599.99999999994</v>
      </c>
      <c r="U1060" s="3470">
        <v>5386</v>
      </c>
      <c r="V1060" s="3474">
        <v>0.05</v>
      </c>
      <c r="W1060" s="3475">
        <v>41.95</v>
      </c>
      <c r="X1060" s="3473">
        <v>419500</v>
      </c>
      <c r="Y1060" s="3470">
        <v>2003</v>
      </c>
      <c r="Z1060" s="3470">
        <v>11</v>
      </c>
      <c r="AA1060" s="3470">
        <v>14</v>
      </c>
      <c r="AB1060" s="3470">
        <v>2205</v>
      </c>
      <c r="AC1060" s="3470" t="s">
        <v>9077</v>
      </c>
      <c r="AD1060" s="3470"/>
      <c r="AE1060" s="3485" t="s">
        <v>3586</v>
      </c>
      <c r="AF1060" s="3470" t="s">
        <v>3453</v>
      </c>
      <c r="AG1060" s="3456" t="s">
        <v>3466</v>
      </c>
      <c r="AH1060" s="3470"/>
      <c r="AI1060" s="3470" t="s">
        <v>3569</v>
      </c>
      <c r="AJ1060" s="3470"/>
      <c r="AK1060" s="3470" t="s">
        <v>4773</v>
      </c>
      <c r="AL1060" s="3470">
        <v>82253572</v>
      </c>
      <c r="AM1060" s="3470"/>
      <c r="AN1060" s="3485" t="s">
        <v>3468</v>
      </c>
      <c r="AO1060" s="3485"/>
      <c r="AP1060" s="3485" t="s">
        <v>3586</v>
      </c>
      <c r="AQ1060" s="3485" t="s">
        <v>3457</v>
      </c>
      <c r="AR1060" s="3485"/>
      <c r="AS1060" s="3470"/>
      <c r="AT1060" s="3470"/>
      <c r="AW1060" s="3441" t="s">
        <v>3458</v>
      </c>
      <c r="AZ1060" s="3441" t="s">
        <v>10581</v>
      </c>
      <c r="BA1060" s="3470"/>
      <c r="BB1060" s="3470"/>
      <c r="BC1060" s="3470"/>
      <c r="BD1060" s="3470"/>
      <c r="BE1060" s="3470">
        <v>65940078</v>
      </c>
      <c r="BF1060" s="3470"/>
      <c r="BG1060" s="3535">
        <v>37921</v>
      </c>
      <c r="BH1060" s="3470"/>
      <c r="BI1060" s="3470" t="s">
        <v>3566</v>
      </c>
      <c r="BJ1060" s="3478">
        <v>37932</v>
      </c>
      <c r="BK1060" s="3470"/>
      <c r="BL1060" s="3470"/>
      <c r="BM1060" s="3470" t="s">
        <v>3471</v>
      </c>
      <c r="BN1060" s="3470" t="s">
        <v>3461</v>
      </c>
      <c r="BO1060" s="3470" t="s">
        <v>6806</v>
      </c>
    </row>
    <row r="1061" spans="1:70" s="3441" customFormat="1" ht="12" hidden="1">
      <c r="A1061" s="3542" t="s">
        <v>10582</v>
      </c>
      <c r="B1061" s="3470" t="s">
        <v>10583</v>
      </c>
      <c r="C1061" s="3481" t="s">
        <v>10584</v>
      </c>
      <c r="D1061" s="3481" t="s">
        <v>10585</v>
      </c>
      <c r="E1061" s="3470" t="s">
        <v>3558</v>
      </c>
      <c r="F1061" s="3528" t="s">
        <v>3733</v>
      </c>
      <c r="G1061" s="3470"/>
      <c r="H1061" s="3470" t="s">
        <v>9989</v>
      </c>
      <c r="I1061" s="3470" t="s">
        <v>8768</v>
      </c>
      <c r="J1061" s="3470" t="s">
        <v>6333</v>
      </c>
      <c r="K1061" s="3470" t="s">
        <v>3737</v>
      </c>
      <c r="L1061" s="3470">
        <v>76.069999999999993</v>
      </c>
      <c r="M1061" s="3470">
        <v>16</v>
      </c>
      <c r="N1061" s="3470" t="s">
        <v>4030</v>
      </c>
      <c r="O1061" s="3470">
        <v>60.99</v>
      </c>
      <c r="P1061" s="3470" t="s">
        <v>3452</v>
      </c>
      <c r="Q1061" s="3600">
        <v>475437.49999999994</v>
      </c>
      <c r="R1061" s="3470">
        <v>6250</v>
      </c>
      <c r="S1061" s="3472">
        <v>46.19</v>
      </c>
      <c r="T1061" s="3527">
        <v>461900</v>
      </c>
      <c r="U1061" s="3470">
        <v>6073</v>
      </c>
      <c r="V1061" s="3474">
        <v>0.1</v>
      </c>
      <c r="W1061" s="3475">
        <v>41.57</v>
      </c>
      <c r="X1061" s="3494">
        <v>415700</v>
      </c>
      <c r="Y1061" s="3441">
        <v>2003</v>
      </c>
      <c r="Z1061" s="3441">
        <v>11</v>
      </c>
      <c r="AA1061" s="3441">
        <v>13</v>
      </c>
      <c r="AB1061" s="3477">
        <v>2305</v>
      </c>
      <c r="AC1061" s="3470" t="s">
        <v>4800</v>
      </c>
      <c r="AD1061" s="3485"/>
      <c r="AE1061" s="3441" t="s">
        <v>3663</v>
      </c>
      <c r="AF1061" s="3470" t="s">
        <v>3604</v>
      </c>
      <c r="AG1061" s="3522" t="s">
        <v>3466</v>
      </c>
      <c r="AH1061" s="3485"/>
      <c r="AI1061" s="3470" t="s">
        <v>5021</v>
      </c>
      <c r="AJ1061" s="3523">
        <v>38122</v>
      </c>
      <c r="AK1061" s="3603" t="s">
        <v>4773</v>
      </c>
      <c r="AL1061" s="3441">
        <v>67641700</v>
      </c>
      <c r="AN1061" s="3456" t="s">
        <v>3695</v>
      </c>
      <c r="AO1061" s="3441" t="s">
        <v>2420</v>
      </c>
      <c r="AP1061" s="3441" t="s">
        <v>3476</v>
      </c>
      <c r="AQ1061" s="3441" t="s">
        <v>3571</v>
      </c>
      <c r="AW1061" s="3441" t="s">
        <v>3572</v>
      </c>
      <c r="AY1061" s="3524" t="s">
        <v>10586</v>
      </c>
      <c r="AZ1061" s="3441" t="s">
        <v>3737</v>
      </c>
      <c r="BA1061" s="3441" t="s">
        <v>3742</v>
      </c>
      <c r="BB1061" s="3524" t="s">
        <v>3743</v>
      </c>
      <c r="BC1061" s="3441" t="s">
        <v>3744</v>
      </c>
      <c r="BD1061" s="3525">
        <v>100088</v>
      </c>
      <c r="BE1061" s="3441">
        <v>82058259</v>
      </c>
      <c r="BF1061" s="3526" t="s">
        <v>8595</v>
      </c>
      <c r="BG1061" s="3478">
        <v>37920</v>
      </c>
      <c r="BH1061" s="3441" t="s">
        <v>4753</v>
      </c>
      <c r="BI1061" s="3441" t="s">
        <v>3476</v>
      </c>
      <c r="BJ1061" s="3484">
        <v>37936</v>
      </c>
      <c r="BK1061" s="3484" t="s">
        <v>2420</v>
      </c>
      <c r="BL1061" s="3470" t="s">
        <v>3670</v>
      </c>
    </row>
    <row r="1062" spans="1:70" s="3441" customFormat="1" ht="12" hidden="1">
      <c r="A1062" s="3453" t="s">
        <v>10587</v>
      </c>
      <c r="B1062" s="3470" t="s">
        <v>10588</v>
      </c>
      <c r="C1062" s="3481" t="s">
        <v>10589</v>
      </c>
      <c r="D1062" s="3481" t="s">
        <v>10590</v>
      </c>
      <c r="E1062" s="3470" t="s">
        <v>3558</v>
      </c>
      <c r="F1062" s="3470" t="s">
        <v>4693</v>
      </c>
      <c r="G1062" s="3470"/>
      <c r="H1062" s="3470" t="s">
        <v>4453</v>
      </c>
      <c r="I1062" s="3470" t="s">
        <v>4624</v>
      </c>
      <c r="J1062" s="3481" t="s">
        <v>10591</v>
      </c>
      <c r="K1062" s="3470" t="s">
        <v>4697</v>
      </c>
      <c r="L1062" s="3470">
        <v>36.15</v>
      </c>
      <c r="M1062" s="3470">
        <v>6</v>
      </c>
      <c r="N1062" s="3470" t="s">
        <v>3692</v>
      </c>
      <c r="O1062" s="3470">
        <v>26.85</v>
      </c>
      <c r="P1062" s="3470" t="s">
        <v>3452</v>
      </c>
      <c r="Q1062" s="3457">
        <v>310636.95</v>
      </c>
      <c r="R1062" s="3470">
        <v>8593</v>
      </c>
      <c r="S1062" s="3472">
        <v>30.83</v>
      </c>
      <c r="T1062" s="3550">
        <v>308300</v>
      </c>
      <c r="U1062" s="3491">
        <v>8529</v>
      </c>
      <c r="V1062" s="3529">
        <v>0.1</v>
      </c>
      <c r="W1062" s="3475">
        <v>27.74</v>
      </c>
      <c r="X1062" s="3511">
        <v>277400</v>
      </c>
      <c r="Y1062" s="3501">
        <v>2003</v>
      </c>
      <c r="Z1062" s="3441">
        <v>11</v>
      </c>
      <c r="AA1062" s="3470">
        <v>26</v>
      </c>
      <c r="AB1062" s="3477">
        <v>1540</v>
      </c>
      <c r="AC1062" s="3470" t="s">
        <v>9007</v>
      </c>
      <c r="AD1062" s="3485"/>
      <c r="AE1062" s="3441" t="s">
        <v>3663</v>
      </c>
      <c r="AF1062" s="3470" t="s">
        <v>3587</v>
      </c>
      <c r="AG1062" s="3522" t="s">
        <v>3466</v>
      </c>
      <c r="AH1062" s="3485" t="s">
        <v>3463</v>
      </c>
      <c r="AI1062" s="3470" t="s">
        <v>5021</v>
      </c>
      <c r="AJ1062" s="3523">
        <v>38138</v>
      </c>
      <c r="AK1062" s="3612" t="s">
        <v>4773</v>
      </c>
      <c r="AL1062" s="3441">
        <v>67641700</v>
      </c>
      <c r="AN1062" s="3480" t="s">
        <v>3680</v>
      </c>
      <c r="AO1062" s="3441" t="s">
        <v>10592</v>
      </c>
      <c r="AP1062" s="3441" t="s">
        <v>3476</v>
      </c>
      <c r="AQ1062" s="3441" t="s">
        <v>3571</v>
      </c>
      <c r="AV1062" s="3441" t="s">
        <v>3568</v>
      </c>
      <c r="AW1062" s="3441" t="s">
        <v>3572</v>
      </c>
      <c r="AX1062" s="3441" t="s">
        <v>3568</v>
      </c>
      <c r="AY1062" s="3524" t="s">
        <v>10593</v>
      </c>
      <c r="AZ1062" s="3441" t="s">
        <v>4697</v>
      </c>
      <c r="BA1062" s="3441" t="s">
        <v>4700</v>
      </c>
      <c r="BB1062" s="3524" t="s">
        <v>4701</v>
      </c>
      <c r="BC1062" s="3441" t="s">
        <v>4702</v>
      </c>
      <c r="BD1062" s="3525">
        <v>100011</v>
      </c>
      <c r="BE1062" s="3441">
        <v>62351476</v>
      </c>
      <c r="BF1062" s="3526">
        <v>2.8</v>
      </c>
      <c r="BG1062" s="3518">
        <v>37881</v>
      </c>
      <c r="BI1062" s="3470" t="s">
        <v>3476</v>
      </c>
      <c r="BJ1062" s="3484">
        <v>37949</v>
      </c>
      <c r="BK1062" s="3518"/>
      <c r="BL1062" s="3470" t="s">
        <v>3670</v>
      </c>
    </row>
    <row r="1063" spans="1:70" s="3605" customFormat="1" ht="12" hidden="1">
      <c r="A1063" s="3453" t="s">
        <v>10594</v>
      </c>
      <c r="B1063" s="3470" t="s">
        <v>10595</v>
      </c>
      <c r="C1063" s="3470" t="s">
        <v>10596</v>
      </c>
      <c r="D1063" s="3470">
        <v>13911881466</v>
      </c>
      <c r="E1063" s="3470" t="s">
        <v>3558</v>
      </c>
      <c r="F1063" s="3470" t="s">
        <v>8122</v>
      </c>
      <c r="G1063" s="3470" t="s">
        <v>8123</v>
      </c>
      <c r="H1063" s="3453" t="s">
        <v>10597</v>
      </c>
      <c r="I1063" s="3453" t="s">
        <v>3726</v>
      </c>
      <c r="J1063" s="3453" t="s">
        <v>6048</v>
      </c>
      <c r="K1063" s="3470" t="s">
        <v>5620</v>
      </c>
      <c r="L1063" s="3495">
        <v>168.09</v>
      </c>
      <c r="M1063" s="3495">
        <v>9</v>
      </c>
      <c r="N1063" s="3470" t="s">
        <v>3488</v>
      </c>
      <c r="O1063" s="3495">
        <v>138.03</v>
      </c>
      <c r="P1063" s="3470" t="s">
        <v>3452</v>
      </c>
      <c r="Q1063" s="3457">
        <v>1310083.3746</v>
      </c>
      <c r="R1063" s="3495">
        <v>7793.94</v>
      </c>
      <c r="S1063" s="3472">
        <v>129.94999999999999</v>
      </c>
      <c r="T1063" s="3527">
        <v>1299500</v>
      </c>
      <c r="U1063" s="3495">
        <v>7731</v>
      </c>
      <c r="V1063" s="3512">
        <v>0.1</v>
      </c>
      <c r="W1063" s="3475">
        <v>116.95</v>
      </c>
      <c r="X1063" s="3476">
        <v>1169500</v>
      </c>
      <c r="Y1063" s="3495">
        <v>2003</v>
      </c>
      <c r="Z1063" s="3495">
        <v>11</v>
      </c>
      <c r="AA1063" s="3495">
        <v>13</v>
      </c>
      <c r="AB1063" s="3477">
        <v>5745</v>
      </c>
      <c r="AC1063" s="3470" t="s">
        <v>9007</v>
      </c>
      <c r="AD1063" s="3470"/>
      <c r="AE1063" s="3456" t="s">
        <v>3663</v>
      </c>
      <c r="AF1063" s="3453" t="s">
        <v>3604</v>
      </c>
      <c r="AG1063" s="3456" t="s">
        <v>3466</v>
      </c>
      <c r="AH1063" s="3470"/>
      <c r="AI1063" s="3456" t="s">
        <v>8126</v>
      </c>
      <c r="AJ1063" s="3478">
        <v>38017</v>
      </c>
      <c r="AK1063" s="3606" t="s">
        <v>10514</v>
      </c>
      <c r="AL1063" s="3495">
        <v>67641700</v>
      </c>
      <c r="AM1063" s="3470"/>
      <c r="AN1063" s="3456" t="s">
        <v>3468</v>
      </c>
      <c r="AO1063" s="3470"/>
      <c r="AP1063" s="3441" t="s">
        <v>3476</v>
      </c>
      <c r="AQ1063" s="3456" t="s">
        <v>3571</v>
      </c>
      <c r="AR1063" s="3470"/>
      <c r="AS1063" s="3470"/>
      <c r="AT1063" s="3470"/>
      <c r="AU1063" s="3470"/>
      <c r="AV1063" s="3519"/>
      <c r="AW1063" s="3470" t="s">
        <v>3572</v>
      </c>
      <c r="AX1063" s="3470"/>
      <c r="AY1063" s="3495">
        <v>506703</v>
      </c>
      <c r="AZ1063" s="3470" t="s">
        <v>5620</v>
      </c>
      <c r="BA1063" s="3470" t="s">
        <v>5623</v>
      </c>
      <c r="BB1063" s="3470">
        <v>1100001502073</v>
      </c>
      <c r="BC1063" s="3470" t="s">
        <v>5624</v>
      </c>
      <c r="BD1063" s="3470">
        <v>100011</v>
      </c>
      <c r="BE1063" s="3470">
        <v>64262674</v>
      </c>
      <c r="BF1063" s="3520" t="s">
        <v>10598</v>
      </c>
      <c r="BG1063" s="3478">
        <v>37869</v>
      </c>
      <c r="BH1063" s="3470"/>
      <c r="BI1063" s="3441" t="s">
        <v>3721</v>
      </c>
      <c r="BJ1063" s="3478">
        <v>37937</v>
      </c>
      <c r="BK1063" s="3478"/>
      <c r="BL1063" s="3470" t="s">
        <v>3670</v>
      </c>
      <c r="BM1063" s="3470"/>
      <c r="BN1063" s="3470"/>
      <c r="BO1063" s="3470"/>
      <c r="BP1063" s="3441"/>
      <c r="BQ1063" s="3441"/>
      <c r="BR1063" s="3441"/>
    </row>
    <row r="1064" spans="1:70" s="3441" customFormat="1" ht="12" hidden="1">
      <c r="A1064" s="3453" t="s">
        <v>10599</v>
      </c>
      <c r="B1064" s="3470" t="s">
        <v>10600</v>
      </c>
      <c r="C1064" s="3481" t="s">
        <v>10601</v>
      </c>
      <c r="D1064" s="3481" t="s">
        <v>10602</v>
      </c>
      <c r="E1064" s="3470" t="s">
        <v>3558</v>
      </c>
      <c r="F1064" s="3470" t="s">
        <v>4693</v>
      </c>
      <c r="G1064" s="3470"/>
      <c r="H1064" s="3470" t="s">
        <v>10603</v>
      </c>
      <c r="I1064" s="3470" t="s">
        <v>4581</v>
      </c>
      <c r="J1064" s="3481" t="s">
        <v>10604</v>
      </c>
      <c r="K1064" s="3470" t="s">
        <v>4697</v>
      </c>
      <c r="L1064" s="3470">
        <v>44.8</v>
      </c>
      <c r="M1064" s="3470">
        <v>5</v>
      </c>
      <c r="N1064" s="3470" t="s">
        <v>3692</v>
      </c>
      <c r="O1064" s="3470">
        <v>33.28</v>
      </c>
      <c r="P1064" s="3470" t="s">
        <v>3452</v>
      </c>
      <c r="Q1064" s="3457">
        <v>370630.39999999997</v>
      </c>
      <c r="R1064" s="3470">
        <v>8273</v>
      </c>
      <c r="S1064" s="3472">
        <v>36.76</v>
      </c>
      <c r="T1064" s="3550">
        <v>367600</v>
      </c>
      <c r="U1064" s="3495">
        <v>8207</v>
      </c>
      <c r="V1064" s="3512">
        <v>0.1</v>
      </c>
      <c r="W1064" s="3475">
        <v>33.08</v>
      </c>
      <c r="X1064" s="3511">
        <v>330800</v>
      </c>
      <c r="Y1064" s="3515">
        <v>2003</v>
      </c>
      <c r="Z1064" s="3441">
        <v>11</v>
      </c>
      <c r="AA1064" s="3470">
        <v>14</v>
      </c>
      <c r="AB1064" s="3477">
        <v>1835</v>
      </c>
      <c r="AC1064" s="3470" t="s">
        <v>8840</v>
      </c>
      <c r="AD1064" s="3485"/>
      <c r="AE1064" s="3441" t="s">
        <v>3663</v>
      </c>
      <c r="AF1064" s="3470" t="s">
        <v>4721</v>
      </c>
      <c r="AG1064" s="3522" t="s">
        <v>3466</v>
      </c>
      <c r="AH1064" s="3485" t="s">
        <v>3463</v>
      </c>
      <c r="AI1064" s="3470" t="s">
        <v>5021</v>
      </c>
      <c r="AJ1064" s="3523">
        <v>38138</v>
      </c>
      <c r="AK1064" s="3603" t="s">
        <v>4773</v>
      </c>
      <c r="AL1064" s="3441">
        <v>67641700</v>
      </c>
      <c r="AN1064" s="3456" t="s">
        <v>3695</v>
      </c>
      <c r="AP1064" s="3441" t="s">
        <v>3476</v>
      </c>
      <c r="AQ1064" s="3441" t="s">
        <v>3571</v>
      </c>
      <c r="AV1064" s="3441" t="s">
        <v>3568</v>
      </c>
      <c r="AW1064" s="3441" t="s">
        <v>3572</v>
      </c>
      <c r="AX1064" s="3441" t="s">
        <v>3568</v>
      </c>
      <c r="AY1064" s="3524" t="s">
        <v>10605</v>
      </c>
      <c r="AZ1064" s="3441" t="s">
        <v>4697</v>
      </c>
      <c r="BA1064" s="3441" t="s">
        <v>4700</v>
      </c>
      <c r="BB1064" s="3524" t="s">
        <v>4701</v>
      </c>
      <c r="BC1064" s="3441" t="s">
        <v>4702</v>
      </c>
      <c r="BD1064" s="3525">
        <v>100011</v>
      </c>
      <c r="BE1064" s="3441">
        <v>62351476</v>
      </c>
      <c r="BF1064" s="3526">
        <v>2.8</v>
      </c>
      <c r="BG1064" s="3518">
        <v>37930</v>
      </c>
      <c r="BI1064" s="3441" t="s">
        <v>8464</v>
      </c>
      <c r="BJ1064" s="3478">
        <v>37937</v>
      </c>
      <c r="BK1064" s="3518"/>
      <c r="BL1064" s="3470" t="s">
        <v>3670</v>
      </c>
    </row>
    <row r="1065" spans="1:70" s="3441" customFormat="1" ht="12" hidden="1">
      <c r="A1065" s="3542" t="s">
        <v>10606</v>
      </c>
      <c r="B1065" s="3470" t="s">
        <v>10607</v>
      </c>
      <c r="C1065" s="3481" t="s">
        <v>10608</v>
      </c>
      <c r="D1065" s="3481" t="s">
        <v>10609</v>
      </c>
      <c r="E1065" s="3470" t="s">
        <v>3558</v>
      </c>
      <c r="F1065" s="3528" t="s">
        <v>3733</v>
      </c>
      <c r="G1065" s="3470"/>
      <c r="H1065" s="3470" t="s">
        <v>9875</v>
      </c>
      <c r="I1065" s="3470" t="s">
        <v>9349</v>
      </c>
      <c r="J1065" s="3470" t="s">
        <v>9397</v>
      </c>
      <c r="K1065" s="3470" t="s">
        <v>3737</v>
      </c>
      <c r="L1065" s="3470">
        <v>88.67</v>
      </c>
      <c r="M1065" s="3470">
        <v>18</v>
      </c>
      <c r="N1065" s="3470" t="s">
        <v>3491</v>
      </c>
      <c r="O1065" s="3470">
        <v>71.09</v>
      </c>
      <c r="P1065" s="3470" t="s">
        <v>3452</v>
      </c>
      <c r="Q1065" s="3492">
        <v>604729.4</v>
      </c>
      <c r="R1065" s="3470">
        <v>6820</v>
      </c>
      <c r="S1065" s="3472">
        <v>59.98</v>
      </c>
      <c r="T1065" s="3527">
        <v>599800</v>
      </c>
      <c r="U1065" s="3470">
        <v>6765</v>
      </c>
      <c r="V1065" s="3474">
        <v>0.1</v>
      </c>
      <c r="W1065" s="3475">
        <v>53.98</v>
      </c>
      <c r="X1065" s="3494">
        <v>539800</v>
      </c>
      <c r="Y1065" s="3441">
        <v>2003</v>
      </c>
      <c r="Z1065" s="3441">
        <v>11</v>
      </c>
      <c r="AA1065" s="3470">
        <v>24</v>
      </c>
      <c r="AB1065" s="3477">
        <v>2995</v>
      </c>
      <c r="AC1065" s="3470" t="s">
        <v>9077</v>
      </c>
      <c r="AD1065" s="3485"/>
      <c r="AE1065" s="3441" t="s">
        <v>3663</v>
      </c>
      <c r="AF1065" s="3470" t="s">
        <v>3604</v>
      </c>
      <c r="AG1065" s="3522" t="s">
        <v>3466</v>
      </c>
      <c r="AH1065" s="3485"/>
      <c r="AI1065" s="3470" t="s">
        <v>5021</v>
      </c>
      <c r="AJ1065" s="3523">
        <v>38122</v>
      </c>
      <c r="AK1065" s="3612" t="s">
        <v>4773</v>
      </c>
      <c r="AL1065" s="3441">
        <v>67641700</v>
      </c>
      <c r="AN1065" s="3480" t="s">
        <v>3680</v>
      </c>
      <c r="AO1065" s="3470" t="s">
        <v>10610</v>
      </c>
      <c r="AP1065" s="3441" t="s">
        <v>3476</v>
      </c>
      <c r="AQ1065" s="3441" t="s">
        <v>3571</v>
      </c>
      <c r="AW1065" s="3441" t="s">
        <v>3572</v>
      </c>
      <c r="AY1065" s="3524" t="s">
        <v>10611</v>
      </c>
      <c r="AZ1065" s="3441" t="s">
        <v>3737</v>
      </c>
      <c r="BA1065" s="3441" t="s">
        <v>3742</v>
      </c>
      <c r="BB1065" s="3524" t="s">
        <v>3743</v>
      </c>
      <c r="BC1065" s="3441" t="s">
        <v>3744</v>
      </c>
      <c r="BD1065" s="3525">
        <v>100088</v>
      </c>
      <c r="BE1065" s="3441">
        <v>82058259</v>
      </c>
      <c r="BF1065" s="3526" t="s">
        <v>8595</v>
      </c>
      <c r="BG1065" s="3478">
        <v>37911</v>
      </c>
      <c r="BH1065" s="3441" t="s">
        <v>4753</v>
      </c>
      <c r="BI1065" s="3441" t="s">
        <v>3476</v>
      </c>
      <c r="BJ1065" s="3478">
        <v>37945</v>
      </c>
      <c r="BK1065" s="3484" t="s">
        <v>2420</v>
      </c>
      <c r="BL1065" s="3470" t="s">
        <v>3670</v>
      </c>
    </row>
    <row r="1066" spans="1:70" s="3441" customFormat="1" ht="12" hidden="1">
      <c r="A1066" s="3542" t="s">
        <v>10612</v>
      </c>
      <c r="B1066" s="3470" t="s">
        <v>10613</v>
      </c>
      <c r="C1066" s="3481" t="s">
        <v>10614</v>
      </c>
      <c r="D1066" s="3481" t="s">
        <v>10615</v>
      </c>
      <c r="E1066" s="3470" t="s">
        <v>3558</v>
      </c>
      <c r="F1066" s="3528" t="s">
        <v>3733</v>
      </c>
      <c r="G1066" s="3470"/>
      <c r="H1066" s="3470" t="s">
        <v>9137</v>
      </c>
      <c r="I1066" s="3470" t="s">
        <v>7204</v>
      </c>
      <c r="J1066" s="3470" t="s">
        <v>6359</v>
      </c>
      <c r="K1066" s="3470" t="s">
        <v>3737</v>
      </c>
      <c r="L1066" s="3470">
        <v>75.45</v>
      </c>
      <c r="M1066" s="3470">
        <v>9</v>
      </c>
      <c r="N1066" s="3470" t="s">
        <v>3451</v>
      </c>
      <c r="O1066" s="3470">
        <v>60.28</v>
      </c>
      <c r="P1066" s="3470" t="s">
        <v>3452</v>
      </c>
      <c r="Q1066" s="3600">
        <v>451191</v>
      </c>
      <c r="R1066" s="3470">
        <v>5980</v>
      </c>
      <c r="S1066" s="3472">
        <v>43.7</v>
      </c>
      <c r="T1066" s="3527">
        <v>437000</v>
      </c>
      <c r="U1066" s="3470">
        <v>5793</v>
      </c>
      <c r="V1066" s="3474">
        <v>0.1</v>
      </c>
      <c r="W1066" s="3475">
        <v>39.33</v>
      </c>
      <c r="X1066" s="3494">
        <v>393300</v>
      </c>
      <c r="Y1066" s="3441">
        <v>2003</v>
      </c>
      <c r="Z1066" s="3441">
        <v>11</v>
      </c>
      <c r="AA1066" s="3470">
        <v>14</v>
      </c>
      <c r="AB1066" s="3477">
        <v>2185</v>
      </c>
      <c r="AC1066" s="3470" t="s">
        <v>9077</v>
      </c>
      <c r="AD1066" s="3485"/>
      <c r="AE1066" s="3441" t="s">
        <v>3663</v>
      </c>
      <c r="AF1066" s="3470" t="s">
        <v>4721</v>
      </c>
      <c r="AG1066" s="3522" t="s">
        <v>3466</v>
      </c>
      <c r="AH1066" s="3485"/>
      <c r="AI1066" s="3470" t="s">
        <v>5021</v>
      </c>
      <c r="AJ1066" s="3523">
        <v>38045</v>
      </c>
      <c r="AK1066" s="3603" t="s">
        <v>4773</v>
      </c>
      <c r="AL1066" s="3441">
        <v>67641700</v>
      </c>
      <c r="AN1066" s="3456" t="s">
        <v>3468</v>
      </c>
      <c r="AO1066" s="3441" t="s">
        <v>2420</v>
      </c>
      <c r="AP1066" s="3441" t="s">
        <v>3476</v>
      </c>
      <c r="AQ1066" s="3441" t="s">
        <v>3571</v>
      </c>
      <c r="AW1066" s="3441" t="s">
        <v>3572</v>
      </c>
      <c r="AY1066" s="3524" t="s">
        <v>10616</v>
      </c>
      <c r="AZ1066" s="3441" t="s">
        <v>3737</v>
      </c>
      <c r="BA1066" s="3441" t="s">
        <v>3742</v>
      </c>
      <c r="BB1066" s="3524" t="s">
        <v>3743</v>
      </c>
      <c r="BC1066" s="3441" t="s">
        <v>3744</v>
      </c>
      <c r="BD1066" s="3525">
        <v>100088</v>
      </c>
      <c r="BE1066" s="3441">
        <v>82058259</v>
      </c>
      <c r="BF1066" s="3526">
        <v>2.7</v>
      </c>
      <c r="BG1066" s="3478">
        <v>37893</v>
      </c>
      <c r="BI1066" s="3441" t="s">
        <v>8464</v>
      </c>
      <c r="BJ1066" s="3508">
        <v>37923</v>
      </c>
      <c r="BK1066" s="3484" t="s">
        <v>2420</v>
      </c>
      <c r="BL1066" s="3470" t="s">
        <v>3670</v>
      </c>
    </row>
    <row r="1067" spans="1:70" s="3441" customFormat="1" ht="12" hidden="1">
      <c r="A1067" s="3453" t="s">
        <v>10617</v>
      </c>
      <c r="B1067" s="3470" t="s">
        <v>10618</v>
      </c>
      <c r="C1067" s="3481" t="s">
        <v>10619</v>
      </c>
      <c r="D1067" s="3481" t="s">
        <v>10620</v>
      </c>
      <c r="E1067" s="3470" t="s">
        <v>3558</v>
      </c>
      <c r="F1067" s="3528" t="s">
        <v>4716</v>
      </c>
      <c r="G1067" s="3470"/>
      <c r="H1067" s="3470" t="s">
        <v>10621</v>
      </c>
      <c r="I1067" s="3470" t="s">
        <v>3676</v>
      </c>
      <c r="J1067" s="3481" t="s">
        <v>4042</v>
      </c>
      <c r="K1067" s="3470" t="s">
        <v>4720</v>
      </c>
      <c r="L1067" s="3470">
        <v>118.39</v>
      </c>
      <c r="M1067" s="3470">
        <v>3</v>
      </c>
      <c r="N1067" s="3470" t="s">
        <v>3661</v>
      </c>
      <c r="O1067" s="3470">
        <v>92.04</v>
      </c>
      <c r="P1067" s="3470" t="s">
        <v>3633</v>
      </c>
      <c r="Q1067" s="3600">
        <v>484061.19299999997</v>
      </c>
      <c r="R1067" s="3470">
        <v>4088.7</v>
      </c>
      <c r="S1067" s="3472">
        <v>47.82</v>
      </c>
      <c r="T1067" s="3527">
        <v>478200</v>
      </c>
      <c r="U1067" s="3470">
        <v>4040</v>
      </c>
      <c r="V1067" s="3474">
        <v>0.1</v>
      </c>
      <c r="W1067" s="3475">
        <v>43.03</v>
      </c>
      <c r="X1067" s="3494">
        <v>430300</v>
      </c>
      <c r="Y1067" s="3441">
        <v>2003</v>
      </c>
      <c r="Z1067" s="3441">
        <v>11</v>
      </c>
      <c r="AA1067" s="3470">
        <v>14</v>
      </c>
      <c r="AB1067" s="3477">
        <v>2390</v>
      </c>
      <c r="AC1067" s="3470" t="s">
        <v>9007</v>
      </c>
      <c r="AD1067" s="3485"/>
      <c r="AE1067" s="3441" t="s">
        <v>3663</v>
      </c>
      <c r="AF1067" s="3470" t="s">
        <v>4721</v>
      </c>
      <c r="AG1067" s="3522" t="s">
        <v>3466</v>
      </c>
      <c r="AH1067" s="3485"/>
      <c r="AI1067" s="3470" t="s">
        <v>5021</v>
      </c>
      <c r="AJ1067" s="3523">
        <v>38230</v>
      </c>
      <c r="AK1067" s="3603" t="s">
        <v>4773</v>
      </c>
      <c r="AL1067" s="3441">
        <v>67641700</v>
      </c>
      <c r="AN1067" s="3456" t="s">
        <v>3468</v>
      </c>
      <c r="AO1067" s="3441" t="s">
        <v>3568</v>
      </c>
      <c r="AP1067" s="3441" t="s">
        <v>3476</v>
      </c>
      <c r="AQ1067" s="3441" t="s">
        <v>3571</v>
      </c>
      <c r="AW1067" s="3441" t="s">
        <v>3572</v>
      </c>
      <c r="AY1067" s="3524" t="s">
        <v>10622</v>
      </c>
      <c r="AZ1067" s="3441" t="s">
        <v>4720</v>
      </c>
      <c r="BA1067" s="3441" t="s">
        <v>4725</v>
      </c>
      <c r="BB1067" s="3524" t="s">
        <v>4726</v>
      </c>
      <c r="BC1067" s="3441" t="s">
        <v>4727</v>
      </c>
      <c r="BD1067" s="3525">
        <v>100005</v>
      </c>
      <c r="BE1067" s="3441">
        <v>65128628</v>
      </c>
      <c r="BF1067" s="3526">
        <v>2.8</v>
      </c>
      <c r="BG1067" s="3518">
        <v>37817</v>
      </c>
      <c r="BI1067" s="3441" t="s">
        <v>3721</v>
      </c>
      <c r="BJ1067" s="3484">
        <v>37936</v>
      </c>
      <c r="BK1067" s="3484" t="s">
        <v>3568</v>
      </c>
      <c r="BL1067" s="3470" t="s">
        <v>3670</v>
      </c>
    </row>
    <row r="1068" spans="1:70" s="3441" customFormat="1" ht="12" hidden="1">
      <c r="A1068" s="3453" t="s">
        <v>10623</v>
      </c>
      <c r="B1068" s="3470" t="s">
        <v>10624</v>
      </c>
      <c r="C1068" s="3481" t="s">
        <v>10625</v>
      </c>
      <c r="D1068" s="3481" t="s">
        <v>10626</v>
      </c>
      <c r="E1068" s="3470" t="s">
        <v>3558</v>
      </c>
      <c r="F1068" s="3528" t="s">
        <v>4716</v>
      </c>
      <c r="G1068" s="3470"/>
      <c r="H1068" s="3470" t="s">
        <v>10627</v>
      </c>
      <c r="I1068" s="3470" t="s">
        <v>4100</v>
      </c>
      <c r="J1068" s="3481" t="s">
        <v>3492</v>
      </c>
      <c r="K1068" s="3470" t="s">
        <v>4720</v>
      </c>
      <c r="L1068" s="3470">
        <v>112.37</v>
      </c>
      <c r="M1068" s="3470">
        <v>6</v>
      </c>
      <c r="N1068" s="3470" t="s">
        <v>3661</v>
      </c>
      <c r="O1068" s="3470">
        <v>90.57</v>
      </c>
      <c r="P1068" s="3470" t="s">
        <v>3633</v>
      </c>
      <c r="Q1068" s="3600">
        <v>512294.71379999997</v>
      </c>
      <c r="R1068" s="3470">
        <v>5656.34</v>
      </c>
      <c r="S1068" s="3472">
        <v>50.67</v>
      </c>
      <c r="T1068" s="3527">
        <v>506700</v>
      </c>
      <c r="U1068" s="3470">
        <v>4510</v>
      </c>
      <c r="V1068" s="3474">
        <v>0.1</v>
      </c>
      <c r="W1068" s="3475">
        <v>45.6</v>
      </c>
      <c r="X1068" s="3494">
        <v>456000</v>
      </c>
      <c r="Y1068" s="3441">
        <v>2003</v>
      </c>
      <c r="Z1068" s="3441">
        <v>11</v>
      </c>
      <c r="AA1068" s="3470">
        <v>14</v>
      </c>
      <c r="AB1068" s="3477">
        <v>2530</v>
      </c>
      <c r="AC1068" s="3470" t="s">
        <v>9077</v>
      </c>
      <c r="AD1068" s="3485"/>
      <c r="AE1068" s="3441" t="s">
        <v>3663</v>
      </c>
      <c r="AF1068" s="3470" t="s">
        <v>4721</v>
      </c>
      <c r="AG1068" s="3522" t="s">
        <v>3466</v>
      </c>
      <c r="AH1068" s="3485"/>
      <c r="AI1068" s="3470" t="s">
        <v>5021</v>
      </c>
      <c r="AJ1068" s="3523">
        <v>38230</v>
      </c>
      <c r="AK1068" s="3603" t="s">
        <v>4773</v>
      </c>
      <c r="AL1068" s="3441">
        <v>67641700</v>
      </c>
      <c r="AN1068" s="3456" t="s">
        <v>3468</v>
      </c>
      <c r="AO1068" s="3441" t="s">
        <v>3568</v>
      </c>
      <c r="AP1068" s="3441" t="s">
        <v>3476</v>
      </c>
      <c r="AQ1068" s="3441" t="s">
        <v>3571</v>
      </c>
      <c r="AW1068" s="3441" t="s">
        <v>3572</v>
      </c>
      <c r="AY1068" s="3524" t="s">
        <v>10628</v>
      </c>
      <c r="AZ1068" s="3441" t="s">
        <v>4720</v>
      </c>
      <c r="BA1068" s="3441" t="s">
        <v>4725</v>
      </c>
      <c r="BB1068" s="3524" t="s">
        <v>4726</v>
      </c>
      <c r="BC1068" s="3441" t="s">
        <v>4727</v>
      </c>
      <c r="BD1068" s="3525">
        <v>100005</v>
      </c>
      <c r="BE1068" s="3441">
        <v>65128628</v>
      </c>
      <c r="BF1068" s="3526">
        <v>2.8</v>
      </c>
      <c r="BG1068" s="3518">
        <v>37841</v>
      </c>
      <c r="BI1068" s="3441" t="s">
        <v>3721</v>
      </c>
      <c r="BJ1068" s="3484">
        <v>37937</v>
      </c>
      <c r="BK1068" s="3484" t="s">
        <v>3568</v>
      </c>
      <c r="BL1068" s="3470" t="s">
        <v>3670</v>
      </c>
    </row>
    <row r="1069" spans="1:70" s="3441" customFormat="1" ht="12" hidden="1">
      <c r="A1069" s="3453" t="s">
        <v>10629</v>
      </c>
      <c r="B1069" s="3470" t="s">
        <v>10630</v>
      </c>
      <c r="C1069" s="3481" t="s">
        <v>10631</v>
      </c>
      <c r="D1069" s="3481" t="s">
        <v>10632</v>
      </c>
      <c r="E1069" s="3470" t="s">
        <v>3558</v>
      </c>
      <c r="F1069" s="3528" t="s">
        <v>4645</v>
      </c>
      <c r="G1069" s="3470"/>
      <c r="H1069" s="3470" t="s">
        <v>4684</v>
      </c>
      <c r="I1069" s="3470" t="s">
        <v>9349</v>
      </c>
      <c r="J1069" s="3481" t="s">
        <v>10633</v>
      </c>
      <c r="K1069" s="3470" t="s">
        <v>4649</v>
      </c>
      <c r="L1069" s="3470">
        <v>92.06</v>
      </c>
      <c r="M1069" s="3470">
        <v>18</v>
      </c>
      <c r="N1069" s="3470" t="s">
        <v>3451</v>
      </c>
      <c r="O1069" s="3470">
        <v>72.569999999999993</v>
      </c>
      <c r="P1069" s="3470" t="s">
        <v>3452</v>
      </c>
      <c r="Q1069" s="3457">
        <v>776157.86</v>
      </c>
      <c r="R1069" s="3470">
        <v>8431</v>
      </c>
      <c r="S1069" s="3472">
        <v>77</v>
      </c>
      <c r="T1069" s="3550">
        <v>770000</v>
      </c>
      <c r="U1069" s="3495">
        <v>8365</v>
      </c>
      <c r="V1069" s="3512">
        <v>0.1</v>
      </c>
      <c r="W1069" s="3475">
        <v>69.3</v>
      </c>
      <c r="X1069" s="3511">
        <v>693000</v>
      </c>
      <c r="Y1069" s="3515">
        <v>2003</v>
      </c>
      <c r="Z1069" s="3441">
        <v>11</v>
      </c>
      <c r="AA1069" s="3441">
        <v>14</v>
      </c>
      <c r="AB1069" s="3477">
        <v>3850</v>
      </c>
      <c r="AC1069" s="3470" t="s">
        <v>4761</v>
      </c>
      <c r="AD1069" s="3485"/>
      <c r="AE1069" s="3441" t="s">
        <v>3663</v>
      </c>
      <c r="AF1069" s="3470" t="s">
        <v>3728</v>
      </c>
      <c r="AG1069" s="3522" t="s">
        <v>3466</v>
      </c>
      <c r="AH1069" s="3485"/>
      <c r="AI1069" s="3470" t="s">
        <v>5021</v>
      </c>
      <c r="AJ1069" s="3523">
        <v>38199</v>
      </c>
      <c r="AK1069" s="3603" t="s">
        <v>4773</v>
      </c>
      <c r="AL1069" s="3441">
        <v>67641700</v>
      </c>
      <c r="AN1069" s="3456" t="s">
        <v>3695</v>
      </c>
      <c r="AP1069" s="3441" t="s">
        <v>3476</v>
      </c>
      <c r="AQ1069" s="3441" t="s">
        <v>3571</v>
      </c>
      <c r="AW1069" s="3441" t="s">
        <v>3572</v>
      </c>
      <c r="AX1069" s="3441" t="s">
        <v>3568</v>
      </c>
      <c r="AY1069" s="3524" t="s">
        <v>10634</v>
      </c>
      <c r="AZ1069" s="3441" t="s">
        <v>4654</v>
      </c>
      <c r="BA1069" s="3441" t="s">
        <v>4688</v>
      </c>
      <c r="BB1069" s="3524" t="s">
        <v>4689</v>
      </c>
      <c r="BC1069" s="3441" t="s">
        <v>4656</v>
      </c>
      <c r="BD1069" s="3525">
        <v>100037</v>
      </c>
      <c r="BE1069" s="3441">
        <v>68347718</v>
      </c>
      <c r="BF1069" s="3526">
        <v>2.8</v>
      </c>
      <c r="BG1069" s="3518">
        <v>37924</v>
      </c>
      <c r="BI1069" s="3441" t="s">
        <v>8464</v>
      </c>
      <c r="BJ1069" s="3518">
        <v>37935</v>
      </c>
      <c r="BK1069" s="3518"/>
      <c r="BL1069" s="3470" t="s">
        <v>3670</v>
      </c>
    </row>
    <row r="1070" spans="1:70" s="3441" customFormat="1" ht="12" hidden="1">
      <c r="A1070" s="3542" t="s">
        <v>10635</v>
      </c>
      <c r="B1070" s="3470" t="s">
        <v>10636</v>
      </c>
      <c r="C1070" s="3481" t="s">
        <v>10637</v>
      </c>
      <c r="D1070" s="3481" t="s">
        <v>10638</v>
      </c>
      <c r="E1070" s="3470" t="s">
        <v>3558</v>
      </c>
      <c r="F1070" s="3521" t="s">
        <v>7652</v>
      </c>
      <c r="G1070" s="3470"/>
      <c r="H1070" s="3470" t="s">
        <v>10114</v>
      </c>
      <c r="I1070" s="3470" t="s">
        <v>4581</v>
      </c>
      <c r="J1070" s="3481" t="s">
        <v>5848</v>
      </c>
      <c r="K1070" s="3470" t="s">
        <v>7653</v>
      </c>
      <c r="L1070" s="3470">
        <v>80.430000000000007</v>
      </c>
      <c r="M1070" s="3470">
        <v>5</v>
      </c>
      <c r="N1070" s="3470" t="s">
        <v>4030</v>
      </c>
      <c r="O1070" s="3470">
        <v>63.45</v>
      </c>
      <c r="P1070" s="3470" t="s">
        <v>3452</v>
      </c>
      <c r="Q1070" s="3457">
        <v>365152.2</v>
      </c>
      <c r="R1070" s="3470">
        <v>4540</v>
      </c>
      <c r="S1070" s="3472">
        <v>36.11</v>
      </c>
      <c r="T1070" s="3550">
        <v>361100</v>
      </c>
      <c r="U1070" s="3470">
        <v>4490</v>
      </c>
      <c r="V1070" s="3474">
        <v>0.1</v>
      </c>
      <c r="W1070" s="3475">
        <v>32.49</v>
      </c>
      <c r="X1070" s="3511">
        <v>324900</v>
      </c>
      <c r="Y1070" s="3441">
        <v>2003</v>
      </c>
      <c r="Z1070" s="3441">
        <v>11</v>
      </c>
      <c r="AA1070" s="3441">
        <v>14</v>
      </c>
      <c r="AB1070" s="3477">
        <v>1805</v>
      </c>
      <c r="AC1070" s="3470" t="s">
        <v>9007</v>
      </c>
      <c r="AD1070" s="3485"/>
      <c r="AE1070" s="3441" t="s">
        <v>3663</v>
      </c>
      <c r="AF1070" s="3470" t="s">
        <v>4721</v>
      </c>
      <c r="AG1070" s="3522" t="s">
        <v>3466</v>
      </c>
      <c r="AH1070" s="3485" t="s">
        <v>3568</v>
      </c>
      <c r="AI1070" s="3470" t="s">
        <v>5021</v>
      </c>
      <c r="AJ1070" s="3523">
        <v>38123</v>
      </c>
      <c r="AK1070" s="3603" t="s">
        <v>4773</v>
      </c>
      <c r="AL1070" s="3441">
        <v>67641700</v>
      </c>
      <c r="AN1070" s="3456" t="s">
        <v>3695</v>
      </c>
      <c r="AP1070" s="3441" t="s">
        <v>3476</v>
      </c>
      <c r="AQ1070" s="3441" t="s">
        <v>3571</v>
      </c>
      <c r="AV1070" s="3441" t="s">
        <v>3568</v>
      </c>
      <c r="AW1070" s="3441" t="s">
        <v>3572</v>
      </c>
      <c r="AY1070" s="3524" t="s">
        <v>10639</v>
      </c>
      <c r="AZ1070" s="3441" t="s">
        <v>7653</v>
      </c>
      <c r="BA1070" s="3441" t="s">
        <v>7655</v>
      </c>
      <c r="BB1070" s="3524" t="s">
        <v>7656</v>
      </c>
      <c r="BC1070" s="3441" t="s">
        <v>7657</v>
      </c>
      <c r="BD1070" s="3525">
        <v>100025</v>
      </c>
      <c r="BE1070" s="3441">
        <v>62908858</v>
      </c>
      <c r="BF1070" s="3526">
        <v>2.7</v>
      </c>
      <c r="BG1070" s="3518">
        <v>37913</v>
      </c>
      <c r="BI1070" s="3441" t="s">
        <v>8464</v>
      </c>
      <c r="BJ1070" s="3518">
        <v>37938</v>
      </c>
      <c r="BK1070" s="3518"/>
      <c r="BL1070" s="3470" t="s">
        <v>3670</v>
      </c>
    </row>
    <row r="1071" spans="1:70" s="3441" customFormat="1" ht="12">
      <c r="A1071" s="3542" t="s">
        <v>10640</v>
      </c>
      <c r="B1071" s="3470" t="s">
        <v>10641</v>
      </c>
      <c r="C1071" s="3481" t="s">
        <v>10642</v>
      </c>
      <c r="D1071" s="3481" t="s">
        <v>10643</v>
      </c>
      <c r="E1071" s="3470" t="s">
        <v>2736</v>
      </c>
      <c r="F1071" s="3687" t="s">
        <v>9471</v>
      </c>
      <c r="G1071" s="3470"/>
      <c r="H1071" s="3470" t="s">
        <v>2420</v>
      </c>
      <c r="I1071" s="3470" t="s">
        <v>4707</v>
      </c>
      <c r="J1071" s="3481" t="s">
        <v>10644</v>
      </c>
      <c r="K1071" s="3470" t="s">
        <v>8795</v>
      </c>
      <c r="L1071" s="3470">
        <v>48.03</v>
      </c>
      <c r="M1071" s="3470">
        <v>14</v>
      </c>
      <c r="N1071" s="3470" t="s">
        <v>3678</v>
      </c>
      <c r="O1071" s="3470">
        <v>37.29</v>
      </c>
      <c r="P1071" s="3470" t="s">
        <v>3452</v>
      </c>
      <c r="Q1071" s="3457">
        <v>333808.5</v>
      </c>
      <c r="R1071" s="3470">
        <v>6950</v>
      </c>
      <c r="S1071" s="3472">
        <v>33.35</v>
      </c>
      <c r="T1071" s="3527">
        <v>333500</v>
      </c>
      <c r="U1071" s="3495">
        <v>6944</v>
      </c>
      <c r="V1071" s="3474">
        <v>0.1</v>
      </c>
      <c r="W1071" s="3475">
        <v>30.01</v>
      </c>
      <c r="X1071" s="3473">
        <v>300100</v>
      </c>
      <c r="Y1071" s="3495">
        <v>2003</v>
      </c>
      <c r="Z1071" s="3441">
        <v>11</v>
      </c>
      <c r="AA1071" s="3470">
        <v>17</v>
      </c>
      <c r="AB1071" s="3477">
        <v>1665</v>
      </c>
      <c r="AC1071" s="3470" t="s">
        <v>9413</v>
      </c>
      <c r="AD1071" s="3485"/>
      <c r="AE1071" s="3441" t="s">
        <v>3663</v>
      </c>
      <c r="AF1071" s="3470" t="s">
        <v>3587</v>
      </c>
      <c r="AG1071" s="3522" t="s">
        <v>3466</v>
      </c>
      <c r="AH1071" s="3485"/>
      <c r="AI1071" s="3470" t="s">
        <v>5021</v>
      </c>
      <c r="AJ1071" s="3523">
        <v>38107</v>
      </c>
      <c r="AK1071" s="3603" t="s">
        <v>4773</v>
      </c>
      <c r="AL1071" s="3441">
        <v>67641700</v>
      </c>
      <c r="AN1071" s="3456" t="s">
        <v>3739</v>
      </c>
      <c r="AO1071" s="3470" t="s">
        <v>2420</v>
      </c>
      <c r="AP1071" s="3441" t="s">
        <v>3476</v>
      </c>
      <c r="AQ1071" s="3441" t="s">
        <v>3571</v>
      </c>
      <c r="AW1071" s="3441" t="s">
        <v>3572</v>
      </c>
      <c r="AY1071" s="3524" t="s">
        <v>10645</v>
      </c>
      <c r="AZ1071" s="3470" t="s">
        <v>8795</v>
      </c>
      <c r="BA1071" s="3441" t="s">
        <v>9474</v>
      </c>
      <c r="BB1071" s="3524" t="s">
        <v>8799</v>
      </c>
      <c r="BC1071" s="3441" t="s">
        <v>8800</v>
      </c>
      <c r="BD1071" s="3525" t="s">
        <v>2420</v>
      </c>
      <c r="BE1071" s="3441" t="s">
        <v>2420</v>
      </c>
      <c r="BF1071" s="3526">
        <v>2.8</v>
      </c>
      <c r="BG1071" s="3484">
        <v>37889</v>
      </c>
      <c r="BH1071" s="3441" t="s">
        <v>8801</v>
      </c>
      <c r="BI1071" s="3441" t="s">
        <v>3476</v>
      </c>
      <c r="BJ1071" s="3478">
        <v>37938</v>
      </c>
      <c r="BK1071" s="3484">
        <v>37908</v>
      </c>
      <c r="BL1071" s="3470" t="s">
        <v>3670</v>
      </c>
    </row>
    <row r="1072" spans="1:70" s="3441" customFormat="1" ht="12" hidden="1">
      <c r="A1072" s="3542" t="s">
        <v>10646</v>
      </c>
      <c r="B1072" s="3470" t="s">
        <v>10647</v>
      </c>
      <c r="C1072" s="3481" t="s">
        <v>10648</v>
      </c>
      <c r="D1072" s="3481" t="s">
        <v>10649</v>
      </c>
      <c r="E1072" s="3470" t="s">
        <v>3558</v>
      </c>
      <c r="F1072" s="3528" t="s">
        <v>4669</v>
      </c>
      <c r="G1072" s="3470"/>
      <c r="H1072" s="3470" t="s">
        <v>10603</v>
      </c>
      <c r="I1072" s="3470" t="s">
        <v>4581</v>
      </c>
      <c r="J1072" s="3481" t="s">
        <v>10650</v>
      </c>
      <c r="K1072" s="3470" t="s">
        <v>4673</v>
      </c>
      <c r="L1072" s="3470">
        <v>53.71</v>
      </c>
      <c r="M1072" s="3470">
        <v>5</v>
      </c>
      <c r="N1072" s="3470" t="s">
        <v>3489</v>
      </c>
      <c r="O1072" s="3470">
        <v>41.78</v>
      </c>
      <c r="P1072" s="3470" t="s">
        <v>3452</v>
      </c>
      <c r="Q1072" s="3457">
        <v>351338.05690000003</v>
      </c>
      <c r="R1072" s="3470">
        <v>6541.39</v>
      </c>
      <c r="S1072" s="3472">
        <v>34.799999999999997</v>
      </c>
      <c r="T1072" s="3527">
        <v>348000</v>
      </c>
      <c r="U1072" s="3470">
        <v>6480</v>
      </c>
      <c r="V1072" s="3474">
        <v>0.1</v>
      </c>
      <c r="W1072" s="3475">
        <v>31.32</v>
      </c>
      <c r="X1072" s="3494">
        <v>313200</v>
      </c>
      <c r="Y1072" s="3441">
        <v>2003</v>
      </c>
      <c r="Z1072" s="3441">
        <v>11</v>
      </c>
      <c r="AA1072" s="3470">
        <v>17</v>
      </c>
      <c r="AB1072" s="3477">
        <v>1740</v>
      </c>
      <c r="AC1072" s="3470" t="s">
        <v>9077</v>
      </c>
      <c r="AD1072" s="3485"/>
      <c r="AE1072" s="3441" t="s">
        <v>3663</v>
      </c>
      <c r="AF1072" s="3470" t="s">
        <v>4721</v>
      </c>
      <c r="AG1072" s="3522" t="s">
        <v>3466</v>
      </c>
      <c r="AH1072" s="3485" t="s">
        <v>2420</v>
      </c>
      <c r="AI1072" s="3470" t="s">
        <v>5021</v>
      </c>
      <c r="AJ1072" s="3523">
        <v>38347</v>
      </c>
      <c r="AK1072" s="3603" t="s">
        <v>4773</v>
      </c>
      <c r="AL1072" s="3495">
        <v>67641700</v>
      </c>
      <c r="AM1072" s="3470"/>
      <c r="AN1072" s="3456" t="s">
        <v>3739</v>
      </c>
      <c r="AO1072" s="3441" t="s">
        <v>3568</v>
      </c>
      <c r="AP1072" s="3441" t="s">
        <v>3476</v>
      </c>
      <c r="AQ1072" s="3441" t="s">
        <v>3571</v>
      </c>
      <c r="AW1072" s="3441" t="s">
        <v>3572</v>
      </c>
      <c r="AY1072" s="3524" t="s">
        <v>10651</v>
      </c>
      <c r="AZ1072" s="3441" t="s">
        <v>4677</v>
      </c>
      <c r="BA1072" s="3441" t="s">
        <v>4678</v>
      </c>
      <c r="BB1072" s="3524" t="s">
        <v>4679</v>
      </c>
      <c r="BC1072" s="3441" t="s">
        <v>4680</v>
      </c>
      <c r="BD1072" s="3525">
        <v>100089</v>
      </c>
      <c r="BE1072" s="3441">
        <v>68719656</v>
      </c>
      <c r="BF1072" s="3526">
        <v>2.8</v>
      </c>
      <c r="BG1072" s="3518">
        <v>37929</v>
      </c>
      <c r="BI1072" s="3470" t="s">
        <v>3476</v>
      </c>
      <c r="BJ1072" s="3478">
        <v>37937</v>
      </c>
      <c r="BK1072" s="3484"/>
      <c r="BL1072" s="3470" t="s">
        <v>3670</v>
      </c>
    </row>
    <row r="1073" spans="1:70" s="3441" customFormat="1" ht="12" hidden="1">
      <c r="A1073" s="3453" t="s">
        <v>10652</v>
      </c>
      <c r="B1073" s="3470" t="s">
        <v>10653</v>
      </c>
      <c r="C1073" s="3481" t="s">
        <v>10654</v>
      </c>
      <c r="D1073" s="3481" t="s">
        <v>10655</v>
      </c>
      <c r="E1073" s="3470" t="s">
        <v>3558</v>
      </c>
      <c r="F1073" s="3528" t="s">
        <v>4645</v>
      </c>
      <c r="G1073" s="3470"/>
      <c r="H1073" s="3470" t="s">
        <v>9611</v>
      </c>
      <c r="I1073" s="3470" t="s">
        <v>8768</v>
      </c>
      <c r="J1073" s="3481" t="s">
        <v>10656</v>
      </c>
      <c r="K1073" s="3470" t="s">
        <v>4649</v>
      </c>
      <c r="L1073" s="3470">
        <v>89.07</v>
      </c>
      <c r="M1073" s="3470">
        <v>16</v>
      </c>
      <c r="N1073" s="3470" t="s">
        <v>3489</v>
      </c>
      <c r="O1073" s="3470">
        <v>70.209999999999994</v>
      </c>
      <c r="P1073" s="3470" t="s">
        <v>3452</v>
      </c>
      <c r="Q1073" s="3457">
        <v>642283.7699999999</v>
      </c>
      <c r="R1073" s="3470">
        <v>7211</v>
      </c>
      <c r="S1073" s="3472">
        <v>63.64</v>
      </c>
      <c r="T1073" s="3527">
        <v>636400</v>
      </c>
      <c r="U1073" s="3495">
        <v>7146</v>
      </c>
      <c r="V1073" s="3512">
        <v>0.1</v>
      </c>
      <c r="W1073" s="3475">
        <v>57.27</v>
      </c>
      <c r="X1073" s="3473">
        <v>572700</v>
      </c>
      <c r="Y1073" s="3515">
        <v>2003</v>
      </c>
      <c r="Z1073" s="3441">
        <v>11</v>
      </c>
      <c r="AA1073" s="3470">
        <v>17</v>
      </c>
      <c r="AB1073" s="3477">
        <v>3180</v>
      </c>
      <c r="AC1073" s="3470" t="s">
        <v>9007</v>
      </c>
      <c r="AD1073" s="3485"/>
      <c r="AE1073" s="3441" t="s">
        <v>3663</v>
      </c>
      <c r="AF1073" s="3470" t="s">
        <v>3728</v>
      </c>
      <c r="AG1073" s="3522" t="s">
        <v>3466</v>
      </c>
      <c r="AH1073" s="3485"/>
      <c r="AI1073" s="3470" t="s">
        <v>5021</v>
      </c>
      <c r="AJ1073" s="3523">
        <v>38199</v>
      </c>
      <c r="AK1073" s="3603" t="s">
        <v>4773</v>
      </c>
      <c r="AL1073" s="3495">
        <v>67641700</v>
      </c>
      <c r="AM1073" s="3470"/>
      <c r="AN1073" s="3456" t="s">
        <v>3739</v>
      </c>
      <c r="AP1073" s="3441" t="s">
        <v>3476</v>
      </c>
      <c r="AQ1073" s="3441" t="s">
        <v>3571</v>
      </c>
      <c r="AW1073" s="3441" t="s">
        <v>3572</v>
      </c>
      <c r="AX1073" s="3441" t="s">
        <v>3568</v>
      </c>
      <c r="AY1073" s="3524" t="s">
        <v>10657</v>
      </c>
      <c r="AZ1073" s="3441" t="s">
        <v>4654</v>
      </c>
      <c r="BA1073" s="3441" t="s">
        <v>4688</v>
      </c>
      <c r="BB1073" s="3524" t="s">
        <v>4689</v>
      </c>
      <c r="BC1073" s="3441" t="s">
        <v>4656</v>
      </c>
      <c r="BD1073" s="3525">
        <v>100037</v>
      </c>
      <c r="BE1073" s="3441">
        <v>68347718</v>
      </c>
      <c r="BF1073" s="3526">
        <v>2.8</v>
      </c>
      <c r="BG1073" s="3518">
        <v>37929</v>
      </c>
      <c r="BH1073" s="3441" t="s">
        <v>4681</v>
      </c>
      <c r="BI1073" s="3441" t="s">
        <v>3476</v>
      </c>
      <c r="BJ1073" s="3478">
        <v>37939</v>
      </c>
      <c r="BK1073" s="3484"/>
      <c r="BL1073" s="3470" t="s">
        <v>3670</v>
      </c>
    </row>
    <row r="1074" spans="1:70" s="3441" customFormat="1" ht="12" hidden="1">
      <c r="A1074" s="3542" t="s">
        <v>10658</v>
      </c>
      <c r="B1074" s="3470" t="s">
        <v>10659</v>
      </c>
      <c r="C1074" s="3481" t="s">
        <v>10660</v>
      </c>
      <c r="D1074" s="3481" t="s">
        <v>10661</v>
      </c>
      <c r="E1074" s="3470" t="s">
        <v>3558</v>
      </c>
      <c r="F1074" s="3528" t="s">
        <v>3733</v>
      </c>
      <c r="G1074" s="3470"/>
      <c r="H1074" s="3470" t="s">
        <v>10662</v>
      </c>
      <c r="I1074" s="3470" t="s">
        <v>10544</v>
      </c>
      <c r="J1074" s="3470" t="s">
        <v>4473</v>
      </c>
      <c r="K1074" s="3470" t="s">
        <v>3737</v>
      </c>
      <c r="L1074" s="3470">
        <v>75.19</v>
      </c>
      <c r="M1074" s="3470">
        <v>2</v>
      </c>
      <c r="N1074" s="3542" t="s">
        <v>3451</v>
      </c>
      <c r="O1074" s="3470">
        <v>60.28</v>
      </c>
      <c r="P1074" s="3470" t="s">
        <v>3452</v>
      </c>
      <c r="Q1074" s="3600">
        <v>442869.1</v>
      </c>
      <c r="R1074" s="3470">
        <v>5890</v>
      </c>
      <c r="S1074" s="3472">
        <v>42.88</v>
      </c>
      <c r="T1074" s="3527">
        <v>428800</v>
      </c>
      <c r="U1074" s="3470">
        <v>5703</v>
      </c>
      <c r="V1074" s="3474">
        <v>0.1</v>
      </c>
      <c r="W1074" s="3475">
        <v>38.590000000000003</v>
      </c>
      <c r="X1074" s="3494">
        <v>385900.00000000006</v>
      </c>
      <c r="Y1074" s="3441">
        <v>2003</v>
      </c>
      <c r="Z1074" s="3441">
        <v>11</v>
      </c>
      <c r="AA1074" s="3470">
        <v>17</v>
      </c>
      <c r="AB1074" s="3477">
        <v>2140</v>
      </c>
      <c r="AC1074" s="3470" t="s">
        <v>9007</v>
      </c>
      <c r="AD1074" s="3485"/>
      <c r="AE1074" s="3441" t="s">
        <v>3663</v>
      </c>
      <c r="AF1074" s="3470" t="s">
        <v>3604</v>
      </c>
      <c r="AG1074" s="3522" t="s">
        <v>3466</v>
      </c>
      <c r="AH1074" s="3485"/>
      <c r="AI1074" s="3470" t="s">
        <v>5021</v>
      </c>
      <c r="AJ1074" s="3523">
        <v>38132</v>
      </c>
      <c r="AK1074" s="3603" t="s">
        <v>4773</v>
      </c>
      <c r="AL1074" s="3441">
        <v>67641700</v>
      </c>
      <c r="AN1074" s="3456" t="s">
        <v>3482</v>
      </c>
      <c r="AO1074" s="3441" t="s">
        <v>2420</v>
      </c>
      <c r="AP1074" s="3441" t="s">
        <v>3476</v>
      </c>
      <c r="AQ1074" s="3441" t="s">
        <v>3571</v>
      </c>
      <c r="AW1074" s="3441" t="s">
        <v>3572</v>
      </c>
      <c r="AY1074" s="3524" t="s">
        <v>10663</v>
      </c>
      <c r="AZ1074" s="3441" t="s">
        <v>3737</v>
      </c>
      <c r="BA1074" s="3441" t="s">
        <v>3742</v>
      </c>
      <c r="BB1074" s="3524" t="s">
        <v>3743</v>
      </c>
      <c r="BC1074" s="3441" t="s">
        <v>3744</v>
      </c>
      <c r="BD1074" s="3525">
        <v>100088</v>
      </c>
      <c r="BE1074" s="3441">
        <v>82058259</v>
      </c>
      <c r="BF1074" s="3526" t="s">
        <v>8595</v>
      </c>
      <c r="BG1074" s="3478">
        <v>37925</v>
      </c>
      <c r="BH1074" s="3441" t="s">
        <v>4753</v>
      </c>
      <c r="BI1074" s="3441" t="s">
        <v>3476</v>
      </c>
      <c r="BJ1074" s="3478">
        <v>37939</v>
      </c>
      <c r="BK1074" s="3484" t="s">
        <v>2420</v>
      </c>
      <c r="BL1074" s="3470" t="s">
        <v>3670</v>
      </c>
    </row>
    <row r="1075" spans="1:70" s="3441" customFormat="1" ht="12" hidden="1">
      <c r="A1075" s="3542" t="s">
        <v>10664</v>
      </c>
      <c r="B1075" s="3470" t="s">
        <v>10665</v>
      </c>
      <c r="C1075" s="3481" t="s">
        <v>10666</v>
      </c>
      <c r="D1075" s="3481" t="s">
        <v>10667</v>
      </c>
      <c r="E1075" s="3470" t="s">
        <v>3558</v>
      </c>
      <c r="F1075" s="3528" t="s">
        <v>3733</v>
      </c>
      <c r="G1075" s="3470"/>
      <c r="H1075" s="3470" t="s">
        <v>10662</v>
      </c>
      <c r="I1075" s="3470" t="s">
        <v>4707</v>
      </c>
      <c r="J1075" s="3470" t="s">
        <v>8731</v>
      </c>
      <c r="K1075" s="3470" t="s">
        <v>3737</v>
      </c>
      <c r="L1075" s="3470">
        <v>54.68</v>
      </c>
      <c r="M1075" s="3470">
        <v>14</v>
      </c>
      <c r="N1075" s="3470" t="s">
        <v>3489</v>
      </c>
      <c r="O1075" s="3470">
        <v>43.84</v>
      </c>
      <c r="P1075" s="3470" t="s">
        <v>3452</v>
      </c>
      <c r="Q1075" s="3492">
        <v>348311.6</v>
      </c>
      <c r="R1075" s="3470">
        <v>6370</v>
      </c>
      <c r="S1075" s="3472">
        <v>33.58</v>
      </c>
      <c r="T1075" s="3527">
        <v>335800</v>
      </c>
      <c r="U1075" s="3470">
        <v>6142</v>
      </c>
      <c r="V1075" s="3474">
        <v>0.1</v>
      </c>
      <c r="W1075" s="3475">
        <v>30.22</v>
      </c>
      <c r="X1075" s="3494">
        <v>302200</v>
      </c>
      <c r="Y1075" s="3441">
        <v>2003</v>
      </c>
      <c r="Z1075" s="3441">
        <v>11</v>
      </c>
      <c r="AA1075" s="3470">
        <v>21</v>
      </c>
      <c r="AB1075" s="3477">
        <v>1675</v>
      </c>
      <c r="AC1075" s="3470" t="s">
        <v>9364</v>
      </c>
      <c r="AD1075" s="3485"/>
      <c r="AE1075" s="3441" t="s">
        <v>3663</v>
      </c>
      <c r="AF1075" s="3470" t="s">
        <v>3604</v>
      </c>
      <c r="AG1075" s="3522" t="s">
        <v>3466</v>
      </c>
      <c r="AH1075" s="3485"/>
      <c r="AI1075" s="3470" t="s">
        <v>5021</v>
      </c>
      <c r="AJ1075" s="3523">
        <v>38132</v>
      </c>
      <c r="AK1075" s="3612" t="s">
        <v>4773</v>
      </c>
      <c r="AL1075" s="3441">
        <v>67641700</v>
      </c>
      <c r="AN1075" s="3480" t="s">
        <v>3482</v>
      </c>
      <c r="AO1075" s="3470" t="s">
        <v>10668</v>
      </c>
      <c r="AP1075" s="3441" t="s">
        <v>3476</v>
      </c>
      <c r="AQ1075" s="3441" t="s">
        <v>3571</v>
      </c>
      <c r="AW1075" s="3441" t="s">
        <v>3572</v>
      </c>
      <c r="AY1075" s="3524" t="s">
        <v>10669</v>
      </c>
      <c r="AZ1075" s="3441" t="s">
        <v>3737</v>
      </c>
      <c r="BA1075" s="3441" t="s">
        <v>3742</v>
      </c>
      <c r="BB1075" s="3524" t="s">
        <v>3743</v>
      </c>
      <c r="BC1075" s="3441" t="s">
        <v>3744</v>
      </c>
      <c r="BD1075" s="3525">
        <v>100088</v>
      </c>
      <c r="BE1075" s="3441">
        <v>82058259</v>
      </c>
      <c r="BF1075" s="3526" t="s">
        <v>8595</v>
      </c>
      <c r="BG1075" s="3478">
        <v>37922</v>
      </c>
      <c r="BH1075" s="3441" t="s">
        <v>4753</v>
      </c>
      <c r="BI1075" s="3441" t="s">
        <v>3476</v>
      </c>
      <c r="BJ1075" s="3478">
        <v>37945</v>
      </c>
      <c r="BK1075" s="3484" t="s">
        <v>2420</v>
      </c>
      <c r="BL1075" s="3470" t="s">
        <v>3670</v>
      </c>
    </row>
    <row r="1076" spans="1:70" s="3441" customFormat="1" ht="12" hidden="1">
      <c r="A1076" s="3453" t="s">
        <v>10670</v>
      </c>
      <c r="B1076" s="3470" t="s">
        <v>3481</v>
      </c>
      <c r="C1076" s="3481" t="s">
        <v>10671</v>
      </c>
      <c r="D1076" s="3481" t="s">
        <v>10672</v>
      </c>
      <c r="E1076" s="3470" t="s">
        <v>3558</v>
      </c>
      <c r="F1076" s="3470" t="s">
        <v>10065</v>
      </c>
      <c r="G1076" s="3470"/>
      <c r="H1076" s="3470" t="s">
        <v>10066</v>
      </c>
      <c r="I1076" s="3470" t="s">
        <v>4854</v>
      </c>
      <c r="J1076" s="3481" t="s">
        <v>4042</v>
      </c>
      <c r="K1076" s="3470" t="s">
        <v>10068</v>
      </c>
      <c r="L1076" s="3470">
        <v>92.47</v>
      </c>
      <c r="M1076" s="3470">
        <v>3</v>
      </c>
      <c r="N1076" s="3470" t="s">
        <v>4030</v>
      </c>
      <c r="O1076" s="3470">
        <v>80.38</v>
      </c>
      <c r="P1076" s="3470" t="s">
        <v>3452</v>
      </c>
      <c r="Q1076" s="3457">
        <v>453103</v>
      </c>
      <c r="R1076" s="3470">
        <v>4900</v>
      </c>
      <c r="S1076" s="3472">
        <v>44.84</v>
      </c>
      <c r="T1076" s="3527">
        <v>448400.00000000006</v>
      </c>
      <c r="U1076" s="3495">
        <v>4850</v>
      </c>
      <c r="V1076" s="3474">
        <v>0.1</v>
      </c>
      <c r="W1076" s="3475">
        <v>40.35</v>
      </c>
      <c r="X1076" s="3476">
        <v>403500</v>
      </c>
      <c r="Y1076" s="3495">
        <v>2003</v>
      </c>
      <c r="Z1076" s="3441">
        <v>11</v>
      </c>
      <c r="AA1076" s="3470">
        <v>17</v>
      </c>
      <c r="AB1076" s="3477">
        <v>2240</v>
      </c>
      <c r="AC1076" s="3470" t="s">
        <v>9007</v>
      </c>
      <c r="AD1076" s="3485"/>
      <c r="AE1076" s="3441" t="s">
        <v>3663</v>
      </c>
      <c r="AF1076" s="3470" t="s">
        <v>4126</v>
      </c>
      <c r="AG1076" s="3522" t="s">
        <v>3466</v>
      </c>
      <c r="AH1076" s="3485" t="s">
        <v>3568</v>
      </c>
      <c r="AI1076" s="3470" t="s">
        <v>5021</v>
      </c>
      <c r="AJ1076" s="3523">
        <v>37986</v>
      </c>
      <c r="AK1076" s="3603" t="s">
        <v>4773</v>
      </c>
      <c r="AL1076" s="3441">
        <v>67641700</v>
      </c>
      <c r="AN1076" s="3456" t="s">
        <v>3739</v>
      </c>
      <c r="AO1076" s="3441" t="s">
        <v>3568</v>
      </c>
      <c r="AP1076" s="3441" t="s">
        <v>3476</v>
      </c>
      <c r="AQ1076" s="3441" t="s">
        <v>3571</v>
      </c>
      <c r="AR1076" s="3441" t="s">
        <v>3568</v>
      </c>
      <c r="AS1076" s="3441" t="s">
        <v>3568</v>
      </c>
      <c r="AT1076" s="3441" t="s">
        <v>3568</v>
      </c>
      <c r="AW1076" s="3441" t="s">
        <v>3572</v>
      </c>
      <c r="AX1076" s="3441" t="s">
        <v>2420</v>
      </c>
      <c r="AY1076" s="3524" t="s">
        <v>10673</v>
      </c>
      <c r="AZ1076" s="3470" t="s">
        <v>10068</v>
      </c>
      <c r="BA1076" s="3441" t="s">
        <v>10071</v>
      </c>
      <c r="BB1076" s="3524" t="s">
        <v>10674</v>
      </c>
      <c r="BC1076" s="3441" t="s">
        <v>10073</v>
      </c>
      <c r="BD1076" s="3525">
        <v>100505</v>
      </c>
      <c r="BE1076" s="3441">
        <v>62935226</v>
      </c>
      <c r="BF1076" s="3526">
        <v>2.7</v>
      </c>
      <c r="BG1076" s="3518">
        <v>37913</v>
      </c>
      <c r="BH1076" s="3441" t="s">
        <v>3568</v>
      </c>
      <c r="BI1076" s="3441" t="s">
        <v>3476</v>
      </c>
      <c r="BJ1076" s="3478">
        <v>37939</v>
      </c>
      <c r="BK1076" s="3518" t="s">
        <v>2420</v>
      </c>
      <c r="BL1076" s="3470" t="s">
        <v>3670</v>
      </c>
    </row>
    <row r="1077" spans="1:70" s="3441" customFormat="1" ht="12">
      <c r="A1077" s="3542" t="s">
        <v>10675</v>
      </c>
      <c r="B1077" s="3470" t="s">
        <v>10676</v>
      </c>
      <c r="C1077" s="3481" t="s">
        <v>10677</v>
      </c>
      <c r="D1077" s="3481" t="s">
        <v>10678</v>
      </c>
      <c r="E1077" s="3470" t="s">
        <v>2736</v>
      </c>
      <c r="F1077" s="3687" t="s">
        <v>9471</v>
      </c>
      <c r="G1077" s="3470"/>
      <c r="H1077" s="3470" t="s">
        <v>2420</v>
      </c>
      <c r="I1077" s="3470" t="s">
        <v>9411</v>
      </c>
      <c r="J1077" s="3481" t="s">
        <v>10679</v>
      </c>
      <c r="K1077" s="3470" t="s">
        <v>8795</v>
      </c>
      <c r="L1077" s="3470">
        <v>48.03</v>
      </c>
      <c r="M1077" s="3470">
        <v>11</v>
      </c>
      <c r="N1077" s="3470" t="s">
        <v>3678</v>
      </c>
      <c r="O1077" s="3470">
        <v>37.29</v>
      </c>
      <c r="P1077" s="3470" t="s">
        <v>3452</v>
      </c>
      <c r="Q1077" s="3457">
        <v>338611.5</v>
      </c>
      <c r="R1077" s="3470">
        <v>7050</v>
      </c>
      <c r="S1077" s="3472">
        <v>33.549999999999997</v>
      </c>
      <c r="T1077" s="3527">
        <v>335500</v>
      </c>
      <c r="U1077" s="3495">
        <v>6986</v>
      </c>
      <c r="V1077" s="3474">
        <v>0.1</v>
      </c>
      <c r="W1077" s="3475">
        <v>30.19</v>
      </c>
      <c r="X1077" s="3473">
        <v>301900</v>
      </c>
      <c r="Y1077" s="3495">
        <v>2003</v>
      </c>
      <c r="Z1077" s="3441">
        <v>11</v>
      </c>
      <c r="AA1077" s="3470">
        <v>17</v>
      </c>
      <c r="AB1077" s="3477">
        <v>1675</v>
      </c>
      <c r="AC1077" s="3470" t="s">
        <v>9413</v>
      </c>
      <c r="AD1077" s="3485"/>
      <c r="AE1077" s="3441" t="s">
        <v>3663</v>
      </c>
      <c r="AF1077" s="3470" t="s">
        <v>3587</v>
      </c>
      <c r="AG1077" s="3522" t="s">
        <v>3466</v>
      </c>
      <c r="AH1077" s="3485"/>
      <c r="AI1077" s="3470" t="s">
        <v>5021</v>
      </c>
      <c r="AJ1077" s="3523">
        <v>38107</v>
      </c>
      <c r="AK1077" s="3603" t="s">
        <v>4773</v>
      </c>
      <c r="AL1077" s="3441">
        <v>67641700</v>
      </c>
      <c r="AN1077" s="3456" t="s">
        <v>3739</v>
      </c>
      <c r="AO1077" s="3470" t="s">
        <v>2420</v>
      </c>
      <c r="AP1077" s="3441" t="s">
        <v>3476</v>
      </c>
      <c r="AQ1077" s="3441" t="s">
        <v>3571</v>
      </c>
      <c r="AW1077" s="3441" t="s">
        <v>3572</v>
      </c>
      <c r="AY1077" s="3524" t="s">
        <v>10680</v>
      </c>
      <c r="AZ1077" s="3470" t="s">
        <v>8795</v>
      </c>
      <c r="BA1077" s="3441" t="s">
        <v>9474</v>
      </c>
      <c r="BB1077" s="3524" t="s">
        <v>8799</v>
      </c>
      <c r="BC1077" s="3441" t="s">
        <v>8800</v>
      </c>
      <c r="BD1077" s="3525" t="s">
        <v>2420</v>
      </c>
      <c r="BE1077" s="3441" t="s">
        <v>2420</v>
      </c>
      <c r="BF1077" s="3526">
        <v>2.8</v>
      </c>
      <c r="BG1077" s="3484">
        <v>37878</v>
      </c>
      <c r="BH1077" s="3441" t="s">
        <v>8801</v>
      </c>
      <c r="BI1077" s="3441" t="s">
        <v>3476</v>
      </c>
      <c r="BJ1077" s="3478">
        <v>37939</v>
      </c>
      <c r="BK1077" s="3484">
        <v>37908</v>
      </c>
      <c r="BL1077" s="3470" t="s">
        <v>3670</v>
      </c>
    </row>
    <row r="1078" spans="1:70" s="3470" customFormat="1" ht="12" hidden="1">
      <c r="A1078" s="3453" t="s">
        <v>10681</v>
      </c>
      <c r="B1078" s="3470" t="s">
        <v>10682</v>
      </c>
      <c r="C1078" s="3454" t="s">
        <v>10683</v>
      </c>
      <c r="D1078" s="3470">
        <v>13901047389</v>
      </c>
      <c r="E1078" s="3470" t="s">
        <v>2736</v>
      </c>
      <c r="F1078" s="3470" t="s">
        <v>5592</v>
      </c>
      <c r="G1078" s="3470" t="s">
        <v>2420</v>
      </c>
      <c r="H1078" s="3470" t="s">
        <v>9119</v>
      </c>
      <c r="I1078" s="3453" t="s">
        <v>3676</v>
      </c>
      <c r="J1078" s="3453" t="s">
        <v>4042</v>
      </c>
      <c r="K1078" s="3470" t="s">
        <v>5586</v>
      </c>
      <c r="L1078" s="3495">
        <v>53.97</v>
      </c>
      <c r="M1078" s="3495">
        <v>3</v>
      </c>
      <c r="N1078" s="3470" t="s">
        <v>3489</v>
      </c>
      <c r="O1078" s="3495">
        <v>44.19</v>
      </c>
      <c r="P1078" s="3470" t="s">
        <v>3452</v>
      </c>
      <c r="Q1078" s="3457">
        <v>207244.79999999999</v>
      </c>
      <c r="R1078" s="3470">
        <v>3840</v>
      </c>
      <c r="S1078" s="3472">
        <v>20.47</v>
      </c>
      <c r="T1078" s="3550">
        <v>204700</v>
      </c>
      <c r="U1078" s="3470">
        <v>3793</v>
      </c>
      <c r="V1078" s="3474">
        <v>0.1</v>
      </c>
      <c r="W1078" s="3475">
        <v>18.420000000000002</v>
      </c>
      <c r="X1078" s="3511">
        <v>184200.00000000003</v>
      </c>
      <c r="Y1078" s="3441">
        <v>2003</v>
      </c>
      <c r="Z1078" s="3441">
        <v>11</v>
      </c>
      <c r="AA1078" s="3470">
        <v>17</v>
      </c>
      <c r="AB1078" s="3485">
        <v>1020</v>
      </c>
      <c r="AC1078" s="3470" t="s">
        <v>9413</v>
      </c>
      <c r="AE1078" s="3456" t="s">
        <v>3663</v>
      </c>
      <c r="AF1078" s="3470" t="s">
        <v>4721</v>
      </c>
      <c r="AG1078" s="3456" t="s">
        <v>3466</v>
      </c>
      <c r="AI1078" s="3470" t="s">
        <v>3664</v>
      </c>
      <c r="AJ1078" s="3478">
        <v>38352</v>
      </c>
      <c r="AK1078" s="3603" t="s">
        <v>4773</v>
      </c>
      <c r="AL1078" s="3495">
        <v>67641700</v>
      </c>
      <c r="AN1078" s="3456" t="s">
        <v>3739</v>
      </c>
      <c r="AP1078" s="3456" t="s">
        <v>3476</v>
      </c>
      <c r="AQ1078" s="3456" t="s">
        <v>3571</v>
      </c>
      <c r="AV1078" s="3519"/>
      <c r="AW1078" s="3470" t="s">
        <v>3572</v>
      </c>
      <c r="AX1078" s="3470" t="s">
        <v>2420</v>
      </c>
      <c r="AY1078" s="3495">
        <v>565222</v>
      </c>
      <c r="AZ1078" s="3470" t="s">
        <v>5586</v>
      </c>
      <c r="BA1078" s="3470" t="s">
        <v>5587</v>
      </c>
      <c r="BB1078" s="3619">
        <v>1102281326100</v>
      </c>
      <c r="BC1078" s="3470" t="s">
        <v>5588</v>
      </c>
      <c r="BD1078" s="3470">
        <v>100055</v>
      </c>
      <c r="BE1078" s="3470">
        <v>82951881</v>
      </c>
      <c r="BF1078" s="3520">
        <v>2.8</v>
      </c>
      <c r="BG1078" s="3478">
        <v>37909</v>
      </c>
      <c r="BI1078" s="3441" t="s">
        <v>3476</v>
      </c>
      <c r="BJ1078" s="3478">
        <v>37938</v>
      </c>
      <c r="BK1078" s="3478"/>
      <c r="BL1078" s="3441" t="s">
        <v>3670</v>
      </c>
      <c r="BM1078" s="3441"/>
      <c r="BN1078" s="3441"/>
      <c r="BO1078" s="3441"/>
      <c r="BP1078" s="3441"/>
      <c r="BQ1078" s="3441"/>
      <c r="BR1078" s="3441"/>
    </row>
    <row r="1079" spans="1:70" s="3441" customFormat="1" ht="12" hidden="1">
      <c r="A1079" s="3542" t="s">
        <v>10684</v>
      </c>
      <c r="B1079" s="3470" t="s">
        <v>10685</v>
      </c>
      <c r="C1079" s="3481" t="s">
        <v>10686</v>
      </c>
      <c r="D1079" s="3481" t="s">
        <v>10687</v>
      </c>
      <c r="E1079" s="3470" t="s">
        <v>3558</v>
      </c>
      <c r="F1079" s="3528" t="s">
        <v>7652</v>
      </c>
      <c r="G1079" s="3470"/>
      <c r="H1079" s="3470" t="s">
        <v>3614</v>
      </c>
      <c r="I1079" s="3453" t="s">
        <v>4563</v>
      </c>
      <c r="J1079" s="3481" t="s">
        <v>10688</v>
      </c>
      <c r="K1079" s="3470" t="s">
        <v>6369</v>
      </c>
      <c r="L1079" s="3470">
        <v>104.4</v>
      </c>
      <c r="M1079" s="3470">
        <v>4</v>
      </c>
      <c r="N1079" s="3470" t="s">
        <v>6193</v>
      </c>
      <c r="O1079" s="3470">
        <v>82.57</v>
      </c>
      <c r="P1079" s="3470" t="s">
        <v>3452</v>
      </c>
      <c r="Q1079" s="3457">
        <v>463536</v>
      </c>
      <c r="R1079" s="3470">
        <v>4440</v>
      </c>
      <c r="S1079" s="3472">
        <v>45.83</v>
      </c>
      <c r="T1079" s="3527">
        <v>458300</v>
      </c>
      <c r="U1079" s="3470">
        <v>4390</v>
      </c>
      <c r="V1079" s="3512">
        <v>0.1</v>
      </c>
      <c r="W1079" s="3475">
        <v>41.24</v>
      </c>
      <c r="X1079" s="3473">
        <v>412400</v>
      </c>
      <c r="Y1079" s="3441">
        <v>2003</v>
      </c>
      <c r="Z1079" s="3441">
        <v>11</v>
      </c>
      <c r="AA1079" s="3470">
        <v>17</v>
      </c>
      <c r="AB1079" s="3485">
        <v>2290</v>
      </c>
      <c r="AC1079" s="3470" t="s">
        <v>9413</v>
      </c>
      <c r="AD1079" s="3485"/>
      <c r="AE1079" s="3441" t="s">
        <v>3663</v>
      </c>
      <c r="AF1079" s="3470" t="s">
        <v>4200</v>
      </c>
      <c r="AG1079" s="3522" t="s">
        <v>3466</v>
      </c>
      <c r="AH1079" s="3485" t="s">
        <v>3568</v>
      </c>
      <c r="AI1079" s="3470" t="s">
        <v>5021</v>
      </c>
      <c r="AJ1079" s="3523">
        <v>38077</v>
      </c>
      <c r="AK1079" s="3603" t="s">
        <v>4773</v>
      </c>
      <c r="AL1079" s="3441">
        <v>67641700</v>
      </c>
      <c r="AN1079" s="3456" t="s">
        <v>3739</v>
      </c>
      <c r="AP1079" s="3441" t="s">
        <v>3476</v>
      </c>
      <c r="AQ1079" s="3441" t="s">
        <v>3571</v>
      </c>
      <c r="AV1079" s="3441" t="s">
        <v>3568</v>
      </c>
      <c r="AW1079" s="3441" t="s">
        <v>3572</v>
      </c>
      <c r="AY1079" s="3524" t="s">
        <v>10689</v>
      </c>
      <c r="AZ1079" s="3441" t="s">
        <v>6369</v>
      </c>
      <c r="BA1079" s="3441" t="s">
        <v>7655</v>
      </c>
      <c r="BB1079" s="3524" t="s">
        <v>7656</v>
      </c>
      <c r="BC1079" s="3441" t="s">
        <v>7657</v>
      </c>
      <c r="BD1079" s="3525">
        <v>100025</v>
      </c>
      <c r="BE1079" s="3441">
        <v>62908858</v>
      </c>
      <c r="BF1079" s="3526">
        <v>2.7</v>
      </c>
      <c r="BG1079" s="3518">
        <v>37906</v>
      </c>
      <c r="BH1079" s="3441" t="s">
        <v>4681</v>
      </c>
      <c r="BI1079" s="3441" t="s">
        <v>3476</v>
      </c>
      <c r="BJ1079" s="3478">
        <v>37939</v>
      </c>
      <c r="BK1079" s="3484"/>
      <c r="BL1079" s="3470" t="s">
        <v>3670</v>
      </c>
    </row>
    <row r="1080" spans="1:70" s="3441" customFormat="1" ht="12" hidden="1">
      <c r="A1080" s="3542" t="s">
        <v>10690</v>
      </c>
      <c r="B1080" s="3470" t="s">
        <v>7337</v>
      </c>
      <c r="C1080" s="3481" t="s">
        <v>10691</v>
      </c>
      <c r="D1080" s="3481" t="s">
        <v>10692</v>
      </c>
      <c r="E1080" s="3470" t="s">
        <v>3558</v>
      </c>
      <c r="F1080" s="3528" t="s">
        <v>7652</v>
      </c>
      <c r="G1080" s="3470"/>
      <c r="H1080" s="3470" t="s">
        <v>4281</v>
      </c>
      <c r="I1080" s="3470" t="s">
        <v>3726</v>
      </c>
      <c r="J1080" s="3481" t="s">
        <v>3777</v>
      </c>
      <c r="K1080" s="3470" t="s">
        <v>6369</v>
      </c>
      <c r="L1080" s="3470">
        <v>88.34</v>
      </c>
      <c r="M1080" s="3470">
        <v>7</v>
      </c>
      <c r="N1080" s="3542" t="s">
        <v>3451</v>
      </c>
      <c r="O1080" s="3470">
        <v>71.400000000000006</v>
      </c>
      <c r="P1080" s="3470" t="s">
        <v>3452</v>
      </c>
      <c r="Q1080" s="3457">
        <v>424473.7</v>
      </c>
      <c r="R1080" s="3470">
        <v>4805</v>
      </c>
      <c r="S1080" s="3472">
        <v>42.27</v>
      </c>
      <c r="T1080" s="3527">
        <v>422700.00000000006</v>
      </c>
      <c r="U1080" s="3470">
        <v>4785</v>
      </c>
      <c r="V1080" s="3512">
        <v>0.1</v>
      </c>
      <c r="W1080" s="3475">
        <v>38.04</v>
      </c>
      <c r="X1080" s="3473">
        <v>380400</v>
      </c>
      <c r="Y1080" s="3441">
        <v>2003</v>
      </c>
      <c r="Z1080" s="3441">
        <v>11</v>
      </c>
      <c r="AA1080" s="3470">
        <v>18</v>
      </c>
      <c r="AB1080" s="3485">
        <v>2110</v>
      </c>
      <c r="AC1080" s="3470" t="s">
        <v>4761</v>
      </c>
      <c r="AD1080" s="3485"/>
      <c r="AE1080" s="3441" t="s">
        <v>3663</v>
      </c>
      <c r="AF1080" s="3470" t="s">
        <v>4126</v>
      </c>
      <c r="AG1080" s="3522" t="s">
        <v>3466</v>
      </c>
      <c r="AH1080" s="3485" t="s">
        <v>3568</v>
      </c>
      <c r="AI1080" s="3470" t="s">
        <v>5021</v>
      </c>
      <c r="AJ1080" s="3523">
        <v>37986</v>
      </c>
      <c r="AK1080" s="3603" t="s">
        <v>4773</v>
      </c>
      <c r="AL1080" s="3441">
        <v>67641700</v>
      </c>
      <c r="AN1080" s="3456" t="s">
        <v>3739</v>
      </c>
      <c r="AP1080" s="3441" t="s">
        <v>3476</v>
      </c>
      <c r="AQ1080" s="3441" t="s">
        <v>3571</v>
      </c>
      <c r="AV1080" s="3441" t="s">
        <v>3568</v>
      </c>
      <c r="AW1080" s="3441" t="s">
        <v>3572</v>
      </c>
      <c r="AY1080" s="3524" t="s">
        <v>10693</v>
      </c>
      <c r="AZ1080" s="3441" t="s">
        <v>6369</v>
      </c>
      <c r="BA1080" s="3441" t="s">
        <v>7655</v>
      </c>
      <c r="BB1080" s="3524" t="s">
        <v>7656</v>
      </c>
      <c r="BC1080" s="3441" t="s">
        <v>7657</v>
      </c>
      <c r="BD1080" s="3525">
        <v>100025</v>
      </c>
      <c r="BE1080" s="3441">
        <v>62908858</v>
      </c>
      <c r="BF1080" s="3526">
        <v>2.7</v>
      </c>
      <c r="BG1080" s="3518">
        <v>37926</v>
      </c>
      <c r="BH1080" s="3441" t="s">
        <v>4681</v>
      </c>
      <c r="BI1080" s="3441" t="s">
        <v>3476</v>
      </c>
      <c r="BJ1080" s="3478">
        <v>37932</v>
      </c>
      <c r="BK1080" s="3484"/>
      <c r="BL1080" s="3470" t="s">
        <v>3670</v>
      </c>
    </row>
    <row r="1081" spans="1:70" s="3470" customFormat="1" ht="12" hidden="1">
      <c r="A1081" s="3542" t="s">
        <v>10694</v>
      </c>
      <c r="B1081" s="3470" t="s">
        <v>10695</v>
      </c>
      <c r="C1081" s="3481" t="s">
        <v>10696</v>
      </c>
      <c r="D1081" s="3470">
        <v>13301081196</v>
      </c>
      <c r="E1081" s="3470" t="s">
        <v>2736</v>
      </c>
      <c r="F1081" s="3470" t="s">
        <v>4782</v>
      </c>
      <c r="H1081" s="3470" t="s">
        <v>3952</v>
      </c>
      <c r="I1081" s="3470" t="s">
        <v>8778</v>
      </c>
      <c r="J1081" s="3470" t="s">
        <v>10697</v>
      </c>
      <c r="K1081" s="3470" t="s">
        <v>4789</v>
      </c>
      <c r="L1081" s="3470">
        <v>89.5</v>
      </c>
      <c r="M1081" s="3470">
        <v>10</v>
      </c>
      <c r="N1081" s="3470" t="s">
        <v>3451</v>
      </c>
      <c r="O1081" s="3470">
        <v>69.09</v>
      </c>
      <c r="P1081" s="3470" t="s">
        <v>3452</v>
      </c>
      <c r="Q1081" s="3457">
        <v>513014</v>
      </c>
      <c r="R1081" s="3470">
        <v>5732</v>
      </c>
      <c r="S1081" s="3472">
        <v>50.83</v>
      </c>
      <c r="T1081" s="3527">
        <v>508300</v>
      </c>
      <c r="U1081" s="3470">
        <v>5680</v>
      </c>
      <c r="V1081" s="3474">
        <v>0.1</v>
      </c>
      <c r="W1081" s="3475">
        <v>45.74</v>
      </c>
      <c r="X1081" s="3476">
        <v>457400</v>
      </c>
      <c r="Y1081" s="3470">
        <v>2003</v>
      </c>
      <c r="Z1081" s="3470">
        <v>11</v>
      </c>
      <c r="AA1081" s="3470">
        <v>19</v>
      </c>
      <c r="AB1081" s="3477">
        <v>2540</v>
      </c>
      <c r="AC1081" s="3470" t="s">
        <v>9007</v>
      </c>
      <c r="AE1081" s="3470" t="s">
        <v>3663</v>
      </c>
      <c r="AF1081" s="3453" t="s">
        <v>7751</v>
      </c>
      <c r="AG1081" s="3456" t="s">
        <v>3466</v>
      </c>
      <c r="AI1081" s="3470" t="s">
        <v>3664</v>
      </c>
      <c r="AJ1081" s="3478">
        <v>38261</v>
      </c>
      <c r="AK1081" s="3606" t="s">
        <v>4773</v>
      </c>
      <c r="AL1081" s="3470">
        <v>67641700</v>
      </c>
      <c r="AN1081" s="3456" t="s">
        <v>3739</v>
      </c>
      <c r="AP1081" s="3441" t="s">
        <v>3476</v>
      </c>
      <c r="AQ1081" s="3470" t="s">
        <v>3457</v>
      </c>
      <c r="AW1081" s="3470" t="s">
        <v>3458</v>
      </c>
      <c r="AX1081" s="3508"/>
      <c r="AY1081" s="3470">
        <v>552435</v>
      </c>
      <c r="AZ1081" s="3470" t="s">
        <v>4789</v>
      </c>
      <c r="BA1081" s="3470" t="s">
        <v>8741</v>
      </c>
      <c r="BB1081" s="3470" t="s">
        <v>4791</v>
      </c>
      <c r="BC1081" s="3470" t="s">
        <v>8742</v>
      </c>
      <c r="BD1081" s="3470">
        <v>102308</v>
      </c>
      <c r="BE1081" s="3470">
        <v>68041987</v>
      </c>
      <c r="BF1081" s="3470">
        <v>2.8</v>
      </c>
      <c r="BG1081" s="3478">
        <v>37930</v>
      </c>
      <c r="BI1081" s="3470" t="s">
        <v>3476</v>
      </c>
      <c r="BJ1081" s="3484">
        <v>37942</v>
      </c>
      <c r="BK1081" s="3478"/>
      <c r="BL1081" s="3470" t="s">
        <v>3594</v>
      </c>
      <c r="BP1081" s="3441"/>
      <c r="BQ1081" s="3441"/>
      <c r="BR1081" s="3441"/>
    </row>
    <row r="1082" spans="1:70" s="3470" customFormat="1" ht="12" hidden="1">
      <c r="A1082" s="3453" t="s">
        <v>10698</v>
      </c>
      <c r="B1082" s="3470" t="s">
        <v>10699</v>
      </c>
      <c r="C1082" s="3454" t="s">
        <v>10700</v>
      </c>
      <c r="D1082" s="3470">
        <v>13671207714</v>
      </c>
      <c r="E1082" s="3470" t="s">
        <v>2736</v>
      </c>
      <c r="F1082" s="3470" t="s">
        <v>5592</v>
      </c>
      <c r="G1082" s="3470" t="s">
        <v>2420</v>
      </c>
      <c r="H1082" s="3470" t="s">
        <v>9911</v>
      </c>
      <c r="I1082" s="3453" t="s">
        <v>4019</v>
      </c>
      <c r="J1082" s="3453" t="s">
        <v>9262</v>
      </c>
      <c r="K1082" s="3470" t="s">
        <v>5586</v>
      </c>
      <c r="L1082" s="3495">
        <v>82.55</v>
      </c>
      <c r="M1082" s="3495">
        <v>10</v>
      </c>
      <c r="N1082" s="3470" t="s">
        <v>3486</v>
      </c>
      <c r="O1082" s="3495">
        <v>67.23</v>
      </c>
      <c r="P1082" s="3470" t="s">
        <v>3452</v>
      </c>
      <c r="Q1082" s="3457">
        <v>331851</v>
      </c>
      <c r="R1082" s="3470">
        <v>4020</v>
      </c>
      <c r="S1082" s="3472">
        <v>32.81</v>
      </c>
      <c r="T1082" s="3550">
        <v>328100</v>
      </c>
      <c r="U1082" s="3470">
        <v>3975</v>
      </c>
      <c r="V1082" s="3474">
        <v>0.1</v>
      </c>
      <c r="W1082" s="3475">
        <v>29.52</v>
      </c>
      <c r="X1082" s="3511">
        <v>295200</v>
      </c>
      <c r="Y1082" s="3441">
        <v>2003</v>
      </c>
      <c r="Z1082" s="3441">
        <v>11</v>
      </c>
      <c r="AA1082" s="3470">
        <v>26</v>
      </c>
      <c r="AB1082" s="3485">
        <v>1640</v>
      </c>
      <c r="AC1082" s="3470" t="s">
        <v>9413</v>
      </c>
      <c r="AE1082" s="3456" t="s">
        <v>3663</v>
      </c>
      <c r="AF1082" s="3470" t="s">
        <v>4721</v>
      </c>
      <c r="AG1082" s="3470" t="s">
        <v>3466</v>
      </c>
      <c r="AI1082" s="3470" t="s">
        <v>3664</v>
      </c>
      <c r="AJ1082" s="3478">
        <v>38352</v>
      </c>
      <c r="AK1082" s="3612" t="s">
        <v>4773</v>
      </c>
      <c r="AL1082" s="3495">
        <v>67641700</v>
      </c>
      <c r="AN1082" s="3456" t="s">
        <v>3680</v>
      </c>
      <c r="AO1082" s="3441" t="s">
        <v>10701</v>
      </c>
      <c r="AP1082" s="3456" t="s">
        <v>3476</v>
      </c>
      <c r="AQ1082" s="3456" t="s">
        <v>3571</v>
      </c>
      <c r="AV1082" s="3519"/>
      <c r="AW1082" s="3470" t="s">
        <v>3572</v>
      </c>
      <c r="AX1082" s="3470" t="s">
        <v>2420</v>
      </c>
      <c r="AY1082" s="3495">
        <v>565408</v>
      </c>
      <c r="AZ1082" s="3470" t="s">
        <v>5586</v>
      </c>
      <c r="BA1082" s="3470" t="s">
        <v>5587</v>
      </c>
      <c r="BB1082" s="3619">
        <v>1102281326100</v>
      </c>
      <c r="BC1082" s="3470" t="s">
        <v>5588</v>
      </c>
      <c r="BD1082" s="3470">
        <v>100055</v>
      </c>
      <c r="BE1082" s="3470">
        <v>82951881</v>
      </c>
      <c r="BF1082" s="3520">
        <v>2.8</v>
      </c>
      <c r="BG1082" s="3478">
        <v>37934</v>
      </c>
      <c r="BI1082" s="3441" t="s">
        <v>3476</v>
      </c>
      <c r="BJ1082" s="3484">
        <v>37949</v>
      </c>
      <c r="BK1082" s="3478"/>
      <c r="BL1082" s="3441" t="s">
        <v>3670</v>
      </c>
      <c r="BM1082" s="3441"/>
      <c r="BN1082" s="3441"/>
      <c r="BO1082" s="3441"/>
      <c r="BP1082" s="3441"/>
      <c r="BQ1082" s="3441"/>
      <c r="BR1082" s="3441"/>
    </row>
    <row r="1083" spans="1:70" s="3470" customFormat="1" ht="12" hidden="1">
      <c r="A1083" s="3453" t="s">
        <v>10702</v>
      </c>
      <c r="B1083" s="3470" t="s">
        <v>10703</v>
      </c>
      <c r="C1083" s="3454" t="s">
        <v>10704</v>
      </c>
      <c r="D1083" s="3470">
        <v>13161315227</v>
      </c>
      <c r="E1083" s="3470" t="s">
        <v>2736</v>
      </c>
      <c r="F1083" s="3470" t="s">
        <v>5592</v>
      </c>
      <c r="G1083" s="3470" t="s">
        <v>2420</v>
      </c>
      <c r="H1083" s="3470" t="s">
        <v>9230</v>
      </c>
      <c r="I1083" s="3453" t="s">
        <v>4854</v>
      </c>
      <c r="J1083" s="3453" t="s">
        <v>10512</v>
      </c>
      <c r="K1083" s="3470" t="s">
        <v>5586</v>
      </c>
      <c r="L1083" s="3495">
        <v>69.42</v>
      </c>
      <c r="M1083" s="3495">
        <v>14</v>
      </c>
      <c r="N1083" s="3453" t="s">
        <v>3451</v>
      </c>
      <c r="O1083" s="3495">
        <v>56.84</v>
      </c>
      <c r="P1083" s="3470" t="s">
        <v>3452</v>
      </c>
      <c r="Q1083" s="3457">
        <v>284622</v>
      </c>
      <c r="R1083" s="3470">
        <v>4100</v>
      </c>
      <c r="S1083" s="3472">
        <v>28.11</v>
      </c>
      <c r="T1083" s="3550">
        <v>281100</v>
      </c>
      <c r="U1083" s="3470">
        <v>4050</v>
      </c>
      <c r="V1083" s="3474">
        <v>0.1</v>
      </c>
      <c r="W1083" s="3475">
        <v>25.29</v>
      </c>
      <c r="X1083" s="3511">
        <v>252900</v>
      </c>
      <c r="Y1083" s="3441">
        <v>2003</v>
      </c>
      <c r="Z1083" s="3441">
        <v>11</v>
      </c>
      <c r="AA1083" s="3470">
        <v>25</v>
      </c>
      <c r="AB1083" s="3485">
        <v>1405</v>
      </c>
      <c r="AC1083" s="3470" t="s">
        <v>9077</v>
      </c>
      <c r="AE1083" s="3456" t="s">
        <v>3663</v>
      </c>
      <c r="AF1083" s="3470" t="s">
        <v>4721</v>
      </c>
      <c r="AG1083" s="3470" t="s">
        <v>3466</v>
      </c>
      <c r="AI1083" s="3470" t="s">
        <v>3664</v>
      </c>
      <c r="AJ1083" s="3478">
        <v>38352</v>
      </c>
      <c r="AK1083" s="3612" t="s">
        <v>4773</v>
      </c>
      <c r="AL1083" s="3495">
        <v>67641700</v>
      </c>
      <c r="AN1083" s="3456" t="s">
        <v>3680</v>
      </c>
      <c r="AO1083" s="3470" t="s">
        <v>10705</v>
      </c>
      <c r="AP1083" s="3456" t="s">
        <v>3476</v>
      </c>
      <c r="AQ1083" s="3456" t="s">
        <v>3571</v>
      </c>
      <c r="AV1083" s="3519"/>
      <c r="AW1083" s="3470" t="s">
        <v>3572</v>
      </c>
      <c r="AX1083" s="3470" t="s">
        <v>2420</v>
      </c>
      <c r="AY1083" s="3495">
        <v>565860</v>
      </c>
      <c r="AZ1083" s="3470" t="s">
        <v>5586</v>
      </c>
      <c r="BA1083" s="3470" t="s">
        <v>5587</v>
      </c>
      <c r="BB1083" s="3619">
        <v>1102281326100</v>
      </c>
      <c r="BC1083" s="3470" t="s">
        <v>5588</v>
      </c>
      <c r="BD1083" s="3470">
        <v>100055</v>
      </c>
      <c r="BE1083" s="3470">
        <v>82951881</v>
      </c>
      <c r="BF1083" s="3520">
        <v>2.8</v>
      </c>
      <c r="BG1083" s="3478">
        <v>37921</v>
      </c>
      <c r="BI1083" s="3441" t="s">
        <v>3476</v>
      </c>
      <c r="BJ1083" s="3478">
        <v>37946</v>
      </c>
      <c r="BK1083" s="3478"/>
      <c r="BL1083" s="3441" t="s">
        <v>3670</v>
      </c>
      <c r="BM1083" s="3441"/>
      <c r="BN1083" s="3441"/>
      <c r="BO1083" s="3441"/>
      <c r="BP1083" s="3441"/>
      <c r="BQ1083" s="3441"/>
      <c r="BR1083" s="3441"/>
    </row>
    <row r="1084" spans="1:70" s="3441" customFormat="1" ht="12" hidden="1">
      <c r="A1084" s="3542" t="s">
        <v>10706</v>
      </c>
      <c r="B1084" s="3470" t="s">
        <v>10707</v>
      </c>
      <c r="C1084" s="3481" t="s">
        <v>10708</v>
      </c>
      <c r="D1084" s="3481" t="s">
        <v>10709</v>
      </c>
      <c r="E1084" s="3470" t="s">
        <v>3558</v>
      </c>
      <c r="F1084" s="3528" t="s">
        <v>7652</v>
      </c>
      <c r="G1084" s="3470"/>
      <c r="H1084" s="3470" t="s">
        <v>10114</v>
      </c>
      <c r="I1084" s="3453" t="s">
        <v>4124</v>
      </c>
      <c r="J1084" s="3481" t="s">
        <v>9194</v>
      </c>
      <c r="K1084" s="3470" t="s">
        <v>6369</v>
      </c>
      <c r="L1084" s="3470">
        <v>87.8</v>
      </c>
      <c r="M1084" s="3470">
        <v>8</v>
      </c>
      <c r="N1084" s="3542" t="s">
        <v>3451</v>
      </c>
      <c r="O1084" s="3470">
        <v>69.260000000000005</v>
      </c>
      <c r="P1084" s="3470" t="s">
        <v>3452</v>
      </c>
      <c r="Q1084" s="3457">
        <v>410026</v>
      </c>
      <c r="R1084" s="3470">
        <v>4670</v>
      </c>
      <c r="S1084" s="3472">
        <v>40.56</v>
      </c>
      <c r="T1084" s="3527">
        <v>405600</v>
      </c>
      <c r="U1084" s="3470">
        <v>4620</v>
      </c>
      <c r="V1084" s="3512">
        <v>0.1</v>
      </c>
      <c r="W1084" s="3475">
        <v>36.5</v>
      </c>
      <c r="X1084" s="3473">
        <v>365000</v>
      </c>
      <c r="Y1084" s="3441">
        <v>2003</v>
      </c>
      <c r="Z1084" s="3441">
        <v>11</v>
      </c>
      <c r="AA1084" s="3470">
        <v>18</v>
      </c>
      <c r="AB1084" s="3485">
        <v>2025</v>
      </c>
      <c r="AC1084" s="3470" t="s">
        <v>9060</v>
      </c>
      <c r="AD1084" s="3485"/>
      <c r="AE1084" s="3441" t="s">
        <v>3663</v>
      </c>
      <c r="AF1084" s="3470" t="s">
        <v>3604</v>
      </c>
      <c r="AG1084" s="3522" t="s">
        <v>3466</v>
      </c>
      <c r="AH1084" s="3485" t="s">
        <v>3568</v>
      </c>
      <c r="AI1084" s="3470" t="s">
        <v>5021</v>
      </c>
      <c r="AJ1084" s="3523">
        <v>38123</v>
      </c>
      <c r="AK1084" s="3603" t="s">
        <v>4773</v>
      </c>
      <c r="AL1084" s="3441">
        <v>67641700</v>
      </c>
      <c r="AN1084" s="3456" t="s">
        <v>3739</v>
      </c>
      <c r="AP1084" s="3441" t="s">
        <v>3476</v>
      </c>
      <c r="AQ1084" s="3441" t="s">
        <v>3571</v>
      </c>
      <c r="AV1084" s="3441" t="s">
        <v>3568</v>
      </c>
      <c r="AW1084" s="3441" t="s">
        <v>3572</v>
      </c>
      <c r="AY1084" s="3524" t="s">
        <v>10710</v>
      </c>
      <c r="AZ1084" s="3441" t="s">
        <v>6369</v>
      </c>
      <c r="BA1084" s="3441" t="s">
        <v>7655</v>
      </c>
      <c r="BB1084" s="3524" t="s">
        <v>7656</v>
      </c>
      <c r="BC1084" s="3441" t="s">
        <v>7657</v>
      </c>
      <c r="BD1084" s="3525">
        <v>100025</v>
      </c>
      <c r="BE1084" s="3441">
        <v>62908858</v>
      </c>
      <c r="BF1084" s="3526">
        <v>2.7</v>
      </c>
      <c r="BG1084" s="3518">
        <v>37913</v>
      </c>
      <c r="BH1084" s="3441" t="s">
        <v>4681</v>
      </c>
      <c r="BI1084" s="3441" t="s">
        <v>3476</v>
      </c>
      <c r="BJ1084" s="3478">
        <v>37938</v>
      </c>
      <c r="BK1084" s="3484"/>
      <c r="BL1084" s="3470" t="s">
        <v>3670</v>
      </c>
    </row>
    <row r="1085" spans="1:70" s="3441" customFormat="1" ht="12" hidden="1">
      <c r="A1085" s="3453" t="s">
        <v>10711</v>
      </c>
      <c r="B1085" s="3470" t="s">
        <v>10712</v>
      </c>
      <c r="C1085" s="3481" t="s">
        <v>10713</v>
      </c>
      <c r="D1085" s="3481" t="s">
        <v>10714</v>
      </c>
      <c r="E1085" s="3470" t="s">
        <v>3558</v>
      </c>
      <c r="F1085" s="3470" t="s">
        <v>4693</v>
      </c>
      <c r="G1085" s="3470"/>
      <c r="H1085" s="3470" t="s">
        <v>4453</v>
      </c>
      <c r="I1085" s="3470" t="s">
        <v>9411</v>
      </c>
      <c r="J1085" s="3481" t="s">
        <v>10715</v>
      </c>
      <c r="K1085" s="3470" t="s">
        <v>4697</v>
      </c>
      <c r="L1085" s="3470">
        <v>30.87</v>
      </c>
      <c r="M1085" s="3470">
        <v>11</v>
      </c>
      <c r="N1085" s="3470" t="s">
        <v>3692</v>
      </c>
      <c r="O1085" s="3470">
        <v>22.93</v>
      </c>
      <c r="P1085" s="3470" t="s">
        <v>3452</v>
      </c>
      <c r="Q1085" s="3457">
        <v>259956.27000000002</v>
      </c>
      <c r="R1085" s="3470">
        <v>8421</v>
      </c>
      <c r="S1085" s="3472">
        <v>25.77</v>
      </c>
      <c r="T1085" s="3550">
        <v>257700</v>
      </c>
      <c r="U1085" s="3495">
        <v>8350</v>
      </c>
      <c r="V1085" s="3512">
        <v>0.1</v>
      </c>
      <c r="W1085" s="3475">
        <v>23.19</v>
      </c>
      <c r="X1085" s="3511">
        <v>231900</v>
      </c>
      <c r="Y1085" s="3515">
        <v>2003</v>
      </c>
      <c r="Z1085" s="3441">
        <v>11</v>
      </c>
      <c r="AA1085" s="3470">
        <v>18</v>
      </c>
      <c r="AB1085" s="3477">
        <v>1285</v>
      </c>
      <c r="AC1085" s="3470" t="s">
        <v>8840</v>
      </c>
      <c r="AD1085" s="3485"/>
      <c r="AE1085" s="3441" t="s">
        <v>3663</v>
      </c>
      <c r="AF1085" s="3470" t="s">
        <v>3587</v>
      </c>
      <c r="AG1085" s="3522" t="s">
        <v>3466</v>
      </c>
      <c r="AH1085" s="3485" t="s">
        <v>3463</v>
      </c>
      <c r="AI1085" s="3470" t="s">
        <v>5021</v>
      </c>
      <c r="AJ1085" s="3523">
        <v>38138</v>
      </c>
      <c r="AK1085" s="3603" t="s">
        <v>4773</v>
      </c>
      <c r="AL1085" s="3441">
        <v>67641700</v>
      </c>
      <c r="AN1085" s="3456" t="s">
        <v>3739</v>
      </c>
      <c r="AP1085" s="3441" t="s">
        <v>3476</v>
      </c>
      <c r="AQ1085" s="3441" t="s">
        <v>3571</v>
      </c>
      <c r="AV1085" s="3441" t="s">
        <v>3568</v>
      </c>
      <c r="AW1085" s="3441" t="s">
        <v>3572</v>
      </c>
      <c r="AX1085" s="3441" t="s">
        <v>3568</v>
      </c>
      <c r="AY1085" s="3524" t="s">
        <v>10716</v>
      </c>
      <c r="AZ1085" s="3441" t="s">
        <v>4697</v>
      </c>
      <c r="BA1085" s="3441" t="s">
        <v>4700</v>
      </c>
      <c r="BB1085" s="3524" t="s">
        <v>4701</v>
      </c>
      <c r="BC1085" s="3441" t="s">
        <v>4702</v>
      </c>
      <c r="BD1085" s="3525">
        <v>100011</v>
      </c>
      <c r="BE1085" s="3441">
        <v>62351476</v>
      </c>
      <c r="BF1085" s="3526">
        <v>2.8</v>
      </c>
      <c r="BG1085" s="3518">
        <v>37898</v>
      </c>
      <c r="BI1085" s="3470" t="s">
        <v>3476</v>
      </c>
      <c r="BJ1085" s="3478">
        <v>37935</v>
      </c>
      <c r="BK1085" s="3518"/>
      <c r="BL1085" s="3470" t="s">
        <v>3670</v>
      </c>
    </row>
    <row r="1086" spans="1:70" s="3441" customFormat="1" ht="13.2" hidden="1">
      <c r="A1086" s="3542" t="s">
        <v>10717</v>
      </c>
      <c r="B1086" s="3470" t="s">
        <v>10718</v>
      </c>
      <c r="C1086" s="3454" t="s">
        <v>10719</v>
      </c>
      <c r="D1086" s="3470" t="s">
        <v>10720</v>
      </c>
      <c r="E1086" s="3470" t="s">
        <v>2736</v>
      </c>
      <c r="F1086" s="3470" t="s">
        <v>10721</v>
      </c>
      <c r="G1086" s="3470"/>
      <c r="H1086" s="3470" t="s">
        <v>4484</v>
      </c>
      <c r="I1086" s="3470" t="s">
        <v>3473</v>
      </c>
      <c r="J1086" s="3470" t="s">
        <v>4012</v>
      </c>
      <c r="K1086" s="3470" t="s">
        <v>10718</v>
      </c>
      <c r="L1086" s="3470">
        <v>61.6</v>
      </c>
      <c r="M1086" s="3470">
        <v>2</v>
      </c>
      <c r="N1086" s="3470" t="s">
        <v>3451</v>
      </c>
      <c r="O1086" s="3470"/>
      <c r="P1086" s="3470" t="s">
        <v>3452</v>
      </c>
      <c r="Q1086" s="3470">
        <v>320000</v>
      </c>
      <c r="R1086" s="3470">
        <v>5195</v>
      </c>
      <c r="S1086" s="3472">
        <v>30.3</v>
      </c>
      <c r="T1086" s="3527">
        <v>303000</v>
      </c>
      <c r="U1086" s="3470">
        <v>4920</v>
      </c>
      <c r="V1086" s="3474">
        <v>0.05</v>
      </c>
      <c r="W1086" s="3475">
        <v>28.78</v>
      </c>
      <c r="X1086" s="3473">
        <v>287800</v>
      </c>
      <c r="Y1086" s="3470">
        <v>2003</v>
      </c>
      <c r="Z1086" s="3470">
        <v>11</v>
      </c>
      <c r="AA1086" s="3470">
        <v>19</v>
      </c>
      <c r="AB1086" s="3470">
        <v>1515</v>
      </c>
      <c r="AC1086" s="3470" t="s">
        <v>9077</v>
      </c>
      <c r="AD1086" s="3470"/>
      <c r="AE1086" s="3485" t="s">
        <v>3566</v>
      </c>
      <c r="AF1086" s="3470" t="s">
        <v>3453</v>
      </c>
      <c r="AG1086" s="3456" t="s">
        <v>3466</v>
      </c>
      <c r="AH1086" s="3470"/>
      <c r="AI1086" s="3470" t="s">
        <v>3569</v>
      </c>
      <c r="AJ1086" s="3470"/>
      <c r="AK1086" s="3470" t="s">
        <v>4773</v>
      </c>
      <c r="AL1086" s="3470">
        <v>82252558</v>
      </c>
      <c r="AM1086" s="3470"/>
      <c r="AN1086" s="3485" t="s">
        <v>3482</v>
      </c>
      <c r="AO1086" s="3485"/>
      <c r="AP1086" s="3485" t="s">
        <v>3566</v>
      </c>
      <c r="AQ1086" s="3485" t="s">
        <v>3571</v>
      </c>
      <c r="AR1086" s="3485"/>
      <c r="AS1086" s="3470"/>
      <c r="AT1086" s="3470"/>
      <c r="AW1086" s="3441" t="s">
        <v>3458</v>
      </c>
      <c r="AZ1086" s="3441" t="s">
        <v>10722</v>
      </c>
      <c r="BA1086" s="3470"/>
      <c r="BB1086" s="3470"/>
      <c r="BC1086" s="3470"/>
      <c r="BD1086" s="3470"/>
      <c r="BE1086" s="3470"/>
      <c r="BF1086" s="3470"/>
      <c r="BG1086" s="3535">
        <v>37911</v>
      </c>
      <c r="BH1086" s="3470"/>
      <c r="BI1086" s="3470" t="s">
        <v>3566</v>
      </c>
      <c r="BJ1086" s="3478">
        <v>37937</v>
      </c>
      <c r="BK1086" s="3470"/>
      <c r="BL1086" s="3470" t="s">
        <v>3470</v>
      </c>
      <c r="BM1086" s="3470" t="s">
        <v>3471</v>
      </c>
      <c r="BN1086" s="3470" t="s">
        <v>3461</v>
      </c>
      <c r="BO1086" s="3470" t="s">
        <v>6806</v>
      </c>
    </row>
    <row r="1087" spans="1:70" s="3441" customFormat="1" ht="12" hidden="1">
      <c r="A1087" s="3453" t="s">
        <v>10723</v>
      </c>
      <c r="B1087" s="3470" t="s">
        <v>10724</v>
      </c>
      <c r="C1087" s="3481" t="s">
        <v>10725</v>
      </c>
      <c r="D1087" s="3481" t="s">
        <v>10726</v>
      </c>
      <c r="E1087" s="3470" t="s">
        <v>3558</v>
      </c>
      <c r="F1087" s="3528" t="s">
        <v>3733</v>
      </c>
      <c r="G1087" s="3470"/>
      <c r="H1087" s="3470" t="s">
        <v>10572</v>
      </c>
      <c r="I1087" s="3470" t="s">
        <v>9715</v>
      </c>
      <c r="J1087" s="3470" t="s">
        <v>9397</v>
      </c>
      <c r="K1087" s="3470" t="s">
        <v>3737</v>
      </c>
      <c r="L1087" s="3470">
        <v>78.25</v>
      </c>
      <c r="M1087" s="3470">
        <v>1</v>
      </c>
      <c r="N1087" s="3542" t="s">
        <v>3451</v>
      </c>
      <c r="O1087" s="3470">
        <v>64.59</v>
      </c>
      <c r="P1087" s="3470" t="s">
        <v>3452</v>
      </c>
      <c r="Q1087" s="3600">
        <v>471847.5</v>
      </c>
      <c r="R1087" s="3470">
        <v>6030</v>
      </c>
      <c r="S1087" s="3472">
        <v>45.71</v>
      </c>
      <c r="T1087" s="3527">
        <v>457100</v>
      </c>
      <c r="U1087" s="3470">
        <v>5842</v>
      </c>
      <c r="V1087" s="3474">
        <v>0.1</v>
      </c>
      <c r="W1087" s="3475">
        <v>41.13</v>
      </c>
      <c r="X1087" s="3494">
        <v>411300</v>
      </c>
      <c r="Y1087" s="3441">
        <v>2003</v>
      </c>
      <c r="Z1087" s="3441">
        <v>11</v>
      </c>
      <c r="AA1087" s="3470">
        <v>18</v>
      </c>
      <c r="AB1087" s="3477">
        <v>2285</v>
      </c>
      <c r="AC1087" s="3470" t="s">
        <v>10727</v>
      </c>
      <c r="AD1087" s="3485"/>
      <c r="AE1087" s="3441" t="s">
        <v>3663</v>
      </c>
      <c r="AF1087" s="3470" t="s">
        <v>7751</v>
      </c>
      <c r="AG1087" s="3522" t="s">
        <v>3466</v>
      </c>
      <c r="AH1087" s="3485"/>
      <c r="AI1087" s="3470" t="s">
        <v>5021</v>
      </c>
      <c r="AJ1087" s="3523">
        <v>38183</v>
      </c>
      <c r="AK1087" s="3603" t="s">
        <v>4773</v>
      </c>
      <c r="AL1087" s="3441">
        <v>67641700</v>
      </c>
      <c r="AN1087" s="3456" t="s">
        <v>3482</v>
      </c>
      <c r="AO1087" s="3441" t="s">
        <v>2420</v>
      </c>
      <c r="AP1087" s="3441" t="s">
        <v>3476</v>
      </c>
      <c r="AQ1087" s="3441" t="s">
        <v>3571</v>
      </c>
      <c r="AW1087" s="3441" t="s">
        <v>3572</v>
      </c>
      <c r="AY1087" s="3524" t="s">
        <v>10728</v>
      </c>
      <c r="AZ1087" s="3441" t="s">
        <v>3737</v>
      </c>
      <c r="BA1087" s="3441" t="s">
        <v>3742</v>
      </c>
      <c r="BB1087" s="3524" t="s">
        <v>3743</v>
      </c>
      <c r="BC1087" s="3441" t="s">
        <v>3744</v>
      </c>
      <c r="BD1087" s="3525">
        <v>100088</v>
      </c>
      <c r="BE1087" s="3441">
        <v>82058259</v>
      </c>
      <c r="BF1087" s="3526" t="s">
        <v>8595</v>
      </c>
      <c r="BG1087" s="3478">
        <v>37931</v>
      </c>
      <c r="BH1087" s="3441" t="s">
        <v>4753</v>
      </c>
      <c r="BI1087" s="3441" t="s">
        <v>3476</v>
      </c>
      <c r="BJ1087" s="3478">
        <v>37937</v>
      </c>
      <c r="BK1087" s="3484" t="s">
        <v>2420</v>
      </c>
      <c r="BL1087" s="3470" t="s">
        <v>3670</v>
      </c>
    </row>
    <row r="1088" spans="1:70" s="3441" customFormat="1" ht="12" hidden="1">
      <c r="A1088" s="3453" t="s">
        <v>10729</v>
      </c>
      <c r="B1088" s="3470" t="s">
        <v>10730</v>
      </c>
      <c r="C1088" s="3481" t="s">
        <v>10731</v>
      </c>
      <c r="D1088" s="3481" t="s">
        <v>10732</v>
      </c>
      <c r="E1088" s="3470" t="s">
        <v>3558</v>
      </c>
      <c r="F1088" s="3528" t="s">
        <v>4716</v>
      </c>
      <c r="G1088" s="3470"/>
      <c r="H1088" s="3470" t="s">
        <v>10276</v>
      </c>
      <c r="I1088" s="3470" t="s">
        <v>4563</v>
      </c>
      <c r="J1088" s="3481" t="s">
        <v>10733</v>
      </c>
      <c r="K1088" s="3470" t="s">
        <v>4720</v>
      </c>
      <c r="L1088" s="3470">
        <v>108.07</v>
      </c>
      <c r="M1088" s="3470">
        <v>4</v>
      </c>
      <c r="N1088" s="3470" t="s">
        <v>3778</v>
      </c>
      <c r="O1088" s="3470">
        <v>85.06</v>
      </c>
      <c r="P1088" s="3470" t="s">
        <v>3452</v>
      </c>
      <c r="Q1088" s="3600">
        <v>431048.35480000003</v>
      </c>
      <c r="R1088" s="3470">
        <v>5067.58</v>
      </c>
      <c r="S1088" s="3472">
        <v>42.57</v>
      </c>
      <c r="T1088" s="3527">
        <v>425700</v>
      </c>
      <c r="U1088" s="3470">
        <v>3940</v>
      </c>
      <c r="V1088" s="3474">
        <v>0.1</v>
      </c>
      <c r="W1088" s="3475">
        <v>38.31</v>
      </c>
      <c r="X1088" s="3494">
        <v>383100</v>
      </c>
      <c r="Y1088" s="3441">
        <v>2003</v>
      </c>
      <c r="Z1088" s="3441">
        <v>11</v>
      </c>
      <c r="AA1088" s="3470">
        <v>18</v>
      </c>
      <c r="AB1088" s="3477">
        <v>2125</v>
      </c>
      <c r="AC1088" s="3470" t="s">
        <v>9364</v>
      </c>
      <c r="AD1088" s="3485"/>
      <c r="AE1088" s="3441" t="s">
        <v>3663</v>
      </c>
      <c r="AF1088" s="3470" t="s">
        <v>4721</v>
      </c>
      <c r="AG1088" s="3522" t="s">
        <v>3466</v>
      </c>
      <c r="AH1088" s="3485"/>
      <c r="AI1088" s="3470" t="s">
        <v>5021</v>
      </c>
      <c r="AJ1088" s="3523">
        <v>38230</v>
      </c>
      <c r="AK1088" s="3603" t="s">
        <v>4773</v>
      </c>
      <c r="AL1088" s="3441">
        <v>67641700</v>
      </c>
      <c r="AN1088" s="3456" t="s">
        <v>3482</v>
      </c>
      <c r="AO1088" s="3441" t="s">
        <v>3568</v>
      </c>
      <c r="AP1088" s="3441" t="s">
        <v>3476</v>
      </c>
      <c r="AQ1088" s="3441" t="s">
        <v>3571</v>
      </c>
      <c r="AW1088" s="3441" t="s">
        <v>3572</v>
      </c>
      <c r="AY1088" s="3524" t="s">
        <v>10734</v>
      </c>
      <c r="AZ1088" s="3441" t="s">
        <v>4720</v>
      </c>
      <c r="BA1088" s="3441" t="s">
        <v>4725</v>
      </c>
      <c r="BB1088" s="3524" t="s">
        <v>4726</v>
      </c>
      <c r="BC1088" s="3441" t="s">
        <v>4727</v>
      </c>
      <c r="BD1088" s="3525">
        <v>100005</v>
      </c>
      <c r="BE1088" s="3441">
        <v>65128628</v>
      </c>
      <c r="BF1088" s="3526">
        <v>2.8</v>
      </c>
      <c r="BG1088" s="3518">
        <v>37905</v>
      </c>
      <c r="BI1088" s="3441" t="s">
        <v>8464</v>
      </c>
      <c r="BJ1088" s="3484">
        <v>37938</v>
      </c>
      <c r="BK1088" s="3484" t="s">
        <v>3568</v>
      </c>
      <c r="BL1088" s="3470" t="s">
        <v>3670</v>
      </c>
    </row>
    <row r="1089" spans="1:70" s="3441" customFormat="1" ht="12" hidden="1">
      <c r="A1089" s="3453" t="s">
        <v>10735</v>
      </c>
      <c r="B1089" s="3470" t="s">
        <v>10736</v>
      </c>
      <c r="C1089" s="3481" t="s">
        <v>10737</v>
      </c>
      <c r="D1089" s="3481" t="s">
        <v>10738</v>
      </c>
      <c r="E1089" s="3470" t="s">
        <v>3558</v>
      </c>
      <c r="F1089" s="3470" t="s">
        <v>4693</v>
      </c>
      <c r="G1089" s="3470"/>
      <c r="H1089" s="3470" t="s">
        <v>10603</v>
      </c>
      <c r="I1089" s="3470" t="s">
        <v>4535</v>
      </c>
      <c r="J1089" s="3481" t="s">
        <v>10739</v>
      </c>
      <c r="K1089" s="3470" t="s">
        <v>4697</v>
      </c>
      <c r="L1089" s="3470">
        <v>44.8</v>
      </c>
      <c r="M1089" s="3470">
        <v>3</v>
      </c>
      <c r="N1089" s="3470" t="s">
        <v>3692</v>
      </c>
      <c r="O1089" s="3470">
        <v>33.28</v>
      </c>
      <c r="P1089" s="3470" t="s">
        <v>3452</v>
      </c>
      <c r="Q1089" s="3457">
        <v>366150.39999999997</v>
      </c>
      <c r="R1089" s="3470">
        <v>8173</v>
      </c>
      <c r="S1089" s="3472">
        <v>36.31</v>
      </c>
      <c r="T1089" s="3550">
        <v>363100</v>
      </c>
      <c r="U1089" s="3495">
        <v>8105</v>
      </c>
      <c r="V1089" s="3512">
        <v>0.1</v>
      </c>
      <c r="W1089" s="3475">
        <v>32.67</v>
      </c>
      <c r="X1089" s="3511">
        <v>326700</v>
      </c>
      <c r="Y1089" s="3515">
        <v>2003</v>
      </c>
      <c r="Z1089" s="3441">
        <v>11</v>
      </c>
      <c r="AA1089" s="3470">
        <v>18</v>
      </c>
      <c r="AB1089" s="3477">
        <v>1815</v>
      </c>
      <c r="AC1089" s="3470" t="s">
        <v>9413</v>
      </c>
      <c r="AD1089" s="3485"/>
      <c r="AE1089" s="3441" t="s">
        <v>3663</v>
      </c>
      <c r="AF1089" s="3470" t="s">
        <v>3587</v>
      </c>
      <c r="AG1089" s="3522" t="s">
        <v>3466</v>
      </c>
      <c r="AH1089" s="3485" t="s">
        <v>3463</v>
      </c>
      <c r="AI1089" s="3470" t="s">
        <v>5021</v>
      </c>
      <c r="AJ1089" s="3523">
        <v>38138</v>
      </c>
      <c r="AK1089" s="3603" t="s">
        <v>4773</v>
      </c>
      <c r="AL1089" s="3441">
        <v>67641700</v>
      </c>
      <c r="AN1089" s="3456" t="s">
        <v>3739</v>
      </c>
      <c r="AP1089" s="3441" t="s">
        <v>3476</v>
      </c>
      <c r="AQ1089" s="3441" t="s">
        <v>3571</v>
      </c>
      <c r="AV1089" s="3441" t="s">
        <v>3568</v>
      </c>
      <c r="AW1089" s="3441" t="s">
        <v>3572</v>
      </c>
      <c r="AX1089" s="3441" t="s">
        <v>3568</v>
      </c>
      <c r="AY1089" s="3524" t="s">
        <v>10740</v>
      </c>
      <c r="AZ1089" s="3441" t="s">
        <v>4697</v>
      </c>
      <c r="BA1089" s="3441" t="s">
        <v>4700</v>
      </c>
      <c r="BB1089" s="3524" t="s">
        <v>4701</v>
      </c>
      <c r="BC1089" s="3441" t="s">
        <v>4702</v>
      </c>
      <c r="BD1089" s="3525">
        <v>100011</v>
      </c>
      <c r="BE1089" s="3441">
        <v>62351476</v>
      </c>
      <c r="BF1089" s="3526">
        <v>2.8</v>
      </c>
      <c r="BG1089" s="3518">
        <v>37936</v>
      </c>
      <c r="BI1089" s="3470" t="s">
        <v>3476</v>
      </c>
      <c r="BJ1089" s="3478">
        <v>37942</v>
      </c>
      <c r="BK1089" s="3518"/>
      <c r="BL1089" s="3470" t="s">
        <v>3670</v>
      </c>
    </row>
    <row r="1090" spans="1:70" s="3441" customFormat="1" ht="12" hidden="1">
      <c r="A1090" s="3453" t="s">
        <v>10741</v>
      </c>
      <c r="B1090" s="3470" t="s">
        <v>10742</v>
      </c>
      <c r="C1090" s="3481" t="s">
        <v>10743</v>
      </c>
      <c r="D1090" s="3481" t="s">
        <v>10744</v>
      </c>
      <c r="E1090" s="3470" t="s">
        <v>3558</v>
      </c>
      <c r="F1090" s="3528" t="s">
        <v>4645</v>
      </c>
      <c r="G1090" s="3470"/>
      <c r="H1090" s="3470" t="s">
        <v>3477</v>
      </c>
      <c r="I1090" s="3470" t="s">
        <v>7339</v>
      </c>
      <c r="J1090" s="3481" t="s">
        <v>10745</v>
      </c>
      <c r="K1090" s="3470" t="s">
        <v>4649</v>
      </c>
      <c r="L1090" s="3470">
        <v>76.47</v>
      </c>
      <c r="M1090" s="3470">
        <v>21</v>
      </c>
      <c r="N1090" s="3470" t="s">
        <v>3489</v>
      </c>
      <c r="O1090" s="3470">
        <v>60.28</v>
      </c>
      <c r="P1090" s="3470" t="s">
        <v>3452</v>
      </c>
      <c r="Q1090" s="3457">
        <v>544542.87</v>
      </c>
      <c r="R1090" s="3470">
        <v>7121</v>
      </c>
      <c r="S1090" s="3472">
        <v>53.98</v>
      </c>
      <c r="T1090" s="3527">
        <v>539800</v>
      </c>
      <c r="U1090" s="3495">
        <v>7060</v>
      </c>
      <c r="V1090" s="3512">
        <v>0.1</v>
      </c>
      <c r="W1090" s="3475">
        <v>48.58</v>
      </c>
      <c r="X1090" s="3473">
        <v>485800</v>
      </c>
      <c r="Y1090" s="3515">
        <v>2003</v>
      </c>
      <c r="Z1090" s="3441">
        <v>11</v>
      </c>
      <c r="AA1090" s="3470">
        <v>18</v>
      </c>
      <c r="AB1090" s="3477">
        <v>2695</v>
      </c>
      <c r="AC1090" s="3470" t="s">
        <v>9007</v>
      </c>
      <c r="AD1090" s="3485"/>
      <c r="AE1090" s="3441" t="s">
        <v>3663</v>
      </c>
      <c r="AF1090" s="3453" t="s">
        <v>3604</v>
      </c>
      <c r="AG1090" s="3522" t="s">
        <v>3466</v>
      </c>
      <c r="AH1090" s="3485"/>
      <c r="AI1090" s="3470" t="s">
        <v>5021</v>
      </c>
      <c r="AJ1090" s="3523">
        <v>38199</v>
      </c>
      <c r="AK1090" s="3603" t="s">
        <v>4773</v>
      </c>
      <c r="AL1090" s="3495">
        <v>67641700</v>
      </c>
      <c r="AM1090" s="3470"/>
      <c r="AN1090" s="3456" t="s">
        <v>3739</v>
      </c>
      <c r="AP1090" s="3441" t="s">
        <v>3476</v>
      </c>
      <c r="AQ1090" s="3441" t="s">
        <v>3571</v>
      </c>
      <c r="AW1090" s="3441" t="s">
        <v>3572</v>
      </c>
      <c r="AX1090" s="3441" t="s">
        <v>3568</v>
      </c>
      <c r="AY1090" s="3524" t="s">
        <v>10746</v>
      </c>
      <c r="AZ1090" s="3441" t="s">
        <v>4654</v>
      </c>
      <c r="BA1090" s="3441" t="s">
        <v>4688</v>
      </c>
      <c r="BB1090" s="3524" t="s">
        <v>4689</v>
      </c>
      <c r="BC1090" s="3441" t="s">
        <v>4656</v>
      </c>
      <c r="BD1090" s="3525">
        <v>100037</v>
      </c>
      <c r="BE1090" s="3441">
        <v>68347718</v>
      </c>
      <c r="BF1090" s="3526">
        <v>2.8</v>
      </c>
      <c r="BG1090" s="3518">
        <v>37902</v>
      </c>
      <c r="BH1090" s="3441" t="s">
        <v>4681</v>
      </c>
      <c r="BI1090" s="3441" t="s">
        <v>3476</v>
      </c>
      <c r="BJ1090" s="3478">
        <v>37942</v>
      </c>
      <c r="BK1090" s="3484"/>
      <c r="BL1090" s="3470" t="s">
        <v>3670</v>
      </c>
    </row>
    <row r="1091" spans="1:70" s="3470" customFormat="1" ht="12" hidden="1">
      <c r="A1091" s="3542" t="s">
        <v>10747</v>
      </c>
      <c r="B1091" s="3470" t="s">
        <v>10748</v>
      </c>
      <c r="C1091" s="3481" t="s">
        <v>10749</v>
      </c>
      <c r="D1091" s="3470">
        <v>13910954008</v>
      </c>
      <c r="E1091" s="3470" t="s">
        <v>2736</v>
      </c>
      <c r="F1091" s="3470" t="s">
        <v>4782</v>
      </c>
      <c r="H1091" s="3470" t="s">
        <v>4281</v>
      </c>
      <c r="I1091" s="3470" t="s">
        <v>7204</v>
      </c>
      <c r="J1091" s="3470" t="s">
        <v>5145</v>
      </c>
      <c r="K1091" s="3470" t="s">
        <v>4789</v>
      </c>
      <c r="L1091" s="3470">
        <v>95.84</v>
      </c>
      <c r="M1091" s="3470">
        <v>9</v>
      </c>
      <c r="N1091" s="3470" t="s">
        <v>3451</v>
      </c>
      <c r="O1091" s="3470">
        <v>75.180000000000007</v>
      </c>
      <c r="P1091" s="3470" t="s">
        <v>3452</v>
      </c>
      <c r="Q1091" s="3457">
        <v>485908.8</v>
      </c>
      <c r="R1091" s="3470">
        <v>5070</v>
      </c>
      <c r="S1091" s="3472">
        <v>48.11</v>
      </c>
      <c r="T1091" s="3527">
        <v>481100</v>
      </c>
      <c r="U1091" s="3470">
        <v>5020</v>
      </c>
      <c r="V1091" s="3474">
        <v>0.1</v>
      </c>
      <c r="W1091" s="3475">
        <v>43.29</v>
      </c>
      <c r="X1091" s="3476">
        <v>432900</v>
      </c>
      <c r="Y1091" s="3470">
        <v>2003</v>
      </c>
      <c r="Z1091" s="3470">
        <v>11</v>
      </c>
      <c r="AA1091" s="3470">
        <v>19</v>
      </c>
      <c r="AB1091" s="3477">
        <v>2405</v>
      </c>
      <c r="AC1091" s="3470" t="s">
        <v>9007</v>
      </c>
      <c r="AE1091" s="3470" t="s">
        <v>3663</v>
      </c>
      <c r="AF1091" s="3453" t="s">
        <v>7751</v>
      </c>
      <c r="AG1091" s="3456" t="s">
        <v>3466</v>
      </c>
      <c r="AI1091" s="3470" t="s">
        <v>3664</v>
      </c>
      <c r="AJ1091" s="3478">
        <v>38261</v>
      </c>
      <c r="AK1091" s="3606" t="s">
        <v>4773</v>
      </c>
      <c r="AL1091" s="3470">
        <v>67641700</v>
      </c>
      <c r="AN1091" s="3456" t="s">
        <v>3739</v>
      </c>
      <c r="AP1091" s="3441" t="s">
        <v>3476</v>
      </c>
      <c r="AQ1091" s="3470" t="s">
        <v>3457</v>
      </c>
      <c r="AW1091" s="3470" t="s">
        <v>3458</v>
      </c>
      <c r="AX1091" s="3508"/>
      <c r="AY1091" s="3470">
        <v>552404</v>
      </c>
      <c r="AZ1091" s="3470" t="s">
        <v>4789</v>
      </c>
      <c r="BA1091" s="3470" t="s">
        <v>8741</v>
      </c>
      <c r="BB1091" s="3470" t="s">
        <v>4791</v>
      </c>
      <c r="BC1091" s="3470" t="s">
        <v>8742</v>
      </c>
      <c r="BD1091" s="3470">
        <v>102308</v>
      </c>
      <c r="BE1091" s="3470">
        <v>68041987</v>
      </c>
      <c r="BF1091" s="3470">
        <v>2.8</v>
      </c>
      <c r="BG1091" s="3478">
        <v>37915</v>
      </c>
      <c r="BI1091" s="3470" t="s">
        <v>3476</v>
      </c>
      <c r="BJ1091" s="3484">
        <v>37943</v>
      </c>
      <c r="BK1091" s="3478"/>
      <c r="BL1091" s="3470" t="s">
        <v>3594</v>
      </c>
      <c r="BP1091" s="3441"/>
      <c r="BQ1091" s="3441"/>
      <c r="BR1091" s="3441"/>
    </row>
    <row r="1092" spans="1:70" s="3470" customFormat="1" ht="12" hidden="1">
      <c r="A1092" s="3453" t="s">
        <v>10750</v>
      </c>
      <c r="B1092" s="3470" t="s">
        <v>10751</v>
      </c>
      <c r="C1092" s="3454" t="s">
        <v>10752</v>
      </c>
      <c r="D1092" s="3470">
        <v>13911075051</v>
      </c>
      <c r="E1092" s="3470" t="s">
        <v>2736</v>
      </c>
      <c r="F1092" s="3470" t="s">
        <v>5592</v>
      </c>
      <c r="G1092" s="3470" t="s">
        <v>2420</v>
      </c>
      <c r="H1092" s="3470" t="s">
        <v>9982</v>
      </c>
      <c r="I1092" s="3453" t="s">
        <v>3676</v>
      </c>
      <c r="J1092" s="3453" t="s">
        <v>6300</v>
      </c>
      <c r="K1092" s="3470" t="s">
        <v>5586</v>
      </c>
      <c r="L1092" s="3495">
        <v>98.22</v>
      </c>
      <c r="M1092" s="3495">
        <v>10</v>
      </c>
      <c r="N1092" s="3453" t="s">
        <v>3451</v>
      </c>
      <c r="O1092" s="3495">
        <v>83.29</v>
      </c>
      <c r="P1092" s="3470" t="s">
        <v>3452</v>
      </c>
      <c r="Q1092" s="3457">
        <v>403684.2</v>
      </c>
      <c r="R1092" s="3470">
        <v>4110</v>
      </c>
      <c r="S1092" s="3472">
        <v>39.92</v>
      </c>
      <c r="T1092" s="3550">
        <v>399200</v>
      </c>
      <c r="U1092" s="3470">
        <v>4065</v>
      </c>
      <c r="V1092" s="3474">
        <v>0.1</v>
      </c>
      <c r="W1092" s="3475">
        <v>35.92</v>
      </c>
      <c r="X1092" s="3511">
        <v>359200</v>
      </c>
      <c r="Y1092" s="3441">
        <v>2003</v>
      </c>
      <c r="Z1092" s="3441">
        <v>11</v>
      </c>
      <c r="AA1092" s="3470">
        <v>26</v>
      </c>
      <c r="AB1092" s="3485">
        <v>1995</v>
      </c>
      <c r="AC1092" s="3470" t="s">
        <v>9007</v>
      </c>
      <c r="AE1092" s="3456" t="s">
        <v>3663</v>
      </c>
      <c r="AF1092" s="3470" t="s">
        <v>4721</v>
      </c>
      <c r="AG1092" s="3470" t="s">
        <v>3466</v>
      </c>
      <c r="AI1092" s="3470" t="s">
        <v>3664</v>
      </c>
      <c r="AJ1092" s="3478">
        <v>38352</v>
      </c>
      <c r="AK1092" s="3612" t="s">
        <v>4773</v>
      </c>
      <c r="AL1092" s="3495">
        <v>67641700</v>
      </c>
      <c r="AN1092" s="3456" t="s">
        <v>3680</v>
      </c>
      <c r="AO1092" s="3441" t="s">
        <v>10753</v>
      </c>
      <c r="AP1092" s="3456" t="s">
        <v>3476</v>
      </c>
      <c r="AQ1092" s="3456" t="s">
        <v>3571</v>
      </c>
      <c r="AV1092" s="3519"/>
      <c r="AW1092" s="3470" t="s">
        <v>3572</v>
      </c>
      <c r="AX1092" s="3470" t="s">
        <v>2420</v>
      </c>
      <c r="AY1092" s="3495">
        <v>565407</v>
      </c>
      <c r="AZ1092" s="3470" t="s">
        <v>5586</v>
      </c>
      <c r="BA1092" s="3470" t="s">
        <v>5587</v>
      </c>
      <c r="BB1092" s="3619">
        <v>1102281326100</v>
      </c>
      <c r="BC1092" s="3470" t="s">
        <v>5588</v>
      </c>
      <c r="BD1092" s="3470">
        <v>100055</v>
      </c>
      <c r="BE1092" s="3470">
        <v>82951881</v>
      </c>
      <c r="BF1092" s="3520">
        <v>2.8</v>
      </c>
      <c r="BG1092" s="3478">
        <v>37943</v>
      </c>
      <c r="BI1092" s="3441" t="s">
        <v>3476</v>
      </c>
      <c r="BJ1092" s="3484">
        <v>37950</v>
      </c>
      <c r="BK1092" s="3478"/>
      <c r="BL1092" s="3441" t="s">
        <v>3670</v>
      </c>
      <c r="BM1092" s="3441"/>
      <c r="BN1092" s="3441"/>
      <c r="BO1092" s="3441"/>
      <c r="BP1092" s="3441"/>
      <c r="BQ1092" s="3441"/>
      <c r="BR1092" s="3441"/>
    </row>
    <row r="1093" spans="1:70" s="3441" customFormat="1" ht="12" hidden="1">
      <c r="A1093" s="3542" t="s">
        <v>10754</v>
      </c>
      <c r="B1093" s="3470" t="s">
        <v>10755</v>
      </c>
      <c r="C1093" s="3481" t="s">
        <v>10756</v>
      </c>
      <c r="D1093" s="3481" t="s">
        <v>10757</v>
      </c>
      <c r="E1093" s="3470" t="s">
        <v>3558</v>
      </c>
      <c r="F1093" s="3528" t="s">
        <v>7652</v>
      </c>
      <c r="G1093" s="3470"/>
      <c r="H1093" s="3470" t="s">
        <v>3614</v>
      </c>
      <c r="I1093" s="3453" t="s">
        <v>9376</v>
      </c>
      <c r="J1093" s="3481" t="s">
        <v>10758</v>
      </c>
      <c r="K1093" s="3470" t="s">
        <v>6369</v>
      </c>
      <c r="L1093" s="3470">
        <v>104.4</v>
      </c>
      <c r="M1093" s="3470">
        <v>15</v>
      </c>
      <c r="N1093" s="3470" t="s">
        <v>6193</v>
      </c>
      <c r="O1093" s="3470">
        <v>82.57</v>
      </c>
      <c r="P1093" s="3470" t="s">
        <v>3452</v>
      </c>
      <c r="Q1093" s="3457">
        <v>515736</v>
      </c>
      <c r="R1093" s="3470">
        <v>4940</v>
      </c>
      <c r="S1093" s="3472">
        <v>51.05</v>
      </c>
      <c r="T1093" s="3527">
        <v>510500</v>
      </c>
      <c r="U1093" s="3470">
        <v>4890</v>
      </c>
      <c r="V1093" s="3512">
        <v>0.1</v>
      </c>
      <c r="W1093" s="3475">
        <v>45.94</v>
      </c>
      <c r="X1093" s="3473">
        <v>459400</v>
      </c>
      <c r="Y1093" s="3441">
        <v>2003</v>
      </c>
      <c r="Z1093" s="3441">
        <v>11</v>
      </c>
      <c r="AA1093" s="3470">
        <v>19</v>
      </c>
      <c r="AB1093" s="3485">
        <v>2550</v>
      </c>
      <c r="AC1093" s="3470" t="s">
        <v>8840</v>
      </c>
      <c r="AD1093" s="3485"/>
      <c r="AE1093" s="3441" t="s">
        <v>3663</v>
      </c>
      <c r="AF1093" s="3470" t="s">
        <v>4200</v>
      </c>
      <c r="AG1093" s="3522" t="s">
        <v>3466</v>
      </c>
      <c r="AH1093" s="3485" t="s">
        <v>3568</v>
      </c>
      <c r="AI1093" s="3470" t="s">
        <v>5021</v>
      </c>
      <c r="AJ1093" s="3523">
        <v>38077</v>
      </c>
      <c r="AK1093" s="3603" t="s">
        <v>4773</v>
      </c>
      <c r="AL1093" s="3441">
        <v>67641700</v>
      </c>
      <c r="AN1093" s="3456" t="s">
        <v>3739</v>
      </c>
      <c r="AP1093" s="3441" t="s">
        <v>3476</v>
      </c>
      <c r="AQ1093" s="3441" t="s">
        <v>3571</v>
      </c>
      <c r="AV1093" s="3441" t="s">
        <v>3568</v>
      </c>
      <c r="AW1093" s="3441" t="s">
        <v>3572</v>
      </c>
      <c r="AY1093" s="3524" t="s">
        <v>10759</v>
      </c>
      <c r="AZ1093" s="3441" t="s">
        <v>6369</v>
      </c>
      <c r="BA1093" s="3441" t="s">
        <v>7655</v>
      </c>
      <c r="BB1093" s="3524" t="s">
        <v>7656</v>
      </c>
      <c r="BC1093" s="3441" t="s">
        <v>7657</v>
      </c>
      <c r="BD1093" s="3525">
        <v>100025</v>
      </c>
      <c r="BE1093" s="3441">
        <v>62908858</v>
      </c>
      <c r="BF1093" s="3526">
        <v>2.7</v>
      </c>
      <c r="BG1093" s="3518">
        <v>37851</v>
      </c>
      <c r="BH1093" s="3441" t="s">
        <v>4681</v>
      </c>
      <c r="BI1093" s="3441" t="s">
        <v>3476</v>
      </c>
      <c r="BJ1093" s="3484">
        <v>37943</v>
      </c>
      <c r="BK1093" s="3484"/>
      <c r="BL1093" s="3470" t="s">
        <v>3670</v>
      </c>
    </row>
    <row r="1094" spans="1:70" s="3441" customFormat="1" ht="12" hidden="1">
      <c r="A1094" s="3542" t="s">
        <v>10760</v>
      </c>
      <c r="B1094" s="3470" t="s">
        <v>10761</v>
      </c>
      <c r="C1094" s="3481" t="s">
        <v>10762</v>
      </c>
      <c r="D1094" s="3481" t="s">
        <v>10763</v>
      </c>
      <c r="E1094" s="3470" t="s">
        <v>3558</v>
      </c>
      <c r="F1094" s="3528" t="s">
        <v>7652</v>
      </c>
      <c r="G1094" s="3470"/>
      <c r="H1094" s="3470" t="s">
        <v>4281</v>
      </c>
      <c r="I1094" s="3453" t="s">
        <v>4001</v>
      </c>
      <c r="J1094" s="3481" t="s">
        <v>3492</v>
      </c>
      <c r="K1094" s="3470" t="s">
        <v>6369</v>
      </c>
      <c r="L1094" s="3470">
        <v>88.19</v>
      </c>
      <c r="M1094" s="3470">
        <v>6</v>
      </c>
      <c r="N1094" s="3542" t="s">
        <v>3451</v>
      </c>
      <c r="O1094" s="3470">
        <v>71.430000000000007</v>
      </c>
      <c r="P1094" s="3470" t="s">
        <v>3452</v>
      </c>
      <c r="Q1094" s="3457">
        <v>423752.95</v>
      </c>
      <c r="R1094" s="3470">
        <v>4805</v>
      </c>
      <c r="S1094" s="3472">
        <v>41.93</v>
      </c>
      <c r="T1094" s="3527">
        <v>419300</v>
      </c>
      <c r="U1094" s="3470">
        <v>4755</v>
      </c>
      <c r="V1094" s="3512">
        <v>0.1</v>
      </c>
      <c r="W1094" s="3475">
        <v>37.729999999999997</v>
      </c>
      <c r="X1094" s="3473">
        <v>377299.99999999994</v>
      </c>
      <c r="Y1094" s="3441">
        <v>2003</v>
      </c>
      <c r="Z1094" s="3441">
        <v>11</v>
      </c>
      <c r="AA1094" s="3470">
        <v>20</v>
      </c>
      <c r="AB1094" s="3485">
        <v>2095</v>
      </c>
      <c r="AC1094" s="3470" t="s">
        <v>9060</v>
      </c>
      <c r="AD1094" s="3485"/>
      <c r="AE1094" s="3441" t="s">
        <v>3663</v>
      </c>
      <c r="AF1094" s="3470" t="s">
        <v>4126</v>
      </c>
      <c r="AG1094" s="3522" t="s">
        <v>3466</v>
      </c>
      <c r="AH1094" s="3485" t="s">
        <v>3568</v>
      </c>
      <c r="AI1094" s="3470" t="s">
        <v>5021</v>
      </c>
      <c r="AJ1094" s="3523">
        <v>37986</v>
      </c>
      <c r="AK1094" s="3603" t="s">
        <v>4773</v>
      </c>
      <c r="AL1094" s="3441">
        <v>67641700</v>
      </c>
      <c r="AN1094" s="3456" t="s">
        <v>3739</v>
      </c>
      <c r="AP1094" s="3441" t="s">
        <v>3476</v>
      </c>
      <c r="AQ1094" s="3441" t="s">
        <v>3571</v>
      </c>
      <c r="AV1094" s="3441" t="s">
        <v>3568</v>
      </c>
      <c r="AW1094" s="3441" t="s">
        <v>3572</v>
      </c>
      <c r="AY1094" s="3524" t="s">
        <v>10764</v>
      </c>
      <c r="AZ1094" s="3441" t="s">
        <v>6369</v>
      </c>
      <c r="BA1094" s="3441" t="s">
        <v>7655</v>
      </c>
      <c r="BB1094" s="3524" t="s">
        <v>7656</v>
      </c>
      <c r="BC1094" s="3441" t="s">
        <v>7657</v>
      </c>
      <c r="BD1094" s="3525">
        <v>100025</v>
      </c>
      <c r="BE1094" s="3441">
        <v>62908858</v>
      </c>
      <c r="BF1094" s="3526">
        <v>2.7</v>
      </c>
      <c r="BG1094" s="3518">
        <v>37878</v>
      </c>
      <c r="BH1094" s="3441" t="s">
        <v>4681</v>
      </c>
      <c r="BI1094" s="3441" t="s">
        <v>3476</v>
      </c>
      <c r="BJ1094" s="3484">
        <v>37943</v>
      </c>
      <c r="BK1094" s="3484"/>
      <c r="BL1094" s="3470" t="s">
        <v>3670</v>
      </c>
    </row>
    <row r="1095" spans="1:70" s="3441" customFormat="1" ht="12" hidden="1">
      <c r="A1095" s="3542" t="s">
        <v>10765</v>
      </c>
      <c r="B1095" s="3470" t="s">
        <v>10766</v>
      </c>
      <c r="C1095" s="3481" t="s">
        <v>10767</v>
      </c>
      <c r="D1095" s="3481" t="s">
        <v>10768</v>
      </c>
      <c r="E1095" s="3470" t="s">
        <v>3558</v>
      </c>
      <c r="F1095" s="3528" t="s">
        <v>3733</v>
      </c>
      <c r="G1095" s="3470"/>
      <c r="H1095" s="3470" t="s">
        <v>10662</v>
      </c>
      <c r="I1095" s="3470" t="s">
        <v>4624</v>
      </c>
      <c r="J1095" s="3470" t="s">
        <v>4708</v>
      </c>
      <c r="K1095" s="3470" t="s">
        <v>3737</v>
      </c>
      <c r="L1095" s="3470">
        <v>76.069999999999993</v>
      </c>
      <c r="M1095" s="3470">
        <v>6</v>
      </c>
      <c r="N1095" s="3542" t="s">
        <v>3451</v>
      </c>
      <c r="O1095" s="3470">
        <v>60.99</v>
      </c>
      <c r="P1095" s="3470" t="s">
        <v>3452</v>
      </c>
      <c r="Q1095" s="3600">
        <v>473916.1</v>
      </c>
      <c r="R1095" s="3470">
        <v>6230</v>
      </c>
      <c r="S1095" s="3472">
        <v>45.94</v>
      </c>
      <c r="T1095" s="3527">
        <v>459400</v>
      </c>
      <c r="U1095" s="3470">
        <v>6040</v>
      </c>
      <c r="V1095" s="3474">
        <v>0.1</v>
      </c>
      <c r="W1095" s="3475">
        <v>41.34</v>
      </c>
      <c r="X1095" s="3494">
        <v>413400.00000000006</v>
      </c>
      <c r="Y1095" s="3441">
        <v>2003</v>
      </c>
      <c r="Z1095" s="3441">
        <v>11</v>
      </c>
      <c r="AA1095" s="3470">
        <v>20</v>
      </c>
      <c r="AB1095" s="3477">
        <v>2295</v>
      </c>
      <c r="AC1095" s="3470" t="s">
        <v>4800</v>
      </c>
      <c r="AD1095" s="3485"/>
      <c r="AE1095" s="3441" t="s">
        <v>3663</v>
      </c>
      <c r="AF1095" s="3470" t="s">
        <v>3604</v>
      </c>
      <c r="AG1095" s="3522" t="s">
        <v>3466</v>
      </c>
      <c r="AH1095" s="3485"/>
      <c r="AI1095" s="3470" t="s">
        <v>5021</v>
      </c>
      <c r="AJ1095" s="3523">
        <v>38132</v>
      </c>
      <c r="AK1095" s="3603" t="s">
        <v>4773</v>
      </c>
      <c r="AL1095" s="3441">
        <v>67641700</v>
      </c>
      <c r="AN1095" s="3456" t="s">
        <v>3482</v>
      </c>
      <c r="AO1095" s="3441" t="s">
        <v>2420</v>
      </c>
      <c r="AP1095" s="3441" t="s">
        <v>3476</v>
      </c>
      <c r="AQ1095" s="3441" t="s">
        <v>3571</v>
      </c>
      <c r="AW1095" s="3441" t="s">
        <v>3572</v>
      </c>
      <c r="AY1095" s="3524" t="s">
        <v>10769</v>
      </c>
      <c r="AZ1095" s="3441" t="s">
        <v>3737</v>
      </c>
      <c r="BA1095" s="3441" t="s">
        <v>3742</v>
      </c>
      <c r="BB1095" s="3524" t="s">
        <v>3743</v>
      </c>
      <c r="BC1095" s="3441" t="s">
        <v>3744</v>
      </c>
      <c r="BD1095" s="3525">
        <v>100088</v>
      </c>
      <c r="BE1095" s="3441">
        <v>82058259</v>
      </c>
      <c r="BF1095" s="3526" t="s">
        <v>8595</v>
      </c>
      <c r="BG1095" s="3478">
        <v>37928</v>
      </c>
      <c r="BH1095" s="3441" t="s">
        <v>4753</v>
      </c>
      <c r="BI1095" s="3441" t="s">
        <v>3476</v>
      </c>
      <c r="BJ1095" s="3478">
        <v>37932</v>
      </c>
      <c r="BK1095" s="3484" t="s">
        <v>2420</v>
      </c>
      <c r="BL1095" s="3470" t="s">
        <v>3670</v>
      </c>
    </row>
    <row r="1096" spans="1:70" s="3441" customFormat="1" ht="12" hidden="1">
      <c r="A1096" s="3542" t="s">
        <v>10770</v>
      </c>
      <c r="B1096" s="3470" t="s">
        <v>10771</v>
      </c>
      <c r="C1096" s="3481" t="s">
        <v>10772</v>
      </c>
      <c r="D1096" s="3481" t="s">
        <v>10773</v>
      </c>
      <c r="E1096" s="3470" t="s">
        <v>3558</v>
      </c>
      <c r="F1096" s="3528" t="s">
        <v>3733</v>
      </c>
      <c r="G1096" s="3470"/>
      <c r="H1096" s="3470" t="s">
        <v>10572</v>
      </c>
      <c r="I1096" s="3470" t="s">
        <v>4624</v>
      </c>
      <c r="J1096" s="3470" t="s">
        <v>6359</v>
      </c>
      <c r="K1096" s="3470" t="s">
        <v>3737</v>
      </c>
      <c r="L1096" s="3470">
        <v>65.17</v>
      </c>
      <c r="M1096" s="3470">
        <v>6</v>
      </c>
      <c r="N1096" s="3470" t="s">
        <v>3489</v>
      </c>
      <c r="O1096" s="3470">
        <v>53.79</v>
      </c>
      <c r="P1096" s="3470" t="s">
        <v>3452</v>
      </c>
      <c r="Q1096" s="3492">
        <v>402098.9</v>
      </c>
      <c r="R1096" s="3470">
        <v>6170</v>
      </c>
      <c r="S1096" s="3472">
        <v>39.39</v>
      </c>
      <c r="T1096" s="3527">
        <v>393900</v>
      </c>
      <c r="U1096" s="3470">
        <v>6045</v>
      </c>
      <c r="V1096" s="3474">
        <v>0.1</v>
      </c>
      <c r="W1096" s="3475">
        <v>35.450000000000003</v>
      </c>
      <c r="X1096" s="3494">
        <v>354500</v>
      </c>
      <c r="Y1096" s="3441">
        <v>2003</v>
      </c>
      <c r="Z1096" s="3441">
        <v>11</v>
      </c>
      <c r="AA1096" s="3470">
        <v>21</v>
      </c>
      <c r="AB1096" s="3477">
        <v>1965</v>
      </c>
      <c r="AC1096" s="3470" t="s">
        <v>9077</v>
      </c>
      <c r="AD1096" s="3485"/>
      <c r="AE1096" s="3441" t="s">
        <v>3663</v>
      </c>
      <c r="AF1096" s="3470" t="s">
        <v>3587</v>
      </c>
      <c r="AG1096" s="3522" t="s">
        <v>3466</v>
      </c>
      <c r="AH1096" s="3485"/>
      <c r="AI1096" s="3470" t="s">
        <v>5021</v>
      </c>
      <c r="AJ1096" s="3523">
        <v>38183</v>
      </c>
      <c r="AK1096" s="3612" t="s">
        <v>4773</v>
      </c>
      <c r="AL1096" s="3441">
        <v>67641700</v>
      </c>
      <c r="AN1096" s="3480" t="s">
        <v>3482</v>
      </c>
      <c r="AO1096" s="3470" t="s">
        <v>2420</v>
      </c>
      <c r="AP1096" s="3441" t="s">
        <v>3476</v>
      </c>
      <c r="AQ1096" s="3441" t="s">
        <v>3571</v>
      </c>
      <c r="AW1096" s="3441" t="s">
        <v>3572</v>
      </c>
      <c r="AY1096" s="3524" t="s">
        <v>10774</v>
      </c>
      <c r="AZ1096" s="3441" t="s">
        <v>3737</v>
      </c>
      <c r="BA1096" s="3441" t="s">
        <v>3742</v>
      </c>
      <c r="BB1096" s="3524" t="s">
        <v>3743</v>
      </c>
      <c r="BC1096" s="3441" t="s">
        <v>3744</v>
      </c>
      <c r="BD1096" s="3525">
        <v>100088</v>
      </c>
      <c r="BE1096" s="3441">
        <v>82058259</v>
      </c>
      <c r="BF1096" s="3526" t="s">
        <v>8595</v>
      </c>
      <c r="BG1096" s="3478">
        <v>37935</v>
      </c>
      <c r="BH1096" s="3441" t="s">
        <v>4753</v>
      </c>
      <c r="BI1096" s="3441" t="s">
        <v>3476</v>
      </c>
      <c r="BJ1096" s="3478">
        <v>37943</v>
      </c>
      <c r="BK1096" s="3484" t="s">
        <v>2420</v>
      </c>
      <c r="BL1096" s="3470" t="s">
        <v>3670</v>
      </c>
    </row>
    <row r="1097" spans="1:70" s="3441" customFormat="1" ht="12" hidden="1">
      <c r="A1097" s="3485" t="s">
        <v>10775</v>
      </c>
      <c r="B1097" s="3470" t="s">
        <v>10776</v>
      </c>
      <c r="C1097" s="3481" t="s">
        <v>10777</v>
      </c>
      <c r="D1097" s="3481" t="s">
        <v>10778</v>
      </c>
      <c r="E1097" s="3470" t="s">
        <v>3558</v>
      </c>
      <c r="F1097" s="3528" t="s">
        <v>10779</v>
      </c>
      <c r="G1097" s="3470"/>
      <c r="H1097" s="3470" t="s">
        <v>9119</v>
      </c>
      <c r="I1097" s="3470" t="s">
        <v>3726</v>
      </c>
      <c r="J1097" s="3470" t="s">
        <v>7370</v>
      </c>
      <c r="K1097" s="3470" t="s">
        <v>10780</v>
      </c>
      <c r="L1097" s="3470">
        <v>41.18</v>
      </c>
      <c r="M1097" s="3470">
        <v>1</v>
      </c>
      <c r="N1097" s="3453" t="s">
        <v>3678</v>
      </c>
      <c r="O1097" s="3470">
        <v>34.840000000000003</v>
      </c>
      <c r="P1097" s="3470" t="s">
        <v>3452</v>
      </c>
      <c r="Q1097" s="3492">
        <v>177897.60000000001</v>
      </c>
      <c r="R1097" s="3470">
        <v>4320</v>
      </c>
      <c r="S1097" s="3472">
        <v>17.600000000000001</v>
      </c>
      <c r="T1097" s="3527">
        <v>176000</v>
      </c>
      <c r="U1097" s="3470">
        <v>4276</v>
      </c>
      <c r="V1097" s="3474">
        <v>0.1</v>
      </c>
      <c r="W1097" s="3475">
        <v>15.84</v>
      </c>
      <c r="X1097" s="3494">
        <v>158400</v>
      </c>
      <c r="Y1097" s="3441">
        <v>2003</v>
      </c>
      <c r="Z1097" s="3441">
        <v>12</v>
      </c>
      <c r="AA1097" s="3470">
        <v>5</v>
      </c>
      <c r="AB1097" s="3477">
        <v>880</v>
      </c>
      <c r="AC1097" s="3470" t="s">
        <v>9060</v>
      </c>
      <c r="AD1097" s="3485"/>
      <c r="AE1097" s="3441" t="s">
        <v>3663</v>
      </c>
      <c r="AF1097" s="3470" t="s">
        <v>3587</v>
      </c>
      <c r="AG1097" s="3522" t="s">
        <v>3466</v>
      </c>
      <c r="AH1097" s="3485"/>
      <c r="AI1097" s="3470" t="s">
        <v>5021</v>
      </c>
      <c r="AJ1097" s="3523">
        <v>38138</v>
      </c>
      <c r="AK1097" s="3612" t="s">
        <v>3467</v>
      </c>
      <c r="AL1097" s="3441">
        <v>67641700</v>
      </c>
      <c r="AN1097" s="3480" t="s">
        <v>3570</v>
      </c>
      <c r="AO1097" s="3470" t="s">
        <v>2420</v>
      </c>
      <c r="AP1097" s="3441" t="s">
        <v>3476</v>
      </c>
      <c r="AQ1097" s="3441" t="s">
        <v>3571</v>
      </c>
      <c r="AW1097" s="3441" t="s">
        <v>3572</v>
      </c>
      <c r="AY1097" s="3524" t="s">
        <v>10781</v>
      </c>
      <c r="AZ1097" s="3470" t="s">
        <v>10780</v>
      </c>
      <c r="BA1097" s="3441" t="s">
        <v>10782</v>
      </c>
      <c r="BB1097" s="3524" t="s">
        <v>10783</v>
      </c>
      <c r="BC1097" s="3441" t="s">
        <v>10784</v>
      </c>
      <c r="BD1097" s="3525">
        <v>100039</v>
      </c>
      <c r="BE1097" s="3441">
        <v>51522819</v>
      </c>
      <c r="BF1097" s="3526">
        <v>2.9</v>
      </c>
      <c r="BG1097" s="3478">
        <v>37938</v>
      </c>
      <c r="BH1097" s="3441" t="s">
        <v>4753</v>
      </c>
      <c r="BI1097" s="3441" t="s">
        <v>3476</v>
      </c>
      <c r="BJ1097" s="3478">
        <v>37943</v>
      </c>
      <c r="BK1097" s="3484" t="s">
        <v>2420</v>
      </c>
      <c r="BL1097" s="3470" t="s">
        <v>3670</v>
      </c>
    </row>
    <row r="1098" spans="1:70" s="3441" customFormat="1" ht="12" hidden="1">
      <c r="A1098" s="3485" t="s">
        <v>10785</v>
      </c>
      <c r="B1098" s="3470" t="s">
        <v>10786</v>
      </c>
      <c r="C1098" s="3481" t="s">
        <v>10787</v>
      </c>
      <c r="D1098" s="3481" t="s">
        <v>10788</v>
      </c>
      <c r="E1098" s="3470" t="s">
        <v>3558</v>
      </c>
      <c r="F1098" s="3528" t="s">
        <v>3733</v>
      </c>
      <c r="G1098" s="3470"/>
      <c r="H1098" s="3470" t="s">
        <v>10789</v>
      </c>
      <c r="I1098" s="3453" t="s">
        <v>3726</v>
      </c>
      <c r="J1098" s="3470" t="s">
        <v>3449</v>
      </c>
      <c r="K1098" s="3470" t="s">
        <v>3737</v>
      </c>
      <c r="L1098" s="3470">
        <v>156.33000000000001</v>
      </c>
      <c r="M1098" s="3470">
        <v>4</v>
      </c>
      <c r="N1098" s="3453" t="s">
        <v>3632</v>
      </c>
      <c r="O1098" s="3470">
        <v>126.37</v>
      </c>
      <c r="P1098" s="3470" t="s">
        <v>3633</v>
      </c>
      <c r="Q1098" s="3492">
        <v>868569.4800000001</v>
      </c>
      <c r="R1098" s="3470">
        <v>5556</v>
      </c>
      <c r="S1098" s="3472">
        <v>86.07</v>
      </c>
      <c r="T1098" s="3527">
        <v>860699.99999999988</v>
      </c>
      <c r="U1098" s="3470">
        <v>5506</v>
      </c>
      <c r="V1098" s="3474">
        <v>0.1</v>
      </c>
      <c r="W1098" s="3475">
        <v>77.459999999999994</v>
      </c>
      <c r="X1098" s="3494">
        <v>774599.99999999988</v>
      </c>
      <c r="Y1098" s="3441">
        <v>2003</v>
      </c>
      <c r="Z1098" s="3441">
        <v>12</v>
      </c>
      <c r="AA1098" s="3470">
        <v>8</v>
      </c>
      <c r="AB1098" s="3477">
        <v>4300</v>
      </c>
      <c r="AC1098" s="3470" t="s">
        <v>4800</v>
      </c>
      <c r="AD1098" s="3485"/>
      <c r="AE1098" s="3441" t="s">
        <v>3663</v>
      </c>
      <c r="AF1098" s="3470" t="s">
        <v>4126</v>
      </c>
      <c r="AG1098" s="3522" t="s">
        <v>3466</v>
      </c>
      <c r="AH1098" s="3485"/>
      <c r="AI1098" s="3470" t="s">
        <v>5021</v>
      </c>
      <c r="AJ1098" s="3523">
        <v>37975</v>
      </c>
      <c r="AK1098" s="3612" t="s">
        <v>3467</v>
      </c>
      <c r="AL1098" s="3441">
        <v>67641700</v>
      </c>
      <c r="AN1098" s="3480" t="s">
        <v>3695</v>
      </c>
      <c r="AO1098" s="3470" t="s">
        <v>10790</v>
      </c>
      <c r="AP1098" s="3441" t="s">
        <v>3476</v>
      </c>
      <c r="AQ1098" s="3441" t="s">
        <v>3571</v>
      </c>
      <c r="AW1098" s="3441" t="s">
        <v>3572</v>
      </c>
      <c r="AY1098" s="3524" t="s">
        <v>10791</v>
      </c>
      <c r="AZ1098" s="3441" t="s">
        <v>3737</v>
      </c>
      <c r="BA1098" s="3441" t="s">
        <v>3742</v>
      </c>
      <c r="BB1098" s="3524" t="s">
        <v>3743</v>
      </c>
      <c r="BC1098" s="3441" t="s">
        <v>3744</v>
      </c>
      <c r="BD1098" s="3525">
        <v>100088</v>
      </c>
      <c r="BE1098" s="3441">
        <v>82058259</v>
      </c>
      <c r="BF1098" s="3526" t="s">
        <v>8595</v>
      </c>
      <c r="BG1098" s="3478">
        <v>37911</v>
      </c>
      <c r="BH1098" s="3441" t="s">
        <v>4753</v>
      </c>
      <c r="BI1098" s="3441" t="s">
        <v>3476</v>
      </c>
      <c r="BJ1098" s="3478">
        <v>37944</v>
      </c>
      <c r="BK1098" s="3484">
        <v>37956</v>
      </c>
      <c r="BL1098" s="3470" t="s">
        <v>3670</v>
      </c>
    </row>
    <row r="1099" spans="1:70" s="3441" customFormat="1" ht="12" hidden="1">
      <c r="A1099" s="3542" t="s">
        <v>10792</v>
      </c>
      <c r="B1099" s="3470" t="s">
        <v>10793</v>
      </c>
      <c r="C1099" s="3481" t="s">
        <v>10794</v>
      </c>
      <c r="D1099" s="3481" t="s">
        <v>10795</v>
      </c>
      <c r="E1099" s="3470" t="s">
        <v>3558</v>
      </c>
      <c r="F1099" s="3470" t="s">
        <v>4770</v>
      </c>
      <c r="G1099" s="3470"/>
      <c r="H1099" s="3470" t="s">
        <v>10197</v>
      </c>
      <c r="I1099" s="3453" t="s">
        <v>4001</v>
      </c>
      <c r="J1099" s="3481" t="s">
        <v>4325</v>
      </c>
      <c r="K1099" s="3470" t="s">
        <v>4772</v>
      </c>
      <c r="L1099" s="3470">
        <v>99.08</v>
      </c>
      <c r="M1099" s="3470">
        <v>5</v>
      </c>
      <c r="N1099" s="3470" t="s">
        <v>4030</v>
      </c>
      <c r="O1099" s="3470">
        <v>88.39</v>
      </c>
      <c r="P1099" s="3470" t="s">
        <v>3452</v>
      </c>
      <c r="Q1099" s="3457">
        <v>432484.2</v>
      </c>
      <c r="R1099" s="3470">
        <v>4365</v>
      </c>
      <c r="S1099" s="3472">
        <v>42.75</v>
      </c>
      <c r="T1099" s="3527">
        <v>427500</v>
      </c>
      <c r="U1099" s="3470">
        <v>4315</v>
      </c>
      <c r="V1099" s="3512">
        <v>0.1</v>
      </c>
      <c r="W1099" s="3475">
        <v>38.47</v>
      </c>
      <c r="X1099" s="3476">
        <v>384700</v>
      </c>
      <c r="Y1099" s="3441">
        <v>2003</v>
      </c>
      <c r="Z1099" s="3441">
        <v>11</v>
      </c>
      <c r="AA1099" s="3470">
        <v>21</v>
      </c>
      <c r="AB1099" s="3477">
        <v>2135</v>
      </c>
      <c r="AC1099" s="3470" t="s">
        <v>4800</v>
      </c>
      <c r="AD1099" s="3485"/>
      <c r="AE1099" s="3441" t="s">
        <v>3663</v>
      </c>
      <c r="AF1099" s="3470" t="s">
        <v>3604</v>
      </c>
      <c r="AG1099" s="3522" t="s">
        <v>3466</v>
      </c>
      <c r="AH1099" s="3485"/>
      <c r="AI1099" s="3470" t="s">
        <v>7643</v>
      </c>
      <c r="AJ1099" s="3523">
        <v>38025</v>
      </c>
      <c r="AK1099" s="3612" t="s">
        <v>4773</v>
      </c>
      <c r="AL1099" s="3441">
        <v>67641700</v>
      </c>
      <c r="AN1099" s="3456" t="s">
        <v>3739</v>
      </c>
      <c r="AO1099" s="3441" t="s">
        <v>2420</v>
      </c>
      <c r="AP1099" s="3441" t="s">
        <v>3476</v>
      </c>
      <c r="AQ1099" s="3441" t="s">
        <v>3571</v>
      </c>
      <c r="AW1099" s="3441" t="s">
        <v>3572</v>
      </c>
      <c r="AY1099" s="3441">
        <v>561424</v>
      </c>
      <c r="AZ1099" s="3441" t="s">
        <v>4772</v>
      </c>
      <c r="BA1099" s="3441" t="s">
        <v>4775</v>
      </c>
      <c r="BB1099" s="3524" t="s">
        <v>4776</v>
      </c>
      <c r="BC1099" s="3441" t="s">
        <v>4777</v>
      </c>
      <c r="BD1099" s="3525">
        <v>100083</v>
      </c>
      <c r="BE1099" s="3441">
        <v>82355171</v>
      </c>
      <c r="BF1099" s="3526">
        <v>2.7</v>
      </c>
      <c r="BG1099" s="3518">
        <v>37921</v>
      </c>
      <c r="BH1099" s="3441" t="s">
        <v>4681</v>
      </c>
      <c r="BI1099" s="3441" t="s">
        <v>3476</v>
      </c>
      <c r="BJ1099" s="3508">
        <v>37938</v>
      </c>
      <c r="BK1099" s="3484"/>
      <c r="BL1099" s="3470" t="s">
        <v>3670</v>
      </c>
    </row>
    <row r="1100" spans="1:70" s="3470" customFormat="1" ht="12" hidden="1">
      <c r="A1100" s="3453" t="s">
        <v>10796</v>
      </c>
      <c r="B1100" s="3470" t="s">
        <v>10797</v>
      </c>
      <c r="C1100" s="3481" t="s">
        <v>10798</v>
      </c>
      <c r="D1100" s="3470">
        <v>13641004241</v>
      </c>
      <c r="E1100" s="3470" t="s">
        <v>3558</v>
      </c>
      <c r="F1100" s="3470" t="s">
        <v>8094</v>
      </c>
      <c r="H1100" s="3453" t="s">
        <v>4346</v>
      </c>
      <c r="I1100" s="3453" t="s">
        <v>4001</v>
      </c>
      <c r="J1100" s="3453" t="s">
        <v>10799</v>
      </c>
      <c r="K1100" s="3470" t="s">
        <v>8097</v>
      </c>
      <c r="L1100" s="3495">
        <v>87.3</v>
      </c>
      <c r="M1100" s="3495">
        <v>15</v>
      </c>
      <c r="N1100" s="3470" t="s">
        <v>3489</v>
      </c>
      <c r="O1100" s="3495">
        <v>72.3</v>
      </c>
      <c r="P1100" s="3470" t="s">
        <v>3452</v>
      </c>
      <c r="Q1100" s="3457">
        <v>432135</v>
      </c>
      <c r="R1100" s="3470">
        <v>4950</v>
      </c>
      <c r="S1100" s="3472">
        <v>42.77</v>
      </c>
      <c r="T1100" s="3527">
        <v>427700.00000000006</v>
      </c>
      <c r="U1100" s="3470">
        <v>4900</v>
      </c>
      <c r="V1100" s="3474">
        <v>0.05</v>
      </c>
      <c r="W1100" s="3475">
        <v>40.630000000000003</v>
      </c>
      <c r="X1100" s="3476">
        <v>406300</v>
      </c>
      <c r="Y1100" s="3441">
        <v>2003</v>
      </c>
      <c r="Z1100" s="3441">
        <v>11</v>
      </c>
      <c r="AA1100" s="3470">
        <v>24</v>
      </c>
      <c r="AB1100" s="3477">
        <v>2135</v>
      </c>
      <c r="AC1100" s="3470" t="s">
        <v>8840</v>
      </c>
      <c r="AE1100" s="3456" t="s">
        <v>3663</v>
      </c>
      <c r="AF1100" s="3453" t="s">
        <v>3493</v>
      </c>
      <c r="AG1100" s="3470" t="s">
        <v>3466</v>
      </c>
      <c r="AI1100" s="3456" t="s">
        <v>5021</v>
      </c>
      <c r="AJ1100" s="3478" t="s">
        <v>2420</v>
      </c>
      <c r="AK1100" s="3612" t="s">
        <v>4773</v>
      </c>
      <c r="AL1100" s="3441">
        <v>67641700</v>
      </c>
      <c r="AM1100" s="3441"/>
      <c r="AN1100" s="3480" t="s">
        <v>3680</v>
      </c>
      <c r="AP1100" s="3456" t="s">
        <v>3476</v>
      </c>
      <c r="AQ1100" s="3456" t="s">
        <v>3571</v>
      </c>
      <c r="AV1100" s="3519" t="s">
        <v>3568</v>
      </c>
      <c r="AW1100" s="3470" t="s">
        <v>3572</v>
      </c>
      <c r="AX1100" s="3470" t="s">
        <v>2511</v>
      </c>
      <c r="AY1100" s="3495">
        <v>145469</v>
      </c>
      <c r="AZ1100" s="3470" t="s">
        <v>8097</v>
      </c>
      <c r="BA1100" s="3470" t="s">
        <v>8100</v>
      </c>
      <c r="BB1100" s="3470" t="s">
        <v>8101</v>
      </c>
      <c r="BC1100" s="3470" t="s">
        <v>8102</v>
      </c>
      <c r="BD1100" s="3470">
        <v>100010</v>
      </c>
      <c r="BE1100" s="3470">
        <v>65233356</v>
      </c>
      <c r="BF1100" s="3520">
        <v>2.7</v>
      </c>
      <c r="BG1100" s="3478">
        <v>37910</v>
      </c>
      <c r="BI1100" s="3470" t="s">
        <v>3476</v>
      </c>
      <c r="BJ1100" s="3484">
        <v>37944</v>
      </c>
      <c r="BK1100" s="3478"/>
      <c r="BL1100" s="3470" t="s">
        <v>3670</v>
      </c>
      <c r="BP1100" s="3441"/>
      <c r="BQ1100" s="3441"/>
      <c r="BR1100" s="3441"/>
    </row>
    <row r="1101" spans="1:70" s="3441" customFormat="1" ht="12" hidden="1">
      <c r="A1101" s="3485" t="s">
        <v>10800</v>
      </c>
      <c r="B1101" s="3470" t="s">
        <v>10801</v>
      </c>
      <c r="C1101" s="3481" t="s">
        <v>10802</v>
      </c>
      <c r="D1101" s="3481" t="s">
        <v>10803</v>
      </c>
      <c r="E1101" s="3470" t="s">
        <v>3558</v>
      </c>
      <c r="F1101" s="3528" t="s">
        <v>3733</v>
      </c>
      <c r="G1101" s="3470"/>
      <c r="H1101" s="3470" t="s">
        <v>10572</v>
      </c>
      <c r="I1101" s="3470" t="s">
        <v>4387</v>
      </c>
      <c r="J1101" s="3470" t="s">
        <v>4455</v>
      </c>
      <c r="K1101" s="3470" t="s">
        <v>3737</v>
      </c>
      <c r="L1101" s="3470">
        <v>65.349999999999994</v>
      </c>
      <c r="M1101" s="3470">
        <v>7</v>
      </c>
      <c r="N1101" s="3542" t="s">
        <v>3489</v>
      </c>
      <c r="O1101" s="3470">
        <v>53.94</v>
      </c>
      <c r="P1101" s="3470" t="s">
        <v>3452</v>
      </c>
      <c r="Q1101" s="3600">
        <v>313680</v>
      </c>
      <c r="R1101" s="3470">
        <v>4800</v>
      </c>
      <c r="S1101" s="3472">
        <v>39.049999999999997</v>
      </c>
      <c r="T1101" s="3527">
        <v>390500</v>
      </c>
      <c r="U1101" s="3470">
        <v>5976</v>
      </c>
      <c r="V1101" s="3474">
        <v>0.1</v>
      </c>
      <c r="W1101" s="3475">
        <v>35.14</v>
      </c>
      <c r="X1101" s="3494">
        <v>351400</v>
      </c>
      <c r="Y1101" s="3441">
        <v>2003</v>
      </c>
      <c r="Z1101" s="3441">
        <v>12</v>
      </c>
      <c r="AA1101" s="3470">
        <v>2</v>
      </c>
      <c r="AB1101" s="3477">
        <v>1950</v>
      </c>
      <c r="AC1101" s="3470" t="s">
        <v>9077</v>
      </c>
      <c r="AD1101" s="3485"/>
      <c r="AE1101" s="3441" t="s">
        <v>3663</v>
      </c>
      <c r="AF1101" s="3470" t="s">
        <v>4721</v>
      </c>
      <c r="AG1101" s="3522" t="s">
        <v>3466</v>
      </c>
      <c r="AH1101" s="3485" t="s">
        <v>10804</v>
      </c>
      <c r="AI1101" s="3470" t="s">
        <v>5021</v>
      </c>
      <c r="AJ1101" s="3523">
        <v>38183</v>
      </c>
      <c r="AK1101" s="3603" t="s">
        <v>3467</v>
      </c>
      <c r="AL1101" s="3441">
        <v>67641700</v>
      </c>
      <c r="AN1101" s="3456" t="s">
        <v>3570</v>
      </c>
      <c r="AO1101" s="3441" t="s">
        <v>10805</v>
      </c>
      <c r="AP1101" s="3441" t="s">
        <v>3476</v>
      </c>
      <c r="AQ1101" s="3441" t="s">
        <v>3571</v>
      </c>
      <c r="AW1101" s="3441" t="s">
        <v>3572</v>
      </c>
      <c r="AY1101" s="3524" t="s">
        <v>10806</v>
      </c>
      <c r="AZ1101" s="3441" t="s">
        <v>3737</v>
      </c>
      <c r="BA1101" s="3441" t="s">
        <v>3742</v>
      </c>
      <c r="BB1101" s="3524" t="s">
        <v>3743</v>
      </c>
      <c r="BC1101" s="3441" t="s">
        <v>3744</v>
      </c>
      <c r="BD1101" s="3525">
        <v>100088</v>
      </c>
      <c r="BE1101" s="3441">
        <v>82058259</v>
      </c>
      <c r="BF1101" s="3526">
        <v>2.7</v>
      </c>
      <c r="BG1101" s="3478">
        <v>37935</v>
      </c>
      <c r="BI1101" s="3441" t="s">
        <v>8464</v>
      </c>
      <c r="BJ1101" s="3478">
        <v>37952</v>
      </c>
      <c r="BK1101" s="3484" t="s">
        <v>2420</v>
      </c>
      <c r="BL1101" s="3470" t="s">
        <v>3670</v>
      </c>
    </row>
    <row r="1102" spans="1:70" s="3441" customFormat="1" ht="12" hidden="1">
      <c r="A1102" s="3542" t="s">
        <v>10807</v>
      </c>
      <c r="B1102" s="3470" t="s">
        <v>10808</v>
      </c>
      <c r="C1102" s="3481" t="s">
        <v>10809</v>
      </c>
      <c r="D1102" s="3481" t="s">
        <v>10810</v>
      </c>
      <c r="E1102" s="3470" t="s">
        <v>3558</v>
      </c>
      <c r="F1102" s="3528" t="s">
        <v>7652</v>
      </c>
      <c r="G1102" s="3470"/>
      <c r="H1102" s="3470" t="s">
        <v>4281</v>
      </c>
      <c r="I1102" s="3470" t="s">
        <v>10371</v>
      </c>
      <c r="J1102" s="3481" t="s">
        <v>4042</v>
      </c>
      <c r="K1102" s="3470" t="s">
        <v>6369</v>
      </c>
      <c r="L1102" s="3470">
        <v>88.2</v>
      </c>
      <c r="M1102" s="3470">
        <v>3</v>
      </c>
      <c r="N1102" s="3542" t="s">
        <v>3451</v>
      </c>
      <c r="O1102" s="3470">
        <v>71.430000000000007</v>
      </c>
      <c r="P1102" s="3470" t="s">
        <v>3452</v>
      </c>
      <c r="Q1102" s="3457">
        <v>410571</v>
      </c>
      <c r="R1102" s="3470">
        <v>4655</v>
      </c>
      <c r="S1102" s="3472">
        <v>40.659999999999997</v>
      </c>
      <c r="T1102" s="3527">
        <v>406599.99999999994</v>
      </c>
      <c r="U1102" s="3470">
        <v>4610</v>
      </c>
      <c r="V1102" s="3512">
        <v>0.1</v>
      </c>
      <c r="W1102" s="3475">
        <v>36.590000000000003</v>
      </c>
      <c r="X1102" s="3473">
        <v>365900.00000000006</v>
      </c>
      <c r="Y1102" s="3441">
        <v>2003</v>
      </c>
      <c r="Z1102" s="3441">
        <v>11</v>
      </c>
      <c r="AA1102" s="3470">
        <v>24</v>
      </c>
      <c r="AB1102" s="3485">
        <v>2030</v>
      </c>
      <c r="AC1102" s="3470" t="s">
        <v>4800</v>
      </c>
      <c r="AD1102" s="3485"/>
      <c r="AE1102" s="3441" t="s">
        <v>3663</v>
      </c>
      <c r="AF1102" s="3470" t="s">
        <v>4126</v>
      </c>
      <c r="AG1102" s="3522" t="s">
        <v>3466</v>
      </c>
      <c r="AH1102" s="3485" t="s">
        <v>3568</v>
      </c>
      <c r="AI1102" s="3470" t="s">
        <v>5021</v>
      </c>
      <c r="AJ1102" s="3523">
        <v>37986</v>
      </c>
      <c r="AK1102" s="3612" t="s">
        <v>4773</v>
      </c>
      <c r="AL1102" s="3441">
        <v>67641700</v>
      </c>
      <c r="AN1102" s="3480" t="s">
        <v>3484</v>
      </c>
      <c r="AP1102" s="3441" t="s">
        <v>3476</v>
      </c>
      <c r="AQ1102" s="3441" t="s">
        <v>3571</v>
      </c>
      <c r="AV1102" s="3441" t="s">
        <v>3568</v>
      </c>
      <c r="AW1102" s="3441" t="s">
        <v>3572</v>
      </c>
      <c r="AY1102" s="3524" t="s">
        <v>10811</v>
      </c>
      <c r="AZ1102" s="3441" t="s">
        <v>6369</v>
      </c>
      <c r="BA1102" s="3441" t="s">
        <v>7655</v>
      </c>
      <c r="BB1102" s="3524" t="s">
        <v>7656</v>
      </c>
      <c r="BC1102" s="3441" t="s">
        <v>7657</v>
      </c>
      <c r="BD1102" s="3525">
        <v>100025</v>
      </c>
      <c r="BE1102" s="3441">
        <v>62908858</v>
      </c>
      <c r="BF1102" s="3526">
        <v>2.7</v>
      </c>
      <c r="BG1102" s="3518">
        <v>37930</v>
      </c>
      <c r="BH1102" s="3441" t="s">
        <v>4681</v>
      </c>
      <c r="BI1102" s="3441" t="s">
        <v>3476</v>
      </c>
      <c r="BJ1102" s="3484">
        <v>37944</v>
      </c>
      <c r="BK1102" s="3484"/>
      <c r="BL1102" s="3470" t="s">
        <v>3670</v>
      </c>
    </row>
    <row r="1103" spans="1:70" s="3441" customFormat="1" ht="12" hidden="1">
      <c r="A1103" s="3453" t="s">
        <v>10812</v>
      </c>
      <c r="B1103" s="3470" t="s">
        <v>10813</v>
      </c>
      <c r="C1103" s="3481" t="s">
        <v>10814</v>
      </c>
      <c r="D1103" s="3481" t="s">
        <v>10815</v>
      </c>
      <c r="E1103" s="3470" t="s">
        <v>3558</v>
      </c>
      <c r="F1103" s="3470" t="s">
        <v>4693</v>
      </c>
      <c r="G1103" s="3470"/>
      <c r="H1103" s="3470" t="s">
        <v>4453</v>
      </c>
      <c r="I1103" s="3470" t="s">
        <v>4124</v>
      </c>
      <c r="J1103" s="3481" t="s">
        <v>9698</v>
      </c>
      <c r="K1103" s="3470" t="s">
        <v>4697</v>
      </c>
      <c r="L1103" s="3470">
        <v>37.979999999999997</v>
      </c>
      <c r="M1103" s="3470">
        <v>8</v>
      </c>
      <c r="N1103" s="3470" t="s">
        <v>3692</v>
      </c>
      <c r="O1103" s="3470">
        <v>28.21</v>
      </c>
      <c r="P1103" s="3470" t="s">
        <v>3452</v>
      </c>
      <c r="Q1103" s="3457">
        <v>316791.18</v>
      </c>
      <c r="R1103" s="3470">
        <v>8341</v>
      </c>
      <c r="S1103" s="3472">
        <v>31.43</v>
      </c>
      <c r="T1103" s="3550">
        <v>314300</v>
      </c>
      <c r="U1103" s="3491">
        <v>8276</v>
      </c>
      <c r="V1103" s="3529">
        <v>0.1</v>
      </c>
      <c r="W1103" s="3475">
        <v>28.28</v>
      </c>
      <c r="X1103" s="3511">
        <v>282800</v>
      </c>
      <c r="Y1103" s="3501">
        <v>2003</v>
      </c>
      <c r="Z1103" s="3441">
        <v>11</v>
      </c>
      <c r="AA1103" s="3470">
        <v>24</v>
      </c>
      <c r="AB1103" s="3477">
        <v>1570</v>
      </c>
      <c r="AC1103" s="3470" t="s">
        <v>9007</v>
      </c>
      <c r="AD1103" s="3485"/>
      <c r="AE1103" s="3441" t="s">
        <v>3663</v>
      </c>
      <c r="AF1103" s="3470" t="s">
        <v>3587</v>
      </c>
      <c r="AG1103" s="3522" t="s">
        <v>3466</v>
      </c>
      <c r="AH1103" s="3485" t="s">
        <v>3463</v>
      </c>
      <c r="AI1103" s="3470" t="s">
        <v>5021</v>
      </c>
      <c r="AJ1103" s="3523">
        <v>38138</v>
      </c>
      <c r="AK1103" s="3612" t="s">
        <v>4773</v>
      </c>
      <c r="AL1103" s="3441">
        <v>67641700</v>
      </c>
      <c r="AN1103" s="3480" t="s">
        <v>3680</v>
      </c>
      <c r="AP1103" s="3441" t="s">
        <v>3476</v>
      </c>
      <c r="AQ1103" s="3441" t="s">
        <v>3571</v>
      </c>
      <c r="AV1103" s="3441" t="s">
        <v>3568</v>
      </c>
      <c r="AW1103" s="3441" t="s">
        <v>3572</v>
      </c>
      <c r="AX1103" s="3441" t="s">
        <v>3568</v>
      </c>
      <c r="AY1103" s="3524" t="s">
        <v>10816</v>
      </c>
      <c r="AZ1103" s="3441" t="s">
        <v>4697</v>
      </c>
      <c r="BA1103" s="3441" t="s">
        <v>4700</v>
      </c>
      <c r="BB1103" s="3524" t="s">
        <v>4701</v>
      </c>
      <c r="BC1103" s="3441" t="s">
        <v>4702</v>
      </c>
      <c r="BD1103" s="3525">
        <v>100011</v>
      </c>
      <c r="BE1103" s="3441">
        <v>62351476</v>
      </c>
      <c r="BF1103" s="3526">
        <v>2.8</v>
      </c>
      <c r="BG1103" s="3518">
        <v>37926</v>
      </c>
      <c r="BI1103" s="3470" t="s">
        <v>3476</v>
      </c>
      <c r="BJ1103" s="3478">
        <v>37945</v>
      </c>
      <c r="BK1103" s="3518"/>
      <c r="BL1103" s="3470" t="s">
        <v>3670</v>
      </c>
    </row>
    <row r="1104" spans="1:70" s="3605" customFormat="1" ht="12" hidden="1">
      <c r="A1104" s="3542" t="s">
        <v>10817</v>
      </c>
      <c r="B1104" s="3470" t="s">
        <v>10818</v>
      </c>
      <c r="C1104" s="3481" t="s">
        <v>10819</v>
      </c>
      <c r="D1104" s="3470">
        <v>13810283937</v>
      </c>
      <c r="E1104" s="3470" t="s">
        <v>2736</v>
      </c>
      <c r="F1104" s="3470" t="s">
        <v>4782</v>
      </c>
      <c r="G1104" s="3470"/>
      <c r="H1104" s="3470" t="s">
        <v>4281</v>
      </c>
      <c r="I1104" s="3470" t="s">
        <v>4707</v>
      </c>
      <c r="J1104" s="3470" t="s">
        <v>10820</v>
      </c>
      <c r="K1104" s="3470" t="s">
        <v>4789</v>
      </c>
      <c r="L1104" s="3470">
        <v>61.74</v>
      </c>
      <c r="M1104" s="3470">
        <v>14</v>
      </c>
      <c r="N1104" s="3470" t="s">
        <v>3489</v>
      </c>
      <c r="O1104" s="3470">
        <v>48.43</v>
      </c>
      <c r="P1104" s="3470" t="s">
        <v>3452</v>
      </c>
      <c r="Q1104" s="3457">
        <v>359944.2</v>
      </c>
      <c r="R1104" s="3470">
        <v>5830</v>
      </c>
      <c r="S1104" s="3472">
        <v>35.65</v>
      </c>
      <c r="T1104" s="3527">
        <v>356500</v>
      </c>
      <c r="U1104" s="3470">
        <v>5775</v>
      </c>
      <c r="V1104" s="3474">
        <v>0.1</v>
      </c>
      <c r="W1104" s="3475">
        <v>32.08</v>
      </c>
      <c r="X1104" s="3476">
        <v>320800</v>
      </c>
      <c r="Y1104" s="3470">
        <v>2003</v>
      </c>
      <c r="Z1104" s="3470">
        <v>11</v>
      </c>
      <c r="AA1104" s="3441">
        <v>24</v>
      </c>
      <c r="AB1104" s="3477">
        <v>1780</v>
      </c>
      <c r="AC1104" s="3470" t="s">
        <v>9007</v>
      </c>
      <c r="AD1104" s="3470"/>
      <c r="AE1104" s="3470" t="s">
        <v>3663</v>
      </c>
      <c r="AF1104" s="3453" t="s">
        <v>7751</v>
      </c>
      <c r="AG1104" s="3470" t="s">
        <v>3466</v>
      </c>
      <c r="AH1104" s="3470"/>
      <c r="AI1104" s="3470" t="s">
        <v>3664</v>
      </c>
      <c r="AJ1104" s="3478">
        <v>38261</v>
      </c>
      <c r="AK1104" s="3606" t="s">
        <v>4773</v>
      </c>
      <c r="AL1104" s="3470">
        <v>67641700</v>
      </c>
      <c r="AM1104" s="3470"/>
      <c r="AN1104" s="3480" t="s">
        <v>3680</v>
      </c>
      <c r="AO1104" s="3470"/>
      <c r="AP1104" s="3441" t="s">
        <v>3476</v>
      </c>
      <c r="AQ1104" s="3470" t="s">
        <v>3457</v>
      </c>
      <c r="AR1104" s="3470"/>
      <c r="AS1104" s="3470"/>
      <c r="AT1104" s="3470"/>
      <c r="AU1104" s="3470"/>
      <c r="AV1104" s="3470"/>
      <c r="AW1104" s="3470" t="s">
        <v>3458</v>
      </c>
      <c r="AX1104" s="3508"/>
      <c r="AY1104" s="3470">
        <v>552413</v>
      </c>
      <c r="AZ1104" s="3470" t="s">
        <v>4789</v>
      </c>
      <c r="BA1104" s="3470" t="s">
        <v>8741</v>
      </c>
      <c r="BB1104" s="3470" t="s">
        <v>4791</v>
      </c>
      <c r="BC1104" s="3470" t="s">
        <v>8742</v>
      </c>
      <c r="BD1104" s="3470">
        <v>102308</v>
      </c>
      <c r="BE1104" s="3470">
        <v>68041987</v>
      </c>
      <c r="BF1104" s="3470">
        <v>2.8</v>
      </c>
      <c r="BG1104" s="3478">
        <v>37923</v>
      </c>
      <c r="BH1104" s="3470"/>
      <c r="BI1104" s="3470" t="s">
        <v>3476</v>
      </c>
      <c r="BJ1104" s="3478">
        <v>37945</v>
      </c>
      <c r="BK1104" s="3478"/>
      <c r="BL1104" s="3470" t="s">
        <v>3594</v>
      </c>
      <c r="BM1104" s="3470"/>
      <c r="BN1104" s="3470"/>
      <c r="BO1104" s="3470"/>
      <c r="BP1104" s="3441"/>
      <c r="BQ1104" s="3441"/>
      <c r="BR1104" s="3441"/>
    </row>
    <row r="1105" spans="1:71" s="3441" customFormat="1" ht="12" hidden="1">
      <c r="A1105" s="3453" t="s">
        <v>10821</v>
      </c>
      <c r="B1105" s="3470" t="s">
        <v>10822</v>
      </c>
      <c r="C1105" s="3481" t="s">
        <v>10823</v>
      </c>
      <c r="D1105" s="3481" t="s">
        <v>10824</v>
      </c>
      <c r="E1105" s="3470" t="s">
        <v>3558</v>
      </c>
      <c r="F1105" s="3528" t="s">
        <v>4645</v>
      </c>
      <c r="G1105" s="3470"/>
      <c r="H1105" s="3470" t="s">
        <v>10258</v>
      </c>
      <c r="I1105" s="3470" t="s">
        <v>7565</v>
      </c>
      <c r="J1105" s="3481" t="s">
        <v>10825</v>
      </c>
      <c r="K1105" s="3470" t="s">
        <v>4649</v>
      </c>
      <c r="L1105" s="3470">
        <v>92.49</v>
      </c>
      <c r="M1105" s="3470">
        <v>20</v>
      </c>
      <c r="N1105" s="3453" t="s">
        <v>3486</v>
      </c>
      <c r="O1105" s="3470">
        <v>72.91</v>
      </c>
      <c r="P1105" s="3470" t="s">
        <v>3452</v>
      </c>
      <c r="Q1105" s="3457">
        <v>712357.98</v>
      </c>
      <c r="R1105" s="3470">
        <v>7702</v>
      </c>
      <c r="S1105" s="3472">
        <v>70.72</v>
      </c>
      <c r="T1105" s="3550">
        <v>707200</v>
      </c>
      <c r="U1105" s="3491">
        <v>7647</v>
      </c>
      <c r="V1105" s="3529">
        <v>0.1</v>
      </c>
      <c r="W1105" s="3475">
        <v>63.64</v>
      </c>
      <c r="X1105" s="3511">
        <v>636400</v>
      </c>
      <c r="Y1105" s="3501">
        <v>2003</v>
      </c>
      <c r="Z1105" s="3441">
        <v>11</v>
      </c>
      <c r="AA1105" s="3470">
        <v>25</v>
      </c>
      <c r="AB1105" s="3477">
        <v>3535</v>
      </c>
      <c r="AC1105" s="3470" t="s">
        <v>9007</v>
      </c>
      <c r="AD1105" s="3485"/>
      <c r="AE1105" s="3441" t="s">
        <v>3663</v>
      </c>
      <c r="AF1105" s="3470" t="s">
        <v>3728</v>
      </c>
      <c r="AG1105" s="3522" t="s">
        <v>3466</v>
      </c>
      <c r="AH1105" s="3485"/>
      <c r="AI1105" s="3470" t="s">
        <v>5021</v>
      </c>
      <c r="AJ1105" s="3523">
        <v>38199</v>
      </c>
      <c r="AK1105" s="3612" t="s">
        <v>4773</v>
      </c>
      <c r="AL1105" s="3441">
        <v>67641700</v>
      </c>
      <c r="AN1105" s="3456" t="s">
        <v>3680</v>
      </c>
      <c r="AP1105" s="3441" t="s">
        <v>3476</v>
      </c>
      <c r="AQ1105" s="3441" t="s">
        <v>3571</v>
      </c>
      <c r="AW1105" s="3441" t="s">
        <v>3572</v>
      </c>
      <c r="AX1105" s="3441" t="s">
        <v>3568</v>
      </c>
      <c r="AY1105" s="3524" t="s">
        <v>10826</v>
      </c>
      <c r="AZ1105" s="3441" t="s">
        <v>4654</v>
      </c>
      <c r="BA1105" s="3441" t="s">
        <v>4688</v>
      </c>
      <c r="BB1105" s="3524" t="s">
        <v>4689</v>
      </c>
      <c r="BC1105" s="3441" t="s">
        <v>4656</v>
      </c>
      <c r="BD1105" s="3525">
        <v>100037</v>
      </c>
      <c r="BE1105" s="3441">
        <v>68347718</v>
      </c>
      <c r="BF1105" s="3526">
        <v>2.8</v>
      </c>
      <c r="BG1105" s="3518">
        <v>37903</v>
      </c>
      <c r="BI1105" s="3441" t="s">
        <v>3476</v>
      </c>
      <c r="BJ1105" s="3478">
        <v>37946</v>
      </c>
      <c r="BK1105" s="3518"/>
      <c r="BL1105" s="3470" t="s">
        <v>3670</v>
      </c>
    </row>
    <row r="1106" spans="1:71" s="3441" customFormat="1" ht="12" hidden="1">
      <c r="A1106" s="3542" t="s">
        <v>10827</v>
      </c>
      <c r="B1106" s="3470" t="s">
        <v>10828</v>
      </c>
      <c r="C1106" s="3481" t="s">
        <v>10829</v>
      </c>
      <c r="D1106" s="3481" t="s">
        <v>10830</v>
      </c>
      <c r="E1106" s="3470" t="s">
        <v>3558</v>
      </c>
      <c r="F1106" s="3528" t="s">
        <v>3733</v>
      </c>
      <c r="G1106" s="3470"/>
      <c r="H1106" s="3470" t="s">
        <v>10831</v>
      </c>
      <c r="I1106" s="3470" t="s">
        <v>10544</v>
      </c>
      <c r="J1106" s="3470" t="s">
        <v>8731</v>
      </c>
      <c r="K1106" s="3470" t="s">
        <v>3737</v>
      </c>
      <c r="L1106" s="3470">
        <v>54.68</v>
      </c>
      <c r="M1106" s="3470">
        <v>2</v>
      </c>
      <c r="N1106" s="3470" t="s">
        <v>3489</v>
      </c>
      <c r="O1106" s="3470">
        <v>43.84</v>
      </c>
      <c r="P1106" s="3470" t="s">
        <v>3452</v>
      </c>
      <c r="Q1106" s="3492">
        <v>312222.8</v>
      </c>
      <c r="R1106" s="3470">
        <v>5710</v>
      </c>
      <c r="S1106" s="3472">
        <v>30.92</v>
      </c>
      <c r="T1106" s="3527">
        <v>309200</v>
      </c>
      <c r="U1106" s="3470">
        <v>5655</v>
      </c>
      <c r="V1106" s="3474">
        <v>0.1</v>
      </c>
      <c r="W1106" s="3475">
        <v>27.82</v>
      </c>
      <c r="X1106" s="3494">
        <v>278200</v>
      </c>
      <c r="Y1106" s="3441">
        <v>2003</v>
      </c>
      <c r="Z1106" s="3441">
        <v>11</v>
      </c>
      <c r="AA1106" s="3470">
        <v>24</v>
      </c>
      <c r="AB1106" s="3477">
        <v>1545</v>
      </c>
      <c r="AC1106" s="3470" t="s">
        <v>4800</v>
      </c>
      <c r="AD1106" s="3485"/>
      <c r="AE1106" s="3441" t="s">
        <v>3663</v>
      </c>
      <c r="AF1106" s="3470" t="s">
        <v>3604</v>
      </c>
      <c r="AG1106" s="3522" t="s">
        <v>3466</v>
      </c>
      <c r="AH1106" s="3485"/>
      <c r="AI1106" s="3470" t="s">
        <v>5021</v>
      </c>
      <c r="AJ1106" s="3523">
        <v>38132</v>
      </c>
      <c r="AK1106" s="3612" t="s">
        <v>4773</v>
      </c>
      <c r="AL1106" s="3441">
        <v>67641700</v>
      </c>
      <c r="AN1106" s="3480" t="s">
        <v>3680</v>
      </c>
      <c r="AO1106" s="3470" t="s">
        <v>2420</v>
      </c>
      <c r="AP1106" s="3441" t="s">
        <v>3476</v>
      </c>
      <c r="AQ1106" s="3441" t="s">
        <v>3571</v>
      </c>
      <c r="AW1106" s="3441" t="s">
        <v>3572</v>
      </c>
      <c r="AY1106" s="3524" t="s">
        <v>10832</v>
      </c>
      <c r="AZ1106" s="3441" t="s">
        <v>3737</v>
      </c>
      <c r="BA1106" s="3441" t="s">
        <v>3742</v>
      </c>
      <c r="BB1106" s="3524" t="s">
        <v>3743</v>
      </c>
      <c r="BC1106" s="3441" t="s">
        <v>3744</v>
      </c>
      <c r="BD1106" s="3525">
        <v>100088</v>
      </c>
      <c r="BE1106" s="3441">
        <v>82058259</v>
      </c>
      <c r="BF1106" s="3526" t="s">
        <v>8595</v>
      </c>
      <c r="BG1106" s="3478">
        <v>37922</v>
      </c>
      <c r="BH1106" s="3441" t="s">
        <v>4753</v>
      </c>
      <c r="BI1106" s="3441" t="s">
        <v>3476</v>
      </c>
      <c r="BJ1106" s="3478">
        <v>37945</v>
      </c>
      <c r="BK1106" s="3484" t="s">
        <v>2420</v>
      </c>
      <c r="BL1106" s="3470" t="s">
        <v>3670</v>
      </c>
    </row>
    <row r="1107" spans="1:71" s="3441" customFormat="1" ht="12" hidden="1">
      <c r="A1107" s="3453" t="s">
        <v>10833</v>
      </c>
      <c r="B1107" s="3470" t="s">
        <v>10834</v>
      </c>
      <c r="C1107" s="3481" t="s">
        <v>10835</v>
      </c>
      <c r="D1107" s="3481" t="s">
        <v>10836</v>
      </c>
      <c r="E1107" s="3470" t="s">
        <v>3558</v>
      </c>
      <c r="F1107" s="3470" t="s">
        <v>4693</v>
      </c>
      <c r="G1107" s="3470"/>
      <c r="H1107" s="3470" t="s">
        <v>4453</v>
      </c>
      <c r="I1107" s="3470" t="s">
        <v>9411</v>
      </c>
      <c r="J1107" s="3481" t="s">
        <v>10837</v>
      </c>
      <c r="K1107" s="3470" t="s">
        <v>4697</v>
      </c>
      <c r="L1107" s="3470">
        <v>30.76</v>
      </c>
      <c r="M1107" s="3470">
        <v>11</v>
      </c>
      <c r="N1107" s="3470" t="s">
        <v>3692</v>
      </c>
      <c r="O1107" s="3470">
        <v>22.85</v>
      </c>
      <c r="P1107" s="3470" t="s">
        <v>3452</v>
      </c>
      <c r="Q1107" s="3457">
        <v>259645.16</v>
      </c>
      <c r="R1107" s="3470">
        <v>8441</v>
      </c>
      <c r="S1107" s="3472">
        <v>25.76</v>
      </c>
      <c r="T1107" s="3550">
        <v>257600.00000000003</v>
      </c>
      <c r="U1107" s="3491">
        <v>8376</v>
      </c>
      <c r="V1107" s="3529">
        <v>0.1</v>
      </c>
      <c r="W1107" s="3475">
        <v>23.18</v>
      </c>
      <c r="X1107" s="3511">
        <v>231800</v>
      </c>
      <c r="Y1107" s="3501">
        <v>2003</v>
      </c>
      <c r="Z1107" s="3441">
        <v>11</v>
      </c>
      <c r="AA1107" s="3470">
        <v>24</v>
      </c>
      <c r="AB1107" s="3477">
        <v>1285</v>
      </c>
      <c r="AC1107" s="3470" t="s">
        <v>9077</v>
      </c>
      <c r="AD1107" s="3485"/>
      <c r="AE1107" s="3441" t="s">
        <v>3663</v>
      </c>
      <c r="AF1107" s="3470" t="s">
        <v>3587</v>
      </c>
      <c r="AG1107" s="3522" t="s">
        <v>3466</v>
      </c>
      <c r="AH1107" s="3485" t="s">
        <v>3463</v>
      </c>
      <c r="AI1107" s="3470" t="s">
        <v>5021</v>
      </c>
      <c r="AJ1107" s="3523">
        <v>38138</v>
      </c>
      <c r="AK1107" s="3612" t="s">
        <v>4773</v>
      </c>
      <c r="AL1107" s="3441">
        <v>67641700</v>
      </c>
      <c r="AN1107" s="3480" t="s">
        <v>3680</v>
      </c>
      <c r="AP1107" s="3441" t="s">
        <v>3476</v>
      </c>
      <c r="AQ1107" s="3441" t="s">
        <v>3571</v>
      </c>
      <c r="AV1107" s="3441" t="s">
        <v>3568</v>
      </c>
      <c r="AW1107" s="3441" t="s">
        <v>3572</v>
      </c>
      <c r="AX1107" s="3441" t="s">
        <v>3568</v>
      </c>
      <c r="AY1107" s="3524" t="s">
        <v>10838</v>
      </c>
      <c r="AZ1107" s="3441" t="s">
        <v>4697</v>
      </c>
      <c r="BA1107" s="3441" t="s">
        <v>4700</v>
      </c>
      <c r="BB1107" s="3524" t="s">
        <v>4701</v>
      </c>
      <c r="BC1107" s="3441" t="s">
        <v>4702</v>
      </c>
      <c r="BD1107" s="3525">
        <v>100011</v>
      </c>
      <c r="BE1107" s="3441">
        <v>62351476</v>
      </c>
      <c r="BF1107" s="3526">
        <v>2.8</v>
      </c>
      <c r="BG1107" s="3518">
        <v>37906</v>
      </c>
      <c r="BI1107" s="3470" t="s">
        <v>3476</v>
      </c>
      <c r="BJ1107" s="3478">
        <v>37939</v>
      </c>
      <c r="BK1107" s="3518"/>
      <c r="BL1107" s="3470" t="s">
        <v>3670</v>
      </c>
    </row>
    <row r="1108" spans="1:71" s="3470" customFormat="1" ht="12" hidden="1">
      <c r="A1108" s="3485" t="s">
        <v>10839</v>
      </c>
      <c r="B1108" s="3470" t="s">
        <v>10840</v>
      </c>
      <c r="C1108" s="3481" t="s">
        <v>10841</v>
      </c>
      <c r="D1108" s="3470">
        <v>13681536795</v>
      </c>
      <c r="E1108" s="3470" t="s">
        <v>3558</v>
      </c>
      <c r="F1108" s="3470" t="s">
        <v>5335</v>
      </c>
      <c r="H1108" s="3453" t="s">
        <v>10138</v>
      </c>
      <c r="J1108" s="3470" t="s">
        <v>10842</v>
      </c>
      <c r="K1108" s="3470" t="s">
        <v>5338</v>
      </c>
      <c r="L1108" s="3470">
        <v>108.37</v>
      </c>
      <c r="M1108" s="3470">
        <v>2</v>
      </c>
      <c r="N1108" s="3470" t="s">
        <v>3661</v>
      </c>
      <c r="O1108" s="3470">
        <v>89.39</v>
      </c>
      <c r="P1108" s="3470" t="s">
        <v>3452</v>
      </c>
      <c r="Q1108" s="3616">
        <v>443206.20750000002</v>
      </c>
      <c r="R1108" s="3470">
        <v>4089.75</v>
      </c>
      <c r="S1108" s="3472">
        <v>43.78</v>
      </c>
      <c r="T1108" s="3550">
        <v>437800</v>
      </c>
      <c r="U1108" s="3470">
        <v>4040</v>
      </c>
      <c r="V1108" s="3474">
        <v>0.1</v>
      </c>
      <c r="W1108" s="3475">
        <v>39.4</v>
      </c>
      <c r="X1108" s="3511">
        <v>394000</v>
      </c>
      <c r="Y1108" s="3470">
        <v>2003</v>
      </c>
      <c r="Z1108" s="3441">
        <v>12</v>
      </c>
      <c r="AA1108" s="3441">
        <v>4</v>
      </c>
      <c r="AB1108" s="3485">
        <v>2185</v>
      </c>
      <c r="AC1108" s="3470" t="s">
        <v>9077</v>
      </c>
      <c r="AE1108" s="3470" t="s">
        <v>3663</v>
      </c>
      <c r="AF1108" s="3470" t="s">
        <v>4721</v>
      </c>
      <c r="AG1108" s="3470" t="s">
        <v>3466</v>
      </c>
      <c r="AH1108" s="3470" t="s">
        <v>3568</v>
      </c>
      <c r="AI1108" s="3470" t="s">
        <v>5021</v>
      </c>
      <c r="AJ1108" s="3478">
        <v>38138</v>
      </c>
      <c r="AK1108" s="3603" t="s">
        <v>3467</v>
      </c>
      <c r="AL1108" s="3441">
        <v>67641700</v>
      </c>
      <c r="AM1108" s="3441"/>
      <c r="AN1108" s="3456" t="s">
        <v>3570</v>
      </c>
      <c r="AO1108" s="3470" t="s">
        <v>10843</v>
      </c>
      <c r="AP1108" s="3456" t="s">
        <v>3476</v>
      </c>
      <c r="AQ1108" s="3470" t="s">
        <v>3571</v>
      </c>
      <c r="AV1108" s="3470" t="s">
        <v>3568</v>
      </c>
      <c r="AW1108" s="3470" t="s">
        <v>3572</v>
      </c>
      <c r="AY1108" s="3470">
        <v>267118</v>
      </c>
      <c r="AZ1108" s="3470" t="s">
        <v>5338</v>
      </c>
      <c r="BA1108" s="3470" t="s">
        <v>5342</v>
      </c>
      <c r="BB1108" s="3470" t="s">
        <v>5343</v>
      </c>
      <c r="BC1108" s="3470" t="s">
        <v>5344</v>
      </c>
      <c r="BD1108" s="3470">
        <v>102488</v>
      </c>
      <c r="BE1108" s="3470">
        <v>63023627</v>
      </c>
      <c r="BF1108" s="3538">
        <v>2.8</v>
      </c>
      <c r="BG1108" s="3478">
        <v>37916</v>
      </c>
      <c r="BI1108" s="3441" t="s">
        <v>3476</v>
      </c>
      <c r="BJ1108" s="3484">
        <v>37957</v>
      </c>
      <c r="BL1108" s="3470" t="s">
        <v>3670</v>
      </c>
      <c r="BP1108" s="3441"/>
      <c r="BQ1108" s="3441"/>
      <c r="BR1108" s="3441"/>
      <c r="BS1108" s="3441"/>
    </row>
    <row r="1109" spans="1:71" s="3470" customFormat="1" ht="12" hidden="1">
      <c r="A1109" s="3542" t="s">
        <v>10844</v>
      </c>
      <c r="B1109" s="3470" t="s">
        <v>10845</v>
      </c>
      <c r="C1109" s="3481" t="s">
        <v>10846</v>
      </c>
      <c r="D1109" s="3470">
        <v>82316516</v>
      </c>
      <c r="E1109" s="3470" t="s">
        <v>2736</v>
      </c>
      <c r="F1109" s="3470" t="s">
        <v>8750</v>
      </c>
      <c r="H1109" s="3470" t="s">
        <v>4262</v>
      </c>
      <c r="I1109" s="3453" t="s">
        <v>3726</v>
      </c>
      <c r="J1109" s="3470" t="s">
        <v>4218</v>
      </c>
      <c r="K1109" s="3470" t="s">
        <v>8751</v>
      </c>
      <c r="L1109" s="3470">
        <v>129.91</v>
      </c>
      <c r="M1109" s="3470">
        <v>1</v>
      </c>
      <c r="N1109" s="3470" t="s">
        <v>3661</v>
      </c>
      <c r="O1109" s="3470">
        <v>112.4</v>
      </c>
      <c r="P1109" s="3470" t="s">
        <v>3452</v>
      </c>
      <c r="Q1109" s="3457">
        <v>740487</v>
      </c>
      <c r="R1109" s="3495">
        <v>5700</v>
      </c>
      <c r="S1109" s="3472">
        <v>73.34</v>
      </c>
      <c r="T1109" s="3527">
        <v>733400</v>
      </c>
      <c r="U1109" s="3495">
        <v>5646</v>
      </c>
      <c r="V1109" s="3474">
        <v>0.05</v>
      </c>
      <c r="W1109" s="3475">
        <v>69.67</v>
      </c>
      <c r="X1109" s="3473">
        <v>696700</v>
      </c>
      <c r="Y1109" s="3515">
        <v>2003</v>
      </c>
      <c r="Z1109" s="3441">
        <v>11</v>
      </c>
      <c r="AA1109" s="3470">
        <v>25</v>
      </c>
      <c r="AB1109" s="3485">
        <v>3665</v>
      </c>
      <c r="AC1109" s="3470" t="s">
        <v>4800</v>
      </c>
      <c r="AE1109" s="3441" t="s">
        <v>2156</v>
      </c>
      <c r="AF1109" s="3470" t="s">
        <v>3453</v>
      </c>
      <c r="AG1109" s="3522" t="s">
        <v>3454</v>
      </c>
      <c r="AI1109" s="3470" t="s">
        <v>3664</v>
      </c>
      <c r="AJ1109" s="3478">
        <v>37590</v>
      </c>
      <c r="AK1109" s="3612" t="s">
        <v>4773</v>
      </c>
      <c r="AL1109" s="3441">
        <v>67641700</v>
      </c>
      <c r="AM1109" s="3441"/>
      <c r="AN1109" s="3480" t="s">
        <v>3484</v>
      </c>
      <c r="AP1109" s="3470" t="s">
        <v>3476</v>
      </c>
      <c r="AQ1109" s="3441" t="s">
        <v>3457</v>
      </c>
      <c r="AW1109" s="3470" t="s">
        <v>3572</v>
      </c>
      <c r="AY1109" s="3481" t="s">
        <v>10847</v>
      </c>
      <c r="AZ1109" s="3470" t="s">
        <v>3981</v>
      </c>
      <c r="BA1109" s="3441" t="s">
        <v>3984</v>
      </c>
      <c r="BB1109" s="3524" t="s">
        <v>8756</v>
      </c>
      <c r="BC1109" s="3441" t="s">
        <v>3985</v>
      </c>
      <c r="BD1109" s="3525">
        <v>100101</v>
      </c>
      <c r="BE1109" s="3441">
        <v>64858999</v>
      </c>
      <c r="BF1109" s="3526">
        <v>2.8</v>
      </c>
      <c r="BG1109" s="3478">
        <v>37918</v>
      </c>
      <c r="BI1109" s="3453" t="s">
        <v>8464</v>
      </c>
      <c r="BJ1109" s="3484">
        <v>37946</v>
      </c>
      <c r="BK1109" s="3478"/>
      <c r="BL1109" s="3470" t="s">
        <v>3670</v>
      </c>
      <c r="BM1109" s="3441"/>
      <c r="BN1109" s="3441"/>
      <c r="BO1109" s="3441"/>
      <c r="BP1109" s="3441"/>
      <c r="BQ1109" s="3441"/>
      <c r="BR1109" s="3441"/>
    </row>
    <row r="1110" spans="1:71" s="3470" customFormat="1" ht="12" hidden="1">
      <c r="A1110" s="3453" t="s">
        <v>10848</v>
      </c>
      <c r="B1110" s="3470" t="s">
        <v>10849</v>
      </c>
      <c r="C1110" s="3454" t="s">
        <v>10850</v>
      </c>
      <c r="D1110" s="3470" t="s">
        <v>10851</v>
      </c>
      <c r="E1110" s="3470" t="s">
        <v>2736</v>
      </c>
      <c r="F1110" s="3470" t="s">
        <v>5592</v>
      </c>
      <c r="G1110" s="3470" t="s">
        <v>2420</v>
      </c>
      <c r="H1110" s="3470" t="s">
        <v>9982</v>
      </c>
      <c r="I1110" s="3453" t="s">
        <v>3676</v>
      </c>
      <c r="J1110" s="3453" t="s">
        <v>5045</v>
      </c>
      <c r="K1110" s="3470" t="s">
        <v>5586</v>
      </c>
      <c r="L1110" s="3495">
        <v>98.22</v>
      </c>
      <c r="M1110" s="3495">
        <v>11</v>
      </c>
      <c r="N1110" s="3453" t="s">
        <v>3486</v>
      </c>
      <c r="O1110" s="3495">
        <v>83.29</v>
      </c>
      <c r="P1110" s="3470" t="s">
        <v>3452</v>
      </c>
      <c r="Q1110" s="3457">
        <v>407613</v>
      </c>
      <c r="R1110" s="3470">
        <v>4150</v>
      </c>
      <c r="S1110" s="3472">
        <v>40.270000000000003</v>
      </c>
      <c r="T1110" s="3550">
        <v>402700.00000000006</v>
      </c>
      <c r="U1110" s="3470">
        <v>4100</v>
      </c>
      <c r="V1110" s="3474">
        <v>0.1</v>
      </c>
      <c r="W1110" s="3475">
        <v>36.24</v>
      </c>
      <c r="X1110" s="3511">
        <v>362400</v>
      </c>
      <c r="Y1110" s="3441">
        <v>2003</v>
      </c>
      <c r="Z1110" s="3441">
        <v>11</v>
      </c>
      <c r="AA1110" s="3470">
        <v>25</v>
      </c>
      <c r="AB1110" s="3485">
        <v>2010</v>
      </c>
      <c r="AC1110" s="3470" t="s">
        <v>9077</v>
      </c>
      <c r="AE1110" s="3456" t="s">
        <v>3663</v>
      </c>
      <c r="AF1110" s="3470" t="s">
        <v>4721</v>
      </c>
      <c r="AG1110" s="3470" t="s">
        <v>3466</v>
      </c>
      <c r="AI1110" s="3470" t="s">
        <v>3664</v>
      </c>
      <c r="AJ1110" s="3478">
        <v>38352</v>
      </c>
      <c r="AK1110" s="3612" t="s">
        <v>4773</v>
      </c>
      <c r="AL1110" s="3495">
        <v>67641700</v>
      </c>
      <c r="AN1110" s="3456" t="s">
        <v>3680</v>
      </c>
      <c r="AO1110" s="3470" t="s">
        <v>2420</v>
      </c>
      <c r="AP1110" s="3456" t="s">
        <v>3476</v>
      </c>
      <c r="AQ1110" s="3456" t="s">
        <v>3571</v>
      </c>
      <c r="AV1110" s="3519"/>
      <c r="AW1110" s="3470" t="s">
        <v>3572</v>
      </c>
      <c r="AX1110" s="3470" t="s">
        <v>2420</v>
      </c>
      <c r="AY1110" s="3495">
        <v>565415</v>
      </c>
      <c r="AZ1110" s="3470" t="s">
        <v>5586</v>
      </c>
      <c r="BA1110" s="3470" t="s">
        <v>5587</v>
      </c>
      <c r="BB1110" s="3619">
        <v>1102281326100</v>
      </c>
      <c r="BC1110" s="3470" t="s">
        <v>5588</v>
      </c>
      <c r="BD1110" s="3470">
        <v>100055</v>
      </c>
      <c r="BE1110" s="3470">
        <v>82951881</v>
      </c>
      <c r="BF1110" s="3520">
        <v>2.8</v>
      </c>
      <c r="BG1110" s="3478">
        <v>37940</v>
      </c>
      <c r="BI1110" s="3441" t="s">
        <v>3476</v>
      </c>
      <c r="BJ1110" s="3478">
        <v>37946</v>
      </c>
      <c r="BK1110" s="3478"/>
      <c r="BL1110" s="3441" t="s">
        <v>3670</v>
      </c>
      <c r="BM1110" s="3441"/>
      <c r="BN1110" s="3441"/>
      <c r="BO1110" s="3441"/>
      <c r="BP1110" s="3441"/>
      <c r="BQ1110" s="3441"/>
      <c r="BR1110" s="3441"/>
    </row>
    <row r="1111" spans="1:71" s="3441" customFormat="1" ht="12" hidden="1">
      <c r="A1111" s="3453" t="s">
        <v>10852</v>
      </c>
      <c r="B1111" s="3470" t="s">
        <v>10853</v>
      </c>
      <c r="C1111" s="3481" t="s">
        <v>10854</v>
      </c>
      <c r="D1111" s="3547" t="s">
        <v>10855</v>
      </c>
      <c r="E1111" s="3470" t="s">
        <v>3558</v>
      </c>
      <c r="F1111" s="3528" t="s">
        <v>4645</v>
      </c>
      <c r="G1111" s="3470"/>
      <c r="H1111" s="3470" t="s">
        <v>9611</v>
      </c>
      <c r="I1111" s="3470" t="s">
        <v>9411</v>
      </c>
      <c r="J1111" s="3481" t="s">
        <v>10856</v>
      </c>
      <c r="K1111" s="3470" t="s">
        <v>4649</v>
      </c>
      <c r="L1111" s="3470">
        <v>86.06</v>
      </c>
      <c r="M1111" s="3470">
        <v>11</v>
      </c>
      <c r="N1111" s="3470" t="s">
        <v>3489</v>
      </c>
      <c r="O1111" s="3470">
        <v>67.84</v>
      </c>
      <c r="P1111" s="3470" t="s">
        <v>3452</v>
      </c>
      <c r="Q1111" s="3457">
        <v>616275.66</v>
      </c>
      <c r="R1111" s="3470">
        <v>7161</v>
      </c>
      <c r="S1111" s="3472">
        <v>61.1</v>
      </c>
      <c r="T1111" s="3527">
        <v>611000</v>
      </c>
      <c r="U1111" s="3491">
        <v>7100</v>
      </c>
      <c r="V1111" s="3529">
        <v>0.1</v>
      </c>
      <c r="W1111" s="3475">
        <v>54.99</v>
      </c>
      <c r="X1111" s="3473">
        <v>549900</v>
      </c>
      <c r="Y1111" s="3501">
        <v>2003</v>
      </c>
      <c r="Z1111" s="3441">
        <v>11</v>
      </c>
      <c r="AA1111" s="3470">
        <v>25</v>
      </c>
      <c r="AB1111" s="3477">
        <v>3055</v>
      </c>
      <c r="AC1111" s="3470" t="s">
        <v>9383</v>
      </c>
      <c r="AD1111" s="3485"/>
      <c r="AE1111" s="3441" t="s">
        <v>3663</v>
      </c>
      <c r="AF1111" s="3453" t="s">
        <v>3604</v>
      </c>
      <c r="AG1111" s="3522" t="s">
        <v>3466</v>
      </c>
      <c r="AH1111" s="3485"/>
      <c r="AI1111" s="3470" t="s">
        <v>5021</v>
      </c>
      <c r="AJ1111" s="3523">
        <v>38199</v>
      </c>
      <c r="AK1111" s="3612" t="s">
        <v>4773</v>
      </c>
      <c r="AL1111" s="3495">
        <v>67641700</v>
      </c>
      <c r="AM1111" s="3470"/>
      <c r="AN1111" s="3480" t="s">
        <v>3484</v>
      </c>
      <c r="AP1111" s="3441" t="s">
        <v>2153</v>
      </c>
      <c r="AQ1111" s="3441" t="s">
        <v>3571</v>
      </c>
      <c r="AW1111" s="3441" t="s">
        <v>3572</v>
      </c>
      <c r="AX1111" s="3441" t="s">
        <v>3568</v>
      </c>
      <c r="AY1111" s="3524" t="s">
        <v>10857</v>
      </c>
      <c r="AZ1111" s="3441" t="s">
        <v>4654</v>
      </c>
      <c r="BA1111" s="3441" t="s">
        <v>4688</v>
      </c>
      <c r="BB1111" s="3524" t="s">
        <v>4689</v>
      </c>
      <c r="BC1111" s="3441" t="s">
        <v>4656</v>
      </c>
      <c r="BD1111" s="3525">
        <v>100037</v>
      </c>
      <c r="BE1111" s="3441">
        <v>68347718</v>
      </c>
      <c r="BF1111" s="3526">
        <v>2.8</v>
      </c>
      <c r="BG1111" s="3518">
        <v>37928</v>
      </c>
      <c r="BH1111" s="3441" t="s">
        <v>4681</v>
      </c>
      <c r="BI1111" s="3470" t="s">
        <v>2153</v>
      </c>
      <c r="BJ1111" s="3478">
        <v>37943</v>
      </c>
      <c r="BK1111" s="3484"/>
      <c r="BL1111" s="3470" t="s">
        <v>3670</v>
      </c>
    </row>
    <row r="1112" spans="1:71" s="3441" customFormat="1" ht="12" hidden="1">
      <c r="A1112" s="3453" t="s">
        <v>10858</v>
      </c>
      <c r="B1112" s="3470" t="s">
        <v>10859</v>
      </c>
      <c r="C1112" s="3481" t="s">
        <v>10860</v>
      </c>
      <c r="D1112" s="3547" t="s">
        <v>10861</v>
      </c>
      <c r="E1112" s="3470" t="s">
        <v>3558</v>
      </c>
      <c r="F1112" s="3470" t="s">
        <v>4693</v>
      </c>
      <c r="G1112" s="3470"/>
      <c r="H1112" s="3470" t="s">
        <v>4453</v>
      </c>
      <c r="I1112" s="3470" t="s">
        <v>4563</v>
      </c>
      <c r="J1112" s="3481" t="s">
        <v>10862</v>
      </c>
      <c r="K1112" s="3470" t="s">
        <v>4697</v>
      </c>
      <c r="L1112" s="3470">
        <v>60.77</v>
      </c>
      <c r="M1112" s="3470">
        <v>4</v>
      </c>
      <c r="N1112" s="3470" t="s">
        <v>3692</v>
      </c>
      <c r="O1112" s="3470">
        <v>45.14</v>
      </c>
      <c r="P1112" s="3470" t="s">
        <v>3452</v>
      </c>
      <c r="Q1112" s="3457">
        <v>514782.67000000004</v>
      </c>
      <c r="R1112" s="3470">
        <v>8471</v>
      </c>
      <c r="S1112" s="3472">
        <v>51.07</v>
      </c>
      <c r="T1112" s="3550">
        <v>510700</v>
      </c>
      <c r="U1112" s="3491">
        <v>8404</v>
      </c>
      <c r="V1112" s="3529">
        <v>0.1</v>
      </c>
      <c r="W1112" s="3475">
        <v>45.96</v>
      </c>
      <c r="X1112" s="3511">
        <v>459600</v>
      </c>
      <c r="Y1112" s="3501">
        <v>2003</v>
      </c>
      <c r="Z1112" s="3441">
        <v>11</v>
      </c>
      <c r="AA1112" s="3470">
        <v>25</v>
      </c>
      <c r="AB1112" s="3477">
        <v>2550</v>
      </c>
      <c r="AC1112" s="3470" t="s">
        <v>9007</v>
      </c>
      <c r="AD1112" s="3485"/>
      <c r="AE1112" s="3441" t="s">
        <v>3663</v>
      </c>
      <c r="AF1112" s="3470" t="s">
        <v>3587</v>
      </c>
      <c r="AG1112" s="3522" t="s">
        <v>3466</v>
      </c>
      <c r="AH1112" s="3485" t="s">
        <v>3463</v>
      </c>
      <c r="AI1112" s="3470" t="s">
        <v>5021</v>
      </c>
      <c r="AJ1112" s="3523">
        <v>38138</v>
      </c>
      <c r="AK1112" s="3612" t="s">
        <v>4773</v>
      </c>
      <c r="AL1112" s="3441">
        <v>67641700</v>
      </c>
      <c r="AN1112" s="3480" t="s">
        <v>3484</v>
      </c>
      <c r="AP1112" s="3441" t="s">
        <v>2153</v>
      </c>
      <c r="AQ1112" s="3441" t="s">
        <v>3571</v>
      </c>
      <c r="AV1112" s="3441" t="s">
        <v>3568</v>
      </c>
      <c r="AW1112" s="3441" t="s">
        <v>3572</v>
      </c>
      <c r="AX1112" s="3441" t="s">
        <v>3568</v>
      </c>
      <c r="AY1112" s="3441">
        <v>536812</v>
      </c>
      <c r="AZ1112" s="3441" t="s">
        <v>4697</v>
      </c>
      <c r="BA1112" s="3441" t="s">
        <v>4700</v>
      </c>
      <c r="BB1112" s="3524" t="s">
        <v>4701</v>
      </c>
      <c r="BC1112" s="3441" t="s">
        <v>4702</v>
      </c>
      <c r="BD1112" s="3525">
        <v>100011</v>
      </c>
      <c r="BE1112" s="3441">
        <v>62351476</v>
      </c>
      <c r="BF1112" s="3526">
        <v>2.8</v>
      </c>
      <c r="BG1112" s="3518">
        <v>37915</v>
      </c>
      <c r="BH1112" s="3441" t="s">
        <v>4681</v>
      </c>
      <c r="BI1112" s="3470" t="s">
        <v>2153</v>
      </c>
      <c r="BJ1112" s="3478">
        <v>37949</v>
      </c>
      <c r="BK1112" s="3518"/>
      <c r="BL1112" s="3470" t="s">
        <v>3670</v>
      </c>
    </row>
    <row r="1113" spans="1:71" s="3441" customFormat="1" ht="12" hidden="1">
      <c r="A1113" s="3453" t="s">
        <v>10863</v>
      </c>
      <c r="B1113" s="3470" t="s">
        <v>10864</v>
      </c>
      <c r="C1113" s="3481" t="s">
        <v>10865</v>
      </c>
      <c r="D1113" s="3547" t="s">
        <v>10866</v>
      </c>
      <c r="E1113" s="3470" t="s">
        <v>3558</v>
      </c>
      <c r="F1113" s="3470" t="s">
        <v>4693</v>
      </c>
      <c r="G1113" s="3470"/>
      <c r="H1113" s="3470" t="s">
        <v>4453</v>
      </c>
      <c r="I1113" s="3470" t="s">
        <v>4581</v>
      </c>
      <c r="J1113" s="3481" t="s">
        <v>10867</v>
      </c>
      <c r="K1113" s="3470" t="s">
        <v>4697</v>
      </c>
      <c r="L1113" s="3470">
        <v>37.76</v>
      </c>
      <c r="M1113" s="3470">
        <v>5</v>
      </c>
      <c r="N1113" s="3470" t="s">
        <v>3692</v>
      </c>
      <c r="O1113" s="3470">
        <v>28.05</v>
      </c>
      <c r="P1113" s="3470" t="s">
        <v>3452</v>
      </c>
      <c r="Q1113" s="3457">
        <v>309292.15999999997</v>
      </c>
      <c r="R1113" s="3470">
        <v>8191</v>
      </c>
      <c r="S1113" s="3472">
        <v>30.68</v>
      </c>
      <c r="T1113" s="3550">
        <v>306800</v>
      </c>
      <c r="U1113" s="3491">
        <v>8125</v>
      </c>
      <c r="V1113" s="3529">
        <v>0.1</v>
      </c>
      <c r="W1113" s="3475">
        <v>27.61</v>
      </c>
      <c r="X1113" s="3511">
        <v>276100</v>
      </c>
      <c r="Y1113" s="3501">
        <v>2003</v>
      </c>
      <c r="Z1113" s="3441">
        <v>11</v>
      </c>
      <c r="AA1113" s="3470">
        <v>25</v>
      </c>
      <c r="AB1113" s="3477">
        <v>1530</v>
      </c>
      <c r="AC1113" s="3470" t="s">
        <v>9007</v>
      </c>
      <c r="AD1113" s="3485"/>
      <c r="AE1113" s="3441" t="s">
        <v>3663</v>
      </c>
      <c r="AF1113" s="3470" t="s">
        <v>3587</v>
      </c>
      <c r="AG1113" s="3522" t="s">
        <v>3466</v>
      </c>
      <c r="AH1113" s="3485" t="s">
        <v>3463</v>
      </c>
      <c r="AI1113" s="3470" t="s">
        <v>5021</v>
      </c>
      <c r="AJ1113" s="3523">
        <v>38138</v>
      </c>
      <c r="AK1113" s="3612" t="s">
        <v>4773</v>
      </c>
      <c r="AL1113" s="3441">
        <v>67641700</v>
      </c>
      <c r="AN1113" s="3480" t="s">
        <v>3484</v>
      </c>
      <c r="AP1113" s="3441" t="s">
        <v>2153</v>
      </c>
      <c r="AQ1113" s="3441" t="s">
        <v>3571</v>
      </c>
      <c r="AV1113" s="3441" t="s">
        <v>3568</v>
      </c>
      <c r="AW1113" s="3441" t="s">
        <v>3572</v>
      </c>
      <c r="AX1113" s="3441" t="s">
        <v>3568</v>
      </c>
      <c r="AY1113" s="3441" t="s">
        <v>10868</v>
      </c>
      <c r="AZ1113" s="3441" t="s">
        <v>4697</v>
      </c>
      <c r="BA1113" s="3441" t="s">
        <v>4700</v>
      </c>
      <c r="BB1113" s="3524" t="s">
        <v>4701</v>
      </c>
      <c r="BC1113" s="3441" t="s">
        <v>4702</v>
      </c>
      <c r="BD1113" s="3525">
        <v>100011</v>
      </c>
      <c r="BE1113" s="3441">
        <v>62351476</v>
      </c>
      <c r="BF1113" s="3526">
        <v>2.8</v>
      </c>
      <c r="BG1113" s="3518">
        <v>37915</v>
      </c>
      <c r="BH1113" s="3441" t="s">
        <v>4681</v>
      </c>
      <c r="BI1113" s="3470" t="s">
        <v>2153</v>
      </c>
      <c r="BJ1113" s="3478">
        <v>37949</v>
      </c>
      <c r="BK1113" s="3518"/>
      <c r="BL1113" s="3470" t="s">
        <v>3670</v>
      </c>
    </row>
    <row r="1114" spans="1:71" s="3441" customFormat="1" ht="12" hidden="1">
      <c r="A1114" s="3453" t="s">
        <v>10869</v>
      </c>
      <c r="B1114" s="3470" t="s">
        <v>10870</v>
      </c>
      <c r="C1114" s="3481" t="s">
        <v>10871</v>
      </c>
      <c r="D1114" s="3547" t="s">
        <v>10872</v>
      </c>
      <c r="E1114" s="3470" t="s">
        <v>3558</v>
      </c>
      <c r="F1114" s="3528" t="s">
        <v>4645</v>
      </c>
      <c r="G1114" s="3470"/>
      <c r="H1114" s="3470" t="s">
        <v>10873</v>
      </c>
      <c r="I1114" s="3470" t="s">
        <v>4707</v>
      </c>
      <c r="J1114" s="3481" t="s">
        <v>10874</v>
      </c>
      <c r="K1114" s="3470" t="s">
        <v>4649</v>
      </c>
      <c r="L1114" s="3470">
        <v>92.06</v>
      </c>
      <c r="M1114" s="3470">
        <v>14</v>
      </c>
      <c r="N1114" s="3470" t="s">
        <v>3451</v>
      </c>
      <c r="O1114" s="3470">
        <v>72.569999999999993</v>
      </c>
      <c r="P1114" s="3470" t="s">
        <v>3452</v>
      </c>
      <c r="Q1114" s="3457">
        <v>765202.72</v>
      </c>
      <c r="R1114" s="3470">
        <v>8312</v>
      </c>
      <c r="S1114" s="3472">
        <v>76.260000000000005</v>
      </c>
      <c r="T1114" s="3527">
        <v>762600</v>
      </c>
      <c r="U1114" s="3491">
        <v>8284</v>
      </c>
      <c r="V1114" s="3529">
        <v>0.1</v>
      </c>
      <c r="W1114" s="3475">
        <v>68.63</v>
      </c>
      <c r="X1114" s="3473">
        <v>686300</v>
      </c>
      <c r="Y1114" s="3501">
        <v>2003</v>
      </c>
      <c r="Z1114" s="3441">
        <v>11</v>
      </c>
      <c r="AA1114" s="3470">
        <v>25</v>
      </c>
      <c r="AB1114" s="3477">
        <v>3810</v>
      </c>
      <c r="AC1114" s="3470" t="s">
        <v>9007</v>
      </c>
      <c r="AD1114" s="3485"/>
      <c r="AE1114" s="3441" t="s">
        <v>3663</v>
      </c>
      <c r="AF1114" s="3453" t="s">
        <v>3604</v>
      </c>
      <c r="AG1114" s="3522" t="s">
        <v>3466</v>
      </c>
      <c r="AH1114" s="3485"/>
      <c r="AI1114" s="3470" t="s">
        <v>5021</v>
      </c>
      <c r="AJ1114" s="3523">
        <v>38199</v>
      </c>
      <c r="AK1114" s="3612" t="s">
        <v>4773</v>
      </c>
      <c r="AL1114" s="3495">
        <v>67641700</v>
      </c>
      <c r="AM1114" s="3470"/>
      <c r="AN1114" s="3480" t="s">
        <v>3484</v>
      </c>
      <c r="AP1114" s="3441" t="s">
        <v>2153</v>
      </c>
      <c r="AQ1114" s="3441" t="s">
        <v>3571</v>
      </c>
      <c r="AW1114" s="3441" t="s">
        <v>3572</v>
      </c>
      <c r="AX1114" s="3441" t="s">
        <v>3568</v>
      </c>
      <c r="AY1114" s="3524" t="s">
        <v>10875</v>
      </c>
      <c r="AZ1114" s="3441" t="s">
        <v>4654</v>
      </c>
      <c r="BA1114" s="3441" t="s">
        <v>4688</v>
      </c>
      <c r="BB1114" s="3524" t="s">
        <v>4689</v>
      </c>
      <c r="BC1114" s="3441" t="s">
        <v>4656</v>
      </c>
      <c r="BD1114" s="3525">
        <v>100037</v>
      </c>
      <c r="BE1114" s="3441">
        <v>68347718</v>
      </c>
      <c r="BF1114" s="3526">
        <v>2.8</v>
      </c>
      <c r="BG1114" s="3518">
        <v>37908</v>
      </c>
      <c r="BH1114" s="3441" t="s">
        <v>4681</v>
      </c>
      <c r="BI1114" s="3470" t="s">
        <v>2153</v>
      </c>
      <c r="BJ1114" s="3478">
        <v>37949</v>
      </c>
      <c r="BK1114" s="3484"/>
      <c r="BL1114" s="3470" t="s">
        <v>3670</v>
      </c>
    </row>
    <row r="1115" spans="1:71" s="3441" customFormat="1" ht="12" hidden="1">
      <c r="A1115" s="3542" t="s">
        <v>10876</v>
      </c>
      <c r="B1115" s="3470" t="s">
        <v>10877</v>
      </c>
      <c r="C1115" s="3481" t="s">
        <v>10878</v>
      </c>
      <c r="D1115" s="3481" t="s">
        <v>10879</v>
      </c>
      <c r="E1115" s="3470" t="s">
        <v>3558</v>
      </c>
      <c r="F1115" s="3470" t="s">
        <v>4770</v>
      </c>
      <c r="G1115" s="3470"/>
      <c r="H1115" s="3470" t="s">
        <v>4771</v>
      </c>
      <c r="I1115" s="3453" t="s">
        <v>3464</v>
      </c>
      <c r="J1115" s="3481" t="s">
        <v>3474</v>
      </c>
      <c r="K1115" s="3470" t="s">
        <v>4772</v>
      </c>
      <c r="L1115" s="3470">
        <v>68.650000000000006</v>
      </c>
      <c r="M1115" s="3470">
        <v>5</v>
      </c>
      <c r="N1115" s="3470" t="s">
        <v>3489</v>
      </c>
      <c r="O1115" s="3470">
        <v>59.81</v>
      </c>
      <c r="P1115" s="3470" t="s">
        <v>3452</v>
      </c>
      <c r="Q1115" s="3457">
        <v>296362.05000000005</v>
      </c>
      <c r="R1115" s="3470">
        <v>4317</v>
      </c>
      <c r="S1115" s="3472">
        <v>29.29</v>
      </c>
      <c r="T1115" s="3527">
        <v>292900</v>
      </c>
      <c r="U1115" s="3470">
        <v>4268</v>
      </c>
      <c r="V1115" s="3512">
        <v>0.1</v>
      </c>
      <c r="W1115" s="3475">
        <v>26.36</v>
      </c>
      <c r="X1115" s="3476">
        <v>263600</v>
      </c>
      <c r="Y1115" s="3441">
        <v>2003</v>
      </c>
      <c r="Z1115" s="3441">
        <v>11</v>
      </c>
      <c r="AA1115" s="3470">
        <v>25</v>
      </c>
      <c r="AB1115" s="3477">
        <v>1460</v>
      </c>
      <c r="AC1115" s="3470" t="s">
        <v>9077</v>
      </c>
      <c r="AD1115" s="3485"/>
      <c r="AE1115" s="3441" t="s">
        <v>3663</v>
      </c>
      <c r="AF1115" s="3470" t="s">
        <v>4126</v>
      </c>
      <c r="AG1115" s="3522" t="s">
        <v>3466</v>
      </c>
      <c r="AH1115" s="3485"/>
      <c r="AI1115" s="3470" t="s">
        <v>7643</v>
      </c>
      <c r="AJ1115" s="3523">
        <v>38002</v>
      </c>
      <c r="AK1115" s="3612" t="s">
        <v>4773</v>
      </c>
      <c r="AL1115" s="3441">
        <v>67641700</v>
      </c>
      <c r="AN1115" s="3456" t="s">
        <v>3680</v>
      </c>
      <c r="AO1115" s="3441" t="s">
        <v>2420</v>
      </c>
      <c r="AP1115" s="3441" t="s">
        <v>3476</v>
      </c>
      <c r="AQ1115" s="3441" t="s">
        <v>3571</v>
      </c>
      <c r="AW1115" s="3441" t="s">
        <v>3572</v>
      </c>
      <c r="AY1115" s="3441">
        <v>556805</v>
      </c>
      <c r="AZ1115" s="3441" t="s">
        <v>4772</v>
      </c>
      <c r="BA1115" s="3441" t="s">
        <v>4775</v>
      </c>
      <c r="BB1115" s="3524" t="s">
        <v>4776</v>
      </c>
      <c r="BC1115" s="3441" t="s">
        <v>4777</v>
      </c>
      <c r="BD1115" s="3525">
        <v>100083</v>
      </c>
      <c r="BE1115" s="3441">
        <v>82355171</v>
      </c>
      <c r="BF1115" s="3526">
        <v>2.7</v>
      </c>
      <c r="BG1115" s="3518">
        <v>37915</v>
      </c>
      <c r="BH1115" s="3441" t="s">
        <v>4681</v>
      </c>
      <c r="BI1115" s="3441" t="s">
        <v>3476</v>
      </c>
      <c r="BJ1115" s="3508">
        <v>37945</v>
      </c>
      <c r="BK1115" s="3484"/>
      <c r="BL1115" s="3470" t="s">
        <v>3670</v>
      </c>
    </row>
    <row r="1116" spans="1:71" s="3470" customFormat="1" ht="12" hidden="1">
      <c r="A1116" s="3485" t="s">
        <v>10880</v>
      </c>
      <c r="B1116" s="3470" t="s">
        <v>10881</v>
      </c>
      <c r="C1116" s="3454" t="s">
        <v>10882</v>
      </c>
      <c r="D1116" s="3470">
        <v>13683593905</v>
      </c>
      <c r="E1116" s="3470" t="s">
        <v>2736</v>
      </c>
      <c r="F1116" s="3470" t="s">
        <v>5592</v>
      </c>
      <c r="G1116" s="3470" t="s">
        <v>2420</v>
      </c>
      <c r="H1116" s="3470" t="s">
        <v>9982</v>
      </c>
      <c r="I1116" s="3453" t="s">
        <v>3464</v>
      </c>
      <c r="J1116" s="3453" t="s">
        <v>10883</v>
      </c>
      <c r="K1116" s="3470" t="s">
        <v>5586</v>
      </c>
      <c r="L1116" s="3495">
        <v>98.22</v>
      </c>
      <c r="M1116" s="3495">
        <v>4</v>
      </c>
      <c r="N1116" s="3470" t="s">
        <v>3486</v>
      </c>
      <c r="O1116" s="3495">
        <v>83.29</v>
      </c>
      <c r="P1116" s="3470" t="s">
        <v>3452</v>
      </c>
      <c r="Q1116" s="3457">
        <v>393862.2</v>
      </c>
      <c r="R1116" s="3470">
        <v>4010</v>
      </c>
      <c r="S1116" s="3472">
        <v>38.94</v>
      </c>
      <c r="T1116" s="3550">
        <v>389400</v>
      </c>
      <c r="U1116" s="3470">
        <v>3965</v>
      </c>
      <c r="V1116" s="3474">
        <v>0.1</v>
      </c>
      <c r="W1116" s="3475">
        <v>35.04</v>
      </c>
      <c r="X1116" s="3511">
        <v>350400</v>
      </c>
      <c r="Y1116" s="3441">
        <v>2003</v>
      </c>
      <c r="Z1116" s="3441">
        <v>12</v>
      </c>
      <c r="AA1116" s="3441">
        <v>3</v>
      </c>
      <c r="AB1116" s="3485">
        <v>1945</v>
      </c>
      <c r="AC1116" s="3470" t="s">
        <v>9077</v>
      </c>
      <c r="AE1116" s="3456" t="s">
        <v>3663</v>
      </c>
      <c r="AF1116" s="3470" t="s">
        <v>4721</v>
      </c>
      <c r="AG1116" s="3470" t="s">
        <v>3466</v>
      </c>
      <c r="AI1116" s="3470" t="s">
        <v>3664</v>
      </c>
      <c r="AJ1116" s="3478">
        <v>38352</v>
      </c>
      <c r="AK1116" s="3603" t="s">
        <v>3467</v>
      </c>
      <c r="AL1116" s="3441">
        <v>67641700</v>
      </c>
      <c r="AM1116" s="3441"/>
      <c r="AN1116" s="3456" t="s">
        <v>3570</v>
      </c>
      <c r="AO1116" s="3441" t="s">
        <v>10884</v>
      </c>
      <c r="AP1116" s="3456" t="s">
        <v>3476</v>
      </c>
      <c r="AQ1116" s="3456" t="s">
        <v>3571</v>
      </c>
      <c r="AV1116" s="3519"/>
      <c r="AW1116" s="3470" t="s">
        <v>3572</v>
      </c>
      <c r="AX1116" s="3470" t="s">
        <v>2420</v>
      </c>
      <c r="AY1116" s="3495">
        <v>585420</v>
      </c>
      <c r="AZ1116" s="3470" t="s">
        <v>5586</v>
      </c>
      <c r="BA1116" s="3470" t="s">
        <v>5587</v>
      </c>
      <c r="BB1116" s="3619">
        <v>1102281326100</v>
      </c>
      <c r="BC1116" s="3470" t="s">
        <v>5588</v>
      </c>
      <c r="BD1116" s="3470">
        <v>100055</v>
      </c>
      <c r="BE1116" s="3470">
        <v>82951881</v>
      </c>
      <c r="BF1116" s="3520">
        <v>2.8</v>
      </c>
      <c r="BG1116" s="3478">
        <v>37940</v>
      </c>
      <c r="BI1116" s="3441" t="s">
        <v>3476</v>
      </c>
      <c r="BJ1116" s="3478">
        <v>37950</v>
      </c>
      <c r="BK1116" s="3478"/>
      <c r="BL1116" s="3441" t="s">
        <v>3670</v>
      </c>
      <c r="BM1116" s="3441"/>
      <c r="BN1116" s="3441"/>
      <c r="BO1116" s="3441"/>
      <c r="BP1116" s="3441"/>
      <c r="BQ1116" s="3441"/>
      <c r="BR1116" s="3441"/>
    </row>
    <row r="1117" spans="1:71" s="3470" customFormat="1" ht="12" hidden="1">
      <c r="A1117" s="3485" t="s">
        <v>10885</v>
      </c>
      <c r="B1117" s="3470" t="s">
        <v>10886</v>
      </c>
      <c r="C1117" s="3454" t="s">
        <v>10887</v>
      </c>
      <c r="D1117" s="3470">
        <v>13311036524</v>
      </c>
      <c r="E1117" s="3470" t="s">
        <v>2736</v>
      </c>
      <c r="F1117" s="3470" t="s">
        <v>5592</v>
      </c>
      <c r="G1117" s="3470" t="s">
        <v>2420</v>
      </c>
      <c r="H1117" s="3470" t="s">
        <v>9119</v>
      </c>
      <c r="I1117" s="3453" t="s">
        <v>3676</v>
      </c>
      <c r="J1117" s="3453" t="s">
        <v>9262</v>
      </c>
      <c r="K1117" s="3470" t="s">
        <v>5586</v>
      </c>
      <c r="L1117" s="3495">
        <v>86.9</v>
      </c>
      <c r="M1117" s="3495">
        <v>10</v>
      </c>
      <c r="N1117" s="3470" t="s">
        <v>3486</v>
      </c>
      <c r="O1117" s="3495">
        <v>71.03</v>
      </c>
      <c r="P1117" s="3470" t="s">
        <v>3452</v>
      </c>
      <c r="Q1117" s="3457">
        <v>349338</v>
      </c>
      <c r="R1117" s="3470">
        <v>4020</v>
      </c>
      <c r="S1117" s="3472">
        <v>34.549999999999997</v>
      </c>
      <c r="T1117" s="3550">
        <v>345500</v>
      </c>
      <c r="U1117" s="3470">
        <v>3976</v>
      </c>
      <c r="V1117" s="3474">
        <v>0.1</v>
      </c>
      <c r="W1117" s="3475">
        <v>31.09</v>
      </c>
      <c r="X1117" s="3511">
        <v>310900</v>
      </c>
      <c r="Y1117" s="3441">
        <v>2003</v>
      </c>
      <c r="Z1117" s="3441">
        <v>12</v>
      </c>
      <c r="AA1117" s="3441">
        <v>24</v>
      </c>
      <c r="AB1117" s="3485">
        <v>1725</v>
      </c>
      <c r="AC1117" s="3470" t="s">
        <v>9077</v>
      </c>
      <c r="AE1117" s="3456" t="s">
        <v>3663</v>
      </c>
      <c r="AF1117" s="3470" t="s">
        <v>4721</v>
      </c>
      <c r="AG1117" s="3470" t="s">
        <v>3466</v>
      </c>
      <c r="AI1117" s="3470" t="s">
        <v>3664</v>
      </c>
      <c r="AJ1117" s="3478">
        <v>38352</v>
      </c>
      <c r="AK1117" s="3612" t="s">
        <v>3467</v>
      </c>
      <c r="AL1117" s="3441">
        <v>67641700</v>
      </c>
      <c r="AM1117" s="3441"/>
      <c r="AN1117" s="3480" t="s">
        <v>3484</v>
      </c>
      <c r="AO1117" s="3470" t="s">
        <v>10888</v>
      </c>
      <c r="AP1117" s="3456" t="s">
        <v>3476</v>
      </c>
      <c r="AQ1117" s="3456" t="s">
        <v>3571</v>
      </c>
      <c r="AV1117" s="3519"/>
      <c r="AW1117" s="3470" t="s">
        <v>3572</v>
      </c>
      <c r="AX1117" s="3470" t="s">
        <v>2420</v>
      </c>
      <c r="AY1117" s="3495">
        <v>565405</v>
      </c>
      <c r="AZ1117" s="3470" t="s">
        <v>5586</v>
      </c>
      <c r="BA1117" s="3470" t="s">
        <v>5587</v>
      </c>
      <c r="BB1117" s="3619">
        <v>1102281326100</v>
      </c>
      <c r="BC1117" s="3470" t="s">
        <v>5588</v>
      </c>
      <c r="BD1117" s="3470">
        <v>100055</v>
      </c>
      <c r="BE1117" s="3470">
        <v>82951881</v>
      </c>
      <c r="BF1117" s="3520">
        <v>2.8</v>
      </c>
      <c r="BG1117" s="3478">
        <v>37933</v>
      </c>
      <c r="BI1117" s="3441" t="s">
        <v>3476</v>
      </c>
      <c r="BJ1117" s="3478">
        <v>37950</v>
      </c>
      <c r="BK1117" s="3478"/>
      <c r="BL1117" s="3441" t="s">
        <v>3594</v>
      </c>
      <c r="BM1117" s="3441"/>
      <c r="BN1117" s="3441"/>
      <c r="BO1117" s="3441"/>
      <c r="BP1117" s="3441"/>
      <c r="BQ1117" s="3441"/>
      <c r="BR1117" s="3441"/>
    </row>
    <row r="1118" spans="1:71" s="3441" customFormat="1" ht="12" hidden="1">
      <c r="A1118" s="3542" t="s">
        <v>10889</v>
      </c>
      <c r="B1118" s="3470" t="s">
        <v>10890</v>
      </c>
      <c r="C1118" s="3481" t="s">
        <v>10891</v>
      </c>
      <c r="D1118" s="3481" t="s">
        <v>10892</v>
      </c>
      <c r="E1118" s="3470" t="s">
        <v>3558</v>
      </c>
      <c r="F1118" s="3528" t="s">
        <v>7652</v>
      </c>
      <c r="G1118" s="3470"/>
      <c r="H1118" s="3470" t="s">
        <v>10114</v>
      </c>
      <c r="I1118" s="3470" t="s">
        <v>10544</v>
      </c>
      <c r="J1118" s="3481" t="s">
        <v>10893</v>
      </c>
      <c r="K1118" s="3470" t="s">
        <v>6369</v>
      </c>
      <c r="L1118" s="3470">
        <v>80.239999999999995</v>
      </c>
      <c r="M1118" s="3470">
        <v>2</v>
      </c>
      <c r="N1118" s="3542" t="s">
        <v>3451</v>
      </c>
      <c r="O1118" s="3470">
        <v>63.3</v>
      </c>
      <c r="P1118" s="3470" t="s">
        <v>3452</v>
      </c>
      <c r="Q1118" s="3457">
        <v>347439.19999999995</v>
      </c>
      <c r="R1118" s="3470">
        <v>4330</v>
      </c>
      <c r="S1118" s="3472">
        <v>34.380000000000003</v>
      </c>
      <c r="T1118" s="3527">
        <v>343800</v>
      </c>
      <c r="U1118" s="3470">
        <v>4285</v>
      </c>
      <c r="V1118" s="3512">
        <v>0.1</v>
      </c>
      <c r="W1118" s="3475">
        <v>30.94</v>
      </c>
      <c r="X1118" s="3473">
        <v>309400</v>
      </c>
      <c r="Y1118" s="3441">
        <v>2003</v>
      </c>
      <c r="Z1118" s="3441">
        <v>11</v>
      </c>
      <c r="AA1118" s="3470">
        <v>26</v>
      </c>
      <c r="AB1118" s="3485">
        <v>1715</v>
      </c>
      <c r="AC1118" s="3470" t="s">
        <v>4800</v>
      </c>
      <c r="AD1118" s="3485"/>
      <c r="AE1118" s="3441" t="s">
        <v>3663</v>
      </c>
      <c r="AF1118" s="3470" t="s">
        <v>4721</v>
      </c>
      <c r="AG1118" s="3522" t="s">
        <v>3466</v>
      </c>
      <c r="AH1118" s="3485" t="s">
        <v>3568</v>
      </c>
      <c r="AI1118" s="3470" t="s">
        <v>5021</v>
      </c>
      <c r="AJ1118" s="3523">
        <v>38123</v>
      </c>
      <c r="AK1118" s="3612" t="s">
        <v>4773</v>
      </c>
      <c r="AL1118" s="3441">
        <v>67641700</v>
      </c>
      <c r="AN1118" s="3480" t="s">
        <v>3484</v>
      </c>
      <c r="AP1118" s="3441" t="s">
        <v>3476</v>
      </c>
      <c r="AQ1118" s="3441" t="s">
        <v>3571</v>
      </c>
      <c r="AV1118" s="3441" t="s">
        <v>3568</v>
      </c>
      <c r="AW1118" s="3441" t="s">
        <v>3572</v>
      </c>
      <c r="AY1118" s="3524" t="s">
        <v>10894</v>
      </c>
      <c r="AZ1118" s="3441" t="s">
        <v>6369</v>
      </c>
      <c r="BA1118" s="3441" t="s">
        <v>7655</v>
      </c>
      <c r="BB1118" s="3524" t="s">
        <v>7656</v>
      </c>
      <c r="BC1118" s="3441" t="s">
        <v>7657</v>
      </c>
      <c r="BD1118" s="3525">
        <v>100025</v>
      </c>
      <c r="BE1118" s="3441">
        <v>62908858</v>
      </c>
      <c r="BF1118" s="3526">
        <v>2.7</v>
      </c>
      <c r="BG1118" s="3518">
        <v>37913</v>
      </c>
      <c r="BH1118" s="3441" t="s">
        <v>4681</v>
      </c>
      <c r="BI1118" s="3441" t="s">
        <v>3476</v>
      </c>
      <c r="BJ1118" s="3478">
        <v>37949</v>
      </c>
      <c r="BK1118" s="3484"/>
      <c r="BL1118" s="3470" t="s">
        <v>3670</v>
      </c>
    </row>
    <row r="1119" spans="1:71" s="3618" customFormat="1" ht="12" hidden="1">
      <c r="A1119" s="3542" t="s">
        <v>10895</v>
      </c>
      <c r="B1119" s="3470" t="s">
        <v>10896</v>
      </c>
      <c r="C1119" s="3481" t="s">
        <v>10897</v>
      </c>
      <c r="D1119" s="3481" t="s">
        <v>10898</v>
      </c>
      <c r="E1119" s="3470" t="s">
        <v>3558</v>
      </c>
      <c r="F1119" s="3528" t="s">
        <v>7652</v>
      </c>
      <c r="G1119" s="3470"/>
      <c r="H1119" s="3470" t="s">
        <v>4281</v>
      </c>
      <c r="I1119" s="3470" t="s">
        <v>3582</v>
      </c>
      <c r="J1119" s="3481" t="s">
        <v>6970</v>
      </c>
      <c r="K1119" s="3470" t="s">
        <v>6369</v>
      </c>
      <c r="L1119" s="3470">
        <v>89.18</v>
      </c>
      <c r="M1119" s="3470">
        <v>7</v>
      </c>
      <c r="N1119" s="3542" t="s">
        <v>3451</v>
      </c>
      <c r="O1119" s="3470">
        <v>71.34</v>
      </c>
      <c r="P1119" s="3470" t="s">
        <v>3452</v>
      </c>
      <c r="Q1119" s="3457">
        <v>428509.9</v>
      </c>
      <c r="R1119" s="3470">
        <v>4805</v>
      </c>
      <c r="S1119" s="3472">
        <v>42.41</v>
      </c>
      <c r="T1119" s="3527">
        <v>424099.99999999994</v>
      </c>
      <c r="U1119" s="3470">
        <v>4756</v>
      </c>
      <c r="V1119" s="3512">
        <v>0.1</v>
      </c>
      <c r="W1119" s="3475">
        <v>38.159999999999997</v>
      </c>
      <c r="X1119" s="3473">
        <v>381599.99999999994</v>
      </c>
      <c r="Y1119" s="3441">
        <v>2003</v>
      </c>
      <c r="Z1119" s="3441">
        <v>11</v>
      </c>
      <c r="AA1119" s="3470">
        <v>26</v>
      </c>
      <c r="AB1119" s="3485">
        <v>2120</v>
      </c>
      <c r="AC1119" s="3470" t="s">
        <v>10899</v>
      </c>
      <c r="AD1119" s="3485"/>
      <c r="AE1119" s="3441" t="s">
        <v>3663</v>
      </c>
      <c r="AF1119" s="3470" t="s">
        <v>4126</v>
      </c>
      <c r="AG1119" s="3522" t="s">
        <v>3466</v>
      </c>
      <c r="AH1119" s="3485" t="s">
        <v>3568</v>
      </c>
      <c r="AI1119" s="3470" t="s">
        <v>5021</v>
      </c>
      <c r="AJ1119" s="3523">
        <v>37986</v>
      </c>
      <c r="AK1119" s="3612" t="s">
        <v>4773</v>
      </c>
      <c r="AL1119" s="3441">
        <v>67641700</v>
      </c>
      <c r="AM1119" s="3441"/>
      <c r="AN1119" s="3480" t="s">
        <v>3484</v>
      </c>
      <c r="AO1119" s="3441"/>
      <c r="AP1119" s="3441" t="s">
        <v>3476</v>
      </c>
      <c r="AQ1119" s="3441" t="s">
        <v>3571</v>
      </c>
      <c r="AR1119" s="3441"/>
      <c r="AS1119" s="3441"/>
      <c r="AT1119" s="3441"/>
      <c r="AU1119" s="3441"/>
      <c r="AV1119" s="3441" t="s">
        <v>3568</v>
      </c>
      <c r="AW1119" s="3441" t="s">
        <v>3572</v>
      </c>
      <c r="AX1119" s="3441"/>
      <c r="AY1119" s="3524" t="s">
        <v>10900</v>
      </c>
      <c r="AZ1119" s="3441" t="s">
        <v>6369</v>
      </c>
      <c r="BA1119" s="3441" t="s">
        <v>7655</v>
      </c>
      <c r="BB1119" s="3524" t="s">
        <v>7656</v>
      </c>
      <c r="BC1119" s="3441" t="s">
        <v>7657</v>
      </c>
      <c r="BD1119" s="3525">
        <v>100025</v>
      </c>
      <c r="BE1119" s="3441">
        <v>62908858</v>
      </c>
      <c r="BF1119" s="3526">
        <v>2.7</v>
      </c>
      <c r="BG1119" s="3518">
        <v>37914</v>
      </c>
      <c r="BH1119" s="3441" t="s">
        <v>4681</v>
      </c>
      <c r="BI1119" s="3441" t="s">
        <v>3476</v>
      </c>
      <c r="BJ1119" s="3478">
        <v>37949</v>
      </c>
      <c r="BK1119" s="3484"/>
      <c r="BL1119" s="3470" t="s">
        <v>3670</v>
      </c>
      <c r="BM1119" s="3441"/>
      <c r="BN1119" s="3441"/>
      <c r="BO1119" s="3441"/>
      <c r="BP1119" s="3441"/>
      <c r="BQ1119" s="3441"/>
      <c r="BR1119" s="3441"/>
    </row>
    <row r="1120" spans="1:71" s="3618" customFormat="1" ht="12" hidden="1">
      <c r="A1120" s="3453" t="s">
        <v>10901</v>
      </c>
      <c r="B1120" s="3470" t="s">
        <v>10902</v>
      </c>
      <c r="C1120" s="3481" t="s">
        <v>10903</v>
      </c>
      <c r="D1120" s="3454" t="s">
        <v>10904</v>
      </c>
      <c r="E1120" s="3470" t="s">
        <v>2736</v>
      </c>
      <c r="F1120" s="3528" t="s">
        <v>5792</v>
      </c>
      <c r="G1120" s="3470"/>
      <c r="H1120" s="3470" t="s">
        <v>4471</v>
      </c>
      <c r="I1120" s="3470" t="s">
        <v>3582</v>
      </c>
      <c r="J1120" s="3481" t="s">
        <v>3465</v>
      </c>
      <c r="K1120" s="3470" t="s">
        <v>4811</v>
      </c>
      <c r="L1120" s="3470">
        <v>109.9</v>
      </c>
      <c r="M1120" s="3470">
        <v>6</v>
      </c>
      <c r="N1120" s="3486" t="s">
        <v>3661</v>
      </c>
      <c r="O1120" s="3470">
        <v>95.84</v>
      </c>
      <c r="P1120" s="3470" t="s">
        <v>3452</v>
      </c>
      <c r="Q1120" s="3457">
        <v>569282</v>
      </c>
      <c r="R1120" s="3470">
        <v>5180</v>
      </c>
      <c r="S1120" s="3472">
        <v>56.37</v>
      </c>
      <c r="T1120" s="3550">
        <v>563700</v>
      </c>
      <c r="U1120" s="3470">
        <v>5130</v>
      </c>
      <c r="V1120" s="3474">
        <v>0.1</v>
      </c>
      <c r="W1120" s="3475">
        <v>50.73</v>
      </c>
      <c r="X1120" s="3611">
        <v>507299.99999999994</v>
      </c>
      <c r="Y1120" s="3441">
        <v>2003</v>
      </c>
      <c r="Z1120" s="3441">
        <v>11</v>
      </c>
      <c r="AA1120" s="3470">
        <v>26</v>
      </c>
      <c r="AB1120" s="3477">
        <v>2815</v>
      </c>
      <c r="AC1120" s="3470" t="s">
        <v>9356</v>
      </c>
      <c r="AD1120" s="3485"/>
      <c r="AE1120" s="3441" t="s">
        <v>3663</v>
      </c>
      <c r="AF1120" s="3490" t="s">
        <v>7751</v>
      </c>
      <c r="AG1120" s="3522" t="s">
        <v>3466</v>
      </c>
      <c r="AH1120" s="3485"/>
      <c r="AI1120" s="3470" t="s">
        <v>3664</v>
      </c>
      <c r="AJ1120" s="3523">
        <v>38166</v>
      </c>
      <c r="AK1120" s="3612" t="s">
        <v>4773</v>
      </c>
      <c r="AL1120" s="3441">
        <v>67641700</v>
      </c>
      <c r="AM1120" s="3441"/>
      <c r="AN1120" s="3480" t="s">
        <v>3680</v>
      </c>
      <c r="AO1120" s="3470"/>
      <c r="AP1120" s="3456" t="s">
        <v>3476</v>
      </c>
      <c r="AQ1120" s="3441" t="s">
        <v>3571</v>
      </c>
      <c r="AR1120" s="3441"/>
      <c r="AS1120" s="3441"/>
      <c r="AT1120" s="3441"/>
      <c r="AU1120" s="3441"/>
      <c r="AV1120" s="3441"/>
      <c r="AW1120" s="3441" t="s">
        <v>3572</v>
      </c>
      <c r="AX1120" s="3441"/>
      <c r="AY1120" s="3465" t="s">
        <v>10905</v>
      </c>
      <c r="AZ1120" s="3441" t="s">
        <v>4811</v>
      </c>
      <c r="BA1120" s="3441" t="s">
        <v>10447</v>
      </c>
      <c r="BB1120" s="3524" t="s">
        <v>4813</v>
      </c>
      <c r="BC1120" s="3441" t="s">
        <v>10448</v>
      </c>
      <c r="BD1120" s="3525">
        <v>101500</v>
      </c>
      <c r="BE1120" s="3441">
        <v>62964593</v>
      </c>
      <c r="BF1120" s="3526">
        <v>2.8</v>
      </c>
      <c r="BG1120" s="3478">
        <v>37927</v>
      </c>
      <c r="BH1120" s="3441"/>
      <c r="BI1120" s="3470" t="s">
        <v>3476</v>
      </c>
      <c r="BJ1120" s="3478">
        <v>37949</v>
      </c>
      <c r="BK1120" s="3484"/>
      <c r="BL1120" s="3441" t="s">
        <v>3594</v>
      </c>
      <c r="BM1120" s="3441"/>
      <c r="BN1120" s="3441"/>
      <c r="BO1120" s="3441"/>
      <c r="BP1120" s="3441"/>
      <c r="BQ1120" s="3441"/>
      <c r="BR1120" s="3441"/>
    </row>
    <row r="1121" spans="1:70" s="3618" customFormat="1" ht="12" hidden="1">
      <c r="A1121" s="3453" t="s">
        <v>10906</v>
      </c>
      <c r="B1121" s="3470" t="s">
        <v>10907</v>
      </c>
      <c r="C1121" s="3481" t="s">
        <v>10908</v>
      </c>
      <c r="D1121" s="3481" t="s">
        <v>10909</v>
      </c>
      <c r="E1121" s="3470" t="s">
        <v>3558</v>
      </c>
      <c r="F1121" s="3470" t="s">
        <v>4693</v>
      </c>
      <c r="G1121" s="3470"/>
      <c r="H1121" s="3470" t="s">
        <v>4453</v>
      </c>
      <c r="I1121" s="3470" t="s">
        <v>4624</v>
      </c>
      <c r="J1121" s="3481" t="s">
        <v>5472</v>
      </c>
      <c r="K1121" s="3470" t="s">
        <v>4697</v>
      </c>
      <c r="L1121" s="3470">
        <v>35.33</v>
      </c>
      <c r="M1121" s="3470">
        <v>6</v>
      </c>
      <c r="N1121" s="3470" t="s">
        <v>3692</v>
      </c>
      <c r="O1121" s="3470">
        <v>26.24</v>
      </c>
      <c r="P1121" s="3470" t="s">
        <v>3452</v>
      </c>
      <c r="Q1121" s="3457">
        <v>291189.86</v>
      </c>
      <c r="R1121" s="3470">
        <v>8242</v>
      </c>
      <c r="S1121" s="3472">
        <v>28.92</v>
      </c>
      <c r="T1121" s="3550">
        <v>289200</v>
      </c>
      <c r="U1121" s="3491">
        <v>8186</v>
      </c>
      <c r="V1121" s="3529">
        <v>0.1</v>
      </c>
      <c r="W1121" s="3475">
        <v>26.02</v>
      </c>
      <c r="X1121" s="3511">
        <v>260200</v>
      </c>
      <c r="Y1121" s="3501">
        <v>2003</v>
      </c>
      <c r="Z1121" s="3441">
        <v>11</v>
      </c>
      <c r="AA1121" s="3470">
        <v>26</v>
      </c>
      <c r="AB1121" s="3477">
        <v>1445</v>
      </c>
      <c r="AC1121" s="3470" t="s">
        <v>9077</v>
      </c>
      <c r="AD1121" s="3485"/>
      <c r="AE1121" s="3441" t="s">
        <v>3663</v>
      </c>
      <c r="AF1121" s="3470" t="s">
        <v>3587</v>
      </c>
      <c r="AG1121" s="3522" t="s">
        <v>3466</v>
      </c>
      <c r="AH1121" s="3485" t="s">
        <v>3463</v>
      </c>
      <c r="AI1121" s="3470" t="s">
        <v>5021</v>
      </c>
      <c r="AJ1121" s="3523">
        <v>38138</v>
      </c>
      <c r="AK1121" s="3612" t="s">
        <v>4773</v>
      </c>
      <c r="AL1121" s="3441">
        <v>67641700</v>
      </c>
      <c r="AM1121" s="3441"/>
      <c r="AN1121" s="3480" t="s">
        <v>3680</v>
      </c>
      <c r="AO1121" s="3441" t="s">
        <v>2420</v>
      </c>
      <c r="AP1121" s="3441" t="s">
        <v>3476</v>
      </c>
      <c r="AQ1121" s="3441" t="s">
        <v>3571</v>
      </c>
      <c r="AR1121" s="3441"/>
      <c r="AS1121" s="3441"/>
      <c r="AT1121" s="3441"/>
      <c r="AU1121" s="3441"/>
      <c r="AV1121" s="3441" t="s">
        <v>3568</v>
      </c>
      <c r="AW1121" s="3441" t="s">
        <v>3572</v>
      </c>
      <c r="AX1121" s="3441" t="s">
        <v>3568</v>
      </c>
      <c r="AY1121" s="3524" t="s">
        <v>10910</v>
      </c>
      <c r="AZ1121" s="3441" t="s">
        <v>4697</v>
      </c>
      <c r="BA1121" s="3441" t="s">
        <v>4700</v>
      </c>
      <c r="BB1121" s="3524" t="s">
        <v>4701</v>
      </c>
      <c r="BC1121" s="3441" t="s">
        <v>4702</v>
      </c>
      <c r="BD1121" s="3525">
        <v>100011</v>
      </c>
      <c r="BE1121" s="3441">
        <v>62351476</v>
      </c>
      <c r="BF1121" s="3526">
        <v>2.8</v>
      </c>
      <c r="BG1121" s="3518">
        <v>37873</v>
      </c>
      <c r="BH1121" s="3441"/>
      <c r="BI1121" s="3470" t="s">
        <v>3476</v>
      </c>
      <c r="BJ1121" s="3484">
        <v>37949</v>
      </c>
      <c r="BK1121" s="3518"/>
      <c r="BL1121" s="3470" t="s">
        <v>3670</v>
      </c>
      <c r="BM1121" s="3441"/>
      <c r="BN1121" s="3441"/>
      <c r="BO1121" s="3441"/>
      <c r="BP1121" s="3441"/>
      <c r="BQ1121" s="3441"/>
      <c r="BR1121" s="3441"/>
    </row>
    <row r="1122" spans="1:70" s="3441" customFormat="1" ht="12" hidden="1">
      <c r="A1122" s="3453" t="s">
        <v>10911</v>
      </c>
      <c r="B1122" s="3470" t="s">
        <v>10912</v>
      </c>
      <c r="C1122" s="3481" t="s">
        <v>10913</v>
      </c>
      <c r="D1122" s="3481" t="s">
        <v>10914</v>
      </c>
      <c r="E1122" s="3470" t="s">
        <v>3558</v>
      </c>
      <c r="F1122" s="3470" t="s">
        <v>4693</v>
      </c>
      <c r="G1122" s="3470"/>
      <c r="H1122" s="3470" t="s">
        <v>10915</v>
      </c>
      <c r="I1122" s="3470" t="s">
        <v>9411</v>
      </c>
      <c r="J1122" s="3481" t="s">
        <v>10916</v>
      </c>
      <c r="K1122" s="3470" t="s">
        <v>4697</v>
      </c>
      <c r="L1122" s="3470">
        <v>37.979999999999997</v>
      </c>
      <c r="M1122" s="3470">
        <v>11</v>
      </c>
      <c r="N1122" s="3470" t="s">
        <v>3692</v>
      </c>
      <c r="O1122" s="3470">
        <v>28.21</v>
      </c>
      <c r="P1122" s="3470" t="s">
        <v>3452</v>
      </c>
      <c r="Q1122" s="3457">
        <v>336996.54</v>
      </c>
      <c r="R1122" s="3470">
        <v>8873</v>
      </c>
      <c r="S1122" s="3472">
        <v>33.479999999999997</v>
      </c>
      <c r="T1122" s="3550">
        <v>334799.99999999994</v>
      </c>
      <c r="U1122" s="3491">
        <v>8817</v>
      </c>
      <c r="V1122" s="3529">
        <v>0.1</v>
      </c>
      <c r="W1122" s="3475">
        <v>30.13</v>
      </c>
      <c r="X1122" s="3511">
        <v>301300</v>
      </c>
      <c r="Y1122" s="3501">
        <v>2003</v>
      </c>
      <c r="Z1122" s="3441">
        <v>11</v>
      </c>
      <c r="AA1122" s="3470">
        <v>26</v>
      </c>
      <c r="AB1122" s="3477">
        <v>1670</v>
      </c>
      <c r="AC1122" s="3470" t="s">
        <v>9007</v>
      </c>
      <c r="AD1122" s="3485"/>
      <c r="AE1122" s="3441" t="s">
        <v>3663</v>
      </c>
      <c r="AF1122" s="3470" t="s">
        <v>3587</v>
      </c>
      <c r="AG1122" s="3522" t="s">
        <v>3466</v>
      </c>
      <c r="AH1122" s="3485" t="s">
        <v>3463</v>
      </c>
      <c r="AI1122" s="3470" t="s">
        <v>5021</v>
      </c>
      <c r="AJ1122" s="3523">
        <v>38138</v>
      </c>
      <c r="AK1122" s="3612" t="s">
        <v>4773</v>
      </c>
      <c r="AL1122" s="3441">
        <v>67641700</v>
      </c>
      <c r="AN1122" s="3480" t="s">
        <v>3680</v>
      </c>
      <c r="AO1122" s="3441" t="s">
        <v>2420</v>
      </c>
      <c r="AP1122" s="3441" t="s">
        <v>3476</v>
      </c>
      <c r="AQ1122" s="3441" t="s">
        <v>3571</v>
      </c>
      <c r="AV1122" s="3441" t="s">
        <v>3568</v>
      </c>
      <c r="AW1122" s="3441" t="s">
        <v>3572</v>
      </c>
      <c r="AX1122" s="3441" t="s">
        <v>3568</v>
      </c>
      <c r="AY1122" s="3524" t="s">
        <v>10917</v>
      </c>
      <c r="AZ1122" s="3441" t="s">
        <v>4697</v>
      </c>
      <c r="BA1122" s="3441" t="s">
        <v>4700</v>
      </c>
      <c r="BB1122" s="3524" t="s">
        <v>4701</v>
      </c>
      <c r="BC1122" s="3441" t="s">
        <v>4702</v>
      </c>
      <c r="BD1122" s="3525">
        <v>100011</v>
      </c>
      <c r="BE1122" s="3441">
        <v>62351476</v>
      </c>
      <c r="BF1122" s="3526">
        <v>2.8</v>
      </c>
      <c r="BG1122" s="3518">
        <v>37854</v>
      </c>
      <c r="BI1122" s="3470" t="s">
        <v>3476</v>
      </c>
      <c r="BJ1122" s="3484">
        <v>37950</v>
      </c>
      <c r="BK1122" s="3518"/>
      <c r="BL1122" s="3470" t="s">
        <v>3670</v>
      </c>
    </row>
    <row r="1123" spans="1:70" s="3618" customFormat="1" ht="12">
      <c r="A1123" s="3542" t="s">
        <v>10918</v>
      </c>
      <c r="B1123" s="3470" t="s">
        <v>10919</v>
      </c>
      <c r="C1123" s="3481" t="s">
        <v>10920</v>
      </c>
      <c r="D1123" s="3481" t="s">
        <v>10921</v>
      </c>
      <c r="E1123" s="3470" t="s">
        <v>3558</v>
      </c>
      <c r="F1123" s="3687" t="s">
        <v>10922</v>
      </c>
      <c r="G1123" s="3470"/>
      <c r="H1123" s="3453" t="s">
        <v>3706</v>
      </c>
      <c r="I1123" s="3470" t="s">
        <v>2420</v>
      </c>
      <c r="J1123" s="3481" t="s">
        <v>10923</v>
      </c>
      <c r="K1123" s="3470" t="s">
        <v>9572</v>
      </c>
      <c r="L1123" s="3470">
        <v>122.08</v>
      </c>
      <c r="M1123" s="3470">
        <v>16</v>
      </c>
      <c r="N1123" s="3470" t="s">
        <v>3661</v>
      </c>
      <c r="O1123" s="3470">
        <v>103.16</v>
      </c>
      <c r="P1123" s="3470" t="s">
        <v>3452</v>
      </c>
      <c r="Q1123" s="3457">
        <v>823112.19199999992</v>
      </c>
      <c r="R1123" s="3470">
        <v>6742.4</v>
      </c>
      <c r="S1123" s="3472">
        <v>81.62</v>
      </c>
      <c r="T1123" s="3550">
        <v>816200</v>
      </c>
      <c r="U1123" s="3470">
        <v>6686</v>
      </c>
      <c r="V1123" s="3474">
        <v>0.1</v>
      </c>
      <c r="W1123" s="3475">
        <v>73.45</v>
      </c>
      <c r="X1123" s="3602">
        <v>734500</v>
      </c>
      <c r="Y1123" s="3441">
        <v>2003</v>
      </c>
      <c r="Z1123" s="3441">
        <v>11</v>
      </c>
      <c r="AA1123" s="3470">
        <v>26</v>
      </c>
      <c r="AB1123" s="3485">
        <v>4080</v>
      </c>
      <c r="AC1123" s="3470" t="s">
        <v>8840</v>
      </c>
      <c r="AD1123" s="3485"/>
      <c r="AE1123" s="3441" t="s">
        <v>3663</v>
      </c>
      <c r="AF1123" s="3470" t="s">
        <v>4721</v>
      </c>
      <c r="AG1123" s="3522" t="s">
        <v>3466</v>
      </c>
      <c r="AH1123" s="3485" t="s">
        <v>3463</v>
      </c>
      <c r="AI1123" s="3470" t="s">
        <v>5021</v>
      </c>
      <c r="AJ1123" s="3523">
        <v>38107</v>
      </c>
      <c r="AK1123" s="3612" t="s">
        <v>4773</v>
      </c>
      <c r="AL1123" s="3441">
        <v>67641700</v>
      </c>
      <c r="AM1123" s="3441"/>
      <c r="AN1123" s="3480" t="s">
        <v>3680</v>
      </c>
      <c r="AO1123" s="3441"/>
      <c r="AP1123" s="3441" t="s">
        <v>3476</v>
      </c>
      <c r="AQ1123" s="3441" t="s">
        <v>3571</v>
      </c>
      <c r="AR1123" s="3441"/>
      <c r="AS1123" s="3441"/>
      <c r="AT1123" s="3441"/>
      <c r="AU1123" s="3441"/>
      <c r="AV1123" s="3441" t="s">
        <v>3568</v>
      </c>
      <c r="AW1123" s="3441" t="s">
        <v>3572</v>
      </c>
      <c r="AX1123" s="3441" t="s">
        <v>3568</v>
      </c>
      <c r="AY1123" s="3524" t="s">
        <v>10924</v>
      </c>
      <c r="AZ1123" s="3470" t="s">
        <v>9572</v>
      </c>
      <c r="BA1123" s="3441" t="s">
        <v>10925</v>
      </c>
      <c r="BB1123" s="3524" t="s">
        <v>10926</v>
      </c>
      <c r="BC1123" s="3441" t="s">
        <v>10927</v>
      </c>
      <c r="BD1123" s="3525">
        <v>102602</v>
      </c>
      <c r="BE1123" s="3441">
        <v>68725998</v>
      </c>
      <c r="BF1123" s="3526">
        <v>2.8</v>
      </c>
      <c r="BG1123" s="3518">
        <v>37938</v>
      </c>
      <c r="BH1123" s="3441"/>
      <c r="BI1123" s="3441" t="s">
        <v>3476</v>
      </c>
      <c r="BJ1123" s="3484">
        <v>37950</v>
      </c>
      <c r="BK1123" s="3518"/>
      <c r="BL1123" s="3470" t="s">
        <v>3670</v>
      </c>
      <c r="BM1123" s="3441"/>
      <c r="BN1123" s="3441"/>
      <c r="BO1123" s="3441"/>
      <c r="BP1123" s="3441"/>
      <c r="BQ1123" s="3441"/>
      <c r="BR1123" s="3441"/>
    </row>
    <row r="1124" spans="1:70" s="3441" customFormat="1" ht="12" hidden="1">
      <c r="A1124" s="3542" t="s">
        <v>10928</v>
      </c>
      <c r="B1124" s="3470" t="s">
        <v>10929</v>
      </c>
      <c r="C1124" s="3481" t="s">
        <v>10930</v>
      </c>
      <c r="D1124" s="3481" t="s">
        <v>10931</v>
      </c>
      <c r="E1124" s="3470" t="s">
        <v>3558</v>
      </c>
      <c r="F1124" s="3528" t="s">
        <v>7652</v>
      </c>
      <c r="G1124" s="3470"/>
      <c r="H1124" s="3470" t="s">
        <v>10114</v>
      </c>
      <c r="I1124" s="3470" t="s">
        <v>4563</v>
      </c>
      <c r="J1124" s="3481" t="s">
        <v>10932</v>
      </c>
      <c r="K1124" s="3470" t="s">
        <v>6369</v>
      </c>
      <c r="L1124" s="3470">
        <v>104.67</v>
      </c>
      <c r="M1124" s="3470">
        <v>4</v>
      </c>
      <c r="N1124" s="3542" t="s">
        <v>3491</v>
      </c>
      <c r="O1124" s="3470">
        <v>82.57</v>
      </c>
      <c r="P1124" s="3470" t="s">
        <v>3452</v>
      </c>
      <c r="Q1124" s="3457">
        <v>485668.8</v>
      </c>
      <c r="R1124" s="3470">
        <v>4640</v>
      </c>
      <c r="S1124" s="3472">
        <v>48.07</v>
      </c>
      <c r="T1124" s="3527">
        <v>480700</v>
      </c>
      <c r="U1124" s="3470">
        <v>4593</v>
      </c>
      <c r="V1124" s="3512">
        <v>0.1</v>
      </c>
      <c r="W1124" s="3475">
        <v>43.26</v>
      </c>
      <c r="X1124" s="3473">
        <v>432600</v>
      </c>
      <c r="Y1124" s="3441">
        <v>2003</v>
      </c>
      <c r="Z1124" s="3441">
        <v>11</v>
      </c>
      <c r="AA1124" s="3470">
        <v>27</v>
      </c>
      <c r="AB1124" s="3485">
        <v>2400</v>
      </c>
      <c r="AC1124" s="3470" t="s">
        <v>9364</v>
      </c>
      <c r="AD1124" s="3485"/>
      <c r="AE1124" s="3441" t="s">
        <v>3663</v>
      </c>
      <c r="AF1124" s="3470" t="s">
        <v>4721</v>
      </c>
      <c r="AG1124" s="3522" t="s">
        <v>3466</v>
      </c>
      <c r="AH1124" s="3485" t="s">
        <v>3568</v>
      </c>
      <c r="AI1124" s="3470" t="s">
        <v>5021</v>
      </c>
      <c r="AJ1124" s="3523">
        <v>38123</v>
      </c>
      <c r="AK1124" s="3612" t="s">
        <v>4773</v>
      </c>
      <c r="AL1124" s="3441">
        <v>67641700</v>
      </c>
      <c r="AN1124" s="3480" t="s">
        <v>3484</v>
      </c>
      <c r="AP1124" s="3441" t="s">
        <v>3476</v>
      </c>
      <c r="AQ1124" s="3441" t="s">
        <v>3571</v>
      </c>
      <c r="AV1124" s="3441" t="s">
        <v>3568</v>
      </c>
      <c r="AW1124" s="3441" t="s">
        <v>3572</v>
      </c>
      <c r="AY1124" s="3524" t="s">
        <v>10933</v>
      </c>
      <c r="AZ1124" s="3441" t="s">
        <v>6369</v>
      </c>
      <c r="BA1124" s="3441" t="s">
        <v>7655</v>
      </c>
      <c r="BB1124" s="3524" t="s">
        <v>7656</v>
      </c>
      <c r="BC1124" s="3441" t="s">
        <v>7657</v>
      </c>
      <c r="BD1124" s="3525">
        <v>100025</v>
      </c>
      <c r="BE1124" s="3441">
        <v>62908858</v>
      </c>
      <c r="BF1124" s="3526">
        <v>2.7</v>
      </c>
      <c r="BG1124" s="3518">
        <v>37915</v>
      </c>
      <c r="BH1124" s="3441" t="s">
        <v>4681</v>
      </c>
      <c r="BI1124" s="3441" t="s">
        <v>3476</v>
      </c>
      <c r="BJ1124" s="3484">
        <v>37950</v>
      </c>
      <c r="BK1124" s="3484"/>
      <c r="BL1124" s="3470" t="s">
        <v>3670</v>
      </c>
    </row>
    <row r="1125" spans="1:70" s="3441" customFormat="1" ht="12" hidden="1">
      <c r="A1125" s="3542" t="s">
        <v>10934</v>
      </c>
      <c r="B1125" s="3470" t="s">
        <v>10935</v>
      </c>
      <c r="C1125" s="3481" t="s">
        <v>10936</v>
      </c>
      <c r="D1125" s="3481" t="s">
        <v>10937</v>
      </c>
      <c r="E1125" s="3470" t="s">
        <v>3558</v>
      </c>
      <c r="F1125" s="3528" t="s">
        <v>7909</v>
      </c>
      <c r="G1125" s="3470"/>
      <c r="H1125" s="3470" t="s">
        <v>3979</v>
      </c>
      <c r="I1125" s="3470" t="s">
        <v>7690</v>
      </c>
      <c r="J1125" s="3481" t="s">
        <v>6970</v>
      </c>
      <c r="K1125" s="3470" t="s">
        <v>7910</v>
      </c>
      <c r="L1125" s="3470">
        <v>116.15</v>
      </c>
      <c r="M1125" s="3470">
        <v>6.5</v>
      </c>
      <c r="N1125" s="3542" t="s">
        <v>3486</v>
      </c>
      <c r="O1125" s="3470">
        <v>101.43</v>
      </c>
      <c r="P1125" s="3470" t="s">
        <v>3452</v>
      </c>
      <c r="Q1125" s="3492">
        <v>865318.60170000012</v>
      </c>
      <c r="R1125" s="3470">
        <v>8531.19</v>
      </c>
      <c r="S1125" s="3472">
        <v>85.89</v>
      </c>
      <c r="T1125" s="3550">
        <v>858900</v>
      </c>
      <c r="U1125" s="3470">
        <v>7395</v>
      </c>
      <c r="V1125" s="3474">
        <v>0.1</v>
      </c>
      <c r="W1125" s="3475">
        <v>77.3</v>
      </c>
      <c r="X1125" s="3611">
        <v>773000</v>
      </c>
      <c r="Y1125" s="3441">
        <v>2003</v>
      </c>
      <c r="Z1125" s="3441">
        <v>11</v>
      </c>
      <c r="AA1125" s="3470">
        <v>27</v>
      </c>
      <c r="AB1125" s="3477">
        <v>4290</v>
      </c>
      <c r="AC1125" s="3470" t="s">
        <v>9328</v>
      </c>
      <c r="AD1125" s="3485"/>
      <c r="AE1125" s="3441" t="s">
        <v>3663</v>
      </c>
      <c r="AF1125" s="3470" t="s">
        <v>4126</v>
      </c>
      <c r="AG1125" s="3522" t="s">
        <v>3466</v>
      </c>
      <c r="AH1125" s="3485"/>
      <c r="AI1125" s="3470" t="s">
        <v>7643</v>
      </c>
      <c r="AJ1125" s="3523">
        <v>37986</v>
      </c>
      <c r="AK1125" s="3612" t="s">
        <v>4773</v>
      </c>
      <c r="AL1125" s="3441">
        <v>67641700</v>
      </c>
      <c r="AN1125" s="3480" t="s">
        <v>3680</v>
      </c>
      <c r="AP1125" s="3441" t="s">
        <v>3476</v>
      </c>
      <c r="AQ1125" s="3441" t="s">
        <v>3571</v>
      </c>
      <c r="AW1125" s="3441" t="s">
        <v>3572</v>
      </c>
      <c r="AY1125" s="3524" t="s">
        <v>10938</v>
      </c>
      <c r="AZ1125" s="3441" t="s">
        <v>7910</v>
      </c>
      <c r="BA1125" s="3441" t="s">
        <v>7911</v>
      </c>
      <c r="BB1125" s="3524" t="s">
        <v>7912</v>
      </c>
      <c r="BC1125" s="3441" t="s">
        <v>7913</v>
      </c>
      <c r="BD1125" s="3525">
        <v>100036</v>
      </c>
      <c r="BE1125" s="3441">
        <v>88515522</v>
      </c>
      <c r="BF1125" s="3526">
        <v>2.95</v>
      </c>
      <c r="BG1125" s="3518">
        <v>37859</v>
      </c>
      <c r="BI1125" s="3441" t="s">
        <v>3476</v>
      </c>
      <c r="BJ1125" s="3484">
        <v>37951</v>
      </c>
      <c r="BK1125" s="3518"/>
      <c r="BL1125" s="3470" t="s">
        <v>3670</v>
      </c>
    </row>
    <row r="1126" spans="1:70" s="3441" customFormat="1" ht="12" hidden="1">
      <c r="A1126" s="3542" t="s">
        <v>10939</v>
      </c>
      <c r="B1126" s="3470" t="s">
        <v>10940</v>
      </c>
      <c r="C1126" s="3481" t="s">
        <v>10941</v>
      </c>
      <c r="D1126" s="3481" t="s">
        <v>10942</v>
      </c>
      <c r="E1126" s="3470" t="s">
        <v>3558</v>
      </c>
      <c r="F1126" s="3528" t="s">
        <v>3733</v>
      </c>
      <c r="G1126" s="3470"/>
      <c r="H1126" s="3470" t="s">
        <v>10572</v>
      </c>
      <c r="I1126" s="3470" t="s">
        <v>4124</v>
      </c>
      <c r="J1126" s="3470" t="s">
        <v>4708</v>
      </c>
      <c r="K1126" s="3470" t="s">
        <v>3737</v>
      </c>
      <c r="L1126" s="3470">
        <v>78.25</v>
      </c>
      <c r="M1126" s="3470">
        <v>8</v>
      </c>
      <c r="N1126" s="3542" t="s">
        <v>3451</v>
      </c>
      <c r="O1126" s="3470">
        <v>64.59</v>
      </c>
      <c r="P1126" s="3470" t="s">
        <v>3452</v>
      </c>
      <c r="Q1126" s="3492">
        <v>514102.5</v>
      </c>
      <c r="R1126" s="3470">
        <v>6570</v>
      </c>
      <c r="S1126" s="3472">
        <v>51.31</v>
      </c>
      <c r="T1126" s="3527">
        <v>513100</v>
      </c>
      <c r="U1126" s="3470">
        <v>6558</v>
      </c>
      <c r="V1126" s="3474">
        <v>0.1</v>
      </c>
      <c r="W1126" s="3475">
        <v>46.17</v>
      </c>
      <c r="X1126" s="3494">
        <v>461700</v>
      </c>
      <c r="Y1126" s="3441">
        <v>2003</v>
      </c>
      <c r="Z1126" s="3441">
        <v>11</v>
      </c>
      <c r="AA1126" s="3470">
        <v>27</v>
      </c>
      <c r="AB1126" s="3477">
        <v>2565</v>
      </c>
      <c r="AC1126" s="3470" t="s">
        <v>9060</v>
      </c>
      <c r="AD1126" s="3485"/>
      <c r="AE1126" s="3441" t="s">
        <v>3663</v>
      </c>
      <c r="AF1126" s="3470" t="s">
        <v>4721</v>
      </c>
      <c r="AG1126" s="3522" t="s">
        <v>3466</v>
      </c>
      <c r="AH1126" s="3485"/>
      <c r="AI1126" s="3470" t="s">
        <v>5021</v>
      </c>
      <c r="AJ1126" s="3523">
        <v>38183</v>
      </c>
      <c r="AK1126" s="3612" t="s">
        <v>4773</v>
      </c>
      <c r="AL1126" s="3441">
        <v>67641700</v>
      </c>
      <c r="AN1126" s="3480" t="s">
        <v>3484</v>
      </c>
      <c r="AO1126" s="3441" t="s">
        <v>2420</v>
      </c>
      <c r="AP1126" s="3441" t="s">
        <v>3476</v>
      </c>
      <c r="AQ1126" s="3441" t="s">
        <v>3571</v>
      </c>
      <c r="AW1126" s="3441" t="s">
        <v>3572</v>
      </c>
      <c r="AY1126" s="3524" t="s">
        <v>10943</v>
      </c>
      <c r="AZ1126" s="3441" t="s">
        <v>3737</v>
      </c>
      <c r="BA1126" s="3441" t="s">
        <v>3742</v>
      </c>
      <c r="BB1126" s="3524" t="s">
        <v>3743</v>
      </c>
      <c r="BC1126" s="3441" t="s">
        <v>3744</v>
      </c>
      <c r="BD1126" s="3525">
        <v>100088</v>
      </c>
      <c r="BE1126" s="3441">
        <v>82058259</v>
      </c>
      <c r="BF1126" s="3526">
        <v>2.7</v>
      </c>
      <c r="BG1126" s="3478">
        <v>37932</v>
      </c>
      <c r="BI1126" s="3441" t="s">
        <v>8464</v>
      </c>
      <c r="BJ1126" s="3478">
        <v>37950</v>
      </c>
      <c r="BK1126" s="3484" t="s">
        <v>2420</v>
      </c>
      <c r="BL1126" s="3470" t="s">
        <v>3670</v>
      </c>
    </row>
    <row r="1127" spans="1:70" s="3605" customFormat="1" ht="12" hidden="1">
      <c r="A1127" s="3453" t="s">
        <v>10944</v>
      </c>
      <c r="B1127" s="3470" t="s">
        <v>10945</v>
      </c>
      <c r="C1127" s="3481" t="s">
        <v>10946</v>
      </c>
      <c r="D1127" s="3470" t="s">
        <v>10947</v>
      </c>
      <c r="E1127" s="3470" t="s">
        <v>3558</v>
      </c>
      <c r="F1127" s="3470" t="s">
        <v>8661</v>
      </c>
      <c r="G1127" s="3470"/>
      <c r="H1127" s="3453" t="s">
        <v>4453</v>
      </c>
      <c r="I1127" s="3453" t="s">
        <v>3676</v>
      </c>
      <c r="J1127" s="3453" t="s">
        <v>4485</v>
      </c>
      <c r="K1127" s="3470" t="s">
        <v>8022</v>
      </c>
      <c r="L1127" s="3495">
        <v>101.23</v>
      </c>
      <c r="M1127" s="3495">
        <v>9</v>
      </c>
      <c r="N1127" s="3470" t="s">
        <v>3486</v>
      </c>
      <c r="O1127" s="3495">
        <v>81.510000000000005</v>
      </c>
      <c r="P1127" s="3470" t="s">
        <v>3452</v>
      </c>
      <c r="Q1127" s="3457">
        <v>552016.30070000002</v>
      </c>
      <c r="R1127" s="3495">
        <v>5453.09</v>
      </c>
      <c r="S1127" s="3472">
        <v>54.66</v>
      </c>
      <c r="T1127" s="3527">
        <v>546600</v>
      </c>
      <c r="U1127" s="3470">
        <v>5400</v>
      </c>
      <c r="V1127" s="3512">
        <v>0.1</v>
      </c>
      <c r="W1127" s="3475">
        <v>49.19</v>
      </c>
      <c r="X1127" s="3473">
        <v>491900</v>
      </c>
      <c r="Y1127" s="3515">
        <v>2003</v>
      </c>
      <c r="Z1127" s="3441">
        <v>12</v>
      </c>
      <c r="AA1127" s="3441">
        <v>3</v>
      </c>
      <c r="AB1127" s="3477">
        <v>2730</v>
      </c>
      <c r="AC1127" s="3470" t="s">
        <v>9077</v>
      </c>
      <c r="AD1127" s="3470"/>
      <c r="AE1127" s="3470" t="s">
        <v>3663</v>
      </c>
      <c r="AF1127" s="3453" t="s">
        <v>3604</v>
      </c>
      <c r="AG1127" s="3470" t="s">
        <v>3466</v>
      </c>
      <c r="AH1127" s="3470"/>
      <c r="AI1127" s="3470" t="s">
        <v>3664</v>
      </c>
      <c r="AJ1127" s="3478">
        <v>37985</v>
      </c>
      <c r="AK1127" s="3603" t="s">
        <v>3467</v>
      </c>
      <c r="AL1127" s="3441">
        <v>67641700</v>
      </c>
      <c r="AM1127" s="3441"/>
      <c r="AN1127" s="3456" t="s">
        <v>3570</v>
      </c>
      <c r="AO1127" s="3470"/>
      <c r="AP1127" s="3456" t="s">
        <v>3476</v>
      </c>
      <c r="AQ1127" s="3456" t="s">
        <v>3571</v>
      </c>
      <c r="AR1127" s="3470"/>
      <c r="AS1127" s="3470"/>
      <c r="AT1127" s="3470"/>
      <c r="AU1127" s="3470"/>
      <c r="AV1127" s="3519"/>
      <c r="AW1127" s="3470" t="s">
        <v>3572</v>
      </c>
      <c r="AX1127" s="3470"/>
      <c r="AY1127" s="3495">
        <v>321117</v>
      </c>
      <c r="AZ1127" s="3470" t="s">
        <v>8022</v>
      </c>
      <c r="BA1127" s="3470" t="s">
        <v>6769</v>
      </c>
      <c r="BB1127" s="3470" t="s">
        <v>8663</v>
      </c>
      <c r="BC1127" s="3470" t="s">
        <v>8025</v>
      </c>
      <c r="BD1127" s="3470">
        <v>100080</v>
      </c>
      <c r="BE1127" s="3470">
        <v>82611170</v>
      </c>
      <c r="BF1127" s="3520">
        <v>2.8</v>
      </c>
      <c r="BG1127" s="3478">
        <v>37918</v>
      </c>
      <c r="BH1127" s="3470"/>
      <c r="BI1127" s="3441" t="s">
        <v>3476</v>
      </c>
      <c r="BJ1127" s="3478">
        <v>37950</v>
      </c>
      <c r="BK1127" s="3478"/>
      <c r="BL1127" s="3470" t="s">
        <v>3670</v>
      </c>
      <c r="BM1127" s="3441"/>
      <c r="BN1127" s="3441"/>
      <c r="BO1127" s="3441"/>
      <c r="BP1127" s="3441"/>
      <c r="BQ1127" s="3441"/>
      <c r="BR1127" s="3441"/>
    </row>
    <row r="1128" spans="1:70" s="3441" customFormat="1" ht="12" hidden="1">
      <c r="A1128" s="3470" t="s">
        <v>10948</v>
      </c>
      <c r="B1128" s="3470" t="s">
        <v>10949</v>
      </c>
      <c r="C1128" s="3481" t="s">
        <v>10950</v>
      </c>
      <c r="D1128" s="3481" t="s">
        <v>10951</v>
      </c>
      <c r="E1128" s="3470" t="s">
        <v>2736</v>
      </c>
      <c r="F1128" s="3521" t="s">
        <v>10952</v>
      </c>
      <c r="G1128" s="3470"/>
      <c r="H1128" s="3470"/>
      <c r="I1128" s="3470" t="s">
        <v>3478</v>
      </c>
      <c r="J1128" s="3481" t="s">
        <v>7370</v>
      </c>
      <c r="K1128" s="3470" t="s">
        <v>10949</v>
      </c>
      <c r="L1128" s="3470">
        <v>89.8</v>
      </c>
      <c r="M1128" s="3470">
        <v>3</v>
      </c>
      <c r="N1128" s="3470" t="s">
        <v>3491</v>
      </c>
      <c r="O1128" s="3470"/>
      <c r="P1128" s="3470" t="s">
        <v>3452</v>
      </c>
      <c r="Q1128" s="3457">
        <v>500000</v>
      </c>
      <c r="R1128" s="3470">
        <v>5568</v>
      </c>
      <c r="S1128" s="3472">
        <v>47.01</v>
      </c>
      <c r="T1128" s="3527">
        <v>470100</v>
      </c>
      <c r="U1128" s="3470">
        <v>5236</v>
      </c>
      <c r="V1128" s="3474">
        <v>0.05</v>
      </c>
      <c r="W1128" s="3475">
        <v>44.65</v>
      </c>
      <c r="X1128" s="3473">
        <v>446500</v>
      </c>
      <c r="Y1128" s="3441">
        <v>2003</v>
      </c>
      <c r="Z1128" s="3441">
        <v>11</v>
      </c>
      <c r="AA1128" s="3441">
        <v>28</v>
      </c>
      <c r="AB1128" s="3485">
        <v>2350</v>
      </c>
      <c r="AC1128" s="3470" t="s">
        <v>9077</v>
      </c>
      <c r="AD1128" s="3485"/>
      <c r="AE1128" s="3470" t="s">
        <v>3566</v>
      </c>
      <c r="AF1128" s="3470" t="s">
        <v>3453</v>
      </c>
      <c r="AG1128" s="3470" t="s">
        <v>3466</v>
      </c>
      <c r="AH1128" s="3485"/>
      <c r="AI1128" s="3470"/>
      <c r="AJ1128" s="3523"/>
      <c r="AK1128" s="3479" t="s">
        <v>4773</v>
      </c>
      <c r="AL1128" s="3441">
        <v>82253572</v>
      </c>
      <c r="AP1128" s="3470" t="s">
        <v>3566</v>
      </c>
      <c r="AQ1128" s="3470" t="s">
        <v>3571</v>
      </c>
      <c r="AW1128" s="3441" t="s">
        <v>3458</v>
      </c>
      <c r="AY1128" s="3524"/>
      <c r="AZ1128" s="3441" t="s">
        <v>10953</v>
      </c>
      <c r="BB1128" s="3524"/>
      <c r="BD1128" s="3525"/>
      <c r="BF1128" s="3526"/>
      <c r="BG1128" s="3518">
        <v>37937</v>
      </c>
      <c r="BI1128" s="3441" t="s">
        <v>3586</v>
      </c>
      <c r="BJ1128" s="3484">
        <v>37949</v>
      </c>
      <c r="BK1128" s="3484"/>
      <c r="BL1128" s="3470"/>
      <c r="BM1128" s="3441" t="s">
        <v>7049</v>
      </c>
      <c r="BN1128" s="3441" t="s">
        <v>3461</v>
      </c>
      <c r="BO1128" s="3441" t="s">
        <v>3462</v>
      </c>
    </row>
    <row r="1129" spans="1:70" s="3441" customFormat="1" ht="12" hidden="1">
      <c r="A1129" s="3453" t="s">
        <v>10954</v>
      </c>
      <c r="B1129" s="3470" t="s">
        <v>10955</v>
      </c>
      <c r="C1129" s="3481" t="s">
        <v>10956</v>
      </c>
      <c r="D1129" s="3481" t="s">
        <v>10957</v>
      </c>
      <c r="E1129" s="3470" t="s">
        <v>2736</v>
      </c>
      <c r="F1129" s="3528" t="s">
        <v>10958</v>
      </c>
      <c r="G1129" s="3470"/>
      <c r="H1129" s="3470" t="s">
        <v>10114</v>
      </c>
      <c r="I1129" s="3470" t="s">
        <v>3464</v>
      </c>
      <c r="J1129" s="3481" t="s">
        <v>10959</v>
      </c>
      <c r="K1129" s="3470" t="s">
        <v>4286</v>
      </c>
      <c r="L1129" s="3470">
        <v>114.66</v>
      </c>
      <c r="M1129" s="3470">
        <v>6</v>
      </c>
      <c r="N1129" s="3470" t="s">
        <v>3661</v>
      </c>
      <c r="O1129" s="3470">
        <v>101.7</v>
      </c>
      <c r="P1129" s="3470" t="s">
        <v>3452</v>
      </c>
      <c r="Q1129" s="3457">
        <v>613431</v>
      </c>
      <c r="R1129" s="3470">
        <v>5350</v>
      </c>
      <c r="S1129" s="3472">
        <v>60.76</v>
      </c>
      <c r="T1129" s="3527">
        <v>607600</v>
      </c>
      <c r="U1129" s="3495">
        <v>5300</v>
      </c>
      <c r="V1129" s="3512">
        <v>0.1</v>
      </c>
      <c r="W1129" s="3475">
        <v>54.68</v>
      </c>
      <c r="X1129" s="3473">
        <v>546800</v>
      </c>
      <c r="Y1129" s="3470">
        <v>2003</v>
      </c>
      <c r="Z1129" s="3515">
        <v>12</v>
      </c>
      <c r="AA1129" s="3470">
        <v>1</v>
      </c>
      <c r="AB1129" s="3485">
        <v>3035</v>
      </c>
      <c r="AC1129" s="3470" t="s">
        <v>4761</v>
      </c>
      <c r="AD1129" s="3485"/>
      <c r="AE1129" s="3469" t="s">
        <v>3663</v>
      </c>
      <c r="AF1129" s="3470" t="s">
        <v>3587</v>
      </c>
      <c r="AG1129" s="3522" t="s">
        <v>3454</v>
      </c>
      <c r="AH1129" s="3485"/>
      <c r="AI1129" s="3470" t="s">
        <v>3664</v>
      </c>
      <c r="AJ1129" s="3523">
        <v>38139</v>
      </c>
      <c r="AK1129" s="3603" t="s">
        <v>3467</v>
      </c>
      <c r="AL1129" s="3515">
        <v>67641700</v>
      </c>
      <c r="AN1129" s="3456" t="s">
        <v>3456</v>
      </c>
      <c r="AP1129" s="3456" t="s">
        <v>3476</v>
      </c>
      <c r="AQ1129" s="3441" t="s">
        <v>3571</v>
      </c>
      <c r="AW1129" s="3470" t="s">
        <v>3572</v>
      </c>
      <c r="AX1129" s="3484"/>
      <c r="AY1129" s="3441">
        <v>530030</v>
      </c>
      <c r="AZ1129" s="3441" t="s">
        <v>4286</v>
      </c>
      <c r="BA1129" s="3441" t="s">
        <v>10960</v>
      </c>
      <c r="BB1129" s="3524" t="s">
        <v>5905</v>
      </c>
      <c r="BC1129" s="3441" t="s">
        <v>4443</v>
      </c>
      <c r="BD1129" s="3441">
        <v>100873</v>
      </c>
      <c r="BE1129" s="3441">
        <v>68498961</v>
      </c>
      <c r="BF1129" s="3520">
        <v>2.8</v>
      </c>
      <c r="BG1129" s="3518">
        <v>37913</v>
      </c>
      <c r="BH1129" s="3470"/>
      <c r="BI1129" s="3441" t="s">
        <v>8464</v>
      </c>
      <c r="BJ1129" s="3484">
        <v>37950</v>
      </c>
      <c r="BK1129" s="3518"/>
      <c r="BL1129" s="3441" t="s">
        <v>3594</v>
      </c>
    </row>
    <row r="1130" spans="1:70" s="3441" customFormat="1" ht="12" hidden="1">
      <c r="A1130" s="3453" t="s">
        <v>10961</v>
      </c>
      <c r="B1130" s="3470" t="s">
        <v>10962</v>
      </c>
      <c r="C1130" s="3481" t="s">
        <v>10963</v>
      </c>
      <c r="D1130" s="3454" t="s">
        <v>10964</v>
      </c>
      <c r="E1130" s="3470" t="s">
        <v>2736</v>
      </c>
      <c r="F1130" s="3528" t="s">
        <v>5792</v>
      </c>
      <c r="G1130" s="3470"/>
      <c r="H1130" s="3470" t="s">
        <v>4471</v>
      </c>
      <c r="I1130" s="3470" t="s">
        <v>3726</v>
      </c>
      <c r="J1130" s="3481" t="s">
        <v>3492</v>
      </c>
      <c r="K1130" s="3470" t="s">
        <v>4811</v>
      </c>
      <c r="L1130" s="3470">
        <v>109.9</v>
      </c>
      <c r="M1130" s="3470">
        <v>6</v>
      </c>
      <c r="N1130" s="3486" t="s">
        <v>3661</v>
      </c>
      <c r="O1130" s="3470">
        <v>95.84</v>
      </c>
      <c r="P1130" s="3470" t="s">
        <v>3452</v>
      </c>
      <c r="Q1130" s="3457">
        <v>569282</v>
      </c>
      <c r="R1130" s="3470">
        <v>5180</v>
      </c>
      <c r="S1130" s="3472">
        <v>56.35</v>
      </c>
      <c r="T1130" s="3550">
        <v>563500</v>
      </c>
      <c r="U1130" s="3470">
        <v>5128</v>
      </c>
      <c r="V1130" s="3474">
        <v>0.1</v>
      </c>
      <c r="W1130" s="3475">
        <v>50.71</v>
      </c>
      <c r="X1130" s="3611">
        <v>507100</v>
      </c>
      <c r="Y1130" s="3441">
        <v>2003</v>
      </c>
      <c r="Z1130" s="3441">
        <v>12</v>
      </c>
      <c r="AA1130" s="3470">
        <v>5</v>
      </c>
      <c r="AB1130" s="3477">
        <v>2815</v>
      </c>
      <c r="AC1130" s="3470" t="s">
        <v>9077</v>
      </c>
      <c r="AD1130" s="3485"/>
      <c r="AE1130" s="3441" t="s">
        <v>3663</v>
      </c>
      <c r="AF1130" s="3490" t="s">
        <v>7751</v>
      </c>
      <c r="AG1130" s="3522" t="s">
        <v>3466</v>
      </c>
      <c r="AH1130" s="3485"/>
      <c r="AI1130" s="3470" t="s">
        <v>3664</v>
      </c>
      <c r="AJ1130" s="3523">
        <v>38166</v>
      </c>
      <c r="AK1130" s="3612" t="s">
        <v>3467</v>
      </c>
      <c r="AL1130" s="3441">
        <v>67641700</v>
      </c>
      <c r="AN1130" s="3480" t="s">
        <v>3570</v>
      </c>
      <c r="AO1130" s="3470" t="s">
        <v>10965</v>
      </c>
      <c r="AP1130" s="3456" t="s">
        <v>3476</v>
      </c>
      <c r="AQ1130" s="3441" t="s">
        <v>3571</v>
      </c>
      <c r="AW1130" s="3441" t="s">
        <v>3572</v>
      </c>
      <c r="AY1130" s="3465" t="s">
        <v>10966</v>
      </c>
      <c r="AZ1130" s="3441" t="s">
        <v>4811</v>
      </c>
      <c r="BA1130" s="3441" t="s">
        <v>10447</v>
      </c>
      <c r="BB1130" s="3524" t="s">
        <v>4813</v>
      </c>
      <c r="BC1130" s="3441" t="s">
        <v>10448</v>
      </c>
      <c r="BD1130" s="3525">
        <v>101500</v>
      </c>
      <c r="BE1130" s="3441">
        <v>62964593</v>
      </c>
      <c r="BF1130" s="3526">
        <v>2.8</v>
      </c>
      <c r="BG1130" s="3478">
        <v>37923</v>
      </c>
      <c r="BI1130" s="3470" t="s">
        <v>3476</v>
      </c>
      <c r="BJ1130" s="3478">
        <v>37958</v>
      </c>
      <c r="BK1130" s="3484"/>
      <c r="BL1130" s="3441" t="s">
        <v>3594</v>
      </c>
    </row>
    <row r="1131" spans="1:70" s="3441" customFormat="1" ht="12" hidden="1">
      <c r="A1131" s="3485" t="s">
        <v>10967</v>
      </c>
      <c r="B1131" s="3470" t="s">
        <v>10968</v>
      </c>
      <c r="C1131" s="3481" t="s">
        <v>10969</v>
      </c>
      <c r="D1131" s="3481" t="s">
        <v>10970</v>
      </c>
      <c r="E1131" s="3470" t="s">
        <v>3558</v>
      </c>
      <c r="F1131" s="3528" t="s">
        <v>3733</v>
      </c>
      <c r="G1131" s="3470"/>
      <c r="H1131" s="3470" t="s">
        <v>9875</v>
      </c>
      <c r="I1131" s="3470" t="s">
        <v>8778</v>
      </c>
      <c r="J1131" s="3470" t="s">
        <v>4473</v>
      </c>
      <c r="K1131" s="3470" t="s">
        <v>3737</v>
      </c>
      <c r="L1131" s="3470">
        <v>75.19</v>
      </c>
      <c r="M1131" s="3470">
        <v>10</v>
      </c>
      <c r="N1131" s="3470" t="s">
        <v>3451</v>
      </c>
      <c r="O1131" s="3470">
        <v>60.28</v>
      </c>
      <c r="P1131" s="3470" t="s">
        <v>3452</v>
      </c>
      <c r="Q1131" s="3492">
        <v>478208.39999999997</v>
      </c>
      <c r="R1131" s="3470">
        <v>6360</v>
      </c>
      <c r="S1131" s="3472">
        <v>47.4</v>
      </c>
      <c r="T1131" s="3527">
        <v>474000</v>
      </c>
      <c r="U1131" s="3470">
        <v>6305</v>
      </c>
      <c r="V1131" s="3474">
        <v>0.1</v>
      </c>
      <c r="W1131" s="3475">
        <v>42.66</v>
      </c>
      <c r="X1131" s="3494">
        <v>426599.99999999994</v>
      </c>
      <c r="Y1131" s="3441">
        <v>2003</v>
      </c>
      <c r="Z1131" s="3441">
        <v>12</v>
      </c>
      <c r="AA1131" s="3470">
        <v>5</v>
      </c>
      <c r="AB1131" s="3477">
        <v>2370</v>
      </c>
      <c r="AC1131" s="3470" t="s">
        <v>4761</v>
      </c>
      <c r="AD1131" s="3485"/>
      <c r="AE1131" s="3441" t="s">
        <v>3663</v>
      </c>
      <c r="AF1131" s="3470" t="s">
        <v>3604</v>
      </c>
      <c r="AG1131" s="3522" t="s">
        <v>3466</v>
      </c>
      <c r="AH1131" s="3485"/>
      <c r="AI1131" s="3470" t="s">
        <v>5021</v>
      </c>
      <c r="AJ1131" s="3523">
        <v>38122</v>
      </c>
      <c r="AK1131" s="3612" t="s">
        <v>3467</v>
      </c>
      <c r="AL1131" s="3441">
        <v>67641700</v>
      </c>
      <c r="AN1131" s="3480" t="s">
        <v>3570</v>
      </c>
      <c r="AO1131" s="3470" t="s">
        <v>10971</v>
      </c>
      <c r="AP1131" s="3441" t="s">
        <v>3476</v>
      </c>
      <c r="AQ1131" s="3441" t="s">
        <v>3571</v>
      </c>
      <c r="AW1131" s="3441" t="s">
        <v>3572</v>
      </c>
      <c r="AY1131" s="3524" t="s">
        <v>10972</v>
      </c>
      <c r="AZ1131" s="3441" t="s">
        <v>3737</v>
      </c>
      <c r="BA1131" s="3441" t="s">
        <v>3742</v>
      </c>
      <c r="BB1131" s="3524" t="s">
        <v>3743</v>
      </c>
      <c r="BC1131" s="3441" t="s">
        <v>3744</v>
      </c>
      <c r="BD1131" s="3525">
        <v>100088</v>
      </c>
      <c r="BE1131" s="3441">
        <v>82058259</v>
      </c>
      <c r="BF1131" s="3526" t="s">
        <v>8595</v>
      </c>
      <c r="BG1131" s="3478">
        <v>37931</v>
      </c>
      <c r="BH1131" s="3441" t="s">
        <v>4753</v>
      </c>
      <c r="BI1131" s="3441" t="s">
        <v>3476</v>
      </c>
      <c r="BJ1131" s="3478">
        <v>37957</v>
      </c>
      <c r="BK1131" s="3484" t="s">
        <v>2420</v>
      </c>
      <c r="BL1131" s="3470" t="s">
        <v>3670</v>
      </c>
    </row>
    <row r="1132" spans="1:70" s="3441" customFormat="1" ht="12" hidden="1">
      <c r="A1132" s="3485" t="s">
        <v>10973</v>
      </c>
      <c r="B1132" s="3470" t="s">
        <v>10974</v>
      </c>
      <c r="C1132" s="3481" t="s">
        <v>10975</v>
      </c>
      <c r="D1132" s="3481" t="s">
        <v>10976</v>
      </c>
      <c r="E1132" s="3470" t="s">
        <v>3558</v>
      </c>
      <c r="F1132" s="3528" t="s">
        <v>7652</v>
      </c>
      <c r="G1132" s="3470"/>
      <c r="H1132" s="3470" t="s">
        <v>4281</v>
      </c>
      <c r="I1132" s="3470" t="s">
        <v>4011</v>
      </c>
      <c r="J1132" s="3481" t="s">
        <v>3777</v>
      </c>
      <c r="K1132" s="3470" t="s">
        <v>6369</v>
      </c>
      <c r="L1132" s="3470">
        <v>88.27</v>
      </c>
      <c r="M1132" s="3470">
        <v>7</v>
      </c>
      <c r="N1132" s="3542" t="s">
        <v>3451</v>
      </c>
      <c r="O1132" s="3470">
        <v>71.400000000000006</v>
      </c>
      <c r="P1132" s="3470" t="s">
        <v>3452</v>
      </c>
      <c r="Q1132" s="3457">
        <v>424137.35</v>
      </c>
      <c r="R1132" s="3470">
        <v>4805</v>
      </c>
      <c r="S1132" s="3472">
        <v>41.97</v>
      </c>
      <c r="T1132" s="3527">
        <v>419700</v>
      </c>
      <c r="U1132" s="3470">
        <v>4755</v>
      </c>
      <c r="V1132" s="3512">
        <v>0.1</v>
      </c>
      <c r="W1132" s="3475">
        <v>37.770000000000003</v>
      </c>
      <c r="X1132" s="3473">
        <v>377700</v>
      </c>
      <c r="Y1132" s="3441">
        <v>2003</v>
      </c>
      <c r="Z1132" s="3441">
        <v>12</v>
      </c>
      <c r="AA1132" s="3470">
        <v>1</v>
      </c>
      <c r="AB1132" s="3485">
        <v>2095</v>
      </c>
      <c r="AC1132" s="3470" t="s">
        <v>8840</v>
      </c>
      <c r="AD1132" s="3485"/>
      <c r="AE1132" s="3441" t="s">
        <v>3663</v>
      </c>
      <c r="AF1132" s="3470" t="s">
        <v>4126</v>
      </c>
      <c r="AG1132" s="3522" t="s">
        <v>3466</v>
      </c>
      <c r="AH1132" s="3485" t="s">
        <v>3568</v>
      </c>
      <c r="AI1132" s="3470" t="s">
        <v>5021</v>
      </c>
      <c r="AJ1132" s="3523">
        <v>37986</v>
      </c>
      <c r="AK1132" s="3603" t="s">
        <v>3467</v>
      </c>
      <c r="AL1132" s="3441">
        <v>67641700</v>
      </c>
      <c r="AN1132" s="3456" t="s">
        <v>3570</v>
      </c>
      <c r="AP1132" s="3441" t="s">
        <v>3476</v>
      </c>
      <c r="AQ1132" s="3441" t="s">
        <v>3571</v>
      </c>
      <c r="AV1132" s="3441" t="s">
        <v>3568</v>
      </c>
      <c r="AW1132" s="3441" t="s">
        <v>3572</v>
      </c>
      <c r="AY1132" s="3524" t="s">
        <v>10977</v>
      </c>
      <c r="AZ1132" s="3441" t="s">
        <v>6369</v>
      </c>
      <c r="BA1132" s="3441" t="s">
        <v>7655</v>
      </c>
      <c r="BB1132" s="3524" t="s">
        <v>7656</v>
      </c>
      <c r="BC1132" s="3441" t="s">
        <v>7657</v>
      </c>
      <c r="BD1132" s="3525">
        <v>100025</v>
      </c>
      <c r="BE1132" s="3441">
        <v>62908858</v>
      </c>
      <c r="BF1132" s="3526">
        <v>2.7</v>
      </c>
      <c r="BG1132" s="3518">
        <v>37926</v>
      </c>
      <c r="BH1132" s="3441" t="s">
        <v>4681</v>
      </c>
      <c r="BI1132" s="3441" t="s">
        <v>3476</v>
      </c>
      <c r="BJ1132" s="3478">
        <v>37951</v>
      </c>
      <c r="BK1132" s="3484"/>
      <c r="BL1132" s="3470" t="s">
        <v>3670</v>
      </c>
    </row>
    <row r="1133" spans="1:70" s="3441" customFormat="1" ht="12" hidden="1">
      <c r="A1133" s="3485" t="s">
        <v>10978</v>
      </c>
      <c r="B1133" s="3470" t="s">
        <v>10979</v>
      </c>
      <c r="C1133" s="3481" t="s">
        <v>10980</v>
      </c>
      <c r="D1133" s="3481" t="s">
        <v>10981</v>
      </c>
      <c r="E1133" s="3470" t="s">
        <v>3558</v>
      </c>
      <c r="F1133" s="3528" t="s">
        <v>7652</v>
      </c>
      <c r="G1133" s="3470"/>
      <c r="H1133" s="3470" t="s">
        <v>3614</v>
      </c>
      <c r="I1133" s="3470" t="s">
        <v>4535</v>
      </c>
      <c r="J1133" s="3481" t="s">
        <v>10982</v>
      </c>
      <c r="K1133" s="3470" t="s">
        <v>6369</v>
      </c>
      <c r="L1133" s="3470">
        <v>104.34</v>
      </c>
      <c r="M1133" s="3470">
        <v>3</v>
      </c>
      <c r="N1133" s="3542" t="s">
        <v>3491</v>
      </c>
      <c r="O1133" s="3470">
        <v>82.52</v>
      </c>
      <c r="P1133" s="3470" t="s">
        <v>3452</v>
      </c>
      <c r="Q1133" s="3457">
        <v>473703.6</v>
      </c>
      <c r="R1133" s="3470">
        <v>4540</v>
      </c>
      <c r="S1133" s="3472">
        <v>46.84</v>
      </c>
      <c r="T1133" s="3527">
        <v>468400</v>
      </c>
      <c r="U1133" s="3470">
        <v>4490</v>
      </c>
      <c r="V1133" s="3512">
        <v>0.1</v>
      </c>
      <c r="W1133" s="3475">
        <v>42.15</v>
      </c>
      <c r="X1133" s="3473">
        <v>421500</v>
      </c>
      <c r="Y1133" s="3441">
        <v>2003</v>
      </c>
      <c r="Z1133" s="3441">
        <v>12</v>
      </c>
      <c r="AA1133" s="3470">
        <v>1</v>
      </c>
      <c r="AB1133" s="3485">
        <v>2340</v>
      </c>
      <c r="AC1133" s="3470" t="s">
        <v>10983</v>
      </c>
      <c r="AD1133" s="3485"/>
      <c r="AE1133" s="3441" t="s">
        <v>3663</v>
      </c>
      <c r="AF1133" s="3470" t="s">
        <v>4126</v>
      </c>
      <c r="AG1133" s="3522" t="s">
        <v>3466</v>
      </c>
      <c r="AH1133" s="3485" t="s">
        <v>3568</v>
      </c>
      <c r="AI1133" s="3470" t="s">
        <v>5021</v>
      </c>
      <c r="AJ1133" s="3523">
        <v>38077</v>
      </c>
      <c r="AK1133" s="3603" t="s">
        <v>3467</v>
      </c>
      <c r="AL1133" s="3441">
        <v>67641700</v>
      </c>
      <c r="AN1133" s="3456" t="s">
        <v>3570</v>
      </c>
      <c r="AP1133" s="3441" t="s">
        <v>3476</v>
      </c>
      <c r="AQ1133" s="3441" t="s">
        <v>3571</v>
      </c>
      <c r="AV1133" s="3441" t="s">
        <v>3568</v>
      </c>
      <c r="AW1133" s="3441" t="s">
        <v>3572</v>
      </c>
      <c r="AY1133" s="3524" t="s">
        <v>10984</v>
      </c>
      <c r="AZ1133" s="3441" t="s">
        <v>6369</v>
      </c>
      <c r="BA1133" s="3441" t="s">
        <v>7655</v>
      </c>
      <c r="BB1133" s="3524" t="s">
        <v>7656</v>
      </c>
      <c r="BC1133" s="3441" t="s">
        <v>7657</v>
      </c>
      <c r="BD1133" s="3525">
        <v>100025</v>
      </c>
      <c r="BE1133" s="3441">
        <v>62908858</v>
      </c>
      <c r="BF1133" s="3526">
        <v>2.7</v>
      </c>
      <c r="BG1133" s="3518">
        <v>37894</v>
      </c>
      <c r="BH1133" s="3441" t="s">
        <v>4681</v>
      </c>
      <c r="BI1133" s="3441" t="s">
        <v>3476</v>
      </c>
      <c r="BJ1133" s="3478">
        <v>37946</v>
      </c>
      <c r="BK1133" s="3484"/>
      <c r="BL1133" s="3470" t="s">
        <v>3670</v>
      </c>
    </row>
    <row r="1134" spans="1:70" s="3441" customFormat="1" ht="12" hidden="1">
      <c r="A1134" s="3485" t="s">
        <v>10985</v>
      </c>
      <c r="B1134" s="3470" t="s">
        <v>10986</v>
      </c>
      <c r="C1134" s="3481" t="s">
        <v>10987</v>
      </c>
      <c r="D1134" s="3481" t="s">
        <v>10988</v>
      </c>
      <c r="E1134" s="3470" t="s">
        <v>3558</v>
      </c>
      <c r="F1134" s="3528" t="s">
        <v>3733</v>
      </c>
      <c r="G1134" s="3470"/>
      <c r="H1134" s="3470" t="s">
        <v>8904</v>
      </c>
      <c r="I1134" s="3470" t="s">
        <v>4535</v>
      </c>
      <c r="J1134" s="3470" t="s">
        <v>4473</v>
      </c>
      <c r="K1134" s="3470" t="s">
        <v>3737</v>
      </c>
      <c r="L1134" s="3470">
        <v>75.45</v>
      </c>
      <c r="M1134" s="3470">
        <v>3</v>
      </c>
      <c r="N1134" s="3470" t="s">
        <v>3451</v>
      </c>
      <c r="O1134" s="3470">
        <v>60.28</v>
      </c>
      <c r="P1134" s="3470" t="s">
        <v>3452</v>
      </c>
      <c r="Q1134" s="3600">
        <v>424029</v>
      </c>
      <c r="R1134" s="3470">
        <v>5620</v>
      </c>
      <c r="S1134" s="3472">
        <v>41.98</v>
      </c>
      <c r="T1134" s="3527">
        <v>419800</v>
      </c>
      <c r="U1134" s="3470">
        <v>5565</v>
      </c>
      <c r="V1134" s="3474">
        <v>0.1</v>
      </c>
      <c r="W1134" s="3475">
        <v>37.78</v>
      </c>
      <c r="X1134" s="3494">
        <v>377800</v>
      </c>
      <c r="Y1134" s="3441">
        <v>2003</v>
      </c>
      <c r="Z1134" s="3441">
        <v>12</v>
      </c>
      <c r="AA1134" s="3441">
        <v>3</v>
      </c>
      <c r="AB1134" s="3477">
        <v>2095</v>
      </c>
      <c r="AC1134" s="3470" t="s">
        <v>4800</v>
      </c>
      <c r="AD1134" s="3485"/>
      <c r="AE1134" s="3441" t="s">
        <v>3663</v>
      </c>
      <c r="AF1134" s="3470" t="s">
        <v>3604</v>
      </c>
      <c r="AG1134" s="3522" t="s">
        <v>3466</v>
      </c>
      <c r="AH1134" s="3485"/>
      <c r="AI1134" s="3470" t="s">
        <v>5021</v>
      </c>
      <c r="AJ1134" s="3523">
        <v>38045</v>
      </c>
      <c r="AK1134" s="3603" t="s">
        <v>3467</v>
      </c>
      <c r="AL1134" s="3441">
        <v>67641700</v>
      </c>
      <c r="AN1134" s="3456" t="s">
        <v>3570</v>
      </c>
      <c r="AO1134" s="3441" t="s">
        <v>10989</v>
      </c>
      <c r="AP1134" s="3441" t="s">
        <v>3476</v>
      </c>
      <c r="AQ1134" s="3441" t="s">
        <v>3571</v>
      </c>
      <c r="AW1134" s="3441" t="s">
        <v>3572</v>
      </c>
      <c r="AY1134" s="3524" t="s">
        <v>10990</v>
      </c>
      <c r="AZ1134" s="3441" t="s">
        <v>3737</v>
      </c>
      <c r="BA1134" s="3441" t="s">
        <v>3742</v>
      </c>
      <c r="BB1134" s="3524" t="s">
        <v>3743</v>
      </c>
      <c r="BC1134" s="3441" t="s">
        <v>3744</v>
      </c>
      <c r="BD1134" s="3525">
        <v>100088</v>
      </c>
      <c r="BE1134" s="3441">
        <v>82058259</v>
      </c>
      <c r="BF1134" s="3526" t="s">
        <v>8595</v>
      </c>
      <c r="BG1134" s="3478">
        <v>37864</v>
      </c>
      <c r="BH1134" s="3441" t="s">
        <v>4753</v>
      </c>
      <c r="BI1134" s="3441" t="s">
        <v>3476</v>
      </c>
      <c r="BJ1134" s="3478">
        <v>37951</v>
      </c>
      <c r="BK1134" s="3484" t="s">
        <v>2420</v>
      </c>
      <c r="BL1134" s="3470" t="s">
        <v>3670</v>
      </c>
    </row>
    <row r="1135" spans="1:70" s="3441" customFormat="1" ht="12" hidden="1">
      <c r="A1135" s="3485" t="s">
        <v>10991</v>
      </c>
      <c r="B1135" s="3470" t="s">
        <v>10992</v>
      </c>
      <c r="C1135" s="3481" t="s">
        <v>10993</v>
      </c>
      <c r="D1135" s="3481" t="s">
        <v>10994</v>
      </c>
      <c r="E1135" s="3470" t="s">
        <v>3558</v>
      </c>
      <c r="F1135" s="3528" t="s">
        <v>3733</v>
      </c>
      <c r="G1135" s="3470"/>
      <c r="H1135" s="3470" t="s">
        <v>10995</v>
      </c>
      <c r="I1135" s="3470" t="s">
        <v>4535</v>
      </c>
      <c r="J1135" s="3470" t="s">
        <v>9397</v>
      </c>
      <c r="K1135" s="3470" t="s">
        <v>3737</v>
      </c>
      <c r="L1135" s="3470">
        <v>88.67</v>
      </c>
      <c r="M1135" s="3470">
        <v>3</v>
      </c>
      <c r="N1135" s="3470" t="s">
        <v>3491</v>
      </c>
      <c r="O1135" s="3470">
        <v>71.09</v>
      </c>
      <c r="P1135" s="3470" t="s">
        <v>3452</v>
      </c>
      <c r="Q1135" s="3600">
        <v>540887</v>
      </c>
      <c r="R1135" s="3470">
        <v>6100</v>
      </c>
      <c r="S1135" s="3472">
        <v>53.55</v>
      </c>
      <c r="T1135" s="3527">
        <v>535500</v>
      </c>
      <c r="U1135" s="3470">
        <v>6040</v>
      </c>
      <c r="V1135" s="3474">
        <v>0.1</v>
      </c>
      <c r="W1135" s="3475">
        <v>48.19</v>
      </c>
      <c r="X1135" s="3494">
        <v>481900</v>
      </c>
      <c r="Y1135" s="3441">
        <v>2003</v>
      </c>
      <c r="Z1135" s="3441">
        <v>12</v>
      </c>
      <c r="AA1135" s="3441">
        <v>4</v>
      </c>
      <c r="AB1135" s="3477">
        <v>2675</v>
      </c>
      <c r="AC1135" s="3470" t="s">
        <v>9383</v>
      </c>
      <c r="AD1135" s="3485"/>
      <c r="AE1135" s="3441" t="s">
        <v>3663</v>
      </c>
      <c r="AF1135" s="3470" t="s">
        <v>3604</v>
      </c>
      <c r="AG1135" s="3522" t="s">
        <v>3466</v>
      </c>
      <c r="AH1135" s="3485"/>
      <c r="AI1135" s="3470" t="s">
        <v>5021</v>
      </c>
      <c r="AJ1135" s="3523">
        <v>38132</v>
      </c>
      <c r="AK1135" s="3603" t="s">
        <v>3467</v>
      </c>
      <c r="AL1135" s="3441">
        <v>67641700</v>
      </c>
      <c r="AN1135" s="3456" t="s">
        <v>3570</v>
      </c>
      <c r="AO1135" s="3470" t="s">
        <v>10996</v>
      </c>
      <c r="AP1135" s="3441" t="s">
        <v>3476</v>
      </c>
      <c r="AQ1135" s="3441" t="s">
        <v>3571</v>
      </c>
      <c r="AW1135" s="3441" t="s">
        <v>3572</v>
      </c>
      <c r="AY1135" s="3524" t="s">
        <v>10997</v>
      </c>
      <c r="AZ1135" s="3441" t="s">
        <v>3737</v>
      </c>
      <c r="BA1135" s="3441" t="s">
        <v>3742</v>
      </c>
      <c r="BB1135" s="3524" t="s">
        <v>3743</v>
      </c>
      <c r="BC1135" s="3441" t="s">
        <v>3744</v>
      </c>
      <c r="BD1135" s="3525">
        <v>100088</v>
      </c>
      <c r="BE1135" s="3441">
        <v>82058259</v>
      </c>
      <c r="BF1135" s="3526" t="s">
        <v>8595</v>
      </c>
      <c r="BG1135" s="3478">
        <v>37947</v>
      </c>
      <c r="BH1135" s="3441" t="s">
        <v>4753</v>
      </c>
      <c r="BI1135" s="3441" t="s">
        <v>3476</v>
      </c>
      <c r="BJ1135" s="3478">
        <v>37957</v>
      </c>
      <c r="BK1135" s="3484" t="s">
        <v>2420</v>
      </c>
      <c r="BL1135" s="3470" t="s">
        <v>3670</v>
      </c>
    </row>
    <row r="1136" spans="1:70" s="3470" customFormat="1" ht="12" hidden="1">
      <c r="A1136" s="3453" t="s">
        <v>10998</v>
      </c>
      <c r="B1136" s="3470" t="s">
        <v>10999</v>
      </c>
      <c r="C1136" s="3481" t="s">
        <v>11000</v>
      </c>
      <c r="D1136" s="3470">
        <v>13801356172</v>
      </c>
      <c r="E1136" s="3470" t="s">
        <v>2736</v>
      </c>
      <c r="F1136" s="3470" t="s">
        <v>4782</v>
      </c>
      <c r="H1136" s="3470" t="s">
        <v>4281</v>
      </c>
      <c r="I1136" s="3470" t="s">
        <v>4124</v>
      </c>
      <c r="J1136" s="3470" t="s">
        <v>11001</v>
      </c>
      <c r="K1136" s="3470" t="s">
        <v>4789</v>
      </c>
      <c r="L1136" s="3470">
        <v>61.74</v>
      </c>
      <c r="M1136" s="3470">
        <v>8</v>
      </c>
      <c r="N1136" s="3470" t="s">
        <v>3489</v>
      </c>
      <c r="O1136" s="3470">
        <v>48.43</v>
      </c>
      <c r="P1136" s="3470" t="s">
        <v>3452</v>
      </c>
      <c r="Q1136" s="3457">
        <v>347596.2</v>
      </c>
      <c r="R1136" s="3470">
        <v>5630</v>
      </c>
      <c r="S1136" s="3472">
        <v>34.42</v>
      </c>
      <c r="T1136" s="3527">
        <v>344200</v>
      </c>
      <c r="U1136" s="3470">
        <v>5576</v>
      </c>
      <c r="V1136" s="3474">
        <v>0.1</v>
      </c>
      <c r="W1136" s="3475">
        <v>30.97</v>
      </c>
      <c r="X1136" s="3476">
        <v>309700</v>
      </c>
      <c r="Y1136" s="3470">
        <v>2003</v>
      </c>
      <c r="Z1136" s="3441">
        <v>12</v>
      </c>
      <c r="AA1136" s="3441">
        <v>1</v>
      </c>
      <c r="AB1136" s="3477">
        <v>1720</v>
      </c>
      <c r="AC1136" s="3470" t="s">
        <v>9007</v>
      </c>
      <c r="AE1136" s="3470" t="s">
        <v>3663</v>
      </c>
      <c r="AF1136" s="3453" t="s">
        <v>7751</v>
      </c>
      <c r="AG1136" s="3470" t="s">
        <v>3466</v>
      </c>
      <c r="AI1136" s="3470" t="s">
        <v>3664</v>
      </c>
      <c r="AJ1136" s="3478">
        <v>38261</v>
      </c>
      <c r="AK1136" s="3603" t="s">
        <v>3467</v>
      </c>
      <c r="AL1136" s="3441">
        <v>67641700</v>
      </c>
      <c r="AM1136" s="3441"/>
      <c r="AN1136" s="3456" t="s">
        <v>3570</v>
      </c>
      <c r="AP1136" s="3441" t="s">
        <v>3476</v>
      </c>
      <c r="AQ1136" s="3470" t="s">
        <v>3457</v>
      </c>
      <c r="AW1136" s="3470" t="s">
        <v>3458</v>
      </c>
      <c r="AX1136" s="3508"/>
      <c r="AY1136" s="3470">
        <v>552383</v>
      </c>
      <c r="AZ1136" s="3470" t="s">
        <v>4789</v>
      </c>
      <c r="BA1136" s="3470" t="s">
        <v>8741</v>
      </c>
      <c r="BB1136" s="3470" t="s">
        <v>4791</v>
      </c>
      <c r="BC1136" s="3470" t="s">
        <v>8742</v>
      </c>
      <c r="BD1136" s="3470">
        <v>102308</v>
      </c>
      <c r="BE1136" s="3470">
        <v>68041987</v>
      </c>
      <c r="BF1136" s="3470">
        <v>2.8</v>
      </c>
      <c r="BG1136" s="3478">
        <v>37877</v>
      </c>
      <c r="BI1136" s="3470" t="s">
        <v>3476</v>
      </c>
      <c r="BJ1136" s="3484">
        <v>37953</v>
      </c>
      <c r="BK1136" s="3478"/>
      <c r="BL1136" s="3470" t="s">
        <v>3594</v>
      </c>
      <c r="BP1136" s="3441"/>
      <c r="BQ1136" s="3441"/>
      <c r="BR1136" s="3441"/>
    </row>
    <row r="1137" spans="1:70" s="3470" customFormat="1" ht="12" hidden="1">
      <c r="A1137" s="3453" t="s">
        <v>11002</v>
      </c>
      <c r="B1137" s="3470" t="s">
        <v>11003</v>
      </c>
      <c r="C1137" s="3481" t="s">
        <v>11004</v>
      </c>
      <c r="D1137" s="3470">
        <v>13601251549</v>
      </c>
      <c r="E1137" s="3470" t="s">
        <v>3558</v>
      </c>
      <c r="F1137" s="3470" t="s">
        <v>3559</v>
      </c>
      <c r="H1137" s="3453" t="s">
        <v>5304</v>
      </c>
      <c r="I1137" s="3453" t="s">
        <v>4854</v>
      </c>
      <c r="J1137" s="3453" t="s">
        <v>6219</v>
      </c>
      <c r="K1137" s="3470" t="s">
        <v>7737</v>
      </c>
      <c r="L1137" s="3495">
        <v>104.8</v>
      </c>
      <c r="M1137" s="3495">
        <v>11</v>
      </c>
      <c r="N1137" s="3453" t="s">
        <v>3451</v>
      </c>
      <c r="O1137" s="3495">
        <v>84.99</v>
      </c>
      <c r="P1137" s="3470" t="s">
        <v>3452</v>
      </c>
      <c r="Q1137" s="3457">
        <v>493031.6</v>
      </c>
      <c r="R1137" s="3470">
        <v>4704.5</v>
      </c>
      <c r="S1137" s="3472">
        <v>48.78</v>
      </c>
      <c r="T1137" s="3527">
        <v>487800</v>
      </c>
      <c r="U1137" s="3470">
        <v>4655</v>
      </c>
      <c r="V1137" s="3512">
        <v>0.05</v>
      </c>
      <c r="W1137" s="3475">
        <v>46.34</v>
      </c>
      <c r="X1137" s="3476">
        <v>463400</v>
      </c>
      <c r="Y1137" s="3470">
        <v>2003</v>
      </c>
      <c r="Z1137" s="3441">
        <v>12</v>
      </c>
      <c r="AA1137" s="3470">
        <v>1</v>
      </c>
      <c r="AB1137" s="3477">
        <v>2435</v>
      </c>
      <c r="AC1137" s="3470" t="s">
        <v>4761</v>
      </c>
      <c r="AE1137" s="3456" t="s">
        <v>3663</v>
      </c>
      <c r="AF1137" s="3453" t="s">
        <v>3493</v>
      </c>
      <c r="AG1137" s="3470" t="s">
        <v>3466</v>
      </c>
      <c r="AH1137" s="3470" t="s">
        <v>3568</v>
      </c>
      <c r="AI1137" s="3456" t="s">
        <v>5021</v>
      </c>
      <c r="AJ1137" s="3478">
        <v>37980</v>
      </c>
      <c r="AK1137" s="3603" t="s">
        <v>3467</v>
      </c>
      <c r="AL1137" s="3441">
        <v>67641700</v>
      </c>
      <c r="AM1137" s="3441"/>
      <c r="AN1137" s="3456" t="s">
        <v>3570</v>
      </c>
      <c r="AO1137" s="3470" t="s">
        <v>3568</v>
      </c>
      <c r="AP1137" s="3456" t="s">
        <v>3476</v>
      </c>
      <c r="AQ1137" s="3456" t="s">
        <v>3571</v>
      </c>
      <c r="AV1137" s="3519"/>
      <c r="AW1137" s="3470" t="s">
        <v>3572</v>
      </c>
      <c r="AY1137" s="3495">
        <v>318403</v>
      </c>
      <c r="AZ1137" s="3470" t="s">
        <v>7737</v>
      </c>
      <c r="BA1137" s="3470" t="s">
        <v>9926</v>
      </c>
      <c r="BB1137" s="3481" t="s">
        <v>9581</v>
      </c>
      <c r="BC1137" s="3470" t="s">
        <v>3576</v>
      </c>
      <c r="BD1137" s="3470">
        <v>100035</v>
      </c>
      <c r="BE1137" s="3470">
        <v>84050010</v>
      </c>
      <c r="BF1137" s="3520">
        <v>2.8</v>
      </c>
      <c r="BG1137" s="3478">
        <v>37936</v>
      </c>
      <c r="BI1137" s="3441" t="s">
        <v>3476</v>
      </c>
      <c r="BJ1137" s="3478">
        <v>37953</v>
      </c>
      <c r="BK1137" s="3470" t="s">
        <v>3568</v>
      </c>
      <c r="BL1137" s="3441" t="s">
        <v>3670</v>
      </c>
      <c r="BP1137" s="3441"/>
      <c r="BQ1137" s="3441"/>
      <c r="BR1137" s="3441"/>
    </row>
    <row r="1138" spans="1:70" s="3441" customFormat="1" ht="12" hidden="1">
      <c r="A1138" s="3453" t="s">
        <v>11005</v>
      </c>
      <c r="B1138" s="3470" t="s">
        <v>11006</v>
      </c>
      <c r="C1138" s="3481" t="s">
        <v>11007</v>
      </c>
      <c r="D1138" s="3481" t="s">
        <v>11008</v>
      </c>
      <c r="E1138" s="3470" t="s">
        <v>3558</v>
      </c>
      <c r="F1138" s="3470" t="s">
        <v>4693</v>
      </c>
      <c r="G1138" s="3470"/>
      <c r="H1138" s="3470" t="s">
        <v>4453</v>
      </c>
      <c r="I1138" s="3470" t="s">
        <v>4581</v>
      </c>
      <c r="J1138" s="3481" t="s">
        <v>11009</v>
      </c>
      <c r="K1138" s="3470" t="s">
        <v>4697</v>
      </c>
      <c r="L1138" s="3470">
        <v>37.979999999999997</v>
      </c>
      <c r="M1138" s="3470">
        <v>5</v>
      </c>
      <c r="N1138" s="3470" t="s">
        <v>3692</v>
      </c>
      <c r="O1138" s="3470">
        <v>28.21</v>
      </c>
      <c r="P1138" s="3470" t="s">
        <v>3452</v>
      </c>
      <c r="Q1138" s="3457">
        <v>311094.18</v>
      </c>
      <c r="R1138" s="3470">
        <v>8191</v>
      </c>
      <c r="S1138" s="3472">
        <v>30.82</v>
      </c>
      <c r="T1138" s="3550">
        <v>308200</v>
      </c>
      <c r="U1138" s="3495">
        <v>8117</v>
      </c>
      <c r="V1138" s="3512">
        <v>0.1</v>
      </c>
      <c r="W1138" s="3475">
        <v>27.73</v>
      </c>
      <c r="X1138" s="3511">
        <v>277300</v>
      </c>
      <c r="Y1138" s="3515">
        <v>2003</v>
      </c>
      <c r="Z1138" s="3441">
        <v>12</v>
      </c>
      <c r="AA1138" s="3441">
        <v>1</v>
      </c>
      <c r="AB1138" s="3477">
        <v>1540</v>
      </c>
      <c r="AC1138" s="3470" t="s">
        <v>8840</v>
      </c>
      <c r="AD1138" s="3485"/>
      <c r="AE1138" s="3441" t="s">
        <v>3663</v>
      </c>
      <c r="AF1138" s="3470" t="s">
        <v>3587</v>
      </c>
      <c r="AG1138" s="3522" t="s">
        <v>3466</v>
      </c>
      <c r="AH1138" s="3485" t="s">
        <v>3463</v>
      </c>
      <c r="AI1138" s="3470" t="s">
        <v>5021</v>
      </c>
      <c r="AJ1138" s="3523">
        <v>38138</v>
      </c>
      <c r="AK1138" s="3603" t="s">
        <v>3467</v>
      </c>
      <c r="AL1138" s="3441">
        <v>67641700</v>
      </c>
      <c r="AN1138" s="3456" t="s">
        <v>3570</v>
      </c>
      <c r="AO1138" s="3470" t="s">
        <v>3568</v>
      </c>
      <c r="AP1138" s="3441" t="s">
        <v>3476</v>
      </c>
      <c r="AQ1138" s="3441" t="s">
        <v>3571</v>
      </c>
      <c r="AV1138" s="3441" t="s">
        <v>3568</v>
      </c>
      <c r="AW1138" s="3441" t="s">
        <v>3572</v>
      </c>
      <c r="AX1138" s="3441" t="s">
        <v>3568</v>
      </c>
      <c r="AY1138" s="3524" t="s">
        <v>11010</v>
      </c>
      <c r="AZ1138" s="3441" t="s">
        <v>4697</v>
      </c>
      <c r="BA1138" s="3441" t="s">
        <v>4700</v>
      </c>
      <c r="BB1138" s="3524" t="s">
        <v>4701</v>
      </c>
      <c r="BC1138" s="3441" t="s">
        <v>4702</v>
      </c>
      <c r="BD1138" s="3525">
        <v>100011</v>
      </c>
      <c r="BE1138" s="3441">
        <v>62351476</v>
      </c>
      <c r="BF1138" s="3526">
        <v>2.8</v>
      </c>
      <c r="BG1138" s="3518">
        <v>37930</v>
      </c>
      <c r="BI1138" s="3470" t="s">
        <v>3476</v>
      </c>
      <c r="BJ1138" s="3484">
        <v>37939</v>
      </c>
      <c r="BK1138" s="3518"/>
      <c r="BL1138" s="3470" t="s">
        <v>3670</v>
      </c>
    </row>
    <row r="1139" spans="1:70" s="3618" customFormat="1" ht="12" hidden="1">
      <c r="A1139" s="3485" t="s">
        <v>11011</v>
      </c>
      <c r="B1139" s="3470" t="s">
        <v>11012</v>
      </c>
      <c r="C1139" s="3481" t="s">
        <v>11013</v>
      </c>
      <c r="D1139" s="3481" t="s">
        <v>11014</v>
      </c>
      <c r="E1139" s="3470" t="s">
        <v>3558</v>
      </c>
      <c r="F1139" s="3528" t="s">
        <v>3733</v>
      </c>
      <c r="G1139" s="3470"/>
      <c r="H1139" s="3470" t="s">
        <v>10831</v>
      </c>
      <c r="I1139" s="3470" t="s">
        <v>10544</v>
      </c>
      <c r="J1139" s="3470" t="s">
        <v>5263</v>
      </c>
      <c r="K1139" s="3470" t="s">
        <v>3737</v>
      </c>
      <c r="L1139" s="3470">
        <v>88.67</v>
      </c>
      <c r="M1139" s="3470">
        <v>2</v>
      </c>
      <c r="N1139" s="3470" t="s">
        <v>3491</v>
      </c>
      <c r="O1139" s="3470">
        <v>71.09</v>
      </c>
      <c r="P1139" s="3470" t="s">
        <v>3452</v>
      </c>
      <c r="Q1139" s="3600">
        <v>540000.30000000005</v>
      </c>
      <c r="R1139" s="3470">
        <v>6090</v>
      </c>
      <c r="S1139" s="3472">
        <v>53.46</v>
      </c>
      <c r="T1139" s="3527">
        <v>534600</v>
      </c>
      <c r="U1139" s="3470">
        <v>6030</v>
      </c>
      <c r="V1139" s="3474">
        <v>0.1</v>
      </c>
      <c r="W1139" s="3475">
        <v>48.11</v>
      </c>
      <c r="X1139" s="3494">
        <v>481100</v>
      </c>
      <c r="Y1139" s="3441">
        <v>2003</v>
      </c>
      <c r="Z1139" s="3441">
        <v>12</v>
      </c>
      <c r="AA1139" s="3441">
        <v>1</v>
      </c>
      <c r="AB1139" s="3477">
        <v>2670</v>
      </c>
      <c r="AC1139" s="3470" t="s">
        <v>9077</v>
      </c>
      <c r="AD1139" s="3485"/>
      <c r="AE1139" s="3441" t="s">
        <v>3663</v>
      </c>
      <c r="AF1139" s="3470" t="s">
        <v>3604</v>
      </c>
      <c r="AG1139" s="3522" t="s">
        <v>3466</v>
      </c>
      <c r="AH1139" s="3485"/>
      <c r="AI1139" s="3470" t="s">
        <v>5021</v>
      </c>
      <c r="AJ1139" s="3523">
        <v>38132</v>
      </c>
      <c r="AK1139" s="3603" t="s">
        <v>3467</v>
      </c>
      <c r="AL1139" s="3441">
        <v>67641700</v>
      </c>
      <c r="AM1139" s="3441"/>
      <c r="AN1139" s="3456" t="s">
        <v>3570</v>
      </c>
      <c r="AO1139" s="3470" t="s">
        <v>2420</v>
      </c>
      <c r="AP1139" s="3441" t="s">
        <v>3476</v>
      </c>
      <c r="AQ1139" s="3441" t="s">
        <v>3571</v>
      </c>
      <c r="AR1139" s="3441"/>
      <c r="AS1139" s="3441"/>
      <c r="AT1139" s="3441"/>
      <c r="AU1139" s="3441"/>
      <c r="AV1139" s="3441"/>
      <c r="AW1139" s="3441" t="s">
        <v>3572</v>
      </c>
      <c r="AX1139" s="3441"/>
      <c r="AY1139" s="3524" t="s">
        <v>11015</v>
      </c>
      <c r="AZ1139" s="3441" t="s">
        <v>3737</v>
      </c>
      <c r="BA1139" s="3441" t="s">
        <v>3742</v>
      </c>
      <c r="BB1139" s="3524" t="s">
        <v>3743</v>
      </c>
      <c r="BC1139" s="3441" t="s">
        <v>3744</v>
      </c>
      <c r="BD1139" s="3525">
        <v>100088</v>
      </c>
      <c r="BE1139" s="3441">
        <v>82058259</v>
      </c>
      <c r="BF1139" s="3526" t="s">
        <v>8595</v>
      </c>
      <c r="BG1139" s="3478">
        <v>37946</v>
      </c>
      <c r="BH1139" s="3441" t="s">
        <v>4753</v>
      </c>
      <c r="BI1139" s="3441" t="s">
        <v>3476</v>
      </c>
      <c r="BJ1139" s="3478">
        <v>37953</v>
      </c>
      <c r="BK1139" s="3484" t="s">
        <v>2420</v>
      </c>
      <c r="BL1139" s="3470" t="s">
        <v>3670</v>
      </c>
      <c r="BM1139" s="3441"/>
      <c r="BN1139" s="3441"/>
      <c r="BO1139" s="3441"/>
      <c r="BP1139" s="3441"/>
      <c r="BQ1139" s="3441"/>
      <c r="BR1139" s="3441"/>
    </row>
    <row r="1140" spans="1:70" s="3618" customFormat="1" ht="12" hidden="1">
      <c r="A1140" s="3485" t="s">
        <v>11016</v>
      </c>
      <c r="B1140" s="3470" t="s">
        <v>11017</v>
      </c>
      <c r="C1140" s="3481" t="s">
        <v>11018</v>
      </c>
      <c r="D1140" s="3481" t="s">
        <v>11019</v>
      </c>
      <c r="E1140" s="3470" t="s">
        <v>3558</v>
      </c>
      <c r="F1140" s="3528" t="s">
        <v>3733</v>
      </c>
      <c r="G1140" s="3470"/>
      <c r="H1140" s="3470" t="s">
        <v>10789</v>
      </c>
      <c r="I1140" s="3453" t="s">
        <v>4854</v>
      </c>
      <c r="J1140" s="3470" t="s">
        <v>4042</v>
      </c>
      <c r="K1140" s="3470" t="s">
        <v>3737</v>
      </c>
      <c r="L1140" s="3470">
        <v>113.52</v>
      </c>
      <c r="M1140" s="3470">
        <v>3</v>
      </c>
      <c r="N1140" s="3453" t="s">
        <v>3661</v>
      </c>
      <c r="O1140" s="3470">
        <v>91.76</v>
      </c>
      <c r="P1140" s="3470" t="s">
        <v>3452</v>
      </c>
      <c r="Q1140" s="3492">
        <v>625041.12</v>
      </c>
      <c r="R1140" s="3470">
        <v>5506</v>
      </c>
      <c r="S1140" s="3472">
        <v>61.91</v>
      </c>
      <c r="T1140" s="3527">
        <v>619100</v>
      </c>
      <c r="U1140" s="3470">
        <v>5454</v>
      </c>
      <c r="V1140" s="3474">
        <v>0.1</v>
      </c>
      <c r="W1140" s="3475">
        <v>55.71</v>
      </c>
      <c r="X1140" s="3494">
        <v>557100</v>
      </c>
      <c r="Y1140" s="3441">
        <v>2003</v>
      </c>
      <c r="Z1140" s="3441">
        <v>12</v>
      </c>
      <c r="AA1140" s="3470">
        <v>8</v>
      </c>
      <c r="AB1140" s="3477">
        <v>3095</v>
      </c>
      <c r="AC1140" s="3470" t="s">
        <v>4800</v>
      </c>
      <c r="AD1140" s="3485"/>
      <c r="AE1140" s="3441" t="s">
        <v>3663</v>
      </c>
      <c r="AF1140" s="3470" t="s">
        <v>4126</v>
      </c>
      <c r="AG1140" s="3522" t="s">
        <v>3466</v>
      </c>
      <c r="AH1140" s="3485"/>
      <c r="AI1140" s="3470" t="s">
        <v>5021</v>
      </c>
      <c r="AJ1140" s="3523">
        <v>37975</v>
      </c>
      <c r="AK1140" s="3612" t="s">
        <v>3467</v>
      </c>
      <c r="AL1140" s="3441">
        <v>67641700</v>
      </c>
      <c r="AM1140" s="3441"/>
      <c r="AN1140" s="3480" t="s">
        <v>3695</v>
      </c>
      <c r="AO1140" s="3470" t="s">
        <v>2420</v>
      </c>
      <c r="AP1140" s="3441" t="s">
        <v>3476</v>
      </c>
      <c r="AQ1140" s="3441" t="s">
        <v>3571</v>
      </c>
      <c r="AR1140" s="3441"/>
      <c r="AS1140" s="3441"/>
      <c r="AT1140" s="3441"/>
      <c r="AU1140" s="3441"/>
      <c r="AV1140" s="3441"/>
      <c r="AW1140" s="3441" t="s">
        <v>3572</v>
      </c>
      <c r="AX1140" s="3441"/>
      <c r="AY1140" s="3524" t="s">
        <v>11020</v>
      </c>
      <c r="AZ1140" s="3441" t="s">
        <v>3737</v>
      </c>
      <c r="BA1140" s="3441" t="s">
        <v>3742</v>
      </c>
      <c r="BB1140" s="3524" t="s">
        <v>3743</v>
      </c>
      <c r="BC1140" s="3441" t="s">
        <v>3744</v>
      </c>
      <c r="BD1140" s="3525">
        <v>100088</v>
      </c>
      <c r="BE1140" s="3441">
        <v>82058259</v>
      </c>
      <c r="BF1140" s="3526" t="s">
        <v>8595</v>
      </c>
      <c r="BG1140" s="3478">
        <v>37923</v>
      </c>
      <c r="BH1140" s="3441" t="s">
        <v>4753</v>
      </c>
      <c r="BI1140" s="3441" t="s">
        <v>3476</v>
      </c>
      <c r="BJ1140" s="3478">
        <v>37952</v>
      </c>
      <c r="BK1140" s="3484">
        <v>37956</v>
      </c>
      <c r="BL1140" s="3470" t="s">
        <v>3670</v>
      </c>
      <c r="BM1140" s="3441"/>
      <c r="BN1140" s="3441"/>
      <c r="BO1140" s="3441"/>
      <c r="BP1140" s="3441"/>
      <c r="BQ1140" s="3441"/>
      <c r="BR1140" s="3441"/>
    </row>
    <row r="1141" spans="1:70" s="3441" customFormat="1" ht="12" hidden="1">
      <c r="A1141" s="3453" t="s">
        <v>11021</v>
      </c>
      <c r="B1141" s="3470" t="s">
        <v>11022</v>
      </c>
      <c r="C1141" s="3481" t="s">
        <v>11023</v>
      </c>
      <c r="D1141" s="3454" t="s">
        <v>11024</v>
      </c>
      <c r="E1141" s="3470" t="s">
        <v>2736</v>
      </c>
      <c r="F1141" s="3528" t="s">
        <v>5792</v>
      </c>
      <c r="G1141" s="3470"/>
      <c r="H1141" s="3470" t="s">
        <v>4471</v>
      </c>
      <c r="I1141" s="3453" t="s">
        <v>3464</v>
      </c>
      <c r="J1141" s="3481" t="s">
        <v>3465</v>
      </c>
      <c r="K1141" s="3470" t="s">
        <v>4811</v>
      </c>
      <c r="L1141" s="3470">
        <v>109.9</v>
      </c>
      <c r="M1141" s="3470">
        <v>6</v>
      </c>
      <c r="N1141" s="3453" t="s">
        <v>3661</v>
      </c>
      <c r="O1141" s="3470">
        <v>95.84</v>
      </c>
      <c r="P1141" s="3470" t="s">
        <v>3452</v>
      </c>
      <c r="Q1141" s="3457">
        <v>580272</v>
      </c>
      <c r="R1141" s="3470">
        <v>5280</v>
      </c>
      <c r="S1141" s="3472">
        <v>57.47</v>
      </c>
      <c r="T1141" s="3550">
        <v>574700</v>
      </c>
      <c r="U1141" s="3470">
        <v>5230</v>
      </c>
      <c r="V1141" s="3474">
        <v>0.1</v>
      </c>
      <c r="W1141" s="3475">
        <v>51.72</v>
      </c>
      <c r="X1141" s="3611">
        <v>517200</v>
      </c>
      <c r="Y1141" s="3441">
        <v>2003</v>
      </c>
      <c r="Z1141" s="3441">
        <v>12</v>
      </c>
      <c r="AA1141" s="3441">
        <v>1</v>
      </c>
      <c r="AB1141" s="3477">
        <v>2870</v>
      </c>
      <c r="AC1141" s="3470" t="s">
        <v>9077</v>
      </c>
      <c r="AD1141" s="3485"/>
      <c r="AE1141" s="3441" t="s">
        <v>3663</v>
      </c>
      <c r="AF1141" s="3470" t="s">
        <v>7751</v>
      </c>
      <c r="AG1141" s="3522" t="s">
        <v>3466</v>
      </c>
      <c r="AH1141" s="3485"/>
      <c r="AI1141" s="3470" t="s">
        <v>3664</v>
      </c>
      <c r="AJ1141" s="3523">
        <v>38166</v>
      </c>
      <c r="AK1141" s="3603" t="s">
        <v>3467</v>
      </c>
      <c r="AL1141" s="3441">
        <v>67641700</v>
      </c>
      <c r="AN1141" s="3456" t="s">
        <v>3570</v>
      </c>
      <c r="AO1141" s="3470"/>
      <c r="AP1141" s="3456" t="s">
        <v>3476</v>
      </c>
      <c r="AQ1141" s="3441" t="s">
        <v>3571</v>
      </c>
      <c r="AW1141" s="3441" t="s">
        <v>3572</v>
      </c>
      <c r="AY1141" s="3465" t="s">
        <v>11025</v>
      </c>
      <c r="AZ1141" s="3441" t="s">
        <v>4811</v>
      </c>
      <c r="BA1141" s="3441" t="s">
        <v>10447</v>
      </c>
      <c r="BB1141" s="3524" t="s">
        <v>4813</v>
      </c>
      <c r="BC1141" s="3441" t="s">
        <v>10448</v>
      </c>
      <c r="BD1141" s="3525">
        <v>101500</v>
      </c>
      <c r="BE1141" s="3441">
        <v>62964593</v>
      </c>
      <c r="BF1141" s="3526">
        <v>2.8</v>
      </c>
      <c r="BG1141" s="3478">
        <v>37944</v>
      </c>
      <c r="BI1141" s="3470" t="s">
        <v>3476</v>
      </c>
      <c r="BJ1141" s="3484">
        <v>37952</v>
      </c>
      <c r="BK1141" s="3484"/>
      <c r="BL1141" s="3441" t="s">
        <v>3594</v>
      </c>
    </row>
    <row r="1142" spans="1:70" s="3441" customFormat="1" ht="12" hidden="1">
      <c r="A1142" s="3485" t="s">
        <v>11026</v>
      </c>
      <c r="B1142" s="3470" t="s">
        <v>11027</v>
      </c>
      <c r="C1142" s="3481" t="s">
        <v>11028</v>
      </c>
      <c r="D1142" s="3481" t="s">
        <v>11029</v>
      </c>
      <c r="E1142" s="3470" t="s">
        <v>3558</v>
      </c>
      <c r="F1142" s="3470" t="s">
        <v>4770</v>
      </c>
      <c r="G1142" s="3470"/>
      <c r="H1142" s="3470" t="s">
        <v>11030</v>
      </c>
      <c r="I1142" s="3453" t="s">
        <v>3464</v>
      </c>
      <c r="J1142" s="3481" t="s">
        <v>3474</v>
      </c>
      <c r="K1142" s="3470" t="s">
        <v>4772</v>
      </c>
      <c r="L1142" s="3470">
        <v>61.72</v>
      </c>
      <c r="M1142" s="3470">
        <v>5</v>
      </c>
      <c r="N1142" s="3453" t="s">
        <v>3489</v>
      </c>
      <c r="O1142" s="3470">
        <v>55.27</v>
      </c>
      <c r="P1142" s="3470" t="s">
        <v>3452</v>
      </c>
      <c r="Q1142" s="3457">
        <v>269160.92</v>
      </c>
      <c r="R1142" s="3470">
        <v>4361</v>
      </c>
      <c r="S1142" s="3472">
        <v>26.68</v>
      </c>
      <c r="T1142" s="3527">
        <v>266800</v>
      </c>
      <c r="U1142" s="3470">
        <v>4323</v>
      </c>
      <c r="V1142" s="3512">
        <v>0.1</v>
      </c>
      <c r="W1142" s="3475">
        <v>24.01</v>
      </c>
      <c r="X1142" s="3476">
        <v>240100</v>
      </c>
      <c r="Y1142" s="3441">
        <v>2003</v>
      </c>
      <c r="Z1142" s="3441">
        <v>12</v>
      </c>
      <c r="AA1142" s="3470">
        <v>1</v>
      </c>
      <c r="AB1142" s="3477">
        <v>1330</v>
      </c>
      <c r="AC1142" s="3470" t="s">
        <v>4800</v>
      </c>
      <c r="AD1142" s="3485"/>
      <c r="AE1142" s="3441" t="s">
        <v>3663</v>
      </c>
      <c r="AF1142" s="3470" t="s">
        <v>3604</v>
      </c>
      <c r="AG1142" s="3522" t="s">
        <v>3466</v>
      </c>
      <c r="AH1142" s="3485"/>
      <c r="AI1142" s="3470" t="s">
        <v>7643</v>
      </c>
      <c r="AJ1142" s="3523">
        <v>37997</v>
      </c>
      <c r="AK1142" s="3603" t="s">
        <v>3467</v>
      </c>
      <c r="AL1142" s="3441">
        <v>67641700</v>
      </c>
      <c r="AN1142" s="3456" t="s">
        <v>3570</v>
      </c>
      <c r="AO1142" s="3441" t="s">
        <v>2420</v>
      </c>
      <c r="AP1142" s="3441" t="s">
        <v>3476</v>
      </c>
      <c r="AQ1142" s="3441" t="s">
        <v>3571</v>
      </c>
      <c r="AW1142" s="3441" t="s">
        <v>3572</v>
      </c>
      <c r="AY1142" s="3441">
        <v>560133</v>
      </c>
      <c r="AZ1142" s="3441" t="s">
        <v>4772</v>
      </c>
      <c r="BA1142" s="3441" t="s">
        <v>4775</v>
      </c>
      <c r="BB1142" s="3524" t="s">
        <v>4776</v>
      </c>
      <c r="BC1142" s="3441" t="s">
        <v>4777</v>
      </c>
      <c r="BD1142" s="3525">
        <v>100083</v>
      </c>
      <c r="BE1142" s="3441">
        <v>82355171</v>
      </c>
      <c r="BF1142" s="3526">
        <v>2.7</v>
      </c>
      <c r="BG1142" s="3518">
        <v>37907</v>
      </c>
      <c r="BH1142" s="3441" t="s">
        <v>4681</v>
      </c>
      <c r="BI1142" s="3441" t="s">
        <v>3476</v>
      </c>
      <c r="BJ1142" s="3478">
        <v>37951</v>
      </c>
      <c r="BK1142" s="3484"/>
      <c r="BL1142" s="3470" t="s">
        <v>3670</v>
      </c>
    </row>
    <row r="1143" spans="1:70" s="3470" customFormat="1" ht="12" hidden="1">
      <c r="A1143" s="3485" t="s">
        <v>11031</v>
      </c>
      <c r="B1143" s="3470" t="s">
        <v>11032</v>
      </c>
      <c r="C1143" s="3454" t="s">
        <v>11033</v>
      </c>
      <c r="D1143" s="3470">
        <v>13910212890</v>
      </c>
      <c r="E1143" s="3470" t="s">
        <v>2736</v>
      </c>
      <c r="F1143" s="3470" t="s">
        <v>5592</v>
      </c>
      <c r="G1143" s="3470" t="s">
        <v>2420</v>
      </c>
      <c r="H1143" s="3470" t="s">
        <v>9911</v>
      </c>
      <c r="I1143" s="3453" t="s">
        <v>4854</v>
      </c>
      <c r="J1143" s="3453" t="s">
        <v>11034</v>
      </c>
      <c r="K1143" s="3470" t="s">
        <v>5586</v>
      </c>
      <c r="L1143" s="3495">
        <v>53.97</v>
      </c>
      <c r="M1143" s="3495">
        <v>8</v>
      </c>
      <c r="N1143" s="3470" t="s">
        <v>3564</v>
      </c>
      <c r="O1143" s="3495">
        <v>44.19</v>
      </c>
      <c r="P1143" s="3470" t="s">
        <v>3452</v>
      </c>
      <c r="Q1143" s="3457">
        <v>213721.2</v>
      </c>
      <c r="R1143" s="3470">
        <v>3960</v>
      </c>
      <c r="S1143" s="3472">
        <v>21.11</v>
      </c>
      <c r="T1143" s="3550">
        <v>211100</v>
      </c>
      <c r="U1143" s="3470">
        <v>3913</v>
      </c>
      <c r="V1143" s="3474">
        <v>0.1</v>
      </c>
      <c r="W1143" s="3475">
        <v>18.989999999999998</v>
      </c>
      <c r="X1143" s="3511">
        <v>189900</v>
      </c>
      <c r="Y1143" s="3441">
        <v>2003</v>
      </c>
      <c r="Z1143" s="3441">
        <v>12</v>
      </c>
      <c r="AA1143" s="3441">
        <v>1</v>
      </c>
      <c r="AB1143" s="3485">
        <v>1055</v>
      </c>
      <c r="AC1143" s="3470" t="s">
        <v>9413</v>
      </c>
      <c r="AE1143" s="3456" t="s">
        <v>3663</v>
      </c>
      <c r="AF1143" s="3470" t="s">
        <v>4721</v>
      </c>
      <c r="AG1143" s="3470" t="s">
        <v>3466</v>
      </c>
      <c r="AI1143" s="3470" t="s">
        <v>3664</v>
      </c>
      <c r="AJ1143" s="3478">
        <v>38352</v>
      </c>
      <c r="AK1143" s="3603" t="s">
        <v>3467</v>
      </c>
      <c r="AL1143" s="3441">
        <v>67641700</v>
      </c>
      <c r="AM1143" s="3441"/>
      <c r="AN1143" s="3456" t="s">
        <v>3570</v>
      </c>
      <c r="AO1143" s="3441" t="s">
        <v>3568</v>
      </c>
      <c r="AP1143" s="3456" t="s">
        <v>3476</v>
      </c>
      <c r="AQ1143" s="3456" t="s">
        <v>3571</v>
      </c>
      <c r="AV1143" s="3519"/>
      <c r="AW1143" s="3470" t="s">
        <v>3572</v>
      </c>
      <c r="AX1143" s="3470" t="s">
        <v>2420</v>
      </c>
      <c r="AY1143" s="3495">
        <v>565366</v>
      </c>
      <c r="AZ1143" s="3470" t="s">
        <v>5586</v>
      </c>
      <c r="BA1143" s="3470" t="s">
        <v>5587</v>
      </c>
      <c r="BB1143" s="3619">
        <v>1102281326100</v>
      </c>
      <c r="BC1143" s="3470" t="s">
        <v>5588</v>
      </c>
      <c r="BD1143" s="3470">
        <v>100055</v>
      </c>
      <c r="BE1143" s="3470">
        <v>82951881</v>
      </c>
      <c r="BF1143" s="3520">
        <v>2.8</v>
      </c>
      <c r="BG1143" s="3478">
        <v>37880</v>
      </c>
      <c r="BI1143" s="3441" t="s">
        <v>3476</v>
      </c>
      <c r="BJ1143" s="3484">
        <v>37952</v>
      </c>
      <c r="BK1143" s="3478"/>
      <c r="BL1143" s="3441" t="s">
        <v>3670</v>
      </c>
      <c r="BM1143" s="3441"/>
      <c r="BN1143" s="3441"/>
      <c r="BO1143" s="3441"/>
      <c r="BP1143" s="3441"/>
      <c r="BQ1143" s="3441"/>
      <c r="BR1143" s="3441"/>
    </row>
    <row r="1144" spans="1:70" s="3604" customFormat="1" ht="12">
      <c r="A1144" s="3485" t="s">
        <v>11035</v>
      </c>
      <c r="B1144" s="3470" t="s">
        <v>11036</v>
      </c>
      <c r="C1144" s="3481" t="s">
        <v>11037</v>
      </c>
      <c r="D1144" s="3481" t="s">
        <v>11038</v>
      </c>
      <c r="E1144" s="3470" t="s">
        <v>2736</v>
      </c>
      <c r="F1144" s="3687" t="s">
        <v>9471</v>
      </c>
      <c r="G1144" s="3470"/>
      <c r="H1144" s="3470" t="s">
        <v>2420</v>
      </c>
      <c r="I1144" s="3470" t="s">
        <v>9411</v>
      </c>
      <c r="J1144" s="3481" t="s">
        <v>11039</v>
      </c>
      <c r="K1144" s="3470" t="s">
        <v>8795</v>
      </c>
      <c r="L1144" s="3470">
        <v>47.67</v>
      </c>
      <c r="M1144" s="3470">
        <v>11</v>
      </c>
      <c r="N1144" s="3470" t="s">
        <v>3678</v>
      </c>
      <c r="O1144" s="3470">
        <v>37.01</v>
      </c>
      <c r="P1144" s="3470" t="s">
        <v>3452</v>
      </c>
      <c r="Q1144" s="3457">
        <v>340840.5</v>
      </c>
      <c r="R1144" s="3470">
        <v>7150</v>
      </c>
      <c r="S1144" s="3472">
        <v>33.86</v>
      </c>
      <c r="T1144" s="3527">
        <v>338600</v>
      </c>
      <c r="U1144" s="3495">
        <v>7103</v>
      </c>
      <c r="V1144" s="3474">
        <v>0.1</v>
      </c>
      <c r="W1144" s="3475">
        <v>30.47</v>
      </c>
      <c r="X1144" s="3473">
        <v>304700</v>
      </c>
      <c r="Y1144" s="3495">
        <v>2003</v>
      </c>
      <c r="Z1144" s="3441">
        <v>12</v>
      </c>
      <c r="AA1144" s="3470">
        <v>10</v>
      </c>
      <c r="AB1144" s="3477">
        <v>1690</v>
      </c>
      <c r="AC1144" s="3470" t="s">
        <v>9413</v>
      </c>
      <c r="AD1144" s="3485"/>
      <c r="AE1144" s="3441" t="s">
        <v>3663</v>
      </c>
      <c r="AF1144" s="3470" t="s">
        <v>3587</v>
      </c>
      <c r="AG1144" s="3522" t="s">
        <v>3466</v>
      </c>
      <c r="AH1144" s="3485"/>
      <c r="AI1144" s="3470" t="s">
        <v>5021</v>
      </c>
      <c r="AJ1144" s="3523">
        <v>38107</v>
      </c>
      <c r="AK1144" s="3612" t="s">
        <v>3467</v>
      </c>
      <c r="AL1144" s="3441">
        <v>67641700</v>
      </c>
      <c r="AM1144" s="3441"/>
      <c r="AN1144" s="3480" t="s">
        <v>3695</v>
      </c>
      <c r="AO1144" s="3470" t="s">
        <v>2420</v>
      </c>
      <c r="AP1144" s="3441" t="s">
        <v>3476</v>
      </c>
      <c r="AQ1144" s="3441" t="s">
        <v>3571</v>
      </c>
      <c r="AR1144" s="3441"/>
      <c r="AS1144" s="3441"/>
      <c r="AT1144" s="3441"/>
      <c r="AU1144" s="3441"/>
      <c r="AV1144" s="3441"/>
      <c r="AW1144" s="3441" t="s">
        <v>3572</v>
      </c>
      <c r="AX1144" s="3441"/>
      <c r="AY1144" s="3524" t="s">
        <v>11040</v>
      </c>
      <c r="AZ1144" s="3470" t="s">
        <v>8795</v>
      </c>
      <c r="BA1144" s="3441" t="s">
        <v>9474</v>
      </c>
      <c r="BB1144" s="3524" t="s">
        <v>8799</v>
      </c>
      <c r="BC1144" s="3441" t="s">
        <v>8800</v>
      </c>
      <c r="BD1144" s="3525" t="s">
        <v>2420</v>
      </c>
      <c r="BE1144" s="3441" t="s">
        <v>2420</v>
      </c>
      <c r="BF1144" s="3526">
        <v>2.8</v>
      </c>
      <c r="BG1144" s="3484">
        <v>37938</v>
      </c>
      <c r="BH1144" s="3441" t="s">
        <v>8801</v>
      </c>
      <c r="BI1144" s="3441" t="s">
        <v>3476</v>
      </c>
      <c r="BJ1144" s="3484">
        <v>37952</v>
      </c>
      <c r="BK1144" s="3484">
        <v>37958</v>
      </c>
      <c r="BL1144" s="3470" t="s">
        <v>3670</v>
      </c>
      <c r="BM1144" s="3441"/>
      <c r="BN1144" s="3441"/>
      <c r="BO1144" s="3441"/>
      <c r="BP1144" s="3441"/>
      <c r="BQ1144" s="3441"/>
      <c r="BR1144" s="3441"/>
    </row>
    <row r="1145" spans="1:70" s="3618" customFormat="1" ht="12" hidden="1">
      <c r="A1145" s="3485" t="s">
        <v>11041</v>
      </c>
      <c r="B1145" s="3470" t="s">
        <v>11042</v>
      </c>
      <c r="C1145" s="3481" t="s">
        <v>11043</v>
      </c>
      <c r="D1145" s="3481" t="s">
        <v>11044</v>
      </c>
      <c r="E1145" s="3470" t="s">
        <v>3558</v>
      </c>
      <c r="F1145" s="3528" t="s">
        <v>3733</v>
      </c>
      <c r="G1145" s="3470"/>
      <c r="H1145" s="3470" t="s">
        <v>10995</v>
      </c>
      <c r="I1145" s="3470" t="s">
        <v>8778</v>
      </c>
      <c r="J1145" s="3470" t="s">
        <v>4455</v>
      </c>
      <c r="K1145" s="3470" t="s">
        <v>3737</v>
      </c>
      <c r="L1145" s="3470">
        <v>54.68</v>
      </c>
      <c r="M1145" s="3470">
        <v>10</v>
      </c>
      <c r="N1145" s="3542" t="s">
        <v>3489</v>
      </c>
      <c r="O1145" s="3470">
        <v>43.84</v>
      </c>
      <c r="P1145" s="3470" t="s">
        <v>3452</v>
      </c>
      <c r="Q1145" s="3600">
        <v>357607.2</v>
      </c>
      <c r="R1145" s="3470">
        <v>6540</v>
      </c>
      <c r="S1145" s="3472">
        <v>35.43</v>
      </c>
      <c r="T1145" s="3527">
        <v>354300</v>
      </c>
      <c r="U1145" s="3470">
        <v>6480</v>
      </c>
      <c r="V1145" s="3474">
        <v>0.1</v>
      </c>
      <c r="W1145" s="3475">
        <v>31.88</v>
      </c>
      <c r="X1145" s="3494">
        <v>318800</v>
      </c>
      <c r="Y1145" s="3441">
        <v>2003</v>
      </c>
      <c r="Z1145" s="3441">
        <v>12</v>
      </c>
      <c r="AA1145" s="3470">
        <v>2</v>
      </c>
      <c r="AB1145" s="3477">
        <v>1770</v>
      </c>
      <c r="AC1145" s="3470" t="s">
        <v>9007</v>
      </c>
      <c r="AD1145" s="3485"/>
      <c r="AE1145" s="3441" t="s">
        <v>3663</v>
      </c>
      <c r="AF1145" s="3470" t="s">
        <v>4721</v>
      </c>
      <c r="AG1145" s="3522" t="s">
        <v>3466</v>
      </c>
      <c r="AH1145" s="3485"/>
      <c r="AI1145" s="3470" t="s">
        <v>5021</v>
      </c>
      <c r="AJ1145" s="3523">
        <v>38132</v>
      </c>
      <c r="AK1145" s="3603" t="s">
        <v>3467</v>
      </c>
      <c r="AL1145" s="3441">
        <v>67641700</v>
      </c>
      <c r="AM1145" s="3441"/>
      <c r="AN1145" s="3456" t="s">
        <v>3570</v>
      </c>
      <c r="AO1145" s="3441"/>
      <c r="AP1145" s="3441" t="s">
        <v>3476</v>
      </c>
      <c r="AQ1145" s="3441" t="s">
        <v>3571</v>
      </c>
      <c r="AR1145" s="3441"/>
      <c r="AS1145" s="3441"/>
      <c r="AT1145" s="3441"/>
      <c r="AU1145" s="3441"/>
      <c r="AV1145" s="3441"/>
      <c r="AW1145" s="3441" t="s">
        <v>3572</v>
      </c>
      <c r="AX1145" s="3441"/>
      <c r="AY1145" s="3524" t="s">
        <v>11045</v>
      </c>
      <c r="AZ1145" s="3441" t="s">
        <v>3737</v>
      </c>
      <c r="BA1145" s="3441" t="s">
        <v>3742</v>
      </c>
      <c r="BB1145" s="3524" t="s">
        <v>3743</v>
      </c>
      <c r="BC1145" s="3441" t="s">
        <v>3744</v>
      </c>
      <c r="BD1145" s="3525">
        <v>100088</v>
      </c>
      <c r="BE1145" s="3441">
        <v>82058259</v>
      </c>
      <c r="BF1145" s="3526">
        <v>2.7</v>
      </c>
      <c r="BG1145" s="3478">
        <v>37944</v>
      </c>
      <c r="BH1145" s="3441"/>
      <c r="BI1145" s="3441" t="s">
        <v>8464</v>
      </c>
      <c r="BJ1145" s="3478">
        <v>37956</v>
      </c>
      <c r="BK1145" s="3484" t="s">
        <v>2420</v>
      </c>
      <c r="BL1145" s="3470" t="s">
        <v>3670</v>
      </c>
      <c r="BM1145" s="3441"/>
      <c r="BN1145" s="3441"/>
      <c r="BO1145" s="3441"/>
      <c r="BP1145" s="3441"/>
      <c r="BQ1145" s="3441"/>
      <c r="BR1145" s="3441"/>
    </row>
    <row r="1146" spans="1:70" s="3618" customFormat="1" ht="12" hidden="1">
      <c r="A1146" s="3453" t="s">
        <v>11046</v>
      </c>
      <c r="B1146" s="3470" t="s">
        <v>11047</v>
      </c>
      <c r="C1146" s="3481" t="s">
        <v>11048</v>
      </c>
      <c r="D1146" s="3481" t="s">
        <v>11049</v>
      </c>
      <c r="E1146" s="3470" t="s">
        <v>3558</v>
      </c>
      <c r="F1146" s="3528" t="s">
        <v>4645</v>
      </c>
      <c r="G1146" s="3470"/>
      <c r="H1146" s="3470" t="s">
        <v>9611</v>
      </c>
      <c r="I1146" s="3470" t="s">
        <v>7565</v>
      </c>
      <c r="J1146" s="3481" t="s">
        <v>11050</v>
      </c>
      <c r="K1146" s="3470" t="s">
        <v>4649</v>
      </c>
      <c r="L1146" s="3470">
        <v>89.07</v>
      </c>
      <c r="M1146" s="3470">
        <v>20</v>
      </c>
      <c r="N1146" s="3453" t="s">
        <v>3489</v>
      </c>
      <c r="O1146" s="3470">
        <v>70.209999999999994</v>
      </c>
      <c r="P1146" s="3470" t="s">
        <v>3452</v>
      </c>
      <c r="Q1146" s="3457">
        <v>646024.71</v>
      </c>
      <c r="R1146" s="3470">
        <v>7253</v>
      </c>
      <c r="S1146" s="3472">
        <v>64.040000000000006</v>
      </c>
      <c r="T1146" s="3550">
        <v>640400</v>
      </c>
      <c r="U1146" s="3495">
        <v>7190</v>
      </c>
      <c r="V1146" s="3512">
        <v>0.1</v>
      </c>
      <c r="W1146" s="3475">
        <v>57.63</v>
      </c>
      <c r="X1146" s="3511">
        <v>576300</v>
      </c>
      <c r="Y1146" s="3515">
        <v>2003</v>
      </c>
      <c r="Z1146" s="3441">
        <v>12</v>
      </c>
      <c r="AA1146" s="3470">
        <v>2</v>
      </c>
      <c r="AB1146" s="3477">
        <v>3200</v>
      </c>
      <c r="AC1146" s="3470" t="s">
        <v>4800</v>
      </c>
      <c r="AD1146" s="3485"/>
      <c r="AE1146" s="3441" t="s">
        <v>3663</v>
      </c>
      <c r="AF1146" s="3470" t="s">
        <v>7751</v>
      </c>
      <c r="AG1146" s="3522" t="s">
        <v>3466</v>
      </c>
      <c r="AH1146" s="3485"/>
      <c r="AI1146" s="3470" t="s">
        <v>5021</v>
      </c>
      <c r="AJ1146" s="3523">
        <v>38199</v>
      </c>
      <c r="AK1146" s="3603" t="s">
        <v>3467</v>
      </c>
      <c r="AL1146" s="3441">
        <v>67641700</v>
      </c>
      <c r="AM1146" s="3441"/>
      <c r="AN1146" s="3456" t="s">
        <v>3456</v>
      </c>
      <c r="AO1146" s="3441"/>
      <c r="AP1146" s="3441" t="s">
        <v>3476</v>
      </c>
      <c r="AQ1146" s="3441" t="s">
        <v>3571</v>
      </c>
      <c r="AR1146" s="3441"/>
      <c r="AS1146" s="3441"/>
      <c r="AT1146" s="3441"/>
      <c r="AU1146" s="3441"/>
      <c r="AV1146" s="3441"/>
      <c r="AW1146" s="3441" t="s">
        <v>3572</v>
      </c>
      <c r="AX1146" s="3441" t="s">
        <v>3568</v>
      </c>
      <c r="AY1146" s="3524" t="s">
        <v>11051</v>
      </c>
      <c r="AZ1146" s="3441" t="s">
        <v>4654</v>
      </c>
      <c r="BA1146" s="3441" t="s">
        <v>4688</v>
      </c>
      <c r="BB1146" s="3524" t="s">
        <v>4689</v>
      </c>
      <c r="BC1146" s="3441" t="s">
        <v>4656</v>
      </c>
      <c r="BD1146" s="3525">
        <v>100037</v>
      </c>
      <c r="BE1146" s="3441">
        <v>68347718</v>
      </c>
      <c r="BF1146" s="3526">
        <v>2.8</v>
      </c>
      <c r="BG1146" s="3518">
        <v>37944</v>
      </c>
      <c r="BH1146" s="3441"/>
      <c r="BI1146" s="3441" t="s">
        <v>8464</v>
      </c>
      <c r="BJ1146" s="3478">
        <v>37952</v>
      </c>
      <c r="BK1146" s="3518"/>
      <c r="BL1146" s="3470" t="s">
        <v>3670</v>
      </c>
      <c r="BM1146" s="3441"/>
      <c r="BN1146" s="3441"/>
      <c r="BO1146" s="3441"/>
      <c r="BP1146" s="3441"/>
      <c r="BQ1146" s="3441"/>
      <c r="BR1146" s="3441"/>
    </row>
    <row r="1147" spans="1:70" s="3441" customFormat="1" ht="12" hidden="1">
      <c r="A1147" s="3453" t="s">
        <v>11052</v>
      </c>
      <c r="B1147" s="3470" t="s">
        <v>11053</v>
      </c>
      <c r="C1147" s="3481" t="s">
        <v>11054</v>
      </c>
      <c r="D1147" s="3481" t="s">
        <v>11055</v>
      </c>
      <c r="E1147" s="3470" t="s">
        <v>2736</v>
      </c>
      <c r="F1147" s="3528" t="s">
        <v>10958</v>
      </c>
      <c r="G1147" s="3470"/>
      <c r="H1147" s="3470" t="s">
        <v>5462</v>
      </c>
      <c r="I1147" s="3470" t="s">
        <v>3676</v>
      </c>
      <c r="J1147" s="3481" t="s">
        <v>11056</v>
      </c>
      <c r="K1147" s="3470" t="s">
        <v>4286</v>
      </c>
      <c r="L1147" s="3470">
        <v>133.22</v>
      </c>
      <c r="M1147" s="3470">
        <v>5</v>
      </c>
      <c r="N1147" s="3470" t="s">
        <v>3632</v>
      </c>
      <c r="O1147" s="3470">
        <v>118.27</v>
      </c>
      <c r="P1147" s="3470" t="s">
        <v>3452</v>
      </c>
      <c r="Q1147" s="3457">
        <v>799320</v>
      </c>
      <c r="R1147" s="3470">
        <v>6000</v>
      </c>
      <c r="S1147" s="3472">
        <v>79.13</v>
      </c>
      <c r="T1147" s="3527">
        <v>791300</v>
      </c>
      <c r="U1147" s="3495">
        <v>5940</v>
      </c>
      <c r="V1147" s="3512">
        <v>0.1</v>
      </c>
      <c r="W1147" s="3475">
        <v>71.209999999999994</v>
      </c>
      <c r="X1147" s="3473">
        <v>712100</v>
      </c>
      <c r="Y1147" s="3470">
        <v>2003</v>
      </c>
      <c r="Z1147" s="3441">
        <v>12</v>
      </c>
      <c r="AA1147" s="3441">
        <v>2</v>
      </c>
      <c r="AB1147" s="3485">
        <v>3955</v>
      </c>
      <c r="AC1147" s="3470" t="s">
        <v>4800</v>
      </c>
      <c r="AD1147" s="3485"/>
      <c r="AE1147" s="3469" t="s">
        <v>3663</v>
      </c>
      <c r="AF1147" s="3470" t="s">
        <v>3587</v>
      </c>
      <c r="AG1147" s="3522" t="s">
        <v>3454</v>
      </c>
      <c r="AH1147" s="3485"/>
      <c r="AI1147" s="3470" t="s">
        <v>3664</v>
      </c>
      <c r="AJ1147" s="3523">
        <v>38139</v>
      </c>
      <c r="AK1147" s="3603" t="s">
        <v>3467</v>
      </c>
      <c r="AL1147" s="3441">
        <v>67641700</v>
      </c>
      <c r="AN1147" s="3456" t="s">
        <v>3570</v>
      </c>
      <c r="AP1147" s="3456" t="s">
        <v>3476</v>
      </c>
      <c r="AQ1147" s="3441" t="s">
        <v>3571</v>
      </c>
      <c r="AW1147" s="3470" t="s">
        <v>3572</v>
      </c>
      <c r="AX1147" s="3484"/>
      <c r="AY1147" s="3441">
        <v>577990</v>
      </c>
      <c r="AZ1147" s="3441" t="s">
        <v>4286</v>
      </c>
      <c r="BA1147" s="3441" t="s">
        <v>10960</v>
      </c>
      <c r="BB1147" s="3524" t="s">
        <v>5905</v>
      </c>
      <c r="BC1147" s="3441" t="s">
        <v>4443</v>
      </c>
      <c r="BD1147" s="3441">
        <v>100873</v>
      </c>
      <c r="BE1147" s="3441">
        <v>68498961</v>
      </c>
      <c r="BF1147" s="3520">
        <v>2.8</v>
      </c>
      <c r="BG1147" s="3518">
        <v>37914</v>
      </c>
      <c r="BH1147" s="3470"/>
      <c r="BI1147" s="3441" t="s">
        <v>3476</v>
      </c>
      <c r="BJ1147" s="3484">
        <v>37953</v>
      </c>
      <c r="BK1147" s="3518"/>
      <c r="BL1147" s="3441" t="s">
        <v>3594</v>
      </c>
    </row>
    <row r="1148" spans="1:70" s="3441" customFormat="1" ht="12" hidden="1">
      <c r="A1148" s="3453" t="s">
        <v>11057</v>
      </c>
      <c r="B1148" s="3470" t="s">
        <v>11058</v>
      </c>
      <c r="C1148" s="3481" t="s">
        <v>11059</v>
      </c>
      <c r="D1148" s="3481" t="s">
        <v>11060</v>
      </c>
      <c r="E1148" s="3470" t="s">
        <v>3558</v>
      </c>
      <c r="F1148" s="3528" t="s">
        <v>4645</v>
      </c>
      <c r="G1148" s="3470"/>
      <c r="H1148" s="3470" t="s">
        <v>9611</v>
      </c>
      <c r="I1148" s="3470" t="s">
        <v>5663</v>
      </c>
      <c r="J1148" s="3481" t="s">
        <v>4293</v>
      </c>
      <c r="K1148" s="3470" t="s">
        <v>4649</v>
      </c>
      <c r="L1148" s="3470">
        <v>92.06</v>
      </c>
      <c r="M1148" s="3470">
        <v>13</v>
      </c>
      <c r="N1148" s="3453" t="s">
        <v>3451</v>
      </c>
      <c r="O1148" s="3470">
        <v>72.569999999999993</v>
      </c>
      <c r="P1148" s="3470" t="s">
        <v>3452</v>
      </c>
      <c r="Q1148" s="3457">
        <v>765110.66</v>
      </c>
      <c r="R1148" s="3470">
        <v>8311</v>
      </c>
      <c r="S1148" s="3472">
        <v>75.81</v>
      </c>
      <c r="T1148" s="3550">
        <v>758100</v>
      </c>
      <c r="U1148" s="3495">
        <v>8235</v>
      </c>
      <c r="V1148" s="3512">
        <v>0.1</v>
      </c>
      <c r="W1148" s="3475">
        <v>68.22</v>
      </c>
      <c r="X1148" s="3511">
        <v>682200</v>
      </c>
      <c r="Y1148" s="3515">
        <v>2003</v>
      </c>
      <c r="Z1148" s="3441">
        <v>12</v>
      </c>
      <c r="AA1148" s="3470">
        <v>2</v>
      </c>
      <c r="AB1148" s="3477">
        <v>3790</v>
      </c>
      <c r="AC1148" s="3470" t="s">
        <v>4800</v>
      </c>
      <c r="AD1148" s="3485"/>
      <c r="AE1148" s="3441" t="s">
        <v>3663</v>
      </c>
      <c r="AF1148" s="3470" t="s">
        <v>7751</v>
      </c>
      <c r="AG1148" s="3522" t="s">
        <v>3466</v>
      </c>
      <c r="AH1148" s="3485"/>
      <c r="AI1148" s="3470" t="s">
        <v>5021</v>
      </c>
      <c r="AJ1148" s="3523">
        <v>38199</v>
      </c>
      <c r="AK1148" s="3603" t="s">
        <v>3467</v>
      </c>
      <c r="AL1148" s="3441">
        <v>67641700</v>
      </c>
      <c r="AN1148" s="3456" t="s">
        <v>3456</v>
      </c>
      <c r="AP1148" s="3441" t="s">
        <v>3476</v>
      </c>
      <c r="AQ1148" s="3441" t="s">
        <v>3571</v>
      </c>
      <c r="AW1148" s="3441" t="s">
        <v>3572</v>
      </c>
      <c r="AX1148" s="3441" t="s">
        <v>3568</v>
      </c>
      <c r="AY1148" s="3524" t="s">
        <v>11061</v>
      </c>
      <c r="AZ1148" s="3441" t="s">
        <v>4654</v>
      </c>
      <c r="BA1148" s="3441" t="s">
        <v>4688</v>
      </c>
      <c r="BB1148" s="3524" t="s">
        <v>4689</v>
      </c>
      <c r="BC1148" s="3441" t="s">
        <v>4656</v>
      </c>
      <c r="BD1148" s="3525">
        <v>100037</v>
      </c>
      <c r="BE1148" s="3441">
        <v>68347718</v>
      </c>
      <c r="BF1148" s="3526">
        <v>2.8</v>
      </c>
      <c r="BG1148" s="3518">
        <v>37914</v>
      </c>
      <c r="BI1148" s="3441" t="s">
        <v>8464</v>
      </c>
      <c r="BJ1148" s="3478">
        <v>37956</v>
      </c>
      <c r="BK1148" s="3518"/>
      <c r="BL1148" s="3470" t="s">
        <v>3670</v>
      </c>
    </row>
    <row r="1149" spans="1:70" s="3470" customFormat="1" ht="12" hidden="1">
      <c r="A1149" s="3485" t="s">
        <v>11062</v>
      </c>
      <c r="B1149" s="3470" t="s">
        <v>11063</v>
      </c>
      <c r="C1149" s="3481" t="s">
        <v>11064</v>
      </c>
      <c r="D1149" s="3470">
        <v>13601171886</v>
      </c>
      <c r="E1149" s="3470" t="s">
        <v>2736</v>
      </c>
      <c r="F1149" s="3470" t="s">
        <v>4782</v>
      </c>
      <c r="H1149" s="3470" t="s">
        <v>4281</v>
      </c>
      <c r="I1149" s="3470" t="s">
        <v>5663</v>
      </c>
      <c r="J1149" s="3470" t="s">
        <v>11065</v>
      </c>
      <c r="K1149" s="3470" t="s">
        <v>4789</v>
      </c>
      <c r="L1149" s="3470">
        <v>89.62</v>
      </c>
      <c r="M1149" s="3470">
        <v>13</v>
      </c>
      <c r="N1149" s="3470" t="s">
        <v>3451</v>
      </c>
      <c r="O1149" s="3470">
        <v>70.3</v>
      </c>
      <c r="P1149" s="3470" t="s">
        <v>3452</v>
      </c>
      <c r="Q1149" s="3457">
        <v>451415.94</v>
      </c>
      <c r="R1149" s="3470">
        <v>5037</v>
      </c>
      <c r="S1149" s="3472">
        <v>44.69</v>
      </c>
      <c r="T1149" s="3527">
        <v>446900</v>
      </c>
      <c r="U1149" s="3470">
        <v>4987</v>
      </c>
      <c r="V1149" s="3474">
        <v>0.1</v>
      </c>
      <c r="W1149" s="3475">
        <v>40.22</v>
      </c>
      <c r="X1149" s="3476">
        <v>402200</v>
      </c>
      <c r="Y1149" s="3470">
        <v>2003</v>
      </c>
      <c r="Z1149" s="3470">
        <v>12</v>
      </c>
      <c r="AA1149" s="3441">
        <v>2</v>
      </c>
      <c r="AB1149" s="3477">
        <v>2230</v>
      </c>
      <c r="AC1149" s="3470" t="s">
        <v>9007</v>
      </c>
      <c r="AE1149" s="3470" t="s">
        <v>3663</v>
      </c>
      <c r="AF1149" s="3453" t="s">
        <v>7751</v>
      </c>
      <c r="AG1149" s="3470" t="s">
        <v>3466</v>
      </c>
      <c r="AI1149" s="3470" t="s">
        <v>3664</v>
      </c>
      <c r="AJ1149" s="3478">
        <v>38261</v>
      </c>
      <c r="AK1149" s="3606" t="s">
        <v>3467</v>
      </c>
      <c r="AL1149" s="3470">
        <v>67641700</v>
      </c>
      <c r="AN1149" s="3456" t="s">
        <v>3456</v>
      </c>
      <c r="AP1149" s="3441" t="s">
        <v>3476</v>
      </c>
      <c r="AQ1149" s="3470" t="s">
        <v>3457</v>
      </c>
      <c r="AW1149" s="3470" t="s">
        <v>3458</v>
      </c>
      <c r="AX1149" s="3508"/>
      <c r="AY1149" s="3470">
        <v>552401</v>
      </c>
      <c r="AZ1149" s="3470" t="s">
        <v>4789</v>
      </c>
      <c r="BA1149" s="3470" t="s">
        <v>8741</v>
      </c>
      <c r="BB1149" s="3470" t="s">
        <v>4791</v>
      </c>
      <c r="BC1149" s="3470" t="s">
        <v>8742</v>
      </c>
      <c r="BD1149" s="3470">
        <v>102308</v>
      </c>
      <c r="BE1149" s="3470">
        <v>64919619</v>
      </c>
      <c r="BF1149" s="3470">
        <v>2.8</v>
      </c>
      <c r="BG1149" s="3478">
        <v>37930</v>
      </c>
      <c r="BI1149" s="3441" t="s">
        <v>8464</v>
      </c>
      <c r="BJ1149" s="3478">
        <v>37956</v>
      </c>
      <c r="BK1149" s="3478"/>
      <c r="BL1149" s="3470" t="s">
        <v>3594</v>
      </c>
      <c r="BP1149" s="3441"/>
      <c r="BQ1149" s="3441"/>
      <c r="BR1149" s="3441"/>
    </row>
    <row r="1150" spans="1:70" s="3470" customFormat="1" ht="12" hidden="1">
      <c r="A1150" s="3485" t="s">
        <v>11066</v>
      </c>
      <c r="B1150" s="3470" t="s">
        <v>11067</v>
      </c>
      <c r="C1150" s="3481" t="s">
        <v>11068</v>
      </c>
      <c r="D1150" s="3470">
        <v>13501032098</v>
      </c>
      <c r="E1150" s="3470" t="s">
        <v>2736</v>
      </c>
      <c r="F1150" s="3470" t="s">
        <v>4782</v>
      </c>
      <c r="H1150" s="3470" t="s">
        <v>4281</v>
      </c>
      <c r="I1150" s="3470" t="s">
        <v>7565</v>
      </c>
      <c r="J1150" s="3470" t="s">
        <v>11069</v>
      </c>
      <c r="K1150" s="3470" t="s">
        <v>4789</v>
      </c>
      <c r="L1150" s="3470">
        <v>61.74</v>
      </c>
      <c r="M1150" s="3470">
        <v>20</v>
      </c>
      <c r="N1150" s="3470" t="s">
        <v>3489</v>
      </c>
      <c r="O1150" s="3470">
        <v>48.43</v>
      </c>
      <c r="P1150" s="3470" t="s">
        <v>3452</v>
      </c>
      <c r="Q1150" s="3457">
        <v>372292.2</v>
      </c>
      <c r="R1150" s="3470">
        <v>6030</v>
      </c>
      <c r="S1150" s="3472">
        <v>36.85</v>
      </c>
      <c r="T1150" s="3527">
        <v>368500</v>
      </c>
      <c r="U1150" s="3470">
        <v>5970</v>
      </c>
      <c r="V1150" s="3474">
        <v>0.1</v>
      </c>
      <c r="W1150" s="3475">
        <v>33.159999999999997</v>
      </c>
      <c r="X1150" s="3476">
        <v>331600</v>
      </c>
      <c r="Y1150" s="3470">
        <v>2003</v>
      </c>
      <c r="Z1150" s="3470">
        <v>12</v>
      </c>
      <c r="AA1150" s="3441">
        <v>2</v>
      </c>
      <c r="AB1150" s="3477">
        <v>1840</v>
      </c>
      <c r="AC1150" s="3470" t="s">
        <v>9356</v>
      </c>
      <c r="AE1150" s="3470" t="s">
        <v>3663</v>
      </c>
      <c r="AF1150" s="3453" t="s">
        <v>7751</v>
      </c>
      <c r="AG1150" s="3470" t="s">
        <v>3466</v>
      </c>
      <c r="AI1150" s="3470" t="s">
        <v>3664</v>
      </c>
      <c r="AJ1150" s="3478">
        <v>38261</v>
      </c>
      <c r="AK1150" s="3606" t="s">
        <v>3467</v>
      </c>
      <c r="AL1150" s="3470">
        <v>67641700</v>
      </c>
      <c r="AN1150" s="3456" t="s">
        <v>3456</v>
      </c>
      <c r="AP1150" s="3441" t="s">
        <v>3476</v>
      </c>
      <c r="AQ1150" s="3470" t="s">
        <v>3457</v>
      </c>
      <c r="AW1150" s="3470" t="s">
        <v>3458</v>
      </c>
      <c r="AX1150" s="3508"/>
      <c r="AY1150" s="3470">
        <v>552453</v>
      </c>
      <c r="AZ1150" s="3470" t="s">
        <v>4789</v>
      </c>
      <c r="BA1150" s="3470" t="s">
        <v>8741</v>
      </c>
      <c r="BB1150" s="3470" t="s">
        <v>4791</v>
      </c>
      <c r="BC1150" s="3470" t="s">
        <v>8742</v>
      </c>
      <c r="BD1150" s="3470">
        <v>102308</v>
      </c>
      <c r="BE1150" s="3470">
        <v>64919619</v>
      </c>
      <c r="BF1150" s="3470">
        <v>2.8</v>
      </c>
      <c r="BG1150" s="3478">
        <v>37940</v>
      </c>
      <c r="BI1150" s="3441" t="s">
        <v>8464</v>
      </c>
      <c r="BJ1150" s="3478">
        <v>37951</v>
      </c>
      <c r="BK1150" s="3478"/>
      <c r="BL1150" s="3470" t="s">
        <v>3594</v>
      </c>
      <c r="BP1150" s="3441"/>
      <c r="BQ1150" s="3441"/>
      <c r="BR1150" s="3441"/>
    </row>
    <row r="1151" spans="1:70" s="3441" customFormat="1" ht="12" hidden="1">
      <c r="A1151" s="3453" t="s">
        <v>11070</v>
      </c>
      <c r="B1151" s="3470" t="s">
        <v>11071</v>
      </c>
      <c r="C1151" s="3481" t="s">
        <v>11072</v>
      </c>
      <c r="D1151" s="3481" t="s">
        <v>11073</v>
      </c>
      <c r="E1151" s="3470" t="s">
        <v>3558</v>
      </c>
      <c r="F1151" s="3470" t="s">
        <v>5428</v>
      </c>
      <c r="G1151" s="3470"/>
      <c r="H1151" s="3470" t="s">
        <v>8705</v>
      </c>
      <c r="I1151" s="3470" t="s">
        <v>4124</v>
      </c>
      <c r="J1151" s="3481" t="s">
        <v>3825</v>
      </c>
      <c r="K1151" s="3470" t="s">
        <v>5786</v>
      </c>
      <c r="L1151" s="3470">
        <v>82.22</v>
      </c>
      <c r="M1151" s="3470">
        <v>8</v>
      </c>
      <c r="N1151" s="3470" t="s">
        <v>3489</v>
      </c>
      <c r="O1151" s="3470">
        <v>66.599999999999994</v>
      </c>
      <c r="P1151" s="3470" t="s">
        <v>3452</v>
      </c>
      <c r="Q1151" s="3457">
        <v>449852.75260000001</v>
      </c>
      <c r="R1151" s="3470">
        <v>5471.33</v>
      </c>
      <c r="S1151" s="3472">
        <v>44.56</v>
      </c>
      <c r="T1151" s="3527">
        <v>445600</v>
      </c>
      <c r="U1151" s="3495">
        <v>5420</v>
      </c>
      <c r="V1151" s="3474">
        <v>0.1</v>
      </c>
      <c r="W1151" s="3475">
        <v>40.1</v>
      </c>
      <c r="X1151" s="3476">
        <v>401000</v>
      </c>
      <c r="Y1151" s="3495">
        <v>2003</v>
      </c>
      <c r="Z1151" s="3441">
        <v>12</v>
      </c>
      <c r="AA1151" s="3470">
        <v>22</v>
      </c>
      <c r="AB1151" s="3477">
        <v>2225</v>
      </c>
      <c r="AC1151" s="3470" t="s">
        <v>9007</v>
      </c>
      <c r="AD1151" s="3485"/>
      <c r="AE1151" s="3441" t="s">
        <v>3663</v>
      </c>
      <c r="AF1151" s="3470" t="s">
        <v>6065</v>
      </c>
      <c r="AG1151" s="3522" t="s">
        <v>3466</v>
      </c>
      <c r="AH1151" s="3485" t="s">
        <v>3568</v>
      </c>
      <c r="AI1151" s="3470" t="s">
        <v>5021</v>
      </c>
      <c r="AJ1151" s="3523">
        <v>37865</v>
      </c>
      <c r="AK1151" s="3612" t="s">
        <v>3467</v>
      </c>
      <c r="AL1151" s="3441">
        <v>67641700</v>
      </c>
      <c r="AN1151" s="3480" t="s">
        <v>3680</v>
      </c>
      <c r="AO1151" s="3441" t="s">
        <v>3568</v>
      </c>
      <c r="AP1151" s="3441" t="s">
        <v>3476</v>
      </c>
      <c r="AQ1151" s="3441" t="s">
        <v>3571</v>
      </c>
      <c r="AR1151" s="3441" t="s">
        <v>3568</v>
      </c>
      <c r="AS1151" s="3441" t="s">
        <v>3568</v>
      </c>
      <c r="AT1151" s="3441" t="s">
        <v>3568</v>
      </c>
      <c r="AW1151" s="3441" t="s">
        <v>3572</v>
      </c>
      <c r="AX1151" s="3441" t="s">
        <v>2420</v>
      </c>
      <c r="AY1151" s="3524" t="s">
        <v>11074</v>
      </c>
      <c r="AZ1151" s="3441" t="s">
        <v>5786</v>
      </c>
      <c r="BA1151" s="3441" t="s">
        <v>7527</v>
      </c>
      <c r="BB1151" s="3524">
        <v>1101082131202</v>
      </c>
      <c r="BC1151" s="3441" t="s">
        <v>5436</v>
      </c>
      <c r="BD1151" s="3525">
        <v>102400</v>
      </c>
      <c r="BE1151" s="3441">
        <v>62842753</v>
      </c>
      <c r="BF1151" s="3526">
        <v>2.8</v>
      </c>
      <c r="BG1151" s="3518">
        <v>37934</v>
      </c>
      <c r="BH1151" s="3441" t="s">
        <v>3568</v>
      </c>
      <c r="BI1151" s="3441" t="s">
        <v>3476</v>
      </c>
      <c r="BJ1151" s="3518">
        <v>37958</v>
      </c>
      <c r="BK1151" s="3518">
        <v>37916</v>
      </c>
      <c r="BL1151" s="3470" t="s">
        <v>3670</v>
      </c>
    </row>
    <row r="1152" spans="1:70" s="3470" customFormat="1" ht="12" hidden="1">
      <c r="A1152" s="3485" t="s">
        <v>11075</v>
      </c>
      <c r="B1152" s="3470" t="s">
        <v>11076</v>
      </c>
      <c r="C1152" s="3454" t="s">
        <v>11077</v>
      </c>
      <c r="D1152" s="3470" t="s">
        <v>11078</v>
      </c>
      <c r="E1152" s="3470" t="s">
        <v>2736</v>
      </c>
      <c r="F1152" s="3470" t="s">
        <v>5592</v>
      </c>
      <c r="G1152" s="3470" t="s">
        <v>2420</v>
      </c>
      <c r="H1152" s="3470" t="s">
        <v>9982</v>
      </c>
      <c r="I1152" s="3453" t="s">
        <v>3676</v>
      </c>
      <c r="J1152" s="3453" t="s">
        <v>5472</v>
      </c>
      <c r="K1152" s="3470" t="s">
        <v>5586</v>
      </c>
      <c r="L1152" s="3495">
        <v>98.22</v>
      </c>
      <c r="M1152" s="3495">
        <v>6</v>
      </c>
      <c r="N1152" s="3470" t="s">
        <v>3486</v>
      </c>
      <c r="O1152" s="3495">
        <v>83.29</v>
      </c>
      <c r="P1152" s="3470" t="s">
        <v>3452</v>
      </c>
      <c r="Q1152" s="3457">
        <v>395826.6</v>
      </c>
      <c r="R1152" s="3470">
        <v>4030</v>
      </c>
      <c r="S1152" s="3472">
        <v>39.130000000000003</v>
      </c>
      <c r="T1152" s="3550">
        <v>391300</v>
      </c>
      <c r="U1152" s="3470">
        <v>3984</v>
      </c>
      <c r="V1152" s="3474">
        <v>0.1</v>
      </c>
      <c r="W1152" s="3475">
        <v>35.21</v>
      </c>
      <c r="X1152" s="3511">
        <v>352100</v>
      </c>
      <c r="Y1152" s="3441">
        <v>2003</v>
      </c>
      <c r="Z1152" s="3441">
        <v>12</v>
      </c>
      <c r="AA1152" s="3441">
        <v>2</v>
      </c>
      <c r="AB1152" s="3485">
        <v>1955</v>
      </c>
      <c r="AC1152" s="3470" t="s">
        <v>4761</v>
      </c>
      <c r="AE1152" s="3456" t="s">
        <v>3663</v>
      </c>
      <c r="AF1152" s="3470" t="s">
        <v>4721</v>
      </c>
      <c r="AG1152" s="3470" t="s">
        <v>3466</v>
      </c>
      <c r="AI1152" s="3470" t="s">
        <v>3664</v>
      </c>
      <c r="AJ1152" s="3478">
        <v>38352</v>
      </c>
      <c r="AK1152" s="3603" t="s">
        <v>3467</v>
      </c>
      <c r="AL1152" s="3441">
        <v>67641700</v>
      </c>
      <c r="AM1152" s="3441"/>
      <c r="AN1152" s="3456" t="s">
        <v>3570</v>
      </c>
      <c r="AO1152" s="3441" t="s">
        <v>2420</v>
      </c>
      <c r="AP1152" s="3456" t="s">
        <v>3476</v>
      </c>
      <c r="AQ1152" s="3456" t="s">
        <v>3571</v>
      </c>
      <c r="AV1152" s="3519"/>
      <c r="AW1152" s="3470" t="s">
        <v>3572</v>
      </c>
      <c r="AX1152" s="3470" t="s">
        <v>2420</v>
      </c>
      <c r="AY1152" s="3495">
        <v>565424</v>
      </c>
      <c r="AZ1152" s="3470" t="s">
        <v>5586</v>
      </c>
      <c r="BA1152" s="3470" t="s">
        <v>5587</v>
      </c>
      <c r="BB1152" s="3619">
        <v>1102281326100</v>
      </c>
      <c r="BC1152" s="3470" t="s">
        <v>5588</v>
      </c>
      <c r="BD1152" s="3470">
        <v>100055</v>
      </c>
      <c r="BE1152" s="3470">
        <v>82951881</v>
      </c>
      <c r="BF1152" s="3520">
        <v>2.8</v>
      </c>
      <c r="BG1152" s="3478">
        <v>37948</v>
      </c>
      <c r="BI1152" s="3441" t="s">
        <v>3476</v>
      </c>
      <c r="BJ1152" s="3484">
        <v>37949</v>
      </c>
      <c r="BK1152" s="3478"/>
      <c r="BL1152" s="3441" t="s">
        <v>3670</v>
      </c>
      <c r="BM1152" s="3441"/>
      <c r="BN1152" s="3441"/>
      <c r="BO1152" s="3441"/>
      <c r="BP1152" s="3441"/>
      <c r="BQ1152" s="3441"/>
      <c r="BR1152" s="3441"/>
    </row>
    <row r="1153" spans="1:70" s="3618" customFormat="1" ht="12" hidden="1">
      <c r="A1153" s="3485" t="s">
        <v>11079</v>
      </c>
      <c r="B1153" s="3470" t="s">
        <v>11080</v>
      </c>
      <c r="C1153" s="3481" t="s">
        <v>11081</v>
      </c>
      <c r="D1153" s="3481" t="s">
        <v>11082</v>
      </c>
      <c r="E1153" s="3470" t="s">
        <v>3558</v>
      </c>
      <c r="F1153" s="3528" t="s">
        <v>4669</v>
      </c>
      <c r="G1153" s="3470"/>
      <c r="H1153" s="3470" t="s">
        <v>10603</v>
      </c>
      <c r="I1153" s="3470" t="s">
        <v>4535</v>
      </c>
      <c r="J1153" s="3481" t="s">
        <v>11083</v>
      </c>
      <c r="K1153" s="3470" t="s">
        <v>4673</v>
      </c>
      <c r="L1153" s="3470">
        <v>92.05</v>
      </c>
      <c r="M1153" s="3470">
        <v>3</v>
      </c>
      <c r="N1153" s="3470" t="s">
        <v>3451</v>
      </c>
      <c r="O1153" s="3470">
        <v>71.599999999999994</v>
      </c>
      <c r="P1153" s="3470" t="s">
        <v>3452</v>
      </c>
      <c r="Q1153" s="3457">
        <v>580043.87</v>
      </c>
      <c r="R1153" s="3470">
        <v>6301.4</v>
      </c>
      <c r="S1153" s="3472">
        <v>57.49</v>
      </c>
      <c r="T1153" s="3527">
        <v>574900</v>
      </c>
      <c r="U1153" s="3470">
        <v>6246</v>
      </c>
      <c r="V1153" s="3474">
        <v>0.1</v>
      </c>
      <c r="W1153" s="3475">
        <v>51.74</v>
      </c>
      <c r="X1153" s="3494">
        <v>517400</v>
      </c>
      <c r="Y1153" s="3441">
        <v>2003</v>
      </c>
      <c r="Z1153" s="3441">
        <v>12</v>
      </c>
      <c r="AA1153" s="3441">
        <v>3</v>
      </c>
      <c r="AB1153" s="3477">
        <v>2870</v>
      </c>
      <c r="AC1153" s="3470" t="s">
        <v>9007</v>
      </c>
      <c r="AD1153" s="3485"/>
      <c r="AE1153" s="3441" t="s">
        <v>3663</v>
      </c>
      <c r="AF1153" s="3470" t="s">
        <v>4721</v>
      </c>
      <c r="AG1153" s="3522" t="s">
        <v>3466</v>
      </c>
      <c r="AH1153" s="3485" t="s">
        <v>2420</v>
      </c>
      <c r="AI1153" s="3470" t="s">
        <v>5021</v>
      </c>
      <c r="AJ1153" s="3523">
        <v>38347</v>
      </c>
      <c r="AK1153" s="3603" t="s">
        <v>3467</v>
      </c>
      <c r="AL1153" s="3441">
        <v>67641700</v>
      </c>
      <c r="AM1153" s="3441"/>
      <c r="AN1153" s="3456" t="s">
        <v>3570</v>
      </c>
      <c r="AO1153" s="3441" t="s">
        <v>3568</v>
      </c>
      <c r="AP1153" s="3441" t="s">
        <v>3476</v>
      </c>
      <c r="AQ1153" s="3441" t="s">
        <v>3571</v>
      </c>
      <c r="AR1153" s="3441"/>
      <c r="AS1153" s="3441"/>
      <c r="AT1153" s="3441"/>
      <c r="AU1153" s="3441"/>
      <c r="AV1153" s="3441"/>
      <c r="AW1153" s="3441" t="s">
        <v>3572</v>
      </c>
      <c r="AX1153" s="3441"/>
      <c r="AY1153" s="3524" t="s">
        <v>11084</v>
      </c>
      <c r="AZ1153" s="3441" t="s">
        <v>4677</v>
      </c>
      <c r="BA1153" s="3441" t="s">
        <v>4678</v>
      </c>
      <c r="BB1153" s="3524" t="s">
        <v>4679</v>
      </c>
      <c r="BC1153" s="3441" t="s">
        <v>4680</v>
      </c>
      <c r="BD1153" s="3525">
        <v>100089</v>
      </c>
      <c r="BE1153" s="3441">
        <v>68719656</v>
      </c>
      <c r="BF1153" s="3526">
        <v>2.8</v>
      </c>
      <c r="BG1153" s="3518">
        <v>37948</v>
      </c>
      <c r="BH1153" s="3441"/>
      <c r="BI1153" s="3470" t="s">
        <v>3476</v>
      </c>
      <c r="BJ1153" s="3484">
        <v>37956</v>
      </c>
      <c r="BK1153" s="3484"/>
      <c r="BL1153" s="3470" t="s">
        <v>3670</v>
      </c>
      <c r="BM1153" s="3441"/>
      <c r="BN1153" s="3441"/>
      <c r="BO1153" s="3441"/>
      <c r="BP1153" s="3441"/>
      <c r="BQ1153" s="3441"/>
      <c r="BR1153" s="3441"/>
    </row>
    <row r="1154" spans="1:70" s="3618" customFormat="1" ht="12">
      <c r="A1154" s="3485" t="s">
        <v>11085</v>
      </c>
      <c r="B1154" s="3470" t="s">
        <v>11086</v>
      </c>
      <c r="C1154" s="3481" t="s">
        <v>11087</v>
      </c>
      <c r="D1154" s="3481" t="s">
        <v>11088</v>
      </c>
      <c r="E1154" s="3470" t="s">
        <v>2736</v>
      </c>
      <c r="F1154" s="3687" t="s">
        <v>9471</v>
      </c>
      <c r="G1154" s="3470"/>
      <c r="H1154" s="3470" t="s">
        <v>2420</v>
      </c>
      <c r="I1154" s="3470" t="s">
        <v>4707</v>
      </c>
      <c r="J1154" s="3481" t="s">
        <v>10820</v>
      </c>
      <c r="K1154" s="3470" t="s">
        <v>8795</v>
      </c>
      <c r="L1154" s="3470">
        <v>48.52</v>
      </c>
      <c r="M1154" s="3470">
        <v>14</v>
      </c>
      <c r="N1154" s="3470" t="s">
        <v>3678</v>
      </c>
      <c r="O1154" s="3470">
        <v>37.67</v>
      </c>
      <c r="P1154" s="3470" t="s">
        <v>3452</v>
      </c>
      <c r="Q1154" s="3457">
        <v>346918</v>
      </c>
      <c r="R1154" s="3470">
        <v>7150</v>
      </c>
      <c r="S1154" s="3472">
        <v>34.47</v>
      </c>
      <c r="T1154" s="3527">
        <v>344700</v>
      </c>
      <c r="U1154" s="3495">
        <v>7105</v>
      </c>
      <c r="V1154" s="3474">
        <v>0.1</v>
      </c>
      <c r="W1154" s="3475">
        <v>31.02</v>
      </c>
      <c r="X1154" s="3473">
        <v>310200</v>
      </c>
      <c r="Y1154" s="3495">
        <v>2003</v>
      </c>
      <c r="Z1154" s="3441">
        <v>12</v>
      </c>
      <c r="AA1154" s="3470">
        <v>10</v>
      </c>
      <c r="AB1154" s="3477">
        <v>1720</v>
      </c>
      <c r="AC1154" s="3470" t="s">
        <v>9007</v>
      </c>
      <c r="AD1154" s="3485"/>
      <c r="AE1154" s="3441" t="s">
        <v>3663</v>
      </c>
      <c r="AF1154" s="3470" t="s">
        <v>3587</v>
      </c>
      <c r="AG1154" s="3522" t="s">
        <v>3466</v>
      </c>
      <c r="AH1154" s="3485"/>
      <c r="AI1154" s="3470" t="s">
        <v>5021</v>
      </c>
      <c r="AJ1154" s="3523">
        <v>38107</v>
      </c>
      <c r="AK1154" s="3612" t="s">
        <v>3467</v>
      </c>
      <c r="AL1154" s="3441">
        <v>67641700</v>
      </c>
      <c r="AM1154" s="3441"/>
      <c r="AN1154" s="3480" t="s">
        <v>3695</v>
      </c>
      <c r="AO1154" s="3470" t="s">
        <v>2420</v>
      </c>
      <c r="AP1154" s="3441" t="s">
        <v>3476</v>
      </c>
      <c r="AQ1154" s="3441" t="s">
        <v>3571</v>
      </c>
      <c r="AR1154" s="3441"/>
      <c r="AS1154" s="3441"/>
      <c r="AT1154" s="3441"/>
      <c r="AU1154" s="3441"/>
      <c r="AV1154" s="3441"/>
      <c r="AW1154" s="3441" t="s">
        <v>3572</v>
      </c>
      <c r="AX1154" s="3441"/>
      <c r="AY1154" s="3524" t="s">
        <v>11089</v>
      </c>
      <c r="AZ1154" s="3470" t="s">
        <v>8795</v>
      </c>
      <c r="BA1154" s="3441" t="s">
        <v>9474</v>
      </c>
      <c r="BB1154" s="3524" t="s">
        <v>8799</v>
      </c>
      <c r="BC1154" s="3441" t="s">
        <v>8800</v>
      </c>
      <c r="BD1154" s="3525" t="s">
        <v>2420</v>
      </c>
      <c r="BE1154" s="3441" t="s">
        <v>2420</v>
      </c>
      <c r="BF1154" s="3526">
        <v>2.8</v>
      </c>
      <c r="BG1154" s="3484">
        <v>37944</v>
      </c>
      <c r="BH1154" s="3441" t="s">
        <v>8801</v>
      </c>
      <c r="BI1154" s="3441" t="s">
        <v>3476</v>
      </c>
      <c r="BJ1154" s="3484">
        <v>37957</v>
      </c>
      <c r="BK1154" s="3484">
        <v>37958</v>
      </c>
      <c r="BL1154" s="3470" t="s">
        <v>3670</v>
      </c>
      <c r="BM1154" s="3441"/>
      <c r="BN1154" s="3441"/>
      <c r="BO1154" s="3441"/>
      <c r="BP1154" s="3441"/>
      <c r="BQ1154" s="3441"/>
      <c r="BR1154" s="3441"/>
    </row>
    <row r="1155" spans="1:70" s="3441" customFormat="1" ht="12" hidden="1">
      <c r="A1155" s="3485" t="s">
        <v>11090</v>
      </c>
      <c r="B1155" s="3470" t="s">
        <v>11091</v>
      </c>
      <c r="C1155" s="3481" t="s">
        <v>11092</v>
      </c>
      <c r="D1155" s="3481" t="s">
        <v>11093</v>
      </c>
      <c r="E1155" s="3470" t="s">
        <v>3558</v>
      </c>
      <c r="F1155" s="3528" t="s">
        <v>3733</v>
      </c>
      <c r="G1155" s="3470"/>
      <c r="H1155" s="3470" t="s">
        <v>10995</v>
      </c>
      <c r="I1155" s="3470" t="s">
        <v>4535</v>
      </c>
      <c r="J1155" s="3470" t="s">
        <v>6359</v>
      </c>
      <c r="K1155" s="3470" t="s">
        <v>3737</v>
      </c>
      <c r="L1155" s="3470">
        <v>75.19</v>
      </c>
      <c r="M1155" s="3470">
        <v>3</v>
      </c>
      <c r="N1155" s="3470" t="s">
        <v>3451</v>
      </c>
      <c r="O1155" s="3470">
        <v>60.28</v>
      </c>
      <c r="P1155" s="3470" t="s">
        <v>3452</v>
      </c>
      <c r="Q1155" s="3600">
        <v>431590.6</v>
      </c>
      <c r="R1155" s="3470">
        <v>5740</v>
      </c>
      <c r="S1155" s="3472">
        <v>42.76</v>
      </c>
      <c r="T1155" s="3527">
        <v>427600</v>
      </c>
      <c r="U1155" s="3470">
        <v>5688</v>
      </c>
      <c r="V1155" s="3474">
        <v>0.1</v>
      </c>
      <c r="W1155" s="3475">
        <v>38.479999999999997</v>
      </c>
      <c r="X1155" s="3494">
        <v>384800</v>
      </c>
      <c r="Y1155" s="3441">
        <v>2003</v>
      </c>
      <c r="Z1155" s="3441">
        <v>12</v>
      </c>
      <c r="AA1155" s="3441">
        <v>3</v>
      </c>
      <c r="AB1155" s="3477">
        <v>2135</v>
      </c>
      <c r="AC1155" s="3470" t="s">
        <v>9007</v>
      </c>
      <c r="AD1155" s="3485"/>
      <c r="AE1155" s="3441" t="s">
        <v>3663</v>
      </c>
      <c r="AF1155" s="3470" t="s">
        <v>3604</v>
      </c>
      <c r="AG1155" s="3522" t="s">
        <v>3466</v>
      </c>
      <c r="AH1155" s="3485"/>
      <c r="AI1155" s="3470" t="s">
        <v>5021</v>
      </c>
      <c r="AJ1155" s="3523">
        <v>38132</v>
      </c>
      <c r="AK1155" s="3603" t="s">
        <v>3467</v>
      </c>
      <c r="AL1155" s="3441">
        <v>67641700</v>
      </c>
      <c r="AN1155" s="3456" t="s">
        <v>3570</v>
      </c>
      <c r="AO1155" s="3441" t="s">
        <v>2420</v>
      </c>
      <c r="AP1155" s="3441" t="s">
        <v>3476</v>
      </c>
      <c r="AQ1155" s="3441" t="s">
        <v>3571</v>
      </c>
      <c r="AW1155" s="3441" t="s">
        <v>3572</v>
      </c>
      <c r="AY1155" s="3524" t="s">
        <v>11094</v>
      </c>
      <c r="AZ1155" s="3441" t="s">
        <v>3737</v>
      </c>
      <c r="BA1155" s="3441" t="s">
        <v>3742</v>
      </c>
      <c r="BB1155" s="3524" t="s">
        <v>3743</v>
      </c>
      <c r="BC1155" s="3441" t="s">
        <v>3744</v>
      </c>
      <c r="BD1155" s="3525">
        <v>100088</v>
      </c>
      <c r="BE1155" s="3441">
        <v>82058259</v>
      </c>
      <c r="BF1155" s="3526" t="s">
        <v>8595</v>
      </c>
      <c r="BG1155" s="3478">
        <v>37950</v>
      </c>
      <c r="BH1155" s="3441" t="s">
        <v>4753</v>
      </c>
      <c r="BI1155" s="3441" t="s">
        <v>3476</v>
      </c>
      <c r="BJ1155" s="3478">
        <v>37957</v>
      </c>
      <c r="BK1155" s="3484" t="s">
        <v>2420</v>
      </c>
      <c r="BL1155" s="3470" t="s">
        <v>3670</v>
      </c>
    </row>
    <row r="1156" spans="1:70" s="3441" customFormat="1" ht="12" hidden="1">
      <c r="A1156" s="3485" t="s">
        <v>11095</v>
      </c>
      <c r="B1156" s="3470" t="s">
        <v>11096</v>
      </c>
      <c r="C1156" s="3481" t="s">
        <v>11097</v>
      </c>
      <c r="D1156" s="3481" t="s">
        <v>11098</v>
      </c>
      <c r="E1156" s="3470" t="s">
        <v>3558</v>
      </c>
      <c r="F1156" s="3528" t="s">
        <v>7652</v>
      </c>
      <c r="G1156" s="3470"/>
      <c r="H1156" s="3470" t="s">
        <v>10114</v>
      </c>
      <c r="I1156" s="3470" t="s">
        <v>4447</v>
      </c>
      <c r="J1156" s="3481" t="s">
        <v>10036</v>
      </c>
      <c r="K1156" s="3470" t="s">
        <v>6369</v>
      </c>
      <c r="L1156" s="3470">
        <v>104.67</v>
      </c>
      <c r="M1156" s="3470">
        <v>12</v>
      </c>
      <c r="N1156" s="3542" t="s">
        <v>3491</v>
      </c>
      <c r="O1156" s="3470">
        <v>82.57</v>
      </c>
      <c r="P1156" s="3470" t="s">
        <v>3452</v>
      </c>
      <c r="Q1156" s="3457">
        <v>495089.1</v>
      </c>
      <c r="R1156" s="3470">
        <v>4730</v>
      </c>
      <c r="S1156" s="3472">
        <v>48.88</v>
      </c>
      <c r="T1156" s="3527">
        <v>488800</v>
      </c>
      <c r="U1156" s="3470">
        <v>4670</v>
      </c>
      <c r="V1156" s="3512">
        <v>0.1</v>
      </c>
      <c r="W1156" s="3475">
        <v>43.99</v>
      </c>
      <c r="X1156" s="3473">
        <v>439900</v>
      </c>
      <c r="Y1156" s="3441">
        <v>2003</v>
      </c>
      <c r="Z1156" s="3441">
        <v>12</v>
      </c>
      <c r="AA1156" s="3441">
        <v>4</v>
      </c>
      <c r="AB1156" s="3485">
        <v>2440</v>
      </c>
      <c r="AC1156" s="3470" t="s">
        <v>9077</v>
      </c>
      <c r="AD1156" s="3485"/>
      <c r="AE1156" s="3441" t="s">
        <v>3663</v>
      </c>
      <c r="AF1156" s="3470" t="s">
        <v>7751</v>
      </c>
      <c r="AG1156" s="3522" t="s">
        <v>3466</v>
      </c>
      <c r="AH1156" s="3485" t="s">
        <v>3568</v>
      </c>
      <c r="AI1156" s="3470" t="s">
        <v>5021</v>
      </c>
      <c r="AJ1156" s="3523">
        <v>38123</v>
      </c>
      <c r="AK1156" s="3603" t="s">
        <v>3467</v>
      </c>
      <c r="AL1156" s="3441">
        <v>67641700</v>
      </c>
      <c r="AN1156" s="3456" t="s">
        <v>3570</v>
      </c>
      <c r="AP1156" s="3441" t="s">
        <v>3476</v>
      </c>
      <c r="AQ1156" s="3441" t="s">
        <v>3571</v>
      </c>
      <c r="AV1156" s="3441" t="s">
        <v>3568</v>
      </c>
      <c r="AW1156" s="3441" t="s">
        <v>3572</v>
      </c>
      <c r="AY1156" s="3524" t="s">
        <v>11099</v>
      </c>
      <c r="AZ1156" s="3441" t="s">
        <v>6369</v>
      </c>
      <c r="BA1156" s="3441" t="s">
        <v>7655</v>
      </c>
      <c r="BB1156" s="3524" t="s">
        <v>7656</v>
      </c>
      <c r="BC1156" s="3441" t="s">
        <v>7657</v>
      </c>
      <c r="BD1156" s="3525">
        <v>100025</v>
      </c>
      <c r="BE1156" s="3441">
        <v>62908858</v>
      </c>
      <c r="BF1156" s="3526">
        <v>2.7</v>
      </c>
      <c r="BG1156" s="3518">
        <v>37915</v>
      </c>
      <c r="BH1156" s="3441" t="s">
        <v>4681</v>
      </c>
      <c r="BI1156" s="3441" t="s">
        <v>3476</v>
      </c>
      <c r="BJ1156" s="3478">
        <v>37957</v>
      </c>
      <c r="BK1156" s="3484"/>
      <c r="BL1156" s="3470" t="s">
        <v>3670</v>
      </c>
    </row>
    <row r="1157" spans="1:70" s="3441" customFormat="1" ht="12" hidden="1">
      <c r="A1157" s="3485" t="s">
        <v>11100</v>
      </c>
      <c r="B1157" s="3470" t="s">
        <v>11101</v>
      </c>
      <c r="C1157" s="3481" t="s">
        <v>11102</v>
      </c>
      <c r="D1157" s="3481" t="s">
        <v>11103</v>
      </c>
      <c r="E1157" s="3470" t="s">
        <v>3558</v>
      </c>
      <c r="F1157" s="3528" t="s">
        <v>7652</v>
      </c>
      <c r="G1157" s="3470"/>
      <c r="H1157" s="3470" t="s">
        <v>10114</v>
      </c>
      <c r="I1157" s="3470" t="s">
        <v>4447</v>
      </c>
      <c r="J1157" s="3481" t="s">
        <v>4448</v>
      </c>
      <c r="K1157" s="3470" t="s">
        <v>6369</v>
      </c>
      <c r="L1157" s="3470">
        <v>104.67</v>
      </c>
      <c r="M1157" s="3470">
        <v>12</v>
      </c>
      <c r="N1157" s="3542" t="s">
        <v>3491</v>
      </c>
      <c r="O1157" s="3470">
        <v>82.57</v>
      </c>
      <c r="P1157" s="3470" t="s">
        <v>3452</v>
      </c>
      <c r="Q1157" s="3457">
        <v>510789.6</v>
      </c>
      <c r="R1157" s="3470">
        <v>4880</v>
      </c>
      <c r="S1157" s="3472">
        <v>50.55</v>
      </c>
      <c r="T1157" s="3527">
        <v>505500</v>
      </c>
      <c r="U1157" s="3470">
        <v>4830</v>
      </c>
      <c r="V1157" s="3512">
        <v>0.1</v>
      </c>
      <c r="W1157" s="3475">
        <v>45.49</v>
      </c>
      <c r="X1157" s="3473">
        <v>454900</v>
      </c>
      <c r="Y1157" s="3441">
        <v>2003</v>
      </c>
      <c r="Z1157" s="3441">
        <v>12</v>
      </c>
      <c r="AA1157" s="3441">
        <v>4</v>
      </c>
      <c r="AB1157" s="3485">
        <v>2525</v>
      </c>
      <c r="AC1157" s="3470" t="s">
        <v>9007</v>
      </c>
      <c r="AD1157" s="3485"/>
      <c r="AE1157" s="3441" t="s">
        <v>3663</v>
      </c>
      <c r="AF1157" s="3470" t="s">
        <v>7751</v>
      </c>
      <c r="AG1157" s="3522" t="s">
        <v>3466</v>
      </c>
      <c r="AH1157" s="3485" t="s">
        <v>3568</v>
      </c>
      <c r="AI1157" s="3470" t="s">
        <v>5021</v>
      </c>
      <c r="AJ1157" s="3523">
        <v>38123</v>
      </c>
      <c r="AK1157" s="3603" t="s">
        <v>3467</v>
      </c>
      <c r="AL1157" s="3441">
        <v>67641700</v>
      </c>
      <c r="AN1157" s="3456" t="s">
        <v>3570</v>
      </c>
      <c r="AP1157" s="3441" t="s">
        <v>3476</v>
      </c>
      <c r="AQ1157" s="3441" t="s">
        <v>3571</v>
      </c>
      <c r="AV1157" s="3441" t="s">
        <v>3568</v>
      </c>
      <c r="AW1157" s="3441" t="s">
        <v>3572</v>
      </c>
      <c r="AY1157" s="3524" t="s">
        <v>11104</v>
      </c>
      <c r="AZ1157" s="3441" t="s">
        <v>6369</v>
      </c>
      <c r="BA1157" s="3441" t="s">
        <v>7655</v>
      </c>
      <c r="BB1157" s="3524" t="s">
        <v>7656</v>
      </c>
      <c r="BC1157" s="3441" t="s">
        <v>7657</v>
      </c>
      <c r="BD1157" s="3525">
        <v>100025</v>
      </c>
      <c r="BE1157" s="3441">
        <v>62908858</v>
      </c>
      <c r="BF1157" s="3526">
        <v>2.7</v>
      </c>
      <c r="BG1157" s="3518">
        <v>37915</v>
      </c>
      <c r="BH1157" s="3441" t="s">
        <v>4681</v>
      </c>
      <c r="BI1157" s="3441" t="s">
        <v>3476</v>
      </c>
      <c r="BJ1157" s="3478">
        <v>37957</v>
      </c>
      <c r="BK1157" s="3484"/>
      <c r="BL1157" s="3470" t="s">
        <v>3670</v>
      </c>
    </row>
    <row r="1158" spans="1:70" s="3441" customFormat="1" ht="12">
      <c r="A1158" s="3485" t="s">
        <v>11105</v>
      </c>
      <c r="B1158" s="3470" t="s">
        <v>11106</v>
      </c>
      <c r="C1158" s="3481" t="s">
        <v>11107</v>
      </c>
      <c r="D1158" s="3481" t="s">
        <v>11108</v>
      </c>
      <c r="E1158" s="3470" t="s">
        <v>2736</v>
      </c>
      <c r="F1158" s="3687" t="s">
        <v>9471</v>
      </c>
      <c r="G1158" s="3470"/>
      <c r="H1158" s="3470" t="s">
        <v>2420</v>
      </c>
      <c r="I1158" s="3470" t="s">
        <v>7204</v>
      </c>
      <c r="J1158" s="3481" t="s">
        <v>11109</v>
      </c>
      <c r="K1158" s="3470" t="s">
        <v>8795</v>
      </c>
      <c r="L1158" s="3470">
        <v>48.52</v>
      </c>
      <c r="M1158" s="3470">
        <v>9</v>
      </c>
      <c r="N1158" s="3470" t="s">
        <v>3678</v>
      </c>
      <c r="O1158" s="3470">
        <v>37.67</v>
      </c>
      <c r="P1158" s="3470" t="s">
        <v>3452</v>
      </c>
      <c r="Q1158" s="3457">
        <v>356622</v>
      </c>
      <c r="R1158" s="3470">
        <v>7350</v>
      </c>
      <c r="S1158" s="3472">
        <v>35.6</v>
      </c>
      <c r="T1158" s="3527">
        <v>356000</v>
      </c>
      <c r="U1158" s="3495">
        <v>7338</v>
      </c>
      <c r="V1158" s="3474">
        <v>0.1</v>
      </c>
      <c r="W1158" s="3475">
        <v>32.04</v>
      </c>
      <c r="X1158" s="3473">
        <v>320400</v>
      </c>
      <c r="Y1158" s="3495">
        <v>2003</v>
      </c>
      <c r="Z1158" s="3441">
        <v>12</v>
      </c>
      <c r="AA1158" s="3470">
        <v>11</v>
      </c>
      <c r="AB1158" s="3477">
        <v>1780</v>
      </c>
      <c r="AC1158" s="3470" t="s">
        <v>9364</v>
      </c>
      <c r="AD1158" s="3485"/>
      <c r="AE1158" s="3441" t="s">
        <v>3663</v>
      </c>
      <c r="AF1158" s="3470" t="s">
        <v>3587</v>
      </c>
      <c r="AG1158" s="3522" t="s">
        <v>3466</v>
      </c>
      <c r="AH1158" s="3485"/>
      <c r="AI1158" s="3470" t="s">
        <v>5021</v>
      </c>
      <c r="AJ1158" s="3523">
        <v>38107</v>
      </c>
      <c r="AK1158" s="3612" t="s">
        <v>3467</v>
      </c>
      <c r="AL1158" s="3441">
        <v>67641700</v>
      </c>
      <c r="AN1158" s="3480" t="s">
        <v>3695</v>
      </c>
      <c r="AO1158" s="3470" t="s">
        <v>2420</v>
      </c>
      <c r="AP1158" s="3441" t="s">
        <v>3476</v>
      </c>
      <c r="AQ1158" s="3441" t="s">
        <v>3571</v>
      </c>
      <c r="AW1158" s="3441" t="s">
        <v>3572</v>
      </c>
      <c r="AY1158" s="3524" t="s">
        <v>11110</v>
      </c>
      <c r="AZ1158" s="3470" t="s">
        <v>8795</v>
      </c>
      <c r="BA1158" s="3441" t="s">
        <v>9474</v>
      </c>
      <c r="BB1158" s="3524" t="s">
        <v>8799</v>
      </c>
      <c r="BC1158" s="3441" t="s">
        <v>8800</v>
      </c>
      <c r="BD1158" s="3525" t="s">
        <v>2420</v>
      </c>
      <c r="BE1158" s="3441" t="s">
        <v>2420</v>
      </c>
      <c r="BF1158" s="3526">
        <v>2.8</v>
      </c>
      <c r="BG1158" s="3484">
        <v>37938</v>
      </c>
      <c r="BH1158" s="3441" t="s">
        <v>8801</v>
      </c>
      <c r="BI1158" s="3441" t="s">
        <v>3476</v>
      </c>
      <c r="BJ1158" s="3484">
        <v>37956</v>
      </c>
      <c r="BK1158" s="3484">
        <v>37958</v>
      </c>
      <c r="BL1158" s="3470" t="s">
        <v>3670</v>
      </c>
    </row>
    <row r="1159" spans="1:70" s="3441" customFormat="1" ht="12" hidden="1">
      <c r="A1159" s="3453" t="s">
        <v>11111</v>
      </c>
      <c r="B1159" s="3470" t="s">
        <v>11112</v>
      </c>
      <c r="C1159" s="3481" t="s">
        <v>11113</v>
      </c>
      <c r="D1159" s="3481" t="s">
        <v>11114</v>
      </c>
      <c r="E1159" s="3470" t="s">
        <v>3558</v>
      </c>
      <c r="F1159" s="3470" t="s">
        <v>4693</v>
      </c>
      <c r="G1159" s="3470"/>
      <c r="H1159" s="3470" t="s">
        <v>4453</v>
      </c>
      <c r="I1159" s="3470" t="s">
        <v>7204</v>
      </c>
      <c r="J1159" s="3481" t="s">
        <v>4485</v>
      </c>
      <c r="K1159" s="3470" t="s">
        <v>4697</v>
      </c>
      <c r="L1159" s="3470">
        <v>37.99</v>
      </c>
      <c r="M1159" s="3470">
        <v>9</v>
      </c>
      <c r="N1159" s="3470" t="s">
        <v>3692</v>
      </c>
      <c r="O1159" s="3470">
        <v>28.22</v>
      </c>
      <c r="P1159" s="3470" t="s">
        <v>3452</v>
      </c>
      <c r="Q1159" s="3457">
        <v>322649.07</v>
      </c>
      <c r="R1159" s="3470">
        <v>8493</v>
      </c>
      <c r="S1159" s="3472">
        <v>32.020000000000003</v>
      </c>
      <c r="T1159" s="3550">
        <v>320200</v>
      </c>
      <c r="U1159" s="3495">
        <v>8430</v>
      </c>
      <c r="V1159" s="3512">
        <v>0.1</v>
      </c>
      <c r="W1159" s="3475">
        <v>28.81</v>
      </c>
      <c r="X1159" s="3511">
        <v>288100</v>
      </c>
      <c r="Y1159" s="3515">
        <v>2003</v>
      </c>
      <c r="Z1159" s="3441">
        <v>12</v>
      </c>
      <c r="AA1159" s="3441">
        <v>4</v>
      </c>
      <c r="AB1159" s="3477">
        <v>1600</v>
      </c>
      <c r="AC1159" s="3470" t="s">
        <v>9077</v>
      </c>
      <c r="AD1159" s="3485"/>
      <c r="AE1159" s="3441" t="s">
        <v>3663</v>
      </c>
      <c r="AF1159" s="3470" t="s">
        <v>3587</v>
      </c>
      <c r="AG1159" s="3522" t="s">
        <v>3466</v>
      </c>
      <c r="AH1159" s="3485" t="s">
        <v>3463</v>
      </c>
      <c r="AI1159" s="3470" t="s">
        <v>5021</v>
      </c>
      <c r="AJ1159" s="3523">
        <v>38138</v>
      </c>
      <c r="AK1159" s="3603" t="s">
        <v>3467</v>
      </c>
      <c r="AL1159" s="3441">
        <v>67641700</v>
      </c>
      <c r="AN1159" s="3456" t="s">
        <v>3570</v>
      </c>
      <c r="AO1159" s="3470" t="s">
        <v>3568</v>
      </c>
      <c r="AP1159" s="3441" t="s">
        <v>3476</v>
      </c>
      <c r="AQ1159" s="3441" t="s">
        <v>3571</v>
      </c>
      <c r="AV1159" s="3441" t="s">
        <v>3568</v>
      </c>
      <c r="AW1159" s="3441" t="s">
        <v>3572</v>
      </c>
      <c r="AX1159" s="3441" t="s">
        <v>3568</v>
      </c>
      <c r="AY1159" s="3524" t="s">
        <v>11115</v>
      </c>
      <c r="AZ1159" s="3441" t="s">
        <v>4697</v>
      </c>
      <c r="BA1159" s="3441" t="s">
        <v>4700</v>
      </c>
      <c r="BB1159" s="3524" t="s">
        <v>4701</v>
      </c>
      <c r="BC1159" s="3441" t="s">
        <v>4702</v>
      </c>
      <c r="BD1159" s="3525">
        <v>100011</v>
      </c>
      <c r="BE1159" s="3441">
        <v>62351476</v>
      </c>
      <c r="BF1159" s="3526">
        <v>2.8</v>
      </c>
      <c r="BG1159" s="3518">
        <v>37942</v>
      </c>
      <c r="BI1159" s="3470" t="s">
        <v>3476</v>
      </c>
      <c r="BJ1159" s="3478">
        <v>37957</v>
      </c>
      <c r="BK1159" s="3518"/>
      <c r="BL1159" s="3470" t="s">
        <v>3670</v>
      </c>
    </row>
    <row r="1160" spans="1:70" s="3604" customFormat="1" ht="12" hidden="1">
      <c r="A1160" s="3485" t="s">
        <v>11116</v>
      </c>
      <c r="B1160" s="3470" t="s">
        <v>11117</v>
      </c>
      <c r="C1160" s="3481" t="s">
        <v>11118</v>
      </c>
      <c r="D1160" s="3481" t="s">
        <v>11119</v>
      </c>
      <c r="E1160" s="3470" t="s">
        <v>3558</v>
      </c>
      <c r="F1160" s="3528" t="s">
        <v>3733</v>
      </c>
      <c r="G1160" s="3470"/>
      <c r="H1160" s="3470" t="s">
        <v>10995</v>
      </c>
      <c r="I1160" s="3470" t="s">
        <v>8768</v>
      </c>
      <c r="J1160" s="3470" t="s">
        <v>6333</v>
      </c>
      <c r="K1160" s="3470" t="s">
        <v>3737</v>
      </c>
      <c r="L1160" s="3470">
        <v>76.069999999999993</v>
      </c>
      <c r="M1160" s="3470">
        <v>16</v>
      </c>
      <c r="N1160" s="3470" t="s">
        <v>3451</v>
      </c>
      <c r="O1160" s="3470">
        <v>60.99</v>
      </c>
      <c r="P1160" s="3470" t="s">
        <v>3452</v>
      </c>
      <c r="Q1160" s="3492">
        <v>488369.39999999997</v>
      </c>
      <c r="R1160" s="3470">
        <v>6420</v>
      </c>
      <c r="S1160" s="3472">
        <v>48.38</v>
      </c>
      <c r="T1160" s="3527">
        <v>483800</v>
      </c>
      <c r="U1160" s="3470">
        <v>6360</v>
      </c>
      <c r="V1160" s="3474">
        <v>0.1</v>
      </c>
      <c r="W1160" s="3475">
        <v>43.54</v>
      </c>
      <c r="X1160" s="3494">
        <v>435400</v>
      </c>
      <c r="Y1160" s="3441">
        <v>2003</v>
      </c>
      <c r="Z1160" s="3441">
        <v>12</v>
      </c>
      <c r="AA1160" s="3441">
        <v>4</v>
      </c>
      <c r="AB1160" s="3477">
        <v>2415</v>
      </c>
      <c r="AC1160" s="3470" t="s">
        <v>9077</v>
      </c>
      <c r="AD1160" s="3485"/>
      <c r="AE1160" s="3441" t="s">
        <v>3663</v>
      </c>
      <c r="AF1160" s="3470" t="s">
        <v>3604</v>
      </c>
      <c r="AG1160" s="3522" t="s">
        <v>3466</v>
      </c>
      <c r="AH1160" s="3485"/>
      <c r="AI1160" s="3470" t="s">
        <v>5021</v>
      </c>
      <c r="AJ1160" s="3523">
        <v>38132</v>
      </c>
      <c r="AK1160" s="3612" t="s">
        <v>3467</v>
      </c>
      <c r="AL1160" s="3441">
        <v>67641700</v>
      </c>
      <c r="AM1160" s="3441"/>
      <c r="AN1160" s="3480" t="s">
        <v>3570</v>
      </c>
      <c r="AO1160" s="3470" t="s">
        <v>2420</v>
      </c>
      <c r="AP1160" s="3441" t="s">
        <v>3476</v>
      </c>
      <c r="AQ1160" s="3441" t="s">
        <v>11120</v>
      </c>
      <c r="AR1160" s="3441">
        <v>2003</v>
      </c>
      <c r="AS1160" s="3441">
        <v>12</v>
      </c>
      <c r="AT1160" s="3441">
        <v>5</v>
      </c>
      <c r="AU1160" s="3441"/>
      <c r="AV1160" s="3441"/>
      <c r="AW1160" s="3441" t="s">
        <v>3572</v>
      </c>
      <c r="AX1160" s="3441"/>
      <c r="AY1160" s="3524" t="s">
        <v>11121</v>
      </c>
      <c r="AZ1160" s="3441" t="s">
        <v>3737</v>
      </c>
      <c r="BA1160" s="3441" t="s">
        <v>3742</v>
      </c>
      <c r="BB1160" s="3524" t="s">
        <v>3743</v>
      </c>
      <c r="BC1160" s="3441" t="s">
        <v>3744</v>
      </c>
      <c r="BD1160" s="3525">
        <v>100088</v>
      </c>
      <c r="BE1160" s="3441">
        <v>82058259</v>
      </c>
      <c r="BF1160" s="3526" t="s">
        <v>8595</v>
      </c>
      <c r="BG1160" s="3478">
        <v>37948</v>
      </c>
      <c r="BH1160" s="3441" t="s">
        <v>4753</v>
      </c>
      <c r="BI1160" s="3441" t="s">
        <v>3476</v>
      </c>
      <c r="BJ1160" s="3478">
        <v>37956</v>
      </c>
      <c r="BK1160" s="3484" t="s">
        <v>2420</v>
      </c>
      <c r="BL1160" s="3470" t="s">
        <v>3670</v>
      </c>
      <c r="BM1160" s="3441"/>
      <c r="BN1160" s="3441"/>
      <c r="BO1160" s="3441"/>
      <c r="BP1160" s="3441"/>
      <c r="BQ1160" s="3441"/>
      <c r="BR1160" s="3441"/>
    </row>
    <row r="1161" spans="1:70" s="3441" customFormat="1" ht="12" hidden="1">
      <c r="A1161" s="3485" t="s">
        <v>11122</v>
      </c>
      <c r="B1161" s="3470" t="s">
        <v>11123</v>
      </c>
      <c r="C1161" s="3481" t="s">
        <v>11124</v>
      </c>
      <c r="D1161" s="3481" t="s">
        <v>11125</v>
      </c>
      <c r="E1161" s="3470" t="s">
        <v>3558</v>
      </c>
      <c r="F1161" s="3528" t="s">
        <v>3733</v>
      </c>
      <c r="G1161" s="3470"/>
      <c r="H1161" s="3470" t="s">
        <v>10995</v>
      </c>
      <c r="I1161" s="3470" t="s">
        <v>4581</v>
      </c>
      <c r="J1161" s="3470" t="s">
        <v>9397</v>
      </c>
      <c r="K1161" s="3470" t="s">
        <v>3737</v>
      </c>
      <c r="L1161" s="3470">
        <v>88.67</v>
      </c>
      <c r="M1161" s="3470">
        <v>5</v>
      </c>
      <c r="N1161" s="3470" t="s">
        <v>3491</v>
      </c>
      <c r="O1161" s="3470">
        <v>71.09</v>
      </c>
      <c r="P1161" s="3470" t="s">
        <v>3452</v>
      </c>
      <c r="Q1161" s="3600">
        <v>586995.4</v>
      </c>
      <c r="R1161" s="3470">
        <v>6620</v>
      </c>
      <c r="S1161" s="3472">
        <v>58.16</v>
      </c>
      <c r="T1161" s="3527">
        <v>581600</v>
      </c>
      <c r="U1161" s="3470">
        <v>6560</v>
      </c>
      <c r="V1161" s="3474">
        <v>0.1</v>
      </c>
      <c r="W1161" s="3475">
        <v>52.34</v>
      </c>
      <c r="X1161" s="3494">
        <v>523400</v>
      </c>
      <c r="Y1161" s="3441">
        <v>2003</v>
      </c>
      <c r="Z1161" s="3441">
        <v>12</v>
      </c>
      <c r="AA1161" s="3441">
        <v>4</v>
      </c>
      <c r="AB1161" s="3477">
        <v>2905</v>
      </c>
      <c r="AC1161" s="3470" t="s">
        <v>4761</v>
      </c>
      <c r="AD1161" s="3485"/>
      <c r="AE1161" s="3441" t="s">
        <v>3663</v>
      </c>
      <c r="AF1161" s="3470" t="s">
        <v>3604</v>
      </c>
      <c r="AG1161" s="3522" t="s">
        <v>3466</v>
      </c>
      <c r="AH1161" s="3485"/>
      <c r="AI1161" s="3470" t="s">
        <v>5021</v>
      </c>
      <c r="AJ1161" s="3523">
        <v>38132</v>
      </c>
      <c r="AK1161" s="3603" t="s">
        <v>3467</v>
      </c>
      <c r="AL1161" s="3441">
        <v>67641700</v>
      </c>
      <c r="AN1161" s="3456" t="s">
        <v>3570</v>
      </c>
      <c r="AO1161" s="3470" t="s">
        <v>2420</v>
      </c>
      <c r="AP1161" s="3441" t="s">
        <v>3476</v>
      </c>
      <c r="AQ1161" s="3441" t="s">
        <v>3571</v>
      </c>
      <c r="AW1161" s="3441" t="s">
        <v>3572</v>
      </c>
      <c r="AY1161" s="3524" t="s">
        <v>11126</v>
      </c>
      <c r="AZ1161" s="3441" t="s">
        <v>3737</v>
      </c>
      <c r="BA1161" s="3441" t="s">
        <v>3742</v>
      </c>
      <c r="BB1161" s="3524" t="s">
        <v>3743</v>
      </c>
      <c r="BC1161" s="3441" t="s">
        <v>3744</v>
      </c>
      <c r="BD1161" s="3525">
        <v>100088</v>
      </c>
      <c r="BE1161" s="3441">
        <v>82058259</v>
      </c>
      <c r="BF1161" s="3526" t="s">
        <v>8595</v>
      </c>
      <c r="BG1161" s="3478">
        <v>37944</v>
      </c>
      <c r="BH1161" s="3441" t="s">
        <v>4753</v>
      </c>
      <c r="BI1161" s="3441" t="s">
        <v>3476</v>
      </c>
      <c r="BJ1161" s="3478">
        <v>37956</v>
      </c>
      <c r="BK1161" s="3484" t="s">
        <v>2420</v>
      </c>
      <c r="BL1161" s="3470" t="s">
        <v>3670</v>
      </c>
    </row>
    <row r="1162" spans="1:70" s="3470" customFormat="1" ht="12" hidden="1">
      <c r="A1162" s="3485" t="s">
        <v>11127</v>
      </c>
      <c r="B1162" s="3470" t="s">
        <v>11128</v>
      </c>
      <c r="C1162" s="3454" t="s">
        <v>11129</v>
      </c>
      <c r="D1162" s="3470">
        <v>13693698962</v>
      </c>
      <c r="E1162" s="3470" t="s">
        <v>2736</v>
      </c>
      <c r="F1162" s="3470" t="s">
        <v>5592</v>
      </c>
      <c r="G1162" s="3470" t="s">
        <v>2420</v>
      </c>
      <c r="H1162" s="3470" t="s">
        <v>9982</v>
      </c>
      <c r="I1162" s="3453" t="s">
        <v>3676</v>
      </c>
      <c r="J1162" s="3453" t="s">
        <v>9924</v>
      </c>
      <c r="K1162" s="3470" t="s">
        <v>5586</v>
      </c>
      <c r="L1162" s="3495">
        <v>98.22</v>
      </c>
      <c r="M1162" s="3495">
        <v>11</v>
      </c>
      <c r="N1162" s="3470" t="s">
        <v>3486</v>
      </c>
      <c r="O1162" s="3495">
        <v>83.29</v>
      </c>
      <c r="P1162" s="3470" t="s">
        <v>3452</v>
      </c>
      <c r="Q1162" s="3457">
        <v>405648.6</v>
      </c>
      <c r="R1162" s="3470">
        <v>4130</v>
      </c>
      <c r="S1162" s="3472">
        <v>40.119999999999997</v>
      </c>
      <c r="T1162" s="3550">
        <v>401200</v>
      </c>
      <c r="U1162" s="3470">
        <v>4085</v>
      </c>
      <c r="V1162" s="3474">
        <v>0.1</v>
      </c>
      <c r="W1162" s="3475">
        <v>36.1</v>
      </c>
      <c r="X1162" s="3511">
        <v>361000</v>
      </c>
      <c r="Y1162" s="3441">
        <v>2003</v>
      </c>
      <c r="Z1162" s="3441">
        <v>12</v>
      </c>
      <c r="AA1162" s="3470">
        <v>11</v>
      </c>
      <c r="AB1162" s="3485">
        <v>2005</v>
      </c>
      <c r="AC1162" s="3470" t="s">
        <v>9007</v>
      </c>
      <c r="AE1162" s="3456" t="s">
        <v>3663</v>
      </c>
      <c r="AF1162" s="3470" t="s">
        <v>4721</v>
      </c>
      <c r="AG1162" s="3470" t="s">
        <v>3466</v>
      </c>
      <c r="AI1162" s="3470" t="s">
        <v>3664</v>
      </c>
      <c r="AJ1162" s="3478">
        <v>38352</v>
      </c>
      <c r="AK1162" s="3612" t="s">
        <v>3467</v>
      </c>
      <c r="AL1162" s="3441">
        <v>67641700</v>
      </c>
      <c r="AM1162" s="3441"/>
      <c r="AN1162" s="3480" t="s">
        <v>3695</v>
      </c>
      <c r="AO1162" s="3470" t="s">
        <v>11130</v>
      </c>
      <c r="AP1162" s="3456" t="s">
        <v>3476</v>
      </c>
      <c r="AQ1162" s="3456" t="s">
        <v>3571</v>
      </c>
      <c r="AV1162" s="3519"/>
      <c r="AW1162" s="3470" t="s">
        <v>3572</v>
      </c>
      <c r="AX1162" s="3470" t="s">
        <v>2420</v>
      </c>
      <c r="AY1162" s="3495">
        <v>565843</v>
      </c>
      <c r="AZ1162" s="3470" t="s">
        <v>5586</v>
      </c>
      <c r="BA1162" s="3470" t="s">
        <v>5587</v>
      </c>
      <c r="BB1162" s="3619">
        <v>1102281326100</v>
      </c>
      <c r="BC1162" s="3470" t="s">
        <v>5588</v>
      </c>
      <c r="BD1162" s="3470">
        <v>100055</v>
      </c>
      <c r="BE1162" s="3470">
        <v>82951881</v>
      </c>
      <c r="BF1162" s="3520">
        <v>2.8</v>
      </c>
      <c r="BG1162" s="3478">
        <v>37951</v>
      </c>
      <c r="BI1162" s="3441" t="s">
        <v>3476</v>
      </c>
      <c r="BJ1162" s="3484">
        <v>37964</v>
      </c>
      <c r="BK1162" s="3478"/>
      <c r="BL1162" s="3441" t="s">
        <v>3670</v>
      </c>
      <c r="BM1162" s="3441"/>
      <c r="BN1162" s="3441"/>
      <c r="BO1162" s="3441"/>
      <c r="BP1162" s="3441"/>
      <c r="BQ1162" s="3441"/>
      <c r="BR1162" s="3441"/>
    </row>
    <row r="1163" spans="1:70" s="3470" customFormat="1" ht="12" hidden="1">
      <c r="A1163" s="3453" t="s">
        <v>11131</v>
      </c>
      <c r="B1163" s="3470" t="s">
        <v>11132</v>
      </c>
      <c r="C1163" s="3481" t="s">
        <v>11133</v>
      </c>
      <c r="D1163" s="3470">
        <v>13601220230</v>
      </c>
      <c r="E1163" s="3470" t="s">
        <v>3558</v>
      </c>
      <c r="F1163" s="3470" t="s">
        <v>8094</v>
      </c>
      <c r="H1163" s="3453" t="s">
        <v>5486</v>
      </c>
      <c r="I1163" s="3453" t="s">
        <v>3726</v>
      </c>
      <c r="J1163" s="3453" t="s">
        <v>3777</v>
      </c>
      <c r="K1163" s="3470" t="s">
        <v>8097</v>
      </c>
      <c r="L1163" s="3495">
        <v>137.69</v>
      </c>
      <c r="M1163" s="3495">
        <v>7</v>
      </c>
      <c r="N1163" s="3470" t="s">
        <v>3488</v>
      </c>
      <c r="O1163" s="3495">
        <v>117.73</v>
      </c>
      <c r="P1163" s="3470" t="s">
        <v>3452</v>
      </c>
      <c r="Q1163" s="3457">
        <v>614648.16</v>
      </c>
      <c r="R1163" s="3470">
        <v>4464</v>
      </c>
      <c r="S1163" s="3472">
        <v>61.35</v>
      </c>
      <c r="T1163" s="3527">
        <v>613500</v>
      </c>
      <c r="U1163" s="3470">
        <v>4456</v>
      </c>
      <c r="V1163" s="3474">
        <v>0.05</v>
      </c>
      <c r="W1163" s="3475">
        <v>58.28</v>
      </c>
      <c r="X1163" s="3476">
        <v>582800</v>
      </c>
      <c r="Y1163" s="3441">
        <v>2003</v>
      </c>
      <c r="Z1163" s="3441">
        <v>12</v>
      </c>
      <c r="AA1163" s="3470">
        <v>5</v>
      </c>
      <c r="AB1163" s="3477">
        <v>3065</v>
      </c>
      <c r="AC1163" s="3470" t="s">
        <v>9007</v>
      </c>
      <c r="AE1163" s="3456" t="s">
        <v>3663</v>
      </c>
      <c r="AF1163" s="3453" t="s">
        <v>3493</v>
      </c>
      <c r="AG1163" s="3470" t="s">
        <v>3466</v>
      </c>
      <c r="AI1163" s="3456" t="s">
        <v>5021</v>
      </c>
      <c r="AJ1163" s="3478">
        <v>37790</v>
      </c>
      <c r="AK1163" s="3606" t="s">
        <v>11134</v>
      </c>
      <c r="AL1163" s="3441">
        <v>67641700</v>
      </c>
      <c r="AM1163" s="3441"/>
      <c r="AN1163" s="3441" t="s">
        <v>3456</v>
      </c>
      <c r="AP1163" s="3456" t="s">
        <v>3476</v>
      </c>
      <c r="AQ1163" s="3456" t="s">
        <v>3571</v>
      </c>
      <c r="AV1163" s="3519" t="s">
        <v>3568</v>
      </c>
      <c r="AW1163" s="3470" t="s">
        <v>3572</v>
      </c>
      <c r="AX1163" s="3470" t="s">
        <v>2511</v>
      </c>
      <c r="AY1163" s="3495">
        <v>145452</v>
      </c>
      <c r="AZ1163" s="3470" t="s">
        <v>8097</v>
      </c>
      <c r="BA1163" s="3470" t="s">
        <v>8100</v>
      </c>
      <c r="BB1163" s="3470" t="s">
        <v>8101</v>
      </c>
      <c r="BC1163" s="3470" t="s">
        <v>11135</v>
      </c>
      <c r="BD1163" s="3470">
        <v>100010</v>
      </c>
      <c r="BE1163" s="3470">
        <v>65233356</v>
      </c>
      <c r="BF1163" s="3520">
        <v>2.7</v>
      </c>
      <c r="BG1163" s="3478">
        <v>37940</v>
      </c>
      <c r="BI1163" s="3470" t="s">
        <v>8464</v>
      </c>
      <c r="BJ1163" s="3484">
        <v>37958</v>
      </c>
      <c r="BK1163" s="3478"/>
      <c r="BL1163" s="3470" t="s">
        <v>3670</v>
      </c>
      <c r="BP1163" s="3441"/>
      <c r="BQ1163" s="3441"/>
      <c r="BR1163" s="3441"/>
    </row>
    <row r="1164" spans="1:70" s="3441" customFormat="1" ht="12" hidden="1">
      <c r="A1164" s="3453" t="s">
        <v>11136</v>
      </c>
      <c r="B1164" s="3470" t="s">
        <v>11137</v>
      </c>
      <c r="C1164" s="3481" t="s">
        <v>11138</v>
      </c>
      <c r="D1164" s="3481" t="s">
        <v>11139</v>
      </c>
      <c r="E1164" s="3470" t="s">
        <v>3558</v>
      </c>
      <c r="F1164" s="3470" t="s">
        <v>4693</v>
      </c>
      <c r="G1164" s="3470"/>
      <c r="H1164" s="3470" t="s">
        <v>4453</v>
      </c>
      <c r="I1164" s="3470" t="s">
        <v>4027</v>
      </c>
      <c r="J1164" s="3481" t="s">
        <v>3900</v>
      </c>
      <c r="K1164" s="3470" t="s">
        <v>4697</v>
      </c>
      <c r="L1164" s="3470">
        <v>37.979999999999997</v>
      </c>
      <c r="M1164" s="3470">
        <v>6</v>
      </c>
      <c r="N1164" s="3470" t="s">
        <v>3692</v>
      </c>
      <c r="O1164" s="3470">
        <v>28.21</v>
      </c>
      <c r="P1164" s="3470" t="s">
        <v>3452</v>
      </c>
      <c r="Q1164" s="3457">
        <v>312993.18</v>
      </c>
      <c r="R1164" s="3470">
        <v>8241</v>
      </c>
      <c r="S1164" s="3472">
        <v>31.13</v>
      </c>
      <c r="T1164" s="3550">
        <v>311300</v>
      </c>
      <c r="U1164" s="3491">
        <v>8198</v>
      </c>
      <c r="V1164" s="3529">
        <v>0.1</v>
      </c>
      <c r="W1164" s="3475">
        <v>28.01</v>
      </c>
      <c r="X1164" s="3511">
        <v>280100</v>
      </c>
      <c r="Y1164" s="3501">
        <v>2003</v>
      </c>
      <c r="Z1164" s="3441">
        <v>12</v>
      </c>
      <c r="AA1164" s="3470">
        <v>8</v>
      </c>
      <c r="AB1164" s="3477">
        <v>1555</v>
      </c>
      <c r="AC1164" s="3470" t="s">
        <v>8840</v>
      </c>
      <c r="AD1164" s="3485"/>
      <c r="AE1164" s="3441" t="s">
        <v>3663</v>
      </c>
      <c r="AF1164" s="3470" t="s">
        <v>3604</v>
      </c>
      <c r="AG1164" s="3522" t="s">
        <v>3466</v>
      </c>
      <c r="AH1164" s="3485" t="s">
        <v>3463</v>
      </c>
      <c r="AI1164" s="3470" t="s">
        <v>5021</v>
      </c>
      <c r="AJ1164" s="3523">
        <v>38138</v>
      </c>
      <c r="AK1164" s="3612" t="s">
        <v>3467</v>
      </c>
      <c r="AL1164" s="3441">
        <v>67641700</v>
      </c>
      <c r="AN1164" s="3480" t="s">
        <v>3695</v>
      </c>
      <c r="AO1164" s="3470" t="s">
        <v>3568</v>
      </c>
      <c r="AP1164" s="3441" t="s">
        <v>3476</v>
      </c>
      <c r="AQ1164" s="3441" t="s">
        <v>3571</v>
      </c>
      <c r="AV1164" s="3441" t="s">
        <v>3568</v>
      </c>
      <c r="AW1164" s="3441" t="s">
        <v>3572</v>
      </c>
      <c r="AX1164" s="3441" t="s">
        <v>3568</v>
      </c>
      <c r="AY1164" s="3524" t="s">
        <v>11140</v>
      </c>
      <c r="AZ1164" s="3441" t="s">
        <v>4697</v>
      </c>
      <c r="BA1164" s="3441" t="s">
        <v>4700</v>
      </c>
      <c r="BB1164" s="3524" t="s">
        <v>4701</v>
      </c>
      <c r="BC1164" s="3441" t="s">
        <v>4702</v>
      </c>
      <c r="BD1164" s="3525">
        <v>100011</v>
      </c>
      <c r="BE1164" s="3441">
        <v>62351476</v>
      </c>
      <c r="BF1164" s="3526">
        <v>2.8</v>
      </c>
      <c r="BG1164" s="3518">
        <v>37947</v>
      </c>
      <c r="BI1164" s="3470" t="s">
        <v>3476</v>
      </c>
      <c r="BJ1164" s="3478">
        <v>37957</v>
      </c>
      <c r="BK1164" s="3518"/>
      <c r="BL1164" s="3470" t="s">
        <v>3670</v>
      </c>
    </row>
    <row r="1165" spans="1:70" s="3441" customFormat="1" ht="12" hidden="1">
      <c r="A1165" s="3453" t="s">
        <v>11141</v>
      </c>
      <c r="B1165" s="3470" t="s">
        <v>11142</v>
      </c>
      <c r="C1165" s="3481" t="s">
        <v>11143</v>
      </c>
      <c r="D1165" s="3481" t="s">
        <v>11144</v>
      </c>
      <c r="E1165" s="3470" t="s">
        <v>3558</v>
      </c>
      <c r="F1165" s="3470" t="s">
        <v>4693</v>
      </c>
      <c r="G1165" s="3470"/>
      <c r="H1165" s="3470" t="s">
        <v>10603</v>
      </c>
      <c r="I1165" s="3470" t="s">
        <v>4581</v>
      </c>
      <c r="J1165" s="3481" t="s">
        <v>4582</v>
      </c>
      <c r="K1165" s="3470" t="s">
        <v>4697</v>
      </c>
      <c r="L1165" s="3470">
        <v>44.8</v>
      </c>
      <c r="M1165" s="3470">
        <v>5</v>
      </c>
      <c r="N1165" s="3470" t="s">
        <v>3692</v>
      </c>
      <c r="O1165" s="3470">
        <v>33.28</v>
      </c>
      <c r="P1165" s="3470" t="s">
        <v>3452</v>
      </c>
      <c r="Q1165" s="3457">
        <v>366688</v>
      </c>
      <c r="R1165" s="3470">
        <v>8185</v>
      </c>
      <c r="S1165" s="3472">
        <v>36.67</v>
      </c>
      <c r="T1165" s="3550">
        <v>366700</v>
      </c>
      <c r="U1165" s="3491">
        <v>8186</v>
      </c>
      <c r="V1165" s="3529">
        <v>0.1</v>
      </c>
      <c r="W1165" s="3475">
        <v>33</v>
      </c>
      <c r="X1165" s="3511">
        <v>330000</v>
      </c>
      <c r="Y1165" s="3501">
        <v>2003</v>
      </c>
      <c r="Z1165" s="3441">
        <v>12</v>
      </c>
      <c r="AA1165" s="3470">
        <v>8</v>
      </c>
      <c r="AB1165" s="3477">
        <v>1830</v>
      </c>
      <c r="AC1165" s="3470" t="s">
        <v>8840</v>
      </c>
      <c r="AD1165" s="3485"/>
      <c r="AE1165" s="3441" t="s">
        <v>3663</v>
      </c>
      <c r="AF1165" s="3470" t="s">
        <v>3604</v>
      </c>
      <c r="AG1165" s="3522" t="s">
        <v>3466</v>
      </c>
      <c r="AH1165" s="3485" t="s">
        <v>3463</v>
      </c>
      <c r="AI1165" s="3470" t="s">
        <v>5021</v>
      </c>
      <c r="AJ1165" s="3523">
        <v>38138</v>
      </c>
      <c r="AK1165" s="3612" t="s">
        <v>3467</v>
      </c>
      <c r="AL1165" s="3441">
        <v>67641700</v>
      </c>
      <c r="AN1165" s="3480" t="s">
        <v>3695</v>
      </c>
      <c r="AO1165" s="3470" t="s">
        <v>3568</v>
      </c>
      <c r="AP1165" s="3441" t="s">
        <v>3476</v>
      </c>
      <c r="AQ1165" s="3441" t="s">
        <v>3571</v>
      </c>
      <c r="AV1165" s="3441" t="s">
        <v>3568</v>
      </c>
      <c r="AW1165" s="3441" t="s">
        <v>3572</v>
      </c>
      <c r="AX1165" s="3441" t="s">
        <v>3568</v>
      </c>
      <c r="AY1165" s="3524" t="s">
        <v>11145</v>
      </c>
      <c r="AZ1165" s="3441" t="s">
        <v>4697</v>
      </c>
      <c r="BA1165" s="3441" t="s">
        <v>4700</v>
      </c>
      <c r="BB1165" s="3524" t="s">
        <v>4701</v>
      </c>
      <c r="BC1165" s="3441" t="s">
        <v>4702</v>
      </c>
      <c r="BD1165" s="3525">
        <v>100011</v>
      </c>
      <c r="BE1165" s="3441">
        <v>62351476</v>
      </c>
      <c r="BF1165" s="3526">
        <v>2.8</v>
      </c>
      <c r="BG1165" s="3518">
        <v>37949</v>
      </c>
      <c r="BI1165" s="3470" t="s">
        <v>3476</v>
      </c>
      <c r="BJ1165" s="3478">
        <v>37957</v>
      </c>
      <c r="BK1165" s="3518"/>
      <c r="BL1165" s="3470" t="s">
        <v>3670</v>
      </c>
    </row>
    <row r="1166" spans="1:70" s="3441" customFormat="1" ht="12" hidden="1">
      <c r="A1166" s="3485" t="s">
        <v>11146</v>
      </c>
      <c r="B1166" s="3470" t="s">
        <v>11147</v>
      </c>
      <c r="C1166" s="3481" t="s">
        <v>11148</v>
      </c>
      <c r="D1166" s="3481" t="s">
        <v>11149</v>
      </c>
      <c r="E1166" s="3470" t="s">
        <v>3558</v>
      </c>
      <c r="F1166" s="3528" t="s">
        <v>10779</v>
      </c>
      <c r="G1166" s="3470"/>
      <c r="H1166" s="3470" t="s">
        <v>9119</v>
      </c>
      <c r="I1166" s="3470" t="s">
        <v>3582</v>
      </c>
      <c r="J1166" s="3470" t="s">
        <v>10932</v>
      </c>
      <c r="K1166" s="3470" t="s">
        <v>10780</v>
      </c>
      <c r="L1166" s="3470">
        <v>92.57</v>
      </c>
      <c r="M1166" s="3470">
        <v>4</v>
      </c>
      <c r="N1166" s="3470" t="s">
        <v>3486</v>
      </c>
      <c r="O1166" s="3470">
        <v>78.31</v>
      </c>
      <c r="P1166" s="3470" t="s">
        <v>3452</v>
      </c>
      <c r="Q1166" s="3492">
        <v>421193.49999999994</v>
      </c>
      <c r="R1166" s="3470">
        <v>4550</v>
      </c>
      <c r="S1166" s="3472">
        <v>41.65</v>
      </c>
      <c r="T1166" s="3527">
        <v>416500</v>
      </c>
      <c r="U1166" s="3470">
        <v>4500</v>
      </c>
      <c r="V1166" s="3474">
        <v>0.1</v>
      </c>
      <c r="W1166" s="3475">
        <v>37.479999999999997</v>
      </c>
      <c r="X1166" s="3494">
        <v>374799.99999999994</v>
      </c>
      <c r="Y1166" s="3441">
        <v>2003</v>
      </c>
      <c r="Z1166" s="3441">
        <v>12</v>
      </c>
      <c r="AA1166" s="3470">
        <v>8</v>
      </c>
      <c r="AB1166" s="3477">
        <v>2080</v>
      </c>
      <c r="AC1166" s="3470" t="s">
        <v>9060</v>
      </c>
      <c r="AD1166" s="3485"/>
      <c r="AE1166" s="3441" t="s">
        <v>3663</v>
      </c>
      <c r="AF1166" s="3470" t="s">
        <v>3587</v>
      </c>
      <c r="AG1166" s="3522" t="s">
        <v>3466</v>
      </c>
      <c r="AH1166" s="3485"/>
      <c r="AI1166" s="3470" t="s">
        <v>5021</v>
      </c>
      <c r="AJ1166" s="3523">
        <v>38138</v>
      </c>
      <c r="AK1166" s="3612" t="s">
        <v>3467</v>
      </c>
      <c r="AL1166" s="3441">
        <v>67641700</v>
      </c>
      <c r="AN1166" s="3480" t="s">
        <v>3695</v>
      </c>
      <c r="AO1166" s="3470" t="s">
        <v>2420</v>
      </c>
      <c r="AP1166" s="3441" t="s">
        <v>3476</v>
      </c>
      <c r="AQ1166" s="3441" t="s">
        <v>3571</v>
      </c>
      <c r="AW1166" s="3441" t="s">
        <v>3572</v>
      </c>
      <c r="AY1166" s="3524" t="s">
        <v>11150</v>
      </c>
      <c r="AZ1166" s="3470" t="s">
        <v>10780</v>
      </c>
      <c r="BA1166" s="3441" t="s">
        <v>10782</v>
      </c>
      <c r="BB1166" s="3524" t="s">
        <v>10783</v>
      </c>
      <c r="BC1166" s="3441" t="s">
        <v>10784</v>
      </c>
      <c r="BD1166" s="3525">
        <v>100039</v>
      </c>
      <c r="BE1166" s="3441">
        <v>51522819</v>
      </c>
      <c r="BF1166" s="3526">
        <v>2.9</v>
      </c>
      <c r="BG1166" s="3478">
        <v>37947</v>
      </c>
      <c r="BH1166" s="3441" t="s">
        <v>4753</v>
      </c>
      <c r="BI1166" s="3441" t="s">
        <v>3476</v>
      </c>
      <c r="BJ1166" s="3484">
        <v>37958</v>
      </c>
      <c r="BK1166" s="3484" t="s">
        <v>2420</v>
      </c>
      <c r="BL1166" s="3470" t="s">
        <v>3670</v>
      </c>
    </row>
    <row r="1167" spans="1:70" s="3441" customFormat="1" ht="12" hidden="1">
      <c r="A1167" s="3485" t="s">
        <v>11151</v>
      </c>
      <c r="B1167" s="3470" t="s">
        <v>11152</v>
      </c>
      <c r="C1167" s="3481" t="s">
        <v>11153</v>
      </c>
      <c r="D1167" s="3481" t="s">
        <v>11154</v>
      </c>
      <c r="E1167" s="3470" t="s">
        <v>3558</v>
      </c>
      <c r="F1167" s="3528" t="s">
        <v>10779</v>
      </c>
      <c r="G1167" s="3470"/>
      <c r="H1167" s="3470" t="s">
        <v>9119</v>
      </c>
      <c r="I1167" s="3470" t="s">
        <v>3726</v>
      </c>
      <c r="J1167" s="3470" t="s">
        <v>11155</v>
      </c>
      <c r="K1167" s="3470" t="s">
        <v>10780</v>
      </c>
      <c r="L1167" s="3470">
        <v>92.57</v>
      </c>
      <c r="M1167" s="3470">
        <v>5</v>
      </c>
      <c r="N1167" s="3470" t="s">
        <v>3451</v>
      </c>
      <c r="O1167" s="3470">
        <v>78.31</v>
      </c>
      <c r="P1167" s="3470" t="s">
        <v>3452</v>
      </c>
      <c r="Q1167" s="3492">
        <v>425821.99999999994</v>
      </c>
      <c r="R1167" s="3470">
        <v>4600</v>
      </c>
      <c r="S1167" s="3472">
        <v>42.16</v>
      </c>
      <c r="T1167" s="3527">
        <v>421599.99999999994</v>
      </c>
      <c r="U1167" s="3470">
        <v>4555</v>
      </c>
      <c r="V1167" s="3474">
        <v>0.1</v>
      </c>
      <c r="W1167" s="3475">
        <v>37.94</v>
      </c>
      <c r="X1167" s="3494">
        <v>379400</v>
      </c>
      <c r="Y1167" s="3441">
        <v>2003</v>
      </c>
      <c r="Z1167" s="3441">
        <v>12</v>
      </c>
      <c r="AA1167" s="3470">
        <v>8</v>
      </c>
      <c r="AB1167" s="3477">
        <v>2105</v>
      </c>
      <c r="AC1167" s="3470" t="s">
        <v>9364</v>
      </c>
      <c r="AD1167" s="3485"/>
      <c r="AE1167" s="3441" t="s">
        <v>3663</v>
      </c>
      <c r="AF1167" s="3470" t="s">
        <v>3604</v>
      </c>
      <c r="AG1167" s="3522" t="s">
        <v>3466</v>
      </c>
      <c r="AH1167" s="3485" t="s">
        <v>11156</v>
      </c>
      <c r="AI1167" s="3470" t="s">
        <v>5021</v>
      </c>
      <c r="AJ1167" s="3523">
        <v>38138</v>
      </c>
      <c r="AK1167" s="3612" t="s">
        <v>3467</v>
      </c>
      <c r="AL1167" s="3441">
        <v>67641700</v>
      </c>
      <c r="AN1167" s="3480" t="s">
        <v>3695</v>
      </c>
      <c r="AO1167" s="3470" t="s">
        <v>2420</v>
      </c>
      <c r="AP1167" s="3441" t="s">
        <v>3476</v>
      </c>
      <c r="AQ1167" s="3441" t="s">
        <v>3571</v>
      </c>
      <c r="AW1167" s="3441" t="s">
        <v>3572</v>
      </c>
      <c r="AY1167" s="3524" t="s">
        <v>11157</v>
      </c>
      <c r="AZ1167" s="3470" t="s">
        <v>10780</v>
      </c>
      <c r="BA1167" s="3441" t="s">
        <v>10782</v>
      </c>
      <c r="BB1167" s="3524" t="s">
        <v>10783</v>
      </c>
      <c r="BC1167" s="3441" t="s">
        <v>10784</v>
      </c>
      <c r="BD1167" s="3525">
        <v>100039</v>
      </c>
      <c r="BE1167" s="3441">
        <v>51522819</v>
      </c>
      <c r="BF1167" s="3526">
        <v>2.9</v>
      </c>
      <c r="BG1167" s="3478">
        <v>37944</v>
      </c>
      <c r="BH1167" s="3441" t="s">
        <v>4753</v>
      </c>
      <c r="BI1167" s="3441" t="s">
        <v>3476</v>
      </c>
      <c r="BJ1167" s="3484">
        <v>37957</v>
      </c>
      <c r="BK1167" s="3484" t="s">
        <v>2420</v>
      </c>
      <c r="BL1167" s="3470" t="s">
        <v>3670</v>
      </c>
    </row>
    <row r="1168" spans="1:70" s="3441" customFormat="1" ht="12" hidden="1">
      <c r="A1168" s="3470" t="s">
        <v>11158</v>
      </c>
      <c r="B1168" s="3470" t="s">
        <v>11159</v>
      </c>
      <c r="C1168" s="3481" t="s">
        <v>11160</v>
      </c>
      <c r="D1168" s="3481" t="s">
        <v>11161</v>
      </c>
      <c r="E1168" s="3470" t="s">
        <v>2736</v>
      </c>
      <c r="F1168" s="3528" t="s">
        <v>11162</v>
      </c>
      <c r="G1168" s="3470"/>
      <c r="H1168" s="3470" t="s">
        <v>11163</v>
      </c>
      <c r="I1168" s="3453" t="s">
        <v>3464</v>
      </c>
      <c r="J1168" s="3684" t="s">
        <v>3449</v>
      </c>
      <c r="K1168" s="3470" t="s">
        <v>11164</v>
      </c>
      <c r="L1168" s="3470">
        <v>127.59</v>
      </c>
      <c r="M1168" s="3470">
        <v>4</v>
      </c>
      <c r="N1168" s="3470" t="s">
        <v>4003</v>
      </c>
      <c r="O1168" s="3470">
        <v>114.42</v>
      </c>
      <c r="P1168" s="3470" t="s">
        <v>3452</v>
      </c>
      <c r="Q1168" s="3457">
        <v>574155</v>
      </c>
      <c r="R1168" s="3470">
        <v>4500</v>
      </c>
      <c r="S1168" s="3472">
        <v>56.77</v>
      </c>
      <c r="T1168" s="3550">
        <v>567700</v>
      </c>
      <c r="U1168" s="3470">
        <v>4450</v>
      </c>
      <c r="V1168" s="3474">
        <v>0.05</v>
      </c>
      <c r="W1168" s="3475">
        <v>53.93</v>
      </c>
      <c r="X1168" s="3602">
        <v>539300</v>
      </c>
      <c r="Y1168" s="3441">
        <v>2003</v>
      </c>
      <c r="Z1168" s="3441">
        <v>12</v>
      </c>
      <c r="AA1168" s="3441">
        <v>24</v>
      </c>
      <c r="AB1168" s="3477">
        <v>2835</v>
      </c>
      <c r="AC1168" s="3470" t="s">
        <v>9007</v>
      </c>
      <c r="AD1168" s="3485"/>
      <c r="AE1168" s="3441" t="s">
        <v>3663</v>
      </c>
      <c r="AF1168" s="3470" t="s">
        <v>3453</v>
      </c>
      <c r="AG1168" s="3522" t="s">
        <v>3466</v>
      </c>
      <c r="AH1168" s="3485" t="s">
        <v>2420</v>
      </c>
      <c r="AI1168" s="3470" t="s">
        <v>3664</v>
      </c>
      <c r="AJ1168" s="3523" t="s">
        <v>2420</v>
      </c>
      <c r="AK1168" s="3612" t="s">
        <v>3467</v>
      </c>
      <c r="AL1168" s="3441">
        <v>67641700</v>
      </c>
      <c r="AN1168" s="3480" t="s">
        <v>3680</v>
      </c>
      <c r="AO1168" s="3470" t="s">
        <v>11165</v>
      </c>
      <c r="AP1168" s="3441" t="s">
        <v>3476</v>
      </c>
      <c r="AQ1168" s="3441" t="s">
        <v>3485</v>
      </c>
      <c r="AW1168" s="3441" t="s">
        <v>3572</v>
      </c>
      <c r="AY1168" s="3524" t="s">
        <v>11166</v>
      </c>
      <c r="AZ1168" s="3470" t="s">
        <v>11164</v>
      </c>
      <c r="BA1168" s="3470" t="s">
        <v>11167</v>
      </c>
      <c r="BB1168" s="3481" t="s">
        <v>11168</v>
      </c>
      <c r="BC1168" s="3470" t="s">
        <v>11169</v>
      </c>
      <c r="BD1168" s="3470">
        <v>100011</v>
      </c>
      <c r="BE1168" s="3470">
        <v>64256536</v>
      </c>
      <c r="BF1168" s="3526">
        <v>2.7</v>
      </c>
      <c r="BG1168" s="3518">
        <v>37907</v>
      </c>
      <c r="BI1168" s="3441" t="s">
        <v>3476</v>
      </c>
      <c r="BJ1168" s="3478">
        <v>37960</v>
      </c>
      <c r="BK1168" s="3518"/>
      <c r="BL1168" s="3470" t="s">
        <v>3470</v>
      </c>
    </row>
    <row r="1169" spans="1:71" s="3441" customFormat="1" ht="12" hidden="1">
      <c r="A1169" s="3453" t="s">
        <v>11170</v>
      </c>
      <c r="B1169" s="3470" t="s">
        <v>3450</v>
      </c>
      <c r="C1169" s="3481" t="s">
        <v>11171</v>
      </c>
      <c r="D1169" s="3481" t="s">
        <v>11172</v>
      </c>
      <c r="E1169" s="3470" t="s">
        <v>3558</v>
      </c>
      <c r="F1169" s="3528" t="s">
        <v>4645</v>
      </c>
      <c r="G1169" s="3470"/>
      <c r="H1169" s="3470" t="s">
        <v>11173</v>
      </c>
      <c r="I1169" s="3470" t="s">
        <v>7565</v>
      </c>
      <c r="J1169" s="3481" t="s">
        <v>11174</v>
      </c>
      <c r="K1169" s="3470" t="s">
        <v>4649</v>
      </c>
      <c r="L1169" s="3470">
        <v>109.8</v>
      </c>
      <c r="M1169" s="3470">
        <v>20</v>
      </c>
      <c r="N1169" s="3470" t="s">
        <v>3451</v>
      </c>
      <c r="O1169" s="3470">
        <v>86.55</v>
      </c>
      <c r="P1169" s="3470" t="s">
        <v>3452</v>
      </c>
      <c r="Q1169" s="3457">
        <v>846338.4</v>
      </c>
      <c r="R1169" s="3470">
        <v>7708</v>
      </c>
      <c r="S1169" s="3472">
        <v>83.88</v>
      </c>
      <c r="T1169" s="3550">
        <v>838800</v>
      </c>
      <c r="U1169" s="3491">
        <v>7640</v>
      </c>
      <c r="V1169" s="3529">
        <v>0.1</v>
      </c>
      <c r="W1169" s="3475">
        <v>75.489999999999995</v>
      </c>
      <c r="X1169" s="3511">
        <v>754900</v>
      </c>
      <c r="Y1169" s="3501">
        <v>2003</v>
      </c>
      <c r="Z1169" s="3441">
        <v>12</v>
      </c>
      <c r="AA1169" s="3470">
        <v>8</v>
      </c>
      <c r="AB1169" s="3477">
        <v>4190</v>
      </c>
      <c r="AC1169" s="3470" t="s">
        <v>9007</v>
      </c>
      <c r="AD1169" s="3485"/>
      <c r="AE1169" s="3441" t="s">
        <v>3663</v>
      </c>
      <c r="AF1169" s="3470" t="s">
        <v>4126</v>
      </c>
      <c r="AG1169" s="3522" t="s">
        <v>3466</v>
      </c>
      <c r="AH1169" s="3485"/>
      <c r="AI1169" s="3470" t="s">
        <v>5021</v>
      </c>
      <c r="AJ1169" s="3523">
        <v>38199</v>
      </c>
      <c r="AK1169" s="3612" t="s">
        <v>3467</v>
      </c>
      <c r="AL1169" s="3441">
        <v>67641700</v>
      </c>
      <c r="AN1169" s="3480" t="s">
        <v>3695</v>
      </c>
      <c r="AP1169" s="3441" t="s">
        <v>3476</v>
      </c>
      <c r="AQ1169" s="3441" t="s">
        <v>3571</v>
      </c>
      <c r="AW1169" s="3441" t="s">
        <v>3572</v>
      </c>
      <c r="AX1169" s="3441" t="s">
        <v>3568</v>
      </c>
      <c r="AY1169" s="3524" t="s">
        <v>11175</v>
      </c>
      <c r="AZ1169" s="3441" t="s">
        <v>4654</v>
      </c>
      <c r="BA1169" s="3441" t="s">
        <v>4688</v>
      </c>
      <c r="BB1169" s="3524" t="s">
        <v>4689</v>
      </c>
      <c r="BC1169" s="3441" t="s">
        <v>4656</v>
      </c>
      <c r="BD1169" s="3525">
        <v>100037</v>
      </c>
      <c r="BE1169" s="3441">
        <v>68347718</v>
      </c>
      <c r="BF1169" s="3526">
        <v>2.8</v>
      </c>
      <c r="BG1169" s="3518">
        <v>37944</v>
      </c>
      <c r="BI1169" s="3441" t="s">
        <v>3476</v>
      </c>
      <c r="BJ1169" s="3484">
        <v>37960</v>
      </c>
      <c r="BK1169" s="3518"/>
      <c r="BL1169" s="3470" t="s">
        <v>3670</v>
      </c>
    </row>
    <row r="1170" spans="1:71" s="3441" customFormat="1" ht="12" hidden="1">
      <c r="A1170" s="3485" t="s">
        <v>11176</v>
      </c>
      <c r="B1170" s="3470" t="s">
        <v>11177</v>
      </c>
      <c r="C1170" s="3481" t="s">
        <v>11178</v>
      </c>
      <c r="D1170" s="3481" t="s">
        <v>11179</v>
      </c>
      <c r="E1170" s="3470" t="s">
        <v>3558</v>
      </c>
      <c r="F1170" s="3528" t="s">
        <v>7652</v>
      </c>
      <c r="G1170" s="3470"/>
      <c r="H1170" s="3470" t="s">
        <v>10114</v>
      </c>
      <c r="I1170" s="3470" t="s">
        <v>7204</v>
      </c>
      <c r="J1170" s="3481" t="s">
        <v>9269</v>
      </c>
      <c r="K1170" s="3470" t="s">
        <v>6369</v>
      </c>
      <c r="L1170" s="3470">
        <v>87.8</v>
      </c>
      <c r="M1170" s="3470">
        <v>9</v>
      </c>
      <c r="N1170" s="3470" t="s">
        <v>3451</v>
      </c>
      <c r="O1170" s="3470">
        <v>69.260000000000005</v>
      </c>
      <c r="P1170" s="3470" t="s">
        <v>3452</v>
      </c>
      <c r="Q1170" s="3457">
        <v>423196</v>
      </c>
      <c r="R1170" s="3470">
        <v>4820</v>
      </c>
      <c r="S1170" s="3472">
        <v>41.88</v>
      </c>
      <c r="T1170" s="3527">
        <v>418800</v>
      </c>
      <c r="U1170" s="3470">
        <v>4770</v>
      </c>
      <c r="V1170" s="3512">
        <v>0.1</v>
      </c>
      <c r="W1170" s="3475">
        <v>37.69</v>
      </c>
      <c r="X1170" s="3473">
        <v>376900</v>
      </c>
      <c r="Y1170" s="3441">
        <v>2003</v>
      </c>
      <c r="Z1170" s="3441">
        <v>12</v>
      </c>
      <c r="AA1170" s="3470">
        <v>8</v>
      </c>
      <c r="AB1170" s="3485">
        <v>2090</v>
      </c>
      <c r="AC1170" s="3470" t="s">
        <v>9077</v>
      </c>
      <c r="AD1170" s="3485"/>
      <c r="AE1170" s="3441" t="s">
        <v>3663</v>
      </c>
      <c r="AF1170" s="3470" t="s">
        <v>3604</v>
      </c>
      <c r="AG1170" s="3522" t="s">
        <v>3466</v>
      </c>
      <c r="AH1170" s="3485" t="s">
        <v>3568</v>
      </c>
      <c r="AI1170" s="3470" t="s">
        <v>5021</v>
      </c>
      <c r="AJ1170" s="3523">
        <v>38123</v>
      </c>
      <c r="AK1170" s="3612" t="s">
        <v>3467</v>
      </c>
      <c r="AL1170" s="3441">
        <v>67641700</v>
      </c>
      <c r="AN1170" s="3480" t="s">
        <v>3695</v>
      </c>
      <c r="AP1170" s="3441" t="s">
        <v>3476</v>
      </c>
      <c r="AQ1170" s="3441" t="s">
        <v>3571</v>
      </c>
      <c r="AV1170" s="3441" t="s">
        <v>3568</v>
      </c>
      <c r="AW1170" s="3441" t="s">
        <v>3572</v>
      </c>
      <c r="AY1170" s="3524" t="s">
        <v>11180</v>
      </c>
      <c r="AZ1170" s="3441" t="s">
        <v>6369</v>
      </c>
      <c r="BA1170" s="3441" t="s">
        <v>7655</v>
      </c>
      <c r="BB1170" s="3524" t="s">
        <v>7656</v>
      </c>
      <c r="BC1170" s="3441" t="s">
        <v>7657</v>
      </c>
      <c r="BD1170" s="3525">
        <v>100025</v>
      </c>
      <c r="BE1170" s="3441">
        <v>62908858</v>
      </c>
      <c r="BF1170" s="3526">
        <v>2.7</v>
      </c>
      <c r="BG1170" s="3518">
        <v>37931</v>
      </c>
      <c r="BH1170" s="3441" t="s">
        <v>4681</v>
      </c>
      <c r="BI1170" s="3441" t="s">
        <v>3476</v>
      </c>
      <c r="BJ1170" s="3484">
        <v>37959</v>
      </c>
      <c r="BK1170" s="3484"/>
      <c r="BL1170" s="3470" t="s">
        <v>3670</v>
      </c>
    </row>
    <row r="1171" spans="1:71" s="3441" customFormat="1" ht="12" hidden="1">
      <c r="A1171" s="3485" t="s">
        <v>11181</v>
      </c>
      <c r="B1171" s="3470" t="s">
        <v>11182</v>
      </c>
      <c r="C1171" s="3481" t="s">
        <v>11183</v>
      </c>
      <c r="D1171" s="3481" t="s">
        <v>11184</v>
      </c>
      <c r="E1171" s="3470" t="s">
        <v>3558</v>
      </c>
      <c r="F1171" s="3528" t="s">
        <v>3733</v>
      </c>
      <c r="G1171" s="3470"/>
      <c r="H1171" s="3470" t="s">
        <v>10995</v>
      </c>
      <c r="I1171" s="3470" t="s">
        <v>9376</v>
      </c>
      <c r="J1171" s="3470" t="s">
        <v>4455</v>
      </c>
      <c r="K1171" s="3470" t="s">
        <v>3737</v>
      </c>
      <c r="L1171" s="3470">
        <v>54.68</v>
      </c>
      <c r="M1171" s="3470">
        <v>15</v>
      </c>
      <c r="N1171" s="3470" t="s">
        <v>3489</v>
      </c>
      <c r="O1171" s="3470">
        <v>43.84</v>
      </c>
      <c r="P1171" s="3470" t="s">
        <v>3452</v>
      </c>
      <c r="Q1171" s="3492">
        <v>364168.8</v>
      </c>
      <c r="R1171" s="3470">
        <v>6660</v>
      </c>
      <c r="S1171" s="3472">
        <v>36.08</v>
      </c>
      <c r="T1171" s="3527">
        <v>360800</v>
      </c>
      <c r="U1171" s="3470">
        <v>6600</v>
      </c>
      <c r="V1171" s="3474">
        <v>0.1</v>
      </c>
      <c r="W1171" s="3475">
        <v>32.47</v>
      </c>
      <c r="X1171" s="3494">
        <v>324700</v>
      </c>
      <c r="Y1171" s="3441">
        <v>2003</v>
      </c>
      <c r="Z1171" s="3441">
        <v>12</v>
      </c>
      <c r="AA1171" s="3470">
        <v>8</v>
      </c>
      <c r="AB1171" s="3477">
        <v>1800</v>
      </c>
      <c r="AC1171" s="3470" t="s">
        <v>9077</v>
      </c>
      <c r="AD1171" s="3485"/>
      <c r="AE1171" s="3441" t="s">
        <v>3663</v>
      </c>
      <c r="AF1171" s="3470" t="s">
        <v>3604</v>
      </c>
      <c r="AG1171" s="3522" t="s">
        <v>3466</v>
      </c>
      <c r="AH1171" s="3485"/>
      <c r="AI1171" s="3470" t="s">
        <v>5021</v>
      </c>
      <c r="AJ1171" s="3523">
        <v>38132</v>
      </c>
      <c r="AK1171" s="3612" t="s">
        <v>3467</v>
      </c>
      <c r="AL1171" s="3441">
        <v>67641700</v>
      </c>
      <c r="AN1171" s="3480" t="s">
        <v>3695</v>
      </c>
      <c r="AO1171" s="3470" t="s">
        <v>2420</v>
      </c>
      <c r="AP1171" s="3441" t="s">
        <v>3476</v>
      </c>
      <c r="AQ1171" s="3441" t="s">
        <v>3571</v>
      </c>
      <c r="AW1171" s="3441" t="s">
        <v>3572</v>
      </c>
      <c r="AY1171" s="3524" t="s">
        <v>11185</v>
      </c>
      <c r="AZ1171" s="3441" t="s">
        <v>3737</v>
      </c>
      <c r="BA1171" s="3441" t="s">
        <v>3742</v>
      </c>
      <c r="BB1171" s="3524" t="s">
        <v>3743</v>
      </c>
      <c r="BC1171" s="3441" t="s">
        <v>3744</v>
      </c>
      <c r="BD1171" s="3525">
        <v>100088</v>
      </c>
      <c r="BE1171" s="3441">
        <v>82058259</v>
      </c>
      <c r="BF1171" s="3526" t="s">
        <v>8595</v>
      </c>
      <c r="BG1171" s="3478">
        <v>37946</v>
      </c>
      <c r="BH1171" s="3441" t="s">
        <v>4753</v>
      </c>
      <c r="BI1171" s="3441" t="s">
        <v>3476</v>
      </c>
      <c r="BJ1171" s="3478">
        <v>37960</v>
      </c>
      <c r="BK1171" s="3484" t="s">
        <v>2420</v>
      </c>
      <c r="BL1171" s="3470" t="s">
        <v>3670</v>
      </c>
    </row>
    <row r="1172" spans="1:71" s="3441" customFormat="1" ht="12" hidden="1">
      <c r="A1172" s="3485" t="s">
        <v>11186</v>
      </c>
      <c r="B1172" s="3470" t="s">
        <v>11187</v>
      </c>
      <c r="C1172" s="3481" t="s">
        <v>11188</v>
      </c>
      <c r="D1172" s="3481" t="s">
        <v>11189</v>
      </c>
      <c r="E1172" s="3470" t="s">
        <v>3558</v>
      </c>
      <c r="F1172" s="3528" t="s">
        <v>7637</v>
      </c>
      <c r="G1172" s="3470"/>
      <c r="H1172" s="3470" t="s">
        <v>11190</v>
      </c>
      <c r="I1172" s="3470" t="s">
        <v>3464</v>
      </c>
      <c r="J1172" s="3481" t="s">
        <v>3474</v>
      </c>
      <c r="K1172" s="3470" t="s">
        <v>7641</v>
      </c>
      <c r="L1172" s="3470">
        <v>142.32</v>
      </c>
      <c r="M1172" s="3470">
        <v>5</v>
      </c>
      <c r="N1172" s="3453" t="s">
        <v>3632</v>
      </c>
      <c r="O1172" s="3470">
        <v>126.96</v>
      </c>
      <c r="P1172" s="3470" t="s">
        <v>3452</v>
      </c>
      <c r="Q1172" s="3492">
        <v>1023105.7464000001</v>
      </c>
      <c r="R1172" s="3470">
        <v>7188.77</v>
      </c>
      <c r="S1172" s="3472">
        <v>101.44</v>
      </c>
      <c r="T1172" s="3527">
        <v>1014400</v>
      </c>
      <c r="U1172" s="3470">
        <v>7128</v>
      </c>
      <c r="V1172" s="3474">
        <v>0.1</v>
      </c>
      <c r="W1172" s="3475">
        <v>91.29</v>
      </c>
      <c r="X1172" s="3494">
        <v>912900.00000000012</v>
      </c>
      <c r="Y1172" s="3441">
        <v>2003</v>
      </c>
      <c r="Z1172" s="3441">
        <v>12</v>
      </c>
      <c r="AA1172" s="3470">
        <v>8</v>
      </c>
      <c r="AB1172" s="3477">
        <v>5035</v>
      </c>
      <c r="AC1172" s="3470" t="s">
        <v>9007</v>
      </c>
      <c r="AD1172" s="3485"/>
      <c r="AE1172" s="3441" t="s">
        <v>3663</v>
      </c>
      <c r="AF1172" s="3470" t="s">
        <v>7751</v>
      </c>
      <c r="AG1172" s="3522" t="s">
        <v>3466</v>
      </c>
      <c r="AH1172" s="3485"/>
      <c r="AI1172" s="3470" t="s">
        <v>7643</v>
      </c>
      <c r="AJ1172" s="3523">
        <v>38168</v>
      </c>
      <c r="AK1172" s="3612" t="s">
        <v>3467</v>
      </c>
      <c r="AL1172" s="3441">
        <v>67641700</v>
      </c>
      <c r="AN1172" s="3441" t="s">
        <v>3695</v>
      </c>
      <c r="AP1172" s="3441" t="s">
        <v>3476</v>
      </c>
      <c r="AQ1172" s="3441" t="s">
        <v>3571</v>
      </c>
      <c r="AW1172" s="3441" t="s">
        <v>3572</v>
      </c>
      <c r="AY1172" s="3524" t="s">
        <v>11191</v>
      </c>
      <c r="AZ1172" s="3441" t="s">
        <v>7641</v>
      </c>
      <c r="BA1172" s="3441" t="s">
        <v>7645</v>
      </c>
      <c r="BB1172" s="3524" t="s">
        <v>7646</v>
      </c>
      <c r="BC1172" s="3441" t="s">
        <v>7647</v>
      </c>
      <c r="BD1172" s="3525">
        <v>100016</v>
      </c>
      <c r="BE1172" s="3441">
        <v>84534666</v>
      </c>
      <c r="BF1172" s="3526">
        <v>3</v>
      </c>
      <c r="BG1172" s="3518">
        <v>37904</v>
      </c>
      <c r="BH1172" s="3441" t="s">
        <v>7648</v>
      </c>
      <c r="BI1172" s="3441" t="s">
        <v>3476</v>
      </c>
      <c r="BJ1172" s="3478">
        <v>37960</v>
      </c>
      <c r="BK1172" s="3518"/>
      <c r="BL1172" s="3470" t="s">
        <v>3670</v>
      </c>
    </row>
    <row r="1173" spans="1:71" s="3441" customFormat="1" ht="12" hidden="1">
      <c r="A1173" s="3485" t="s">
        <v>11192</v>
      </c>
      <c r="B1173" s="3470" t="s">
        <v>11193</v>
      </c>
      <c r="C1173" s="3481" t="s">
        <v>11194</v>
      </c>
      <c r="D1173" s="3481" t="s">
        <v>11195</v>
      </c>
      <c r="E1173" s="3470" t="s">
        <v>3558</v>
      </c>
      <c r="F1173" s="3528" t="s">
        <v>3733</v>
      </c>
      <c r="G1173" s="3470"/>
      <c r="H1173" s="3470" t="s">
        <v>10995</v>
      </c>
      <c r="I1173" s="3470" t="s">
        <v>9349</v>
      </c>
      <c r="J1173" s="3470" t="s">
        <v>6359</v>
      </c>
      <c r="K1173" s="3470" t="s">
        <v>3737</v>
      </c>
      <c r="L1173" s="3470">
        <v>75.19</v>
      </c>
      <c r="M1173" s="3470">
        <v>18</v>
      </c>
      <c r="N1173" s="3470" t="s">
        <v>3451</v>
      </c>
      <c r="O1173" s="3470">
        <v>60.28</v>
      </c>
      <c r="P1173" s="3470" t="s">
        <v>3452</v>
      </c>
      <c r="Q1173" s="3492">
        <v>490238.8</v>
      </c>
      <c r="R1173" s="3470">
        <v>6520</v>
      </c>
      <c r="S1173" s="3472">
        <v>48.57</v>
      </c>
      <c r="T1173" s="3527">
        <v>485700</v>
      </c>
      <c r="U1173" s="3470">
        <v>6460</v>
      </c>
      <c r="V1173" s="3474">
        <v>0.1</v>
      </c>
      <c r="W1173" s="3475">
        <v>43.71</v>
      </c>
      <c r="X1173" s="3494">
        <v>437100</v>
      </c>
      <c r="Y1173" s="3441">
        <v>2003</v>
      </c>
      <c r="Z1173" s="3441">
        <v>12</v>
      </c>
      <c r="AA1173" s="3470">
        <v>8</v>
      </c>
      <c r="AB1173" s="3477">
        <v>2425</v>
      </c>
      <c r="AC1173" s="3470" t="s">
        <v>4800</v>
      </c>
      <c r="AD1173" s="3485"/>
      <c r="AE1173" s="3441" t="s">
        <v>3663</v>
      </c>
      <c r="AF1173" s="3470" t="s">
        <v>3604</v>
      </c>
      <c r="AG1173" s="3522" t="s">
        <v>3466</v>
      </c>
      <c r="AH1173" s="3485"/>
      <c r="AI1173" s="3470" t="s">
        <v>5021</v>
      </c>
      <c r="AJ1173" s="3523">
        <v>38132</v>
      </c>
      <c r="AK1173" s="3612" t="s">
        <v>3467</v>
      </c>
      <c r="AL1173" s="3441">
        <v>67641700</v>
      </c>
      <c r="AN1173" s="3480" t="s">
        <v>3695</v>
      </c>
      <c r="AO1173" s="3470" t="s">
        <v>2420</v>
      </c>
      <c r="AP1173" s="3441" t="s">
        <v>3476</v>
      </c>
      <c r="AQ1173" s="3441" t="s">
        <v>3571</v>
      </c>
      <c r="AW1173" s="3441" t="s">
        <v>3572</v>
      </c>
      <c r="AY1173" s="3524" t="s">
        <v>11196</v>
      </c>
      <c r="AZ1173" s="3441" t="s">
        <v>3737</v>
      </c>
      <c r="BA1173" s="3441" t="s">
        <v>3742</v>
      </c>
      <c r="BB1173" s="3524" t="s">
        <v>3743</v>
      </c>
      <c r="BC1173" s="3441" t="s">
        <v>3744</v>
      </c>
      <c r="BD1173" s="3525">
        <v>100088</v>
      </c>
      <c r="BE1173" s="3441">
        <v>82058259</v>
      </c>
      <c r="BF1173" s="3526" t="s">
        <v>8595</v>
      </c>
      <c r="BG1173" s="3478">
        <v>37947</v>
      </c>
      <c r="BH1173" s="3441" t="s">
        <v>4753</v>
      </c>
      <c r="BI1173" s="3441" t="s">
        <v>3476</v>
      </c>
      <c r="BJ1173" s="3484">
        <v>37959</v>
      </c>
      <c r="BK1173" s="3484" t="s">
        <v>2420</v>
      </c>
      <c r="BL1173" s="3470" t="s">
        <v>3670</v>
      </c>
    </row>
    <row r="1174" spans="1:71" s="3441" customFormat="1" ht="12" hidden="1">
      <c r="A1174" s="3485" t="s">
        <v>11197</v>
      </c>
      <c r="B1174" s="3470" t="s">
        <v>11198</v>
      </c>
      <c r="C1174" s="3481" t="s">
        <v>11199</v>
      </c>
      <c r="D1174" s="3481" t="s">
        <v>11200</v>
      </c>
      <c r="E1174" s="3470" t="s">
        <v>3558</v>
      </c>
      <c r="F1174" s="3528" t="s">
        <v>7652</v>
      </c>
      <c r="G1174" s="3470"/>
      <c r="H1174" s="3470" t="s">
        <v>4262</v>
      </c>
      <c r="I1174" s="3453" t="s">
        <v>3464</v>
      </c>
      <c r="J1174" s="3481" t="s">
        <v>10883</v>
      </c>
      <c r="K1174" s="3470" t="s">
        <v>6369</v>
      </c>
      <c r="L1174" s="3470">
        <v>105.56</v>
      </c>
      <c r="M1174" s="3470">
        <v>4</v>
      </c>
      <c r="N1174" s="3470" t="s">
        <v>6193</v>
      </c>
      <c r="O1174" s="3470">
        <v>94.25</v>
      </c>
      <c r="P1174" s="3470" t="s">
        <v>3452</v>
      </c>
      <c r="Q1174" s="3457">
        <v>569496.20000000007</v>
      </c>
      <c r="R1174" s="3470">
        <v>5395</v>
      </c>
      <c r="S1174" s="3472">
        <v>56.36</v>
      </c>
      <c r="T1174" s="3527">
        <v>563600</v>
      </c>
      <c r="U1174" s="3470">
        <v>5340</v>
      </c>
      <c r="V1174" s="3512">
        <v>0.1</v>
      </c>
      <c r="W1174" s="3475">
        <v>50.72</v>
      </c>
      <c r="X1174" s="3473">
        <v>507200</v>
      </c>
      <c r="Y1174" s="3441">
        <v>2003</v>
      </c>
      <c r="Z1174" s="3441">
        <v>12</v>
      </c>
      <c r="AA1174" s="3470">
        <v>9</v>
      </c>
      <c r="AB1174" s="3485">
        <v>2815</v>
      </c>
      <c r="AC1174" s="3470" t="s">
        <v>9413</v>
      </c>
      <c r="AD1174" s="3485"/>
      <c r="AE1174" s="3441" t="s">
        <v>3663</v>
      </c>
      <c r="AF1174" s="3486" t="s">
        <v>4126</v>
      </c>
      <c r="AG1174" s="3522" t="s">
        <v>3466</v>
      </c>
      <c r="AH1174" s="3485" t="s">
        <v>3568</v>
      </c>
      <c r="AI1174" s="3470" t="s">
        <v>5021</v>
      </c>
      <c r="AJ1174" s="3535">
        <v>37986</v>
      </c>
      <c r="AK1174" s="3612" t="s">
        <v>3467</v>
      </c>
      <c r="AL1174" s="3441">
        <v>67641700</v>
      </c>
      <c r="AN1174" s="3480" t="s">
        <v>3695</v>
      </c>
      <c r="AP1174" s="3441" t="s">
        <v>3476</v>
      </c>
      <c r="AQ1174" s="3441" t="s">
        <v>3571</v>
      </c>
      <c r="AV1174" s="3441" t="s">
        <v>3568</v>
      </c>
      <c r="AW1174" s="3441" t="s">
        <v>3572</v>
      </c>
      <c r="AY1174" s="3524" t="s">
        <v>11180</v>
      </c>
      <c r="AZ1174" s="3441" t="s">
        <v>6369</v>
      </c>
      <c r="BA1174" s="3441" t="s">
        <v>7655</v>
      </c>
      <c r="BB1174" s="3524" t="s">
        <v>7656</v>
      </c>
      <c r="BC1174" s="3441" t="s">
        <v>7657</v>
      </c>
      <c r="BD1174" s="3525">
        <v>100025</v>
      </c>
      <c r="BE1174" s="3441">
        <v>62908858</v>
      </c>
      <c r="BF1174" s="3526">
        <v>2.7</v>
      </c>
      <c r="BG1174" s="3518">
        <v>37937</v>
      </c>
      <c r="BH1174" s="3441" t="s">
        <v>4681</v>
      </c>
      <c r="BI1174" s="3441" t="s">
        <v>3476</v>
      </c>
      <c r="BJ1174" s="3484">
        <v>37959</v>
      </c>
      <c r="BK1174" s="3484"/>
      <c r="BL1174" s="3470" t="s">
        <v>3670</v>
      </c>
    </row>
    <row r="1175" spans="1:71" s="3470" customFormat="1" ht="12" hidden="1">
      <c r="A1175" s="3485" t="s">
        <v>11201</v>
      </c>
      <c r="B1175" s="3470" t="s">
        <v>11202</v>
      </c>
      <c r="C1175" s="3454" t="s">
        <v>11203</v>
      </c>
      <c r="D1175" s="3470">
        <v>13161943437</v>
      </c>
      <c r="E1175" s="3470" t="s">
        <v>2736</v>
      </c>
      <c r="F1175" s="3470" t="s">
        <v>5592</v>
      </c>
      <c r="G1175" s="3470" t="s">
        <v>2420</v>
      </c>
      <c r="H1175" s="3470" t="s">
        <v>9119</v>
      </c>
      <c r="I1175" s="3453" t="s">
        <v>3676</v>
      </c>
      <c r="J1175" s="3453" t="s">
        <v>3880</v>
      </c>
      <c r="K1175" s="3470" t="s">
        <v>5586</v>
      </c>
      <c r="L1175" s="3495">
        <v>44.92</v>
      </c>
      <c r="M1175" s="3495">
        <v>6</v>
      </c>
      <c r="N1175" s="3470" t="s">
        <v>3678</v>
      </c>
      <c r="O1175" s="3495">
        <v>36.72</v>
      </c>
      <c r="P1175" s="3470" t="s">
        <v>3452</v>
      </c>
      <c r="Q1175" s="3457">
        <v>176086.39999999999</v>
      </c>
      <c r="R1175" s="3470">
        <v>3920</v>
      </c>
      <c r="S1175" s="3472">
        <v>17.420000000000002</v>
      </c>
      <c r="T1175" s="3550">
        <v>174200.00000000003</v>
      </c>
      <c r="U1175" s="3470">
        <v>3880</v>
      </c>
      <c r="V1175" s="3474">
        <v>0.1</v>
      </c>
      <c r="W1175" s="3475">
        <v>15.67</v>
      </c>
      <c r="X1175" s="3511">
        <v>156700</v>
      </c>
      <c r="Y1175" s="3441">
        <v>2003</v>
      </c>
      <c r="Z1175" s="3441">
        <v>12</v>
      </c>
      <c r="AA1175" s="3470">
        <v>9</v>
      </c>
      <c r="AB1175" s="3485">
        <v>870</v>
      </c>
      <c r="AC1175" s="3470" t="s">
        <v>10533</v>
      </c>
      <c r="AE1175" s="3456" t="s">
        <v>3663</v>
      </c>
      <c r="AF1175" s="3470" t="s">
        <v>4721</v>
      </c>
      <c r="AG1175" s="3470" t="s">
        <v>3466</v>
      </c>
      <c r="AI1175" s="3470" t="s">
        <v>3664</v>
      </c>
      <c r="AJ1175" s="3478">
        <v>38352</v>
      </c>
      <c r="AK1175" s="3612" t="s">
        <v>3467</v>
      </c>
      <c r="AL1175" s="3441">
        <v>67641700</v>
      </c>
      <c r="AM1175" s="3441"/>
      <c r="AN1175" s="3480" t="s">
        <v>3695</v>
      </c>
      <c r="AO1175" s="3470" t="s">
        <v>3568</v>
      </c>
      <c r="AP1175" s="3456" t="s">
        <v>3476</v>
      </c>
      <c r="AQ1175" s="3456" t="s">
        <v>3571</v>
      </c>
      <c r="AV1175" s="3519"/>
      <c r="AW1175" s="3470" t="s">
        <v>3572</v>
      </c>
      <c r="AX1175" s="3470" t="s">
        <v>2420</v>
      </c>
      <c r="AY1175" s="3495">
        <v>565375</v>
      </c>
      <c r="AZ1175" s="3470" t="s">
        <v>5586</v>
      </c>
      <c r="BA1175" s="3470" t="s">
        <v>5587</v>
      </c>
      <c r="BB1175" s="3619">
        <v>1102281326100</v>
      </c>
      <c r="BC1175" s="3470" t="s">
        <v>5588</v>
      </c>
      <c r="BD1175" s="3470">
        <v>100055</v>
      </c>
      <c r="BE1175" s="3470">
        <v>82951881</v>
      </c>
      <c r="BF1175" s="3520">
        <v>2.8</v>
      </c>
      <c r="BG1175" s="3478">
        <v>37942</v>
      </c>
      <c r="BI1175" s="3441" t="s">
        <v>3476</v>
      </c>
      <c r="BJ1175" s="3484">
        <v>37960</v>
      </c>
      <c r="BK1175" s="3478"/>
      <c r="BL1175" s="3441" t="s">
        <v>3670</v>
      </c>
      <c r="BM1175" s="3441"/>
      <c r="BN1175" s="3441"/>
      <c r="BO1175" s="3441"/>
      <c r="BP1175" s="3441"/>
      <c r="BQ1175" s="3441"/>
      <c r="BR1175" s="3441"/>
    </row>
    <row r="1176" spans="1:71" s="3470" customFormat="1" ht="12" hidden="1">
      <c r="A1176" s="3485" t="s">
        <v>11204</v>
      </c>
      <c r="B1176" s="3470" t="s">
        <v>11205</v>
      </c>
      <c r="C1176" s="3454" t="s">
        <v>11206</v>
      </c>
      <c r="D1176" s="3470">
        <v>13910821471</v>
      </c>
      <c r="E1176" s="3470" t="s">
        <v>2736</v>
      </c>
      <c r="F1176" s="3470" t="s">
        <v>5592</v>
      </c>
      <c r="G1176" s="3470" t="s">
        <v>2420</v>
      </c>
      <c r="H1176" s="3470" t="s">
        <v>5608</v>
      </c>
      <c r="I1176" s="3453" t="s">
        <v>3582</v>
      </c>
      <c r="J1176" s="3453" t="s">
        <v>11207</v>
      </c>
      <c r="K1176" s="3470" t="s">
        <v>5586</v>
      </c>
      <c r="L1176" s="3495">
        <v>116.66</v>
      </c>
      <c r="M1176" s="3495">
        <v>13</v>
      </c>
      <c r="N1176" s="3470" t="s">
        <v>3632</v>
      </c>
      <c r="O1176" s="3495">
        <v>98.93</v>
      </c>
      <c r="P1176" s="3470" t="s">
        <v>3452</v>
      </c>
      <c r="Q1176" s="3457">
        <v>482972.39999999997</v>
      </c>
      <c r="R1176" s="3470">
        <v>4140</v>
      </c>
      <c r="S1176" s="3472">
        <v>47.71</v>
      </c>
      <c r="T1176" s="3550">
        <v>477100</v>
      </c>
      <c r="U1176" s="3470">
        <v>4090</v>
      </c>
      <c r="V1176" s="3474">
        <v>0.1</v>
      </c>
      <c r="W1176" s="3475">
        <v>42.93</v>
      </c>
      <c r="X1176" s="3511">
        <v>429300</v>
      </c>
      <c r="Y1176" s="3441">
        <v>2003</v>
      </c>
      <c r="Z1176" s="3441">
        <v>12</v>
      </c>
      <c r="AA1176" s="3470">
        <v>29</v>
      </c>
      <c r="AB1176" s="3485">
        <v>2385</v>
      </c>
      <c r="AC1176" s="3470" t="s">
        <v>8840</v>
      </c>
      <c r="AE1176" s="3456" t="s">
        <v>3663</v>
      </c>
      <c r="AF1176" s="3470" t="s">
        <v>3604</v>
      </c>
      <c r="AG1176" s="3470" t="s">
        <v>3466</v>
      </c>
      <c r="AI1176" s="3470" t="s">
        <v>3664</v>
      </c>
      <c r="AJ1176" s="3478">
        <v>38108</v>
      </c>
      <c r="AK1176" s="3612" t="s">
        <v>3467</v>
      </c>
      <c r="AL1176" s="3441">
        <v>67641700</v>
      </c>
      <c r="AM1176" s="3441"/>
      <c r="AN1176" s="3480" t="s">
        <v>4699</v>
      </c>
      <c r="AO1176" s="3470" t="s">
        <v>11208</v>
      </c>
      <c r="AP1176" s="3456" t="s">
        <v>3476</v>
      </c>
      <c r="AQ1176" s="3456" t="s">
        <v>3571</v>
      </c>
      <c r="AV1176" s="3519"/>
      <c r="AW1176" s="3470" t="s">
        <v>3572</v>
      </c>
      <c r="AX1176" s="3470" t="s">
        <v>2420</v>
      </c>
      <c r="AY1176" s="3495">
        <v>299430</v>
      </c>
      <c r="AZ1176" s="3470" t="s">
        <v>5586</v>
      </c>
      <c r="BA1176" s="3470" t="s">
        <v>5587</v>
      </c>
      <c r="BB1176" s="3619">
        <v>1102281326100</v>
      </c>
      <c r="BC1176" s="3470" t="s">
        <v>5588</v>
      </c>
      <c r="BD1176" s="3470">
        <v>100055</v>
      </c>
      <c r="BE1176" s="3470">
        <v>82951881</v>
      </c>
      <c r="BF1176" s="3520">
        <v>2.8</v>
      </c>
      <c r="BG1176" s="3478">
        <v>37961</v>
      </c>
      <c r="BI1176" s="3441" t="s">
        <v>3476</v>
      </c>
      <c r="BJ1176" s="3484">
        <v>37980</v>
      </c>
      <c r="BK1176" s="3478"/>
      <c r="BL1176" s="3441" t="s">
        <v>3594</v>
      </c>
      <c r="BM1176" s="3441"/>
      <c r="BN1176" s="3441"/>
      <c r="BO1176" s="3441"/>
      <c r="BP1176" s="3441"/>
      <c r="BQ1176" s="3441"/>
      <c r="BR1176" s="3441"/>
    </row>
    <row r="1177" spans="1:71" s="3470" customFormat="1" ht="12" hidden="1">
      <c r="A1177" s="3485" t="s">
        <v>11209</v>
      </c>
      <c r="B1177" s="3470" t="s">
        <v>11210</v>
      </c>
      <c r="C1177" s="3454" t="s">
        <v>11211</v>
      </c>
      <c r="D1177" s="3470">
        <v>13910065767</v>
      </c>
      <c r="E1177" s="3470" t="s">
        <v>2736</v>
      </c>
      <c r="F1177" s="3470" t="s">
        <v>5592</v>
      </c>
      <c r="G1177" s="3470" t="s">
        <v>2420</v>
      </c>
      <c r="H1177" s="3470" t="s">
        <v>9982</v>
      </c>
      <c r="I1177" s="3453" t="s">
        <v>3676</v>
      </c>
      <c r="J1177" s="3453" t="s">
        <v>5493</v>
      </c>
      <c r="K1177" s="3470" t="s">
        <v>5586</v>
      </c>
      <c r="L1177" s="3495">
        <v>98.22</v>
      </c>
      <c r="M1177" s="3495">
        <v>13</v>
      </c>
      <c r="N1177" s="3470" t="s">
        <v>3486</v>
      </c>
      <c r="O1177" s="3495">
        <v>83.29</v>
      </c>
      <c r="P1177" s="3470" t="s">
        <v>3452</v>
      </c>
      <c r="Q1177" s="3457">
        <v>411541.8</v>
      </c>
      <c r="R1177" s="3470">
        <v>4190</v>
      </c>
      <c r="S1177" s="3472">
        <v>40.71</v>
      </c>
      <c r="T1177" s="3550">
        <v>407100</v>
      </c>
      <c r="U1177" s="3470">
        <v>4145</v>
      </c>
      <c r="V1177" s="3474">
        <v>0.1</v>
      </c>
      <c r="W1177" s="3475">
        <v>36.630000000000003</v>
      </c>
      <c r="X1177" s="3511">
        <v>366300</v>
      </c>
      <c r="Y1177" s="3441">
        <v>2003</v>
      </c>
      <c r="Z1177" s="3441">
        <v>12</v>
      </c>
      <c r="AA1177" s="3441">
        <v>17</v>
      </c>
      <c r="AB1177" s="3485">
        <v>2035</v>
      </c>
      <c r="AC1177" s="3470" t="s">
        <v>4800</v>
      </c>
      <c r="AE1177" s="3456" t="s">
        <v>3663</v>
      </c>
      <c r="AF1177" s="3470" t="s">
        <v>4721</v>
      </c>
      <c r="AG1177" s="3470" t="s">
        <v>3466</v>
      </c>
      <c r="AI1177" s="3470" t="s">
        <v>3664</v>
      </c>
      <c r="AJ1177" s="3478">
        <v>38352</v>
      </c>
      <c r="AK1177" s="3612" t="s">
        <v>3467</v>
      </c>
      <c r="AL1177" s="3441">
        <v>67641700</v>
      </c>
      <c r="AM1177" s="3441"/>
      <c r="AN1177" s="3480" t="s">
        <v>3739</v>
      </c>
      <c r="AO1177" s="3470" t="s">
        <v>11212</v>
      </c>
      <c r="AP1177" s="3456" t="s">
        <v>3476</v>
      </c>
      <c r="AQ1177" s="3456" t="s">
        <v>3571</v>
      </c>
      <c r="AV1177" s="3519"/>
      <c r="AW1177" s="3470" t="s">
        <v>3572</v>
      </c>
      <c r="AX1177" s="3470" t="s">
        <v>2420</v>
      </c>
      <c r="AY1177" s="3495">
        <v>590378</v>
      </c>
      <c r="AZ1177" s="3470" t="s">
        <v>5586</v>
      </c>
      <c r="BA1177" s="3470" t="s">
        <v>5587</v>
      </c>
      <c r="BB1177" s="3619">
        <v>1102281326100</v>
      </c>
      <c r="BC1177" s="3470" t="s">
        <v>5588</v>
      </c>
      <c r="BD1177" s="3470">
        <v>100055</v>
      </c>
      <c r="BE1177" s="3470">
        <v>82951881</v>
      </c>
      <c r="BF1177" s="3520">
        <v>2.8</v>
      </c>
      <c r="BG1177" s="3478">
        <v>37947</v>
      </c>
      <c r="BI1177" s="3441" t="s">
        <v>3476</v>
      </c>
      <c r="BJ1177" s="3478">
        <v>37964</v>
      </c>
      <c r="BK1177" s="3478"/>
      <c r="BL1177" s="3441" t="s">
        <v>3594</v>
      </c>
      <c r="BM1177" s="3441"/>
      <c r="BN1177" s="3441"/>
      <c r="BO1177" s="3441"/>
      <c r="BP1177" s="3441"/>
      <c r="BQ1177" s="3441"/>
      <c r="BR1177" s="3441"/>
    </row>
    <row r="1178" spans="1:71" s="3470" customFormat="1" ht="12" hidden="1">
      <c r="A1178" s="3485" t="s">
        <v>11213</v>
      </c>
      <c r="B1178" s="3470" t="s">
        <v>11214</v>
      </c>
      <c r="C1178" s="3454" t="s">
        <v>11215</v>
      </c>
      <c r="D1178" s="3470">
        <v>13910628365</v>
      </c>
      <c r="E1178" s="3470" t="s">
        <v>2736</v>
      </c>
      <c r="F1178" s="3470" t="s">
        <v>5592</v>
      </c>
      <c r="G1178" s="3470" t="s">
        <v>2420</v>
      </c>
      <c r="H1178" s="3470" t="s">
        <v>5608</v>
      </c>
      <c r="I1178" s="3453" t="s">
        <v>3582</v>
      </c>
      <c r="J1178" s="3453" t="s">
        <v>7441</v>
      </c>
      <c r="K1178" s="3470" t="s">
        <v>5586</v>
      </c>
      <c r="L1178" s="3495">
        <v>114.33</v>
      </c>
      <c r="M1178" s="3495">
        <v>6</v>
      </c>
      <c r="N1178" s="3470" t="s">
        <v>3632</v>
      </c>
      <c r="O1178" s="3495">
        <v>96.96</v>
      </c>
      <c r="P1178" s="3470" t="s">
        <v>3452</v>
      </c>
      <c r="Q1178" s="3457">
        <v>455033.39999999997</v>
      </c>
      <c r="R1178" s="3470">
        <v>3980</v>
      </c>
      <c r="S1178" s="3472">
        <v>44.98</v>
      </c>
      <c r="T1178" s="3550">
        <v>449799.99999999994</v>
      </c>
      <c r="U1178" s="3470">
        <v>3935</v>
      </c>
      <c r="V1178" s="3474">
        <v>0.1</v>
      </c>
      <c r="W1178" s="3475">
        <v>40.479999999999997</v>
      </c>
      <c r="X1178" s="3511">
        <v>404799.99999999994</v>
      </c>
      <c r="Y1178" s="3441">
        <v>2003</v>
      </c>
      <c r="Z1178" s="3441">
        <v>12</v>
      </c>
      <c r="AA1178" s="3470">
        <v>30</v>
      </c>
      <c r="AB1178" s="3485">
        <v>2245</v>
      </c>
      <c r="AC1178" s="3470" t="s">
        <v>9077</v>
      </c>
      <c r="AE1178" s="3456" t="s">
        <v>3663</v>
      </c>
      <c r="AF1178" s="3470" t="s">
        <v>3604</v>
      </c>
      <c r="AG1178" s="3470" t="s">
        <v>3466</v>
      </c>
      <c r="AI1178" s="3470" t="s">
        <v>3664</v>
      </c>
      <c r="AJ1178" s="3478">
        <v>38108</v>
      </c>
      <c r="AK1178" s="3612" t="s">
        <v>3467</v>
      </c>
      <c r="AL1178" s="3441">
        <v>67641700</v>
      </c>
      <c r="AM1178" s="3441"/>
      <c r="AN1178" s="3480" t="s">
        <v>4699</v>
      </c>
      <c r="AO1178" s="3470" t="s">
        <v>11216</v>
      </c>
      <c r="AP1178" s="3456" t="s">
        <v>3476</v>
      </c>
      <c r="AQ1178" s="3456" t="s">
        <v>3571</v>
      </c>
      <c r="AV1178" s="3519"/>
      <c r="AW1178" s="3470" t="s">
        <v>3572</v>
      </c>
      <c r="AX1178" s="3470" t="s">
        <v>2420</v>
      </c>
      <c r="AY1178" s="3495">
        <v>299435</v>
      </c>
      <c r="AZ1178" s="3470" t="s">
        <v>5586</v>
      </c>
      <c r="BA1178" s="3470" t="s">
        <v>5587</v>
      </c>
      <c r="BB1178" s="3619">
        <v>1102281326100</v>
      </c>
      <c r="BC1178" s="3470" t="s">
        <v>5588</v>
      </c>
      <c r="BD1178" s="3470">
        <v>100055</v>
      </c>
      <c r="BE1178" s="3470">
        <v>82951881</v>
      </c>
      <c r="BF1178" s="3520">
        <v>2.8</v>
      </c>
      <c r="BG1178" s="3478">
        <v>37956</v>
      </c>
      <c r="BI1178" s="3441" t="s">
        <v>3476</v>
      </c>
      <c r="BJ1178" s="3484">
        <v>37980</v>
      </c>
      <c r="BK1178" s="3478"/>
      <c r="BL1178" s="3441" t="s">
        <v>3594</v>
      </c>
      <c r="BM1178" s="3441"/>
      <c r="BN1178" s="3441"/>
      <c r="BO1178" s="3441"/>
      <c r="BP1178" s="3441"/>
      <c r="BQ1178" s="3441"/>
      <c r="BR1178" s="3441"/>
    </row>
    <row r="1179" spans="1:71" s="3470" customFormat="1" ht="12" hidden="1">
      <c r="A1179" s="3485" t="s">
        <v>11217</v>
      </c>
      <c r="B1179" s="3470" t="s">
        <v>11218</v>
      </c>
      <c r="C1179" s="3454" t="s">
        <v>11219</v>
      </c>
      <c r="D1179" s="3470">
        <v>13911568306</v>
      </c>
      <c r="E1179" s="3470" t="s">
        <v>2736</v>
      </c>
      <c r="F1179" s="3470" t="s">
        <v>5592</v>
      </c>
      <c r="G1179" s="3470" t="s">
        <v>2420</v>
      </c>
      <c r="H1179" s="3470" t="s">
        <v>9119</v>
      </c>
      <c r="I1179" s="3453" t="s">
        <v>3676</v>
      </c>
      <c r="J1179" s="3453" t="s">
        <v>8706</v>
      </c>
      <c r="K1179" s="3470" t="s">
        <v>5586</v>
      </c>
      <c r="L1179" s="3495">
        <v>86.9</v>
      </c>
      <c r="M1179" s="3495">
        <v>14</v>
      </c>
      <c r="N1179" s="3470" t="s">
        <v>3486</v>
      </c>
      <c r="O1179" s="3495">
        <v>71.03</v>
      </c>
      <c r="P1179" s="3470" t="s">
        <v>3452</v>
      </c>
      <c r="Q1179" s="3457">
        <v>356290</v>
      </c>
      <c r="R1179" s="3470">
        <v>4100</v>
      </c>
      <c r="S1179" s="3472">
        <v>35.24</v>
      </c>
      <c r="T1179" s="3550">
        <v>352400</v>
      </c>
      <c r="U1179" s="3470">
        <v>4056</v>
      </c>
      <c r="V1179" s="3474">
        <v>0.1</v>
      </c>
      <c r="W1179" s="3475">
        <v>31.71</v>
      </c>
      <c r="X1179" s="3511">
        <v>317100</v>
      </c>
      <c r="Y1179" s="3441">
        <v>2003</v>
      </c>
      <c r="Z1179" s="3441">
        <v>12</v>
      </c>
      <c r="AA1179" s="3441">
        <v>24</v>
      </c>
      <c r="AB1179" s="3485">
        <v>1760</v>
      </c>
      <c r="AC1179" s="3470" t="s">
        <v>9383</v>
      </c>
      <c r="AE1179" s="3456" t="s">
        <v>3663</v>
      </c>
      <c r="AF1179" s="3470" t="s">
        <v>4721</v>
      </c>
      <c r="AG1179" s="3470" t="s">
        <v>3466</v>
      </c>
      <c r="AI1179" s="3470" t="s">
        <v>3664</v>
      </c>
      <c r="AJ1179" s="3478">
        <v>38352</v>
      </c>
      <c r="AK1179" s="3612" t="s">
        <v>3467</v>
      </c>
      <c r="AL1179" s="3441">
        <v>67641700</v>
      </c>
      <c r="AM1179" s="3441"/>
      <c r="AN1179" s="3480" t="s">
        <v>3484</v>
      </c>
      <c r="AO1179" s="3470" t="s">
        <v>11220</v>
      </c>
      <c r="AP1179" s="3456" t="s">
        <v>3476</v>
      </c>
      <c r="AQ1179" s="3456" t="s">
        <v>3571</v>
      </c>
      <c r="AV1179" s="3519"/>
      <c r="AW1179" s="3470" t="s">
        <v>3572</v>
      </c>
      <c r="AX1179" s="3470" t="s">
        <v>2420</v>
      </c>
      <c r="AY1179" s="3495">
        <v>565390</v>
      </c>
      <c r="AZ1179" s="3470" t="s">
        <v>5586</v>
      </c>
      <c r="BA1179" s="3470" t="s">
        <v>5587</v>
      </c>
      <c r="BB1179" s="3619">
        <v>1102281326100</v>
      </c>
      <c r="BC1179" s="3470" t="s">
        <v>5588</v>
      </c>
      <c r="BD1179" s="3470">
        <v>100055</v>
      </c>
      <c r="BE1179" s="3470">
        <v>82951881</v>
      </c>
      <c r="BF1179" s="3520">
        <v>2.8</v>
      </c>
      <c r="BG1179" s="3478">
        <v>37960</v>
      </c>
      <c r="BI1179" s="3441" t="s">
        <v>3476</v>
      </c>
      <c r="BJ1179" s="3478">
        <v>37977</v>
      </c>
      <c r="BK1179" s="3478"/>
      <c r="BL1179" s="3441" t="s">
        <v>3594</v>
      </c>
      <c r="BM1179" s="3441"/>
      <c r="BN1179" s="3441"/>
      <c r="BO1179" s="3441"/>
      <c r="BP1179" s="3441"/>
      <c r="BQ1179" s="3441"/>
      <c r="BR1179" s="3441"/>
    </row>
    <row r="1180" spans="1:71" s="3470" customFormat="1" ht="12" hidden="1">
      <c r="A1180" s="3453" t="s">
        <v>11221</v>
      </c>
      <c r="B1180" s="3470" t="s">
        <v>11222</v>
      </c>
      <c r="C1180" s="3481" t="s">
        <v>11223</v>
      </c>
      <c r="D1180" s="3470">
        <v>13910900099</v>
      </c>
      <c r="E1180" s="3470" t="s">
        <v>3558</v>
      </c>
      <c r="F1180" s="3470" t="s">
        <v>6512</v>
      </c>
      <c r="H1180" s="3470" t="s">
        <v>11224</v>
      </c>
      <c r="I1180" s="3453" t="s">
        <v>4854</v>
      </c>
      <c r="J1180" s="3470" t="s">
        <v>4012</v>
      </c>
      <c r="K1180" s="3470" t="s">
        <v>6514</v>
      </c>
      <c r="L1180" s="3470">
        <v>118.96</v>
      </c>
      <c r="M1180" s="3470">
        <v>2</v>
      </c>
      <c r="N1180" s="3470" t="s">
        <v>3661</v>
      </c>
      <c r="O1180" s="3470">
        <v>98.26</v>
      </c>
      <c r="P1180" s="3470" t="s">
        <v>3452</v>
      </c>
      <c r="Q1180" s="3457">
        <v>730205.03039999993</v>
      </c>
      <c r="R1180" s="3470">
        <v>6138.24</v>
      </c>
      <c r="S1180" s="3472">
        <v>72.36</v>
      </c>
      <c r="T1180" s="3554">
        <v>723600</v>
      </c>
      <c r="U1180" s="3470">
        <v>6083</v>
      </c>
      <c r="V1180" s="3474">
        <v>0.1</v>
      </c>
      <c r="W1180" s="3475">
        <v>65.12</v>
      </c>
      <c r="X1180" s="3473">
        <v>651200</v>
      </c>
      <c r="Y1180" s="3470">
        <v>2003</v>
      </c>
      <c r="Z1180" s="3441">
        <v>12</v>
      </c>
      <c r="AA1180" s="3470">
        <v>10</v>
      </c>
      <c r="AB1180" s="3485">
        <v>3615</v>
      </c>
      <c r="AC1180" s="3470" t="s">
        <v>7750</v>
      </c>
      <c r="AE1180" s="3470" t="s">
        <v>3663</v>
      </c>
      <c r="AF1180" s="3470" t="s">
        <v>4721</v>
      </c>
      <c r="AG1180" s="3456" t="s">
        <v>3466</v>
      </c>
      <c r="AI1180" s="3470" t="s">
        <v>5021</v>
      </c>
      <c r="AJ1180" s="3478">
        <v>38229</v>
      </c>
      <c r="AK1180" s="3612" t="s">
        <v>3467</v>
      </c>
      <c r="AL1180" s="3441">
        <v>67641700</v>
      </c>
      <c r="AM1180" s="3441"/>
      <c r="AN1180" s="3441" t="s">
        <v>3695</v>
      </c>
      <c r="AO1180" s="3470" t="s">
        <v>3568</v>
      </c>
      <c r="AP1180" s="3441" t="s">
        <v>3476</v>
      </c>
      <c r="AQ1180" s="3470" t="s">
        <v>3571</v>
      </c>
      <c r="AV1180" s="3470" t="s">
        <v>3568</v>
      </c>
      <c r="AW1180" s="3470" t="s">
        <v>3572</v>
      </c>
      <c r="AY1180" s="3470">
        <v>332069</v>
      </c>
      <c r="AZ1180" s="3470" t="s">
        <v>6514</v>
      </c>
      <c r="BA1180" s="3470" t="s">
        <v>11225</v>
      </c>
      <c r="BB1180" s="3470" t="s">
        <v>6518</v>
      </c>
      <c r="BC1180" s="3470" t="s">
        <v>6519</v>
      </c>
      <c r="BD1180" s="3470">
        <v>100089</v>
      </c>
      <c r="BE1180" s="3470">
        <v>88471460</v>
      </c>
      <c r="BF1180" s="3526">
        <v>2.9</v>
      </c>
      <c r="BG1180" s="3478">
        <v>37948</v>
      </c>
      <c r="BI1180" s="3470" t="s">
        <v>3475</v>
      </c>
      <c r="BJ1180" s="3484">
        <v>37963</v>
      </c>
      <c r="BL1180" s="3470" t="s">
        <v>3670</v>
      </c>
      <c r="BP1180" s="3441"/>
      <c r="BQ1180" s="3441"/>
      <c r="BR1180" s="3441"/>
      <c r="BS1180" s="3441"/>
    </row>
    <row r="1181" spans="1:71" s="3441" customFormat="1" ht="12" hidden="1">
      <c r="A1181" s="3485" t="s">
        <v>11226</v>
      </c>
      <c r="B1181" s="3470" t="s">
        <v>11227</v>
      </c>
      <c r="C1181" s="3481" t="s">
        <v>11228</v>
      </c>
      <c r="D1181" s="3481" t="s">
        <v>11229</v>
      </c>
      <c r="E1181" s="3470" t="s">
        <v>3558</v>
      </c>
      <c r="F1181" s="3528" t="s">
        <v>3733</v>
      </c>
      <c r="G1181" s="3470"/>
      <c r="H1181" s="3470" t="s">
        <v>10789</v>
      </c>
      <c r="I1181" s="3453" t="s">
        <v>3676</v>
      </c>
      <c r="J1181" s="3470" t="s">
        <v>4549</v>
      </c>
      <c r="K1181" s="3470" t="s">
        <v>3737</v>
      </c>
      <c r="L1181" s="3470">
        <v>113.52</v>
      </c>
      <c r="M1181" s="3470">
        <v>3</v>
      </c>
      <c r="N1181" s="3453" t="s">
        <v>3661</v>
      </c>
      <c r="O1181" s="3470">
        <v>91.76</v>
      </c>
      <c r="P1181" s="3470" t="s">
        <v>3452</v>
      </c>
      <c r="Q1181" s="3492">
        <v>631852.31999999995</v>
      </c>
      <c r="R1181" s="3470">
        <v>5566</v>
      </c>
      <c r="S1181" s="3472">
        <v>62.59</v>
      </c>
      <c r="T1181" s="3527">
        <v>625900</v>
      </c>
      <c r="U1181" s="3470">
        <v>5514</v>
      </c>
      <c r="V1181" s="3474">
        <v>0.1</v>
      </c>
      <c r="W1181" s="3475">
        <v>56.33</v>
      </c>
      <c r="X1181" s="3494">
        <v>563300</v>
      </c>
      <c r="Y1181" s="3441">
        <v>2003</v>
      </c>
      <c r="Z1181" s="3441">
        <v>12</v>
      </c>
      <c r="AA1181" s="3441">
        <v>25</v>
      </c>
      <c r="AB1181" s="3477">
        <v>3125</v>
      </c>
      <c r="AC1181" s="3470" t="s">
        <v>4800</v>
      </c>
      <c r="AD1181" s="3485"/>
      <c r="AE1181" s="3441" t="s">
        <v>3663</v>
      </c>
      <c r="AF1181" s="3470" t="s">
        <v>4126</v>
      </c>
      <c r="AG1181" s="3522" t="s">
        <v>3466</v>
      </c>
      <c r="AH1181" s="3485"/>
      <c r="AI1181" s="3470" t="s">
        <v>5021</v>
      </c>
      <c r="AJ1181" s="3523">
        <v>37975</v>
      </c>
      <c r="AK1181" s="3612" t="s">
        <v>3467</v>
      </c>
      <c r="AL1181" s="3441">
        <v>67641700</v>
      </c>
      <c r="AN1181" s="3480" t="s">
        <v>3680</v>
      </c>
      <c r="AO1181" s="3470" t="s">
        <v>11230</v>
      </c>
      <c r="AP1181" s="3441" t="s">
        <v>3476</v>
      </c>
      <c r="AQ1181" s="3441" t="s">
        <v>3571</v>
      </c>
      <c r="AW1181" s="3441" t="s">
        <v>3572</v>
      </c>
      <c r="AY1181" s="3524" t="s">
        <v>11231</v>
      </c>
      <c r="AZ1181" s="3441" t="s">
        <v>3737</v>
      </c>
      <c r="BA1181" s="3441" t="s">
        <v>3742</v>
      </c>
      <c r="BB1181" s="3524" t="s">
        <v>3743</v>
      </c>
      <c r="BC1181" s="3441" t="s">
        <v>3744</v>
      </c>
      <c r="BD1181" s="3525">
        <v>100088</v>
      </c>
      <c r="BE1181" s="3441">
        <v>82058259</v>
      </c>
      <c r="BF1181" s="3526" t="s">
        <v>8595</v>
      </c>
      <c r="BG1181" s="3478">
        <v>37945</v>
      </c>
      <c r="BH1181" s="3441" t="s">
        <v>4753</v>
      </c>
      <c r="BI1181" s="3441" t="s">
        <v>3476</v>
      </c>
      <c r="BJ1181" s="3478">
        <v>37963</v>
      </c>
      <c r="BK1181" s="3484">
        <v>37973</v>
      </c>
      <c r="BL1181" s="3470" t="s">
        <v>3670</v>
      </c>
    </row>
    <row r="1182" spans="1:71" s="3470" customFormat="1" ht="12" hidden="1">
      <c r="A1182" s="3485" t="s">
        <v>11232</v>
      </c>
      <c r="B1182" s="3470" t="s">
        <v>11233</v>
      </c>
      <c r="C1182" s="3454" t="s">
        <v>11234</v>
      </c>
      <c r="D1182" s="3470">
        <v>13621206791</v>
      </c>
      <c r="E1182" s="3470" t="s">
        <v>2736</v>
      </c>
      <c r="F1182" s="3470" t="s">
        <v>5592</v>
      </c>
      <c r="G1182" s="3470" t="s">
        <v>2420</v>
      </c>
      <c r="H1182" s="3470" t="s">
        <v>9230</v>
      </c>
      <c r="I1182" s="3453" t="s">
        <v>4854</v>
      </c>
      <c r="J1182" s="3453" t="s">
        <v>11235</v>
      </c>
      <c r="K1182" s="3470" t="s">
        <v>5586</v>
      </c>
      <c r="L1182" s="3495">
        <v>53.97</v>
      </c>
      <c r="M1182" s="3495">
        <v>16</v>
      </c>
      <c r="N1182" s="3453" t="s">
        <v>3489</v>
      </c>
      <c r="O1182" s="3495">
        <v>44.19</v>
      </c>
      <c r="P1182" s="3470" t="s">
        <v>3452</v>
      </c>
      <c r="Q1182" s="3457">
        <v>222896.1</v>
      </c>
      <c r="R1182" s="3470">
        <v>4130</v>
      </c>
      <c r="S1182" s="3472">
        <v>22.04</v>
      </c>
      <c r="T1182" s="3550">
        <v>220400</v>
      </c>
      <c r="U1182" s="3470">
        <v>4085</v>
      </c>
      <c r="V1182" s="3474">
        <v>0.1</v>
      </c>
      <c r="W1182" s="3475">
        <v>19.829999999999998</v>
      </c>
      <c r="X1182" s="3511">
        <v>198299.99999999997</v>
      </c>
      <c r="Y1182" s="3441">
        <v>2003</v>
      </c>
      <c r="Z1182" s="3441">
        <v>12</v>
      </c>
      <c r="AA1182" s="3470">
        <v>10</v>
      </c>
      <c r="AB1182" s="3485">
        <v>1100</v>
      </c>
      <c r="AC1182" s="3470" t="s">
        <v>9007</v>
      </c>
      <c r="AE1182" s="3456" t="s">
        <v>3663</v>
      </c>
      <c r="AF1182" s="3470" t="s">
        <v>4721</v>
      </c>
      <c r="AG1182" s="3470" t="s">
        <v>3466</v>
      </c>
      <c r="AI1182" s="3470" t="s">
        <v>3664</v>
      </c>
      <c r="AJ1182" s="3478">
        <v>38352</v>
      </c>
      <c r="AK1182" s="3612" t="s">
        <v>3467</v>
      </c>
      <c r="AL1182" s="3441">
        <v>67641700</v>
      </c>
      <c r="AM1182" s="3441"/>
      <c r="AN1182" s="3480" t="s">
        <v>3695</v>
      </c>
      <c r="AO1182" s="3470" t="s">
        <v>3568</v>
      </c>
      <c r="AP1182" s="3456" t="s">
        <v>3476</v>
      </c>
      <c r="AQ1182" s="3456" t="s">
        <v>3571</v>
      </c>
      <c r="AV1182" s="3519"/>
      <c r="AW1182" s="3470" t="s">
        <v>3572</v>
      </c>
      <c r="AX1182" s="3470" t="s">
        <v>2420</v>
      </c>
      <c r="AY1182" s="3495">
        <v>565839</v>
      </c>
      <c r="AZ1182" s="3470" t="s">
        <v>5586</v>
      </c>
      <c r="BA1182" s="3470" t="s">
        <v>5587</v>
      </c>
      <c r="BB1182" s="3619">
        <v>1102281326100</v>
      </c>
      <c r="BC1182" s="3470" t="s">
        <v>5588</v>
      </c>
      <c r="BD1182" s="3470">
        <v>100055</v>
      </c>
      <c r="BE1182" s="3470">
        <v>82951881</v>
      </c>
      <c r="BF1182" s="3520">
        <v>2.8</v>
      </c>
      <c r="BG1182" s="3478">
        <v>37955</v>
      </c>
      <c r="BI1182" s="3441" t="s">
        <v>3476</v>
      </c>
      <c r="BJ1182" s="3484">
        <v>37964</v>
      </c>
      <c r="BK1182" s="3478"/>
      <c r="BL1182" s="3441" t="s">
        <v>3670</v>
      </c>
      <c r="BM1182" s="3441"/>
      <c r="BN1182" s="3441"/>
      <c r="BO1182" s="3441"/>
      <c r="BP1182" s="3441"/>
      <c r="BQ1182" s="3441"/>
      <c r="BR1182" s="3441"/>
    </row>
    <row r="1183" spans="1:71" s="3441" customFormat="1" ht="12" hidden="1">
      <c r="A1183" s="3485" t="s">
        <v>11236</v>
      </c>
      <c r="B1183" s="3470" t="s">
        <v>11237</v>
      </c>
      <c r="C1183" s="3481" t="s">
        <v>11238</v>
      </c>
      <c r="D1183" s="3481" t="s">
        <v>11239</v>
      </c>
      <c r="E1183" s="3470" t="s">
        <v>3558</v>
      </c>
      <c r="F1183" s="3528" t="s">
        <v>3733</v>
      </c>
      <c r="G1183" s="3470"/>
      <c r="H1183" s="3470" t="s">
        <v>10995</v>
      </c>
      <c r="I1183" s="3470" t="s">
        <v>4535</v>
      </c>
      <c r="J1183" s="3470" t="s">
        <v>4473</v>
      </c>
      <c r="K1183" s="3470" t="s">
        <v>3737</v>
      </c>
      <c r="L1183" s="3470">
        <v>75.19</v>
      </c>
      <c r="M1183" s="3470">
        <v>3</v>
      </c>
      <c r="N1183" s="3453" t="s">
        <v>3451</v>
      </c>
      <c r="O1183" s="3470">
        <v>60.28</v>
      </c>
      <c r="P1183" s="3470" t="s">
        <v>3452</v>
      </c>
      <c r="Q1183" s="3492">
        <v>455651.39999999997</v>
      </c>
      <c r="R1183" s="3470">
        <v>6060</v>
      </c>
      <c r="S1183" s="3472">
        <v>45.15</v>
      </c>
      <c r="T1183" s="3527">
        <v>451500</v>
      </c>
      <c r="U1183" s="3470">
        <v>6005</v>
      </c>
      <c r="V1183" s="3474">
        <v>0.1</v>
      </c>
      <c r="W1183" s="3475">
        <v>40.630000000000003</v>
      </c>
      <c r="X1183" s="3494">
        <v>406300</v>
      </c>
      <c r="Y1183" s="3441">
        <v>2003</v>
      </c>
      <c r="Z1183" s="3441">
        <v>12</v>
      </c>
      <c r="AA1183" s="3470">
        <v>10</v>
      </c>
      <c r="AB1183" s="3477">
        <v>2255</v>
      </c>
      <c r="AC1183" s="3470" t="s">
        <v>9383</v>
      </c>
      <c r="AD1183" s="3485"/>
      <c r="AE1183" s="3441" t="s">
        <v>3663</v>
      </c>
      <c r="AF1183" s="3470" t="s">
        <v>3604</v>
      </c>
      <c r="AG1183" s="3522" t="s">
        <v>3466</v>
      </c>
      <c r="AH1183" s="3485" t="s">
        <v>2420</v>
      </c>
      <c r="AI1183" s="3470" t="s">
        <v>5021</v>
      </c>
      <c r="AJ1183" s="3523">
        <v>38132</v>
      </c>
      <c r="AK1183" s="3612" t="s">
        <v>3467</v>
      </c>
      <c r="AL1183" s="3441">
        <v>67641700</v>
      </c>
      <c r="AN1183" s="3480" t="s">
        <v>3695</v>
      </c>
      <c r="AO1183" s="3470" t="s">
        <v>2420</v>
      </c>
      <c r="AP1183" s="3441" t="s">
        <v>3476</v>
      </c>
      <c r="AQ1183" s="3441" t="s">
        <v>3571</v>
      </c>
      <c r="AW1183" s="3441" t="s">
        <v>3572</v>
      </c>
      <c r="AY1183" s="3524" t="s">
        <v>11240</v>
      </c>
      <c r="AZ1183" s="3441" t="s">
        <v>3737</v>
      </c>
      <c r="BA1183" s="3441" t="s">
        <v>3742</v>
      </c>
      <c r="BB1183" s="3524" t="s">
        <v>3743</v>
      </c>
      <c r="BC1183" s="3441" t="s">
        <v>3744</v>
      </c>
      <c r="BD1183" s="3525">
        <v>100088</v>
      </c>
      <c r="BE1183" s="3441">
        <v>82058259</v>
      </c>
      <c r="BF1183" s="3526" t="s">
        <v>8595</v>
      </c>
      <c r="BG1183" s="3478">
        <v>37944</v>
      </c>
      <c r="BH1183" s="3441" t="s">
        <v>4753</v>
      </c>
      <c r="BI1183" s="3441" t="s">
        <v>3476</v>
      </c>
      <c r="BJ1183" s="3484">
        <v>37963</v>
      </c>
      <c r="BK1183" s="3484" t="s">
        <v>2420</v>
      </c>
      <c r="BL1183" s="3470" t="s">
        <v>3670</v>
      </c>
    </row>
    <row r="1184" spans="1:71" s="3441" customFormat="1" ht="12" hidden="1">
      <c r="A1184" s="3485" t="s">
        <v>11241</v>
      </c>
      <c r="B1184" s="3470" t="s">
        <v>11242</v>
      </c>
      <c r="C1184" s="3481" t="s">
        <v>11243</v>
      </c>
      <c r="D1184" s="3481" t="s">
        <v>11244</v>
      </c>
      <c r="E1184" s="3470" t="s">
        <v>3558</v>
      </c>
      <c r="F1184" s="3528" t="s">
        <v>3733</v>
      </c>
      <c r="G1184" s="3470"/>
      <c r="H1184" s="3470" t="s">
        <v>10995</v>
      </c>
      <c r="I1184" s="3470" t="s">
        <v>4563</v>
      </c>
      <c r="J1184" s="3470" t="s">
        <v>8731</v>
      </c>
      <c r="K1184" s="3470" t="s">
        <v>3737</v>
      </c>
      <c r="L1184" s="3470">
        <v>54.68</v>
      </c>
      <c r="M1184" s="3470">
        <v>4</v>
      </c>
      <c r="N1184" s="3470" t="s">
        <v>3489</v>
      </c>
      <c r="O1184" s="3470">
        <v>43.84</v>
      </c>
      <c r="P1184" s="3470" t="s">
        <v>3452</v>
      </c>
      <c r="Q1184" s="3492">
        <v>325892.8</v>
      </c>
      <c r="R1184" s="3470">
        <v>5960</v>
      </c>
      <c r="S1184" s="3472">
        <v>32.28</v>
      </c>
      <c r="T1184" s="3527">
        <v>322800</v>
      </c>
      <c r="U1184" s="3470">
        <v>5905</v>
      </c>
      <c r="V1184" s="3474">
        <v>0.1</v>
      </c>
      <c r="W1184" s="3475">
        <v>29.05</v>
      </c>
      <c r="X1184" s="3494">
        <v>290500</v>
      </c>
      <c r="Y1184" s="3441">
        <v>2003</v>
      </c>
      <c r="Z1184" s="3441">
        <v>12</v>
      </c>
      <c r="AA1184" s="3470">
        <v>10</v>
      </c>
      <c r="AB1184" s="3477">
        <v>1610</v>
      </c>
      <c r="AC1184" s="3470" t="s">
        <v>9007</v>
      </c>
      <c r="AD1184" s="3485"/>
      <c r="AE1184" s="3441" t="s">
        <v>3663</v>
      </c>
      <c r="AF1184" s="3470" t="s">
        <v>3604</v>
      </c>
      <c r="AG1184" s="3522" t="s">
        <v>3466</v>
      </c>
      <c r="AH1184" s="3485" t="s">
        <v>11245</v>
      </c>
      <c r="AI1184" s="3470" t="s">
        <v>5021</v>
      </c>
      <c r="AJ1184" s="3523">
        <v>38132</v>
      </c>
      <c r="AK1184" s="3612" t="s">
        <v>3467</v>
      </c>
      <c r="AL1184" s="3441">
        <v>67641700</v>
      </c>
      <c r="AN1184" s="3480" t="s">
        <v>3695</v>
      </c>
      <c r="AO1184" s="3470" t="s">
        <v>2420</v>
      </c>
      <c r="AP1184" s="3441" t="s">
        <v>3476</v>
      </c>
      <c r="AQ1184" s="3441" t="s">
        <v>3571</v>
      </c>
      <c r="AW1184" s="3441" t="s">
        <v>3572</v>
      </c>
      <c r="AY1184" s="3524" t="s">
        <v>11246</v>
      </c>
      <c r="AZ1184" s="3441" t="s">
        <v>3737</v>
      </c>
      <c r="BA1184" s="3441" t="s">
        <v>3742</v>
      </c>
      <c r="BB1184" s="3524" t="s">
        <v>3743</v>
      </c>
      <c r="BC1184" s="3441" t="s">
        <v>3744</v>
      </c>
      <c r="BD1184" s="3525">
        <v>100088</v>
      </c>
      <c r="BE1184" s="3441">
        <v>82058259</v>
      </c>
      <c r="BF1184" s="3526" t="s">
        <v>8595</v>
      </c>
      <c r="BG1184" s="3478">
        <v>37945</v>
      </c>
      <c r="BH1184" s="3441" t="s">
        <v>4753</v>
      </c>
      <c r="BI1184" s="3441" t="s">
        <v>3476</v>
      </c>
      <c r="BJ1184" s="3484">
        <v>37964</v>
      </c>
      <c r="BK1184" s="3484" t="s">
        <v>2420</v>
      </c>
      <c r="BL1184" s="3470" t="s">
        <v>3670</v>
      </c>
    </row>
    <row r="1185" spans="1:70" s="3441" customFormat="1" ht="12" hidden="1">
      <c r="A1185" s="3485" t="s">
        <v>11247</v>
      </c>
      <c r="B1185" s="3470" t="s">
        <v>11248</v>
      </c>
      <c r="C1185" s="3481" t="s">
        <v>11249</v>
      </c>
      <c r="D1185" s="3481" t="s">
        <v>11250</v>
      </c>
      <c r="E1185" s="3470" t="s">
        <v>2736</v>
      </c>
      <c r="F1185" s="3521" t="s">
        <v>11251</v>
      </c>
      <c r="G1185" s="3470"/>
      <c r="H1185" s="3470" t="s">
        <v>5814</v>
      </c>
      <c r="I1185" s="3470"/>
      <c r="J1185" s="3481" t="s">
        <v>11252</v>
      </c>
      <c r="K1185" s="3470" t="s">
        <v>11253</v>
      </c>
      <c r="L1185" s="3470">
        <v>79.790000000000006</v>
      </c>
      <c r="M1185" s="3470">
        <v>4</v>
      </c>
      <c r="N1185" s="3453" t="s">
        <v>3451</v>
      </c>
      <c r="O1185" s="3470"/>
      <c r="P1185" s="3470" t="s">
        <v>3452</v>
      </c>
      <c r="Q1185" s="3457">
        <v>390013.52</v>
      </c>
      <c r="R1185" s="3470">
        <v>4888</v>
      </c>
      <c r="S1185" s="3472">
        <v>37.619999999999997</v>
      </c>
      <c r="T1185" s="3527">
        <v>376200</v>
      </c>
      <c r="U1185" s="3470">
        <v>4716</v>
      </c>
      <c r="V1185" s="3474">
        <v>0.1</v>
      </c>
      <c r="W1185" s="3475">
        <v>33.85</v>
      </c>
      <c r="X1185" s="3473">
        <v>338500</v>
      </c>
      <c r="Y1185" s="3441">
        <v>2003</v>
      </c>
      <c r="Z1185" s="3441">
        <v>12</v>
      </c>
      <c r="AA1185" s="3441">
        <v>29</v>
      </c>
      <c r="AB1185" s="3485">
        <v>1880</v>
      </c>
      <c r="AC1185" s="3470" t="s">
        <v>9077</v>
      </c>
      <c r="AD1185" s="3485"/>
      <c r="AE1185" s="3470" t="s">
        <v>3663</v>
      </c>
      <c r="AF1185" s="3470" t="s">
        <v>3453</v>
      </c>
      <c r="AG1185" s="3470" t="s">
        <v>3466</v>
      </c>
      <c r="AH1185" s="3470"/>
      <c r="AI1185" s="3470" t="s">
        <v>3664</v>
      </c>
      <c r="AJ1185" s="3523"/>
      <c r="AK1185" s="3612" t="s">
        <v>3467</v>
      </c>
      <c r="AL1185" s="3441">
        <v>67641700</v>
      </c>
      <c r="AN1185" s="3480" t="s">
        <v>3487</v>
      </c>
      <c r="AP1185" s="3441" t="s">
        <v>4834</v>
      </c>
      <c r="AQ1185" s="3470" t="s">
        <v>3571</v>
      </c>
      <c r="AW1185" s="3441" t="s">
        <v>3494</v>
      </c>
      <c r="AY1185" s="3524"/>
      <c r="BB1185" s="3524"/>
      <c r="BD1185" s="3525"/>
      <c r="BF1185" s="3526"/>
      <c r="BG1185" s="3518">
        <v>37959</v>
      </c>
      <c r="BI1185" s="3441" t="s">
        <v>4834</v>
      </c>
      <c r="BJ1185" s="3484">
        <v>37964</v>
      </c>
      <c r="BK1185" s="3484"/>
      <c r="BL1185" s="3441" t="s">
        <v>3470</v>
      </c>
      <c r="BM1185" s="3441" t="s">
        <v>3471</v>
      </c>
      <c r="BN1185" s="3441" t="s">
        <v>3483</v>
      </c>
      <c r="BO1185" s="3441" t="s">
        <v>11254</v>
      </c>
    </row>
    <row r="1186" spans="1:70" s="3502" customFormat="1" ht="12" hidden="1">
      <c r="A1186" s="3490" t="s">
        <v>11255</v>
      </c>
      <c r="B1186" s="3490" t="s">
        <v>11256</v>
      </c>
      <c r="C1186" s="3487" t="s">
        <v>11257</v>
      </c>
      <c r="D1186" s="3487" t="s">
        <v>11258</v>
      </c>
      <c r="E1186" s="3490" t="s">
        <v>2736</v>
      </c>
      <c r="F1186" s="3558" t="s">
        <v>11259</v>
      </c>
      <c r="G1186" s="3490"/>
      <c r="H1186" s="3490" t="s">
        <v>6599</v>
      </c>
      <c r="I1186" s="3490" t="s">
        <v>3726</v>
      </c>
      <c r="J1186" s="3487" t="s">
        <v>11260</v>
      </c>
      <c r="K1186" s="3490"/>
      <c r="L1186" s="3490">
        <v>57.4</v>
      </c>
      <c r="M1186" s="3490">
        <v>6</v>
      </c>
      <c r="N1186" s="3490" t="s">
        <v>4030</v>
      </c>
      <c r="O1186" s="3490"/>
      <c r="P1186" s="3490" t="s">
        <v>3452</v>
      </c>
      <c r="Q1186" s="3557">
        <v>270000</v>
      </c>
      <c r="R1186" s="3490">
        <v>4703</v>
      </c>
      <c r="S1186" s="3532">
        <v>26.24</v>
      </c>
      <c r="T1186" s="3554">
        <v>262400</v>
      </c>
      <c r="U1186" s="3490">
        <v>4573</v>
      </c>
      <c r="V1186" s="3559">
        <v>0.05</v>
      </c>
      <c r="W1186" s="3560">
        <v>24.92</v>
      </c>
      <c r="X1186" s="3534">
        <v>249200.00000000003</v>
      </c>
      <c r="Y1186" s="3502">
        <v>2003</v>
      </c>
      <c r="Z1186" s="3502">
        <v>12</v>
      </c>
      <c r="AA1186" s="3502">
        <v>12</v>
      </c>
      <c r="AB1186" s="3496">
        <v>1310</v>
      </c>
      <c r="AC1186" s="3490" t="s">
        <v>11261</v>
      </c>
      <c r="AD1186" s="3496"/>
      <c r="AE1186" s="3490" t="s">
        <v>3566</v>
      </c>
      <c r="AF1186" s="3490" t="s">
        <v>3453</v>
      </c>
      <c r="AG1186" s="3490" t="s">
        <v>3466</v>
      </c>
      <c r="AH1186" s="3496"/>
      <c r="AI1186" s="3490" t="s">
        <v>3569</v>
      </c>
      <c r="AJ1186" s="3499"/>
      <c r="AK1186" s="3562" t="s">
        <v>3467</v>
      </c>
      <c r="AL1186" s="3502">
        <v>82253572</v>
      </c>
      <c r="AY1186" s="3504"/>
      <c r="AZ1186" s="3502" t="s">
        <v>11262</v>
      </c>
      <c r="BB1186" s="3504"/>
      <c r="BD1186" s="3505"/>
      <c r="BF1186" s="3563"/>
      <c r="BG1186" s="3507">
        <v>37926</v>
      </c>
      <c r="BJ1186" s="3564">
        <v>37964</v>
      </c>
      <c r="BK1186" s="3564"/>
      <c r="BL1186" s="3490"/>
      <c r="BM1186" s="3502" t="s">
        <v>3471</v>
      </c>
      <c r="BN1186" s="3502" t="s">
        <v>3461</v>
      </c>
      <c r="BO1186" s="3502" t="s">
        <v>11263</v>
      </c>
      <c r="BP1186" s="3441"/>
      <c r="BQ1186" s="3441"/>
      <c r="BR1186" s="3441"/>
    </row>
    <row r="1187" spans="1:70" s="3441" customFormat="1" ht="12" hidden="1">
      <c r="A1187" s="3453" t="s">
        <v>11264</v>
      </c>
      <c r="B1187" s="3470" t="s">
        <v>11265</v>
      </c>
      <c r="C1187" s="3481" t="s">
        <v>11266</v>
      </c>
      <c r="D1187" s="3481" t="s">
        <v>11267</v>
      </c>
      <c r="E1187" s="3470" t="s">
        <v>3558</v>
      </c>
      <c r="F1187" s="3528" t="s">
        <v>4645</v>
      </c>
      <c r="G1187" s="3470"/>
      <c r="H1187" s="3470" t="s">
        <v>9611</v>
      </c>
      <c r="I1187" s="3470" t="s">
        <v>5663</v>
      </c>
      <c r="J1187" s="3481" t="s">
        <v>11268</v>
      </c>
      <c r="K1187" s="3470" t="s">
        <v>4649</v>
      </c>
      <c r="L1187" s="3470">
        <v>51.45</v>
      </c>
      <c r="M1187" s="3470">
        <v>13</v>
      </c>
      <c r="N1187" s="3453" t="s">
        <v>3489</v>
      </c>
      <c r="O1187" s="3470">
        <v>40.56</v>
      </c>
      <c r="P1187" s="3470" t="s">
        <v>3452</v>
      </c>
      <c r="Q1187" s="3457">
        <v>406043.4</v>
      </c>
      <c r="R1187" s="3470">
        <v>7892</v>
      </c>
      <c r="S1187" s="3472">
        <v>40.31</v>
      </c>
      <c r="T1187" s="3550">
        <v>403100</v>
      </c>
      <c r="U1187" s="3491">
        <v>7836</v>
      </c>
      <c r="V1187" s="3529">
        <v>0.1</v>
      </c>
      <c r="W1187" s="3475">
        <v>36.270000000000003</v>
      </c>
      <c r="X1187" s="3511">
        <v>362700.00000000006</v>
      </c>
      <c r="Y1187" s="3501">
        <v>2003</v>
      </c>
      <c r="Z1187" s="3441">
        <v>12</v>
      </c>
      <c r="AA1187" s="3470">
        <v>11</v>
      </c>
      <c r="AB1187" s="3477">
        <v>2015</v>
      </c>
      <c r="AC1187" s="3470" t="s">
        <v>9007</v>
      </c>
      <c r="AD1187" s="3485"/>
      <c r="AE1187" s="3441" t="s">
        <v>3663</v>
      </c>
      <c r="AF1187" s="3470" t="s">
        <v>4126</v>
      </c>
      <c r="AG1187" s="3522" t="s">
        <v>3466</v>
      </c>
      <c r="AH1187" s="3485"/>
      <c r="AI1187" s="3470" t="s">
        <v>5021</v>
      </c>
      <c r="AJ1187" s="3523">
        <v>38199</v>
      </c>
      <c r="AK1187" s="3612" t="s">
        <v>3467</v>
      </c>
      <c r="AL1187" s="3441">
        <v>67641700</v>
      </c>
      <c r="AN1187" s="3480" t="s">
        <v>3695</v>
      </c>
      <c r="AP1187" s="3441" t="s">
        <v>3476</v>
      </c>
      <c r="AQ1187" s="3441" t="s">
        <v>11269</v>
      </c>
      <c r="AR1187" s="3441">
        <v>2003</v>
      </c>
      <c r="AS1187" s="3441">
        <v>12</v>
      </c>
      <c r="AT1187" s="3441">
        <v>15</v>
      </c>
      <c r="AW1187" s="3441" t="s">
        <v>3572</v>
      </c>
      <c r="AX1187" s="3441" t="s">
        <v>3568</v>
      </c>
      <c r="AY1187" s="3524" t="s">
        <v>11270</v>
      </c>
      <c r="AZ1187" s="3441" t="s">
        <v>4654</v>
      </c>
      <c r="BA1187" s="3441" t="s">
        <v>4688</v>
      </c>
      <c r="BB1187" s="3524" t="s">
        <v>4689</v>
      </c>
      <c r="BC1187" s="3441" t="s">
        <v>4656</v>
      </c>
      <c r="BD1187" s="3525">
        <v>100037</v>
      </c>
      <c r="BE1187" s="3441">
        <v>68347718</v>
      </c>
      <c r="BF1187" s="3526">
        <v>2.8</v>
      </c>
      <c r="BG1187" s="3518">
        <v>37957</v>
      </c>
      <c r="BI1187" s="3441" t="s">
        <v>3476</v>
      </c>
      <c r="BJ1187" s="3484">
        <v>37963</v>
      </c>
      <c r="BK1187" s="3518"/>
      <c r="BL1187" s="3470" t="s">
        <v>3670</v>
      </c>
    </row>
    <row r="1188" spans="1:70" s="3441" customFormat="1" ht="12" hidden="1">
      <c r="A1188" s="3453" t="s">
        <v>11271</v>
      </c>
      <c r="B1188" s="3470" t="s">
        <v>11272</v>
      </c>
      <c r="C1188" s="3481" t="s">
        <v>11273</v>
      </c>
      <c r="D1188" s="3481" t="s">
        <v>11274</v>
      </c>
      <c r="E1188" s="3470" t="s">
        <v>3558</v>
      </c>
      <c r="F1188" s="3528" t="s">
        <v>4645</v>
      </c>
      <c r="G1188" s="3470"/>
      <c r="H1188" s="3470" t="s">
        <v>3477</v>
      </c>
      <c r="I1188" s="3470" t="s">
        <v>7204</v>
      </c>
      <c r="J1188" s="3481" t="s">
        <v>11275</v>
      </c>
      <c r="K1188" s="3470" t="s">
        <v>4649</v>
      </c>
      <c r="L1188" s="3470">
        <v>129.99</v>
      </c>
      <c r="M1188" s="3470">
        <v>9</v>
      </c>
      <c r="N1188" s="3453" t="s">
        <v>3488</v>
      </c>
      <c r="O1188" s="3470">
        <v>102.47</v>
      </c>
      <c r="P1188" s="3470" t="s">
        <v>3452</v>
      </c>
      <c r="Q1188" s="3457">
        <v>989483.88000000012</v>
      </c>
      <c r="R1188" s="3470">
        <v>7612</v>
      </c>
      <c r="S1188" s="3472">
        <v>98.22</v>
      </c>
      <c r="T1188" s="3550">
        <v>982200</v>
      </c>
      <c r="U1188" s="3491">
        <v>7556</v>
      </c>
      <c r="V1188" s="3529">
        <v>0.1</v>
      </c>
      <c r="W1188" s="3475">
        <v>88.39</v>
      </c>
      <c r="X1188" s="3511">
        <v>883900</v>
      </c>
      <c r="Y1188" s="3501">
        <v>2003</v>
      </c>
      <c r="Z1188" s="3441">
        <v>12</v>
      </c>
      <c r="AA1188" s="3470">
        <v>11</v>
      </c>
      <c r="AB1188" s="3477">
        <v>4910</v>
      </c>
      <c r="AC1188" s="3470" t="s">
        <v>9007</v>
      </c>
      <c r="AD1188" s="3485"/>
      <c r="AE1188" s="3441" t="s">
        <v>3663</v>
      </c>
      <c r="AF1188" s="3470" t="s">
        <v>4126</v>
      </c>
      <c r="AG1188" s="3522" t="s">
        <v>3466</v>
      </c>
      <c r="AH1188" s="3485"/>
      <c r="AI1188" s="3470" t="s">
        <v>5021</v>
      </c>
      <c r="AJ1188" s="3523">
        <v>38199</v>
      </c>
      <c r="AK1188" s="3612" t="s">
        <v>3467</v>
      </c>
      <c r="AL1188" s="3441">
        <v>67641700</v>
      </c>
      <c r="AN1188" s="3480" t="s">
        <v>3695</v>
      </c>
      <c r="AP1188" s="3441" t="s">
        <v>3476</v>
      </c>
      <c r="AQ1188" s="3441" t="s">
        <v>3571</v>
      </c>
      <c r="AW1188" s="3441" t="s">
        <v>3572</v>
      </c>
      <c r="AX1188" s="3441" t="s">
        <v>3568</v>
      </c>
      <c r="AY1188" s="3524" t="s">
        <v>11276</v>
      </c>
      <c r="AZ1188" s="3441" t="s">
        <v>4654</v>
      </c>
      <c r="BA1188" s="3441" t="s">
        <v>4688</v>
      </c>
      <c r="BB1188" s="3524" t="s">
        <v>4689</v>
      </c>
      <c r="BC1188" s="3441" t="s">
        <v>4656</v>
      </c>
      <c r="BD1188" s="3525">
        <v>100037</v>
      </c>
      <c r="BE1188" s="3441">
        <v>68347718</v>
      </c>
      <c r="BF1188" s="3526">
        <v>2.8</v>
      </c>
      <c r="BG1188" s="3518">
        <v>37914</v>
      </c>
      <c r="BI1188" s="3441" t="s">
        <v>3476</v>
      </c>
      <c r="BJ1188" s="3484">
        <v>37965</v>
      </c>
      <c r="BK1188" s="3518"/>
      <c r="BL1188" s="3470" t="s">
        <v>3670</v>
      </c>
    </row>
    <row r="1189" spans="1:70" s="3441" customFormat="1" ht="12" hidden="1">
      <c r="A1189" s="3485" t="s">
        <v>11277</v>
      </c>
      <c r="B1189" s="3470" t="s">
        <v>11278</v>
      </c>
      <c r="C1189" s="3481" t="s">
        <v>11279</v>
      </c>
      <c r="D1189" s="3481" t="s">
        <v>11280</v>
      </c>
      <c r="E1189" s="3470" t="s">
        <v>3558</v>
      </c>
      <c r="F1189" s="3470" t="s">
        <v>4770</v>
      </c>
      <c r="G1189" s="3470"/>
      <c r="H1189" s="3470" t="s">
        <v>11281</v>
      </c>
      <c r="I1189" s="3453" t="s">
        <v>3726</v>
      </c>
      <c r="J1189" s="3481" t="s">
        <v>3465</v>
      </c>
      <c r="K1189" s="3470" t="s">
        <v>4772</v>
      </c>
      <c r="L1189" s="3470">
        <v>61.96</v>
      </c>
      <c r="M1189" s="3470">
        <v>6</v>
      </c>
      <c r="N1189" s="3453" t="s">
        <v>3489</v>
      </c>
      <c r="O1189" s="3470">
        <v>55.27</v>
      </c>
      <c r="P1189" s="3470" t="s">
        <v>3452</v>
      </c>
      <c r="Q1189" s="3457">
        <v>264135.48</v>
      </c>
      <c r="R1189" s="3470">
        <v>4263</v>
      </c>
      <c r="S1189" s="3472">
        <v>26.1</v>
      </c>
      <c r="T1189" s="3527">
        <v>261000</v>
      </c>
      <c r="U1189" s="3470">
        <v>4214</v>
      </c>
      <c r="V1189" s="3512">
        <v>0.1</v>
      </c>
      <c r="W1189" s="3475">
        <v>23.49</v>
      </c>
      <c r="X1189" s="3476">
        <v>234899.99999999997</v>
      </c>
      <c r="Y1189" s="3441">
        <v>2003</v>
      </c>
      <c r="Z1189" s="3441">
        <v>12</v>
      </c>
      <c r="AA1189" s="3441">
        <v>23</v>
      </c>
      <c r="AB1189" s="3477">
        <v>1305</v>
      </c>
      <c r="AC1189" s="3470" t="s">
        <v>8840</v>
      </c>
      <c r="AD1189" s="3485"/>
      <c r="AE1189" s="3441" t="s">
        <v>3663</v>
      </c>
      <c r="AF1189" s="3470" t="s">
        <v>3604</v>
      </c>
      <c r="AG1189" s="3522" t="s">
        <v>3466</v>
      </c>
      <c r="AH1189" s="3485"/>
      <c r="AI1189" s="3470" t="s">
        <v>7643</v>
      </c>
      <c r="AJ1189" s="3523">
        <v>38029</v>
      </c>
      <c r="AK1189" s="3612" t="s">
        <v>3467</v>
      </c>
      <c r="AL1189" s="3441">
        <v>67641700</v>
      </c>
      <c r="AN1189" s="3480" t="s">
        <v>3680</v>
      </c>
      <c r="AO1189" s="3441" t="s">
        <v>11282</v>
      </c>
      <c r="AP1189" s="3441" t="s">
        <v>3476</v>
      </c>
      <c r="AQ1189" s="3441" t="s">
        <v>3571</v>
      </c>
      <c r="AW1189" s="3441" t="s">
        <v>3572</v>
      </c>
      <c r="AY1189" s="3441">
        <v>561644</v>
      </c>
      <c r="AZ1189" s="3441" t="s">
        <v>4772</v>
      </c>
      <c r="BA1189" s="3441" t="s">
        <v>4775</v>
      </c>
      <c r="BB1189" s="3524" t="s">
        <v>4776</v>
      </c>
      <c r="BC1189" s="3441" t="s">
        <v>4777</v>
      </c>
      <c r="BD1189" s="3525">
        <v>100083</v>
      </c>
      <c r="BE1189" s="3441">
        <v>82355171</v>
      </c>
      <c r="BF1189" s="3526">
        <v>2.7</v>
      </c>
      <c r="BG1189" s="3518">
        <v>37933</v>
      </c>
      <c r="BH1189" s="3441" t="s">
        <v>4681</v>
      </c>
      <c r="BI1189" s="3441" t="s">
        <v>3476</v>
      </c>
      <c r="BJ1189" s="3478">
        <v>37972</v>
      </c>
      <c r="BK1189" s="3484"/>
      <c r="BL1189" s="3470" t="s">
        <v>3670</v>
      </c>
    </row>
    <row r="1190" spans="1:70" s="3470" customFormat="1" ht="12" hidden="1">
      <c r="A1190" s="3453" t="s">
        <v>11283</v>
      </c>
      <c r="B1190" s="3470" t="s">
        <v>11284</v>
      </c>
      <c r="C1190" s="3481" t="s">
        <v>11285</v>
      </c>
      <c r="D1190" s="3470" t="s">
        <v>11286</v>
      </c>
      <c r="E1190" s="3470" t="s">
        <v>3558</v>
      </c>
      <c r="F1190" s="3470" t="s">
        <v>9289</v>
      </c>
      <c r="H1190" s="3453" t="s">
        <v>4281</v>
      </c>
      <c r="I1190" s="3453" t="s">
        <v>4447</v>
      </c>
      <c r="J1190" s="3453" t="s">
        <v>9450</v>
      </c>
      <c r="K1190" s="3470" t="s">
        <v>11287</v>
      </c>
      <c r="L1190" s="3495">
        <v>109.91</v>
      </c>
      <c r="M1190" s="3495">
        <v>12</v>
      </c>
      <c r="N1190" s="3470" t="s">
        <v>3451</v>
      </c>
      <c r="O1190" s="3495">
        <v>88.61</v>
      </c>
      <c r="P1190" s="3470" t="s">
        <v>3452</v>
      </c>
      <c r="Q1190" s="3457">
        <v>430407.56</v>
      </c>
      <c r="R1190" s="3470">
        <v>3916</v>
      </c>
      <c r="S1190" s="3472">
        <v>42.53</v>
      </c>
      <c r="T1190" s="3527">
        <v>425300</v>
      </c>
      <c r="U1190" s="3470">
        <v>3870</v>
      </c>
      <c r="V1190" s="3474">
        <v>0.1</v>
      </c>
      <c r="W1190" s="3475">
        <v>38.270000000000003</v>
      </c>
      <c r="X1190" s="3476">
        <v>382700.00000000006</v>
      </c>
      <c r="Y1190" s="3441">
        <v>2003</v>
      </c>
      <c r="Z1190" s="3441">
        <v>12</v>
      </c>
      <c r="AA1190" s="3470">
        <v>19</v>
      </c>
      <c r="AB1190" s="3477">
        <v>2125</v>
      </c>
      <c r="AC1190" s="3470" t="s">
        <v>9383</v>
      </c>
      <c r="AE1190" s="3456" t="s">
        <v>3663</v>
      </c>
      <c r="AF1190" s="3453" t="s">
        <v>4721</v>
      </c>
      <c r="AG1190" s="3470" t="s">
        <v>3466</v>
      </c>
      <c r="AH1190" s="3470" t="s">
        <v>3463</v>
      </c>
      <c r="AI1190" s="3456" t="s">
        <v>5021</v>
      </c>
      <c r="AJ1190" s="3478">
        <v>38427</v>
      </c>
      <c r="AK1190" s="3612" t="s">
        <v>3467</v>
      </c>
      <c r="AL1190" s="3441">
        <v>67641700</v>
      </c>
      <c r="AM1190" s="3441"/>
      <c r="AN1190" s="3480" t="s">
        <v>3739</v>
      </c>
      <c r="AO1190" s="3470" t="s">
        <v>3568</v>
      </c>
      <c r="AP1190" s="3456" t="s">
        <v>3476</v>
      </c>
      <c r="AQ1190" s="3456" t="s">
        <v>3571</v>
      </c>
      <c r="AV1190" s="3519"/>
      <c r="AW1190" s="3470" t="s">
        <v>3572</v>
      </c>
      <c r="AX1190" s="3470" t="s">
        <v>3568</v>
      </c>
      <c r="AY1190" s="3495">
        <v>513997</v>
      </c>
      <c r="AZ1190" s="3470" t="s">
        <v>11287</v>
      </c>
      <c r="BA1190" s="3470" t="s">
        <v>11288</v>
      </c>
      <c r="BB1190" s="3470" t="s">
        <v>11289</v>
      </c>
      <c r="BC1190" s="3470" t="s">
        <v>11290</v>
      </c>
      <c r="BD1190" s="3470">
        <v>100029</v>
      </c>
      <c r="BE1190" s="3470">
        <v>82275550</v>
      </c>
      <c r="BF1190" s="3520">
        <v>2.8</v>
      </c>
      <c r="BG1190" s="3478">
        <v>37936</v>
      </c>
      <c r="BI1190" s="3470" t="s">
        <v>3476</v>
      </c>
      <c r="BJ1190" s="3478">
        <v>37950</v>
      </c>
      <c r="BK1190" s="3478"/>
      <c r="BL1190" s="3470" t="s">
        <v>3670</v>
      </c>
      <c r="BP1190" s="3441"/>
      <c r="BQ1190" s="3441"/>
      <c r="BR1190" s="3441"/>
    </row>
    <row r="1191" spans="1:70" s="3441" customFormat="1" ht="12" hidden="1">
      <c r="A1191" s="3453" t="s">
        <v>11291</v>
      </c>
      <c r="B1191" s="3470" t="s">
        <v>11292</v>
      </c>
      <c r="C1191" s="3481" t="s">
        <v>11293</v>
      </c>
      <c r="D1191" s="3481" t="s">
        <v>11294</v>
      </c>
      <c r="E1191" s="3470" t="s">
        <v>3558</v>
      </c>
      <c r="F1191" s="3528" t="s">
        <v>4645</v>
      </c>
      <c r="G1191" s="3470"/>
      <c r="H1191" s="3470" t="s">
        <v>9611</v>
      </c>
      <c r="I1191" s="3470" t="s">
        <v>4454</v>
      </c>
      <c r="J1191" s="3481" t="s">
        <v>11295</v>
      </c>
      <c r="K1191" s="3470" t="s">
        <v>4649</v>
      </c>
      <c r="L1191" s="3470">
        <v>117.41</v>
      </c>
      <c r="M1191" s="3470">
        <v>19</v>
      </c>
      <c r="N1191" s="3453" t="s">
        <v>3488</v>
      </c>
      <c r="O1191" s="3470">
        <v>92.55</v>
      </c>
      <c r="P1191" s="3470" t="s">
        <v>3452</v>
      </c>
      <c r="Q1191" s="3457">
        <v>921198.86</v>
      </c>
      <c r="R1191" s="3470">
        <v>7846</v>
      </c>
      <c r="S1191" s="3472">
        <v>91.46</v>
      </c>
      <c r="T1191" s="3550">
        <v>914599.99999999988</v>
      </c>
      <c r="U1191" s="3491">
        <v>7790</v>
      </c>
      <c r="V1191" s="3529">
        <v>0.1</v>
      </c>
      <c r="W1191" s="3475">
        <v>82.31</v>
      </c>
      <c r="X1191" s="3511">
        <v>823100</v>
      </c>
      <c r="Y1191" s="3501">
        <v>2003</v>
      </c>
      <c r="Z1191" s="3441">
        <v>12</v>
      </c>
      <c r="AA1191" s="3470">
        <v>11</v>
      </c>
      <c r="AB1191" s="3477">
        <v>4570</v>
      </c>
      <c r="AC1191" s="3470" t="s">
        <v>10533</v>
      </c>
      <c r="AD1191" s="3485"/>
      <c r="AE1191" s="3441" t="s">
        <v>3663</v>
      </c>
      <c r="AF1191" s="3470" t="s">
        <v>4126</v>
      </c>
      <c r="AG1191" s="3522" t="s">
        <v>3466</v>
      </c>
      <c r="AH1191" s="3485"/>
      <c r="AI1191" s="3470" t="s">
        <v>5021</v>
      </c>
      <c r="AJ1191" s="3523">
        <v>38199</v>
      </c>
      <c r="AK1191" s="3612" t="s">
        <v>3467</v>
      </c>
      <c r="AL1191" s="3441">
        <v>67641700</v>
      </c>
      <c r="AN1191" s="3480" t="s">
        <v>3695</v>
      </c>
      <c r="AP1191" s="3441" t="s">
        <v>3476</v>
      </c>
      <c r="AQ1191" s="3441" t="s">
        <v>3571</v>
      </c>
      <c r="AW1191" s="3441" t="s">
        <v>3572</v>
      </c>
      <c r="AX1191" s="3441" t="s">
        <v>3568</v>
      </c>
      <c r="AY1191" s="3524" t="s">
        <v>11296</v>
      </c>
      <c r="AZ1191" s="3441" t="s">
        <v>4654</v>
      </c>
      <c r="BA1191" s="3441" t="s">
        <v>4688</v>
      </c>
      <c r="BB1191" s="3524" t="s">
        <v>4689</v>
      </c>
      <c r="BC1191" s="3441" t="s">
        <v>4656</v>
      </c>
      <c r="BD1191" s="3525">
        <v>100037</v>
      </c>
      <c r="BE1191" s="3441">
        <v>68347718</v>
      </c>
      <c r="BF1191" s="3526">
        <v>2.8</v>
      </c>
      <c r="BG1191" s="3518">
        <v>37895</v>
      </c>
      <c r="BI1191" s="3441" t="s">
        <v>3476</v>
      </c>
      <c r="BJ1191" s="3484">
        <v>37965</v>
      </c>
      <c r="BK1191" s="3518"/>
      <c r="BL1191" s="3470" t="s">
        <v>3670</v>
      </c>
    </row>
    <row r="1192" spans="1:70" s="3441" customFormat="1" ht="12" hidden="1">
      <c r="A1192" s="3453" t="s">
        <v>11297</v>
      </c>
      <c r="B1192" s="3470" t="s">
        <v>11298</v>
      </c>
      <c r="C1192" s="3481" t="s">
        <v>11299</v>
      </c>
      <c r="D1192" s="3481" t="s">
        <v>11300</v>
      </c>
      <c r="E1192" s="3470" t="s">
        <v>3558</v>
      </c>
      <c r="F1192" s="3528" t="s">
        <v>4645</v>
      </c>
      <c r="G1192" s="3470"/>
      <c r="H1192" s="3470" t="s">
        <v>11301</v>
      </c>
      <c r="I1192" s="3470" t="s">
        <v>4535</v>
      </c>
      <c r="J1192" s="3481" t="s">
        <v>5924</v>
      </c>
      <c r="K1192" s="3470" t="s">
        <v>4649</v>
      </c>
      <c r="L1192" s="3470">
        <v>58.03</v>
      </c>
      <c r="M1192" s="3470">
        <v>3</v>
      </c>
      <c r="N1192" s="3453" t="s">
        <v>3489</v>
      </c>
      <c r="O1192" s="3470">
        <v>45.74</v>
      </c>
      <c r="P1192" s="3470" t="s">
        <v>3452</v>
      </c>
      <c r="Q1192" s="3457">
        <v>451763.55</v>
      </c>
      <c r="R1192" s="3470">
        <v>7785</v>
      </c>
      <c r="S1192" s="3472">
        <v>44.85</v>
      </c>
      <c r="T1192" s="3550">
        <v>448500</v>
      </c>
      <c r="U1192" s="3491">
        <v>7729</v>
      </c>
      <c r="V1192" s="3529">
        <v>0.1</v>
      </c>
      <c r="W1192" s="3475">
        <v>40.36</v>
      </c>
      <c r="X1192" s="3511">
        <v>403600</v>
      </c>
      <c r="Y1192" s="3501">
        <v>2003</v>
      </c>
      <c r="Z1192" s="3441">
        <v>12</v>
      </c>
      <c r="AA1192" s="3470">
        <v>12</v>
      </c>
      <c r="AB1192" s="3477">
        <v>2240</v>
      </c>
      <c r="AC1192" s="3470" t="s">
        <v>4800</v>
      </c>
      <c r="AD1192" s="3485"/>
      <c r="AE1192" s="3441" t="s">
        <v>3663</v>
      </c>
      <c r="AF1192" s="3470" t="s">
        <v>4126</v>
      </c>
      <c r="AG1192" s="3522" t="s">
        <v>3466</v>
      </c>
      <c r="AH1192" s="3485"/>
      <c r="AI1192" s="3470" t="s">
        <v>5021</v>
      </c>
      <c r="AJ1192" s="3523">
        <v>38199</v>
      </c>
      <c r="AK1192" s="3612" t="s">
        <v>3467</v>
      </c>
      <c r="AL1192" s="3441">
        <v>67641700</v>
      </c>
      <c r="AN1192" s="3480" t="s">
        <v>3695</v>
      </c>
      <c r="AP1192" s="3441" t="s">
        <v>3476</v>
      </c>
      <c r="AQ1192" s="3441" t="s">
        <v>3571</v>
      </c>
      <c r="AW1192" s="3441" t="s">
        <v>3572</v>
      </c>
      <c r="AX1192" s="3441" t="s">
        <v>3568</v>
      </c>
      <c r="AY1192" s="3524" t="s">
        <v>11302</v>
      </c>
      <c r="AZ1192" s="3441" t="s">
        <v>4654</v>
      </c>
      <c r="BA1192" s="3441" t="s">
        <v>4688</v>
      </c>
      <c r="BB1192" s="3524" t="s">
        <v>4689</v>
      </c>
      <c r="BC1192" s="3441" t="s">
        <v>4656</v>
      </c>
      <c r="BD1192" s="3525">
        <v>100037</v>
      </c>
      <c r="BE1192" s="3441">
        <v>68347718</v>
      </c>
      <c r="BF1192" s="3526">
        <v>2.8</v>
      </c>
      <c r="BG1192" s="3518">
        <v>37950</v>
      </c>
      <c r="BI1192" s="3441" t="s">
        <v>3476</v>
      </c>
      <c r="BJ1192" s="3484">
        <v>37960</v>
      </c>
      <c r="BK1192" s="3518"/>
      <c r="BL1192" s="3470" t="s">
        <v>3670</v>
      </c>
    </row>
    <row r="1193" spans="1:70" s="3441" customFormat="1" ht="12" hidden="1">
      <c r="A1193" s="3453" t="s">
        <v>11303</v>
      </c>
      <c r="B1193" s="3470" t="s">
        <v>11304</v>
      </c>
      <c r="C1193" s="3481" t="s">
        <v>11305</v>
      </c>
      <c r="D1193" s="3481" t="s">
        <v>11306</v>
      </c>
      <c r="E1193" s="3470" t="s">
        <v>3558</v>
      </c>
      <c r="F1193" s="3470" t="s">
        <v>4693</v>
      </c>
      <c r="G1193" s="3470"/>
      <c r="H1193" s="3470" t="s">
        <v>4453</v>
      </c>
      <c r="I1193" s="3470" t="s">
        <v>4027</v>
      </c>
      <c r="J1193" s="3481" t="s">
        <v>11307</v>
      </c>
      <c r="K1193" s="3470" t="s">
        <v>4697</v>
      </c>
      <c r="L1193" s="3470">
        <v>37.979999999999997</v>
      </c>
      <c r="M1193" s="3470">
        <v>6</v>
      </c>
      <c r="N1193" s="3470" t="s">
        <v>3692</v>
      </c>
      <c r="O1193" s="3470">
        <v>28.21</v>
      </c>
      <c r="P1193" s="3470" t="s">
        <v>3452</v>
      </c>
      <c r="Q1193" s="3457">
        <v>313031.15999999997</v>
      </c>
      <c r="R1193" s="3470">
        <v>8242</v>
      </c>
      <c r="S1193" s="3472">
        <v>31.06</v>
      </c>
      <c r="T1193" s="3550">
        <v>310600</v>
      </c>
      <c r="U1193" s="3491">
        <v>8178</v>
      </c>
      <c r="V1193" s="3529">
        <v>0.1</v>
      </c>
      <c r="W1193" s="3475">
        <v>27.95</v>
      </c>
      <c r="X1193" s="3511">
        <v>279500</v>
      </c>
      <c r="Y1193" s="3501">
        <v>2003</v>
      </c>
      <c r="Z1193" s="3441">
        <v>12</v>
      </c>
      <c r="AA1193" s="3470">
        <v>12</v>
      </c>
      <c r="AB1193" s="3477">
        <v>1550</v>
      </c>
      <c r="AC1193" s="3470" t="s">
        <v>10727</v>
      </c>
      <c r="AD1193" s="3485"/>
      <c r="AE1193" s="3441" t="s">
        <v>3663</v>
      </c>
      <c r="AF1193" s="3470" t="s">
        <v>3604</v>
      </c>
      <c r="AG1193" s="3522" t="s">
        <v>3466</v>
      </c>
      <c r="AH1193" s="3485" t="s">
        <v>3463</v>
      </c>
      <c r="AI1193" s="3470" t="s">
        <v>5021</v>
      </c>
      <c r="AJ1193" s="3523">
        <v>38138</v>
      </c>
      <c r="AK1193" s="3612" t="s">
        <v>3467</v>
      </c>
      <c r="AL1193" s="3441">
        <v>67641700</v>
      </c>
      <c r="AN1193" s="3480" t="s">
        <v>3695</v>
      </c>
      <c r="AO1193" s="3470" t="s">
        <v>3568</v>
      </c>
      <c r="AP1193" s="3441" t="s">
        <v>3476</v>
      </c>
      <c r="AQ1193" s="3441" t="s">
        <v>3571</v>
      </c>
      <c r="AV1193" s="3441" t="s">
        <v>3568</v>
      </c>
      <c r="AW1193" s="3441" t="s">
        <v>3572</v>
      </c>
      <c r="AX1193" s="3441" t="s">
        <v>3568</v>
      </c>
      <c r="AY1193" s="3524" t="s">
        <v>11308</v>
      </c>
      <c r="AZ1193" s="3441" t="s">
        <v>4697</v>
      </c>
      <c r="BA1193" s="3441" t="s">
        <v>4700</v>
      </c>
      <c r="BB1193" s="3524" t="s">
        <v>4701</v>
      </c>
      <c r="BC1193" s="3441" t="s">
        <v>4702</v>
      </c>
      <c r="BD1193" s="3525">
        <v>100011</v>
      </c>
      <c r="BE1193" s="3441">
        <v>62351476</v>
      </c>
      <c r="BF1193" s="3526">
        <v>2.8</v>
      </c>
      <c r="BG1193" s="3518">
        <v>37957</v>
      </c>
      <c r="BI1193" s="3470" t="s">
        <v>3476</v>
      </c>
      <c r="BJ1193" s="3484">
        <v>37963</v>
      </c>
      <c r="BK1193" s="3518"/>
      <c r="BL1193" s="3470" t="s">
        <v>3670</v>
      </c>
    </row>
    <row r="1194" spans="1:70" s="3441" customFormat="1" ht="12" hidden="1">
      <c r="A1194" s="3485" t="s">
        <v>11309</v>
      </c>
      <c r="B1194" s="3470" t="s">
        <v>11310</v>
      </c>
      <c r="C1194" s="3481" t="s">
        <v>11311</v>
      </c>
      <c r="D1194" s="3481" t="s">
        <v>11312</v>
      </c>
      <c r="E1194" s="3470" t="s">
        <v>3558</v>
      </c>
      <c r="F1194" s="3528" t="s">
        <v>3733</v>
      </c>
      <c r="G1194" s="3470"/>
      <c r="H1194" s="3470" t="s">
        <v>11313</v>
      </c>
      <c r="I1194" s="3470" t="s">
        <v>4454</v>
      </c>
      <c r="J1194" s="3470" t="s">
        <v>6359</v>
      </c>
      <c r="K1194" s="3470" t="s">
        <v>3737</v>
      </c>
      <c r="L1194" s="3470">
        <v>75.19</v>
      </c>
      <c r="M1194" s="3470">
        <v>19</v>
      </c>
      <c r="N1194" s="3453" t="s">
        <v>3451</v>
      </c>
      <c r="O1194" s="3470">
        <v>60.28</v>
      </c>
      <c r="P1194" s="3470" t="s">
        <v>3452</v>
      </c>
      <c r="Q1194" s="3492">
        <v>482719.8</v>
      </c>
      <c r="R1194" s="3470">
        <v>6420</v>
      </c>
      <c r="S1194" s="3472">
        <v>47.82</v>
      </c>
      <c r="T1194" s="3527">
        <v>478200</v>
      </c>
      <c r="U1194" s="3470">
        <v>6360</v>
      </c>
      <c r="V1194" s="3474">
        <v>0.1</v>
      </c>
      <c r="W1194" s="3475">
        <v>43.03</v>
      </c>
      <c r="X1194" s="3494">
        <v>430300</v>
      </c>
      <c r="Y1194" s="3441">
        <v>2003</v>
      </c>
      <c r="Z1194" s="3441">
        <v>12</v>
      </c>
      <c r="AA1194" s="3470">
        <v>12</v>
      </c>
      <c r="AB1194" s="3477">
        <v>2390</v>
      </c>
      <c r="AC1194" s="3470" t="s">
        <v>9077</v>
      </c>
      <c r="AD1194" s="3485"/>
      <c r="AE1194" s="3441" t="s">
        <v>3663</v>
      </c>
      <c r="AF1194" s="3470" t="s">
        <v>3604</v>
      </c>
      <c r="AG1194" s="3522" t="s">
        <v>3466</v>
      </c>
      <c r="AH1194" s="3485" t="s">
        <v>2420</v>
      </c>
      <c r="AI1194" s="3470" t="s">
        <v>5021</v>
      </c>
      <c r="AJ1194" s="3523">
        <v>38117</v>
      </c>
      <c r="AK1194" s="3612" t="s">
        <v>3467</v>
      </c>
      <c r="AL1194" s="3441">
        <v>67641700</v>
      </c>
      <c r="AN1194" s="3480" t="s">
        <v>3695</v>
      </c>
      <c r="AO1194" s="3470" t="s">
        <v>2420</v>
      </c>
      <c r="AP1194" s="3441" t="s">
        <v>3476</v>
      </c>
      <c r="AQ1194" s="3441" t="s">
        <v>3571</v>
      </c>
      <c r="AW1194" s="3441" t="s">
        <v>3572</v>
      </c>
      <c r="AY1194" s="3524" t="s">
        <v>11314</v>
      </c>
      <c r="AZ1194" s="3441" t="s">
        <v>3737</v>
      </c>
      <c r="BA1194" s="3441" t="s">
        <v>3742</v>
      </c>
      <c r="BB1194" s="3524" t="s">
        <v>3743</v>
      </c>
      <c r="BC1194" s="3441" t="s">
        <v>3744</v>
      </c>
      <c r="BD1194" s="3525">
        <v>100088</v>
      </c>
      <c r="BE1194" s="3441">
        <v>82058259</v>
      </c>
      <c r="BF1194" s="3526" t="s">
        <v>8595</v>
      </c>
      <c r="BG1194" s="3478">
        <v>37957</v>
      </c>
      <c r="BH1194" s="3441" t="s">
        <v>4753</v>
      </c>
      <c r="BI1194" s="3441" t="s">
        <v>3476</v>
      </c>
      <c r="BJ1194" s="3484">
        <v>37965</v>
      </c>
      <c r="BK1194" s="3484" t="s">
        <v>2420</v>
      </c>
      <c r="BL1194" s="3470" t="s">
        <v>3670</v>
      </c>
    </row>
    <row r="1195" spans="1:70" s="3470" customFormat="1" ht="12" hidden="1">
      <c r="A1195" s="3453" t="s">
        <v>11315</v>
      </c>
      <c r="B1195" s="3470" t="s">
        <v>11316</v>
      </c>
      <c r="C1195" s="3481" t="s">
        <v>11317</v>
      </c>
      <c r="D1195" s="3470">
        <v>13301045668</v>
      </c>
      <c r="E1195" s="3470" t="s">
        <v>3558</v>
      </c>
      <c r="F1195" s="3470" t="s">
        <v>3559</v>
      </c>
      <c r="H1195" s="3453" t="s">
        <v>5304</v>
      </c>
      <c r="I1195" s="3453" t="s">
        <v>3726</v>
      </c>
      <c r="J1195" s="3453" t="s">
        <v>7441</v>
      </c>
      <c r="K1195" s="3470" t="s">
        <v>7737</v>
      </c>
      <c r="L1195" s="3495">
        <v>85.48</v>
      </c>
      <c r="M1195" s="3495">
        <v>6</v>
      </c>
      <c r="N1195" s="3453" t="s">
        <v>3489</v>
      </c>
      <c r="O1195" s="3495">
        <v>69.319999999999993</v>
      </c>
      <c r="P1195" s="3470" t="s">
        <v>3452</v>
      </c>
      <c r="Q1195" s="3492">
        <v>402097.92000000004</v>
      </c>
      <c r="R1195" s="3470">
        <v>4704</v>
      </c>
      <c r="S1195" s="3472">
        <v>40.049999999999997</v>
      </c>
      <c r="T1195" s="3527">
        <v>400500</v>
      </c>
      <c r="U1195" s="3470">
        <v>4686</v>
      </c>
      <c r="V1195" s="3512">
        <v>0.05</v>
      </c>
      <c r="W1195" s="3475">
        <v>38.04</v>
      </c>
      <c r="X1195" s="3473">
        <v>380400</v>
      </c>
      <c r="Y1195" s="3470">
        <v>2003</v>
      </c>
      <c r="Z1195" s="3441">
        <v>12</v>
      </c>
      <c r="AA1195" s="3470">
        <v>12</v>
      </c>
      <c r="AB1195" s="3485">
        <v>2000</v>
      </c>
      <c r="AC1195" s="3470" t="s">
        <v>9007</v>
      </c>
      <c r="AE1195" s="3456" t="s">
        <v>3663</v>
      </c>
      <c r="AF1195" s="3453" t="s">
        <v>3493</v>
      </c>
      <c r="AG1195" s="3470" t="s">
        <v>3466</v>
      </c>
      <c r="AH1195" s="3470" t="s">
        <v>3568</v>
      </c>
      <c r="AI1195" s="3456" t="s">
        <v>5021</v>
      </c>
      <c r="AJ1195" s="3478">
        <v>37981</v>
      </c>
      <c r="AK1195" s="3603" t="s">
        <v>3467</v>
      </c>
      <c r="AL1195" s="3441">
        <v>67641700</v>
      </c>
      <c r="AM1195" s="3441"/>
      <c r="AN1195" s="3441" t="s">
        <v>3468</v>
      </c>
      <c r="AO1195" s="3470" t="s">
        <v>3568</v>
      </c>
      <c r="AP1195" s="3456" t="s">
        <v>3476</v>
      </c>
      <c r="AQ1195" s="3456" t="s">
        <v>3571</v>
      </c>
      <c r="AV1195" s="3519"/>
      <c r="AW1195" s="3470" t="s">
        <v>3572</v>
      </c>
      <c r="AY1195" s="3495">
        <v>318408</v>
      </c>
      <c r="AZ1195" s="3470" t="s">
        <v>7737</v>
      </c>
      <c r="BA1195" s="3470" t="s">
        <v>9926</v>
      </c>
      <c r="BB1195" s="3481" t="s">
        <v>9581</v>
      </c>
      <c r="BC1195" s="3470" t="s">
        <v>3576</v>
      </c>
      <c r="BD1195" s="3470">
        <v>100035</v>
      </c>
      <c r="BE1195" s="3470">
        <v>84050010</v>
      </c>
      <c r="BF1195" s="3520">
        <v>2.8</v>
      </c>
      <c r="BG1195" s="3478">
        <v>37935</v>
      </c>
      <c r="BI1195" s="3441" t="s">
        <v>8464</v>
      </c>
      <c r="BJ1195" s="3478">
        <v>37965</v>
      </c>
      <c r="BK1195" s="3470" t="s">
        <v>3568</v>
      </c>
      <c r="BL1195" s="3441" t="s">
        <v>3670</v>
      </c>
      <c r="BP1195" s="3441"/>
      <c r="BQ1195" s="3441"/>
      <c r="BR1195" s="3441"/>
    </row>
    <row r="1196" spans="1:70" s="3441" customFormat="1" ht="12" hidden="1">
      <c r="A1196" s="3485" t="s">
        <v>11318</v>
      </c>
      <c r="B1196" s="3470" t="s">
        <v>11319</v>
      </c>
      <c r="C1196" s="3481" t="s">
        <v>11320</v>
      </c>
      <c r="D1196" s="3481" t="s">
        <v>11321</v>
      </c>
      <c r="E1196" s="3470" t="s">
        <v>3558</v>
      </c>
      <c r="F1196" s="3528" t="s">
        <v>3733</v>
      </c>
      <c r="G1196" s="3470"/>
      <c r="H1196" s="3470" t="s">
        <v>9875</v>
      </c>
      <c r="I1196" s="3470" t="s">
        <v>8778</v>
      </c>
      <c r="J1196" s="3470" t="s">
        <v>9397</v>
      </c>
      <c r="K1196" s="3470" t="s">
        <v>3737</v>
      </c>
      <c r="L1196" s="3470">
        <v>88.67</v>
      </c>
      <c r="M1196" s="3470">
        <v>10</v>
      </c>
      <c r="N1196" s="3470" t="s">
        <v>3491</v>
      </c>
      <c r="O1196" s="3470">
        <v>71.09</v>
      </c>
      <c r="P1196" s="3470" t="s">
        <v>3452</v>
      </c>
      <c r="Q1196" s="3457">
        <v>594089</v>
      </c>
      <c r="R1196" s="3470">
        <v>6700</v>
      </c>
      <c r="S1196" s="3472">
        <v>58.92</v>
      </c>
      <c r="T1196" s="3550">
        <v>589200</v>
      </c>
      <c r="U1196" s="3470">
        <v>6645</v>
      </c>
      <c r="V1196" s="3474">
        <v>0.1</v>
      </c>
      <c r="W1196" s="3475">
        <v>53.02</v>
      </c>
      <c r="X1196" s="3511">
        <v>530200</v>
      </c>
      <c r="Y1196" s="3441">
        <v>2003</v>
      </c>
      <c r="Z1196" s="3441">
        <v>12</v>
      </c>
      <c r="AA1196" s="3441">
        <v>12</v>
      </c>
      <c r="AB1196" s="3485">
        <v>2945</v>
      </c>
      <c r="AC1196" s="3470" t="s">
        <v>4761</v>
      </c>
      <c r="AD1196" s="3485"/>
      <c r="AE1196" s="3441" t="s">
        <v>3663</v>
      </c>
      <c r="AF1196" s="3470" t="s">
        <v>3604</v>
      </c>
      <c r="AG1196" s="3522" t="s">
        <v>3466</v>
      </c>
      <c r="AH1196" s="3485"/>
      <c r="AI1196" s="3470" t="s">
        <v>5021</v>
      </c>
      <c r="AJ1196" s="3523">
        <v>38122</v>
      </c>
      <c r="AK1196" s="3603" t="s">
        <v>3467</v>
      </c>
      <c r="AL1196" s="3441">
        <v>67641700</v>
      </c>
      <c r="AN1196" s="3441" t="s">
        <v>3468</v>
      </c>
      <c r="AO1196" s="3470" t="s">
        <v>2420</v>
      </c>
      <c r="AP1196" s="3441" t="s">
        <v>3476</v>
      </c>
      <c r="AQ1196" s="3441" t="s">
        <v>3571</v>
      </c>
      <c r="AW1196" s="3441" t="s">
        <v>3572</v>
      </c>
      <c r="AY1196" s="3524" t="s">
        <v>11322</v>
      </c>
      <c r="AZ1196" s="3441" t="s">
        <v>3737</v>
      </c>
      <c r="BA1196" s="3441" t="s">
        <v>3742</v>
      </c>
      <c r="BB1196" s="3524" t="s">
        <v>3743</v>
      </c>
      <c r="BC1196" s="3441" t="s">
        <v>3744</v>
      </c>
      <c r="BD1196" s="3525">
        <v>100088</v>
      </c>
      <c r="BE1196" s="3441">
        <v>82058259</v>
      </c>
      <c r="BF1196" s="3526">
        <v>2.7</v>
      </c>
      <c r="BG1196" s="3478">
        <v>37913</v>
      </c>
      <c r="BI1196" s="3469" t="s">
        <v>8464</v>
      </c>
      <c r="BJ1196" s="3478">
        <v>37964</v>
      </c>
      <c r="BK1196" s="3484" t="s">
        <v>2420</v>
      </c>
      <c r="BL1196" s="3470" t="s">
        <v>3670</v>
      </c>
    </row>
    <row r="1197" spans="1:70" s="3441" customFormat="1" ht="12">
      <c r="A1197" s="3485" t="s">
        <v>11323</v>
      </c>
      <c r="B1197" s="3470" t="s">
        <v>11324</v>
      </c>
      <c r="C1197" s="3481" t="s">
        <v>11325</v>
      </c>
      <c r="D1197" s="3481" t="s">
        <v>11326</v>
      </c>
      <c r="E1197" s="3470" t="s">
        <v>2736</v>
      </c>
      <c r="F1197" s="3687" t="s">
        <v>9471</v>
      </c>
      <c r="G1197" s="3470"/>
      <c r="H1197" s="3470" t="s">
        <v>2420</v>
      </c>
      <c r="I1197" s="3470" t="s">
        <v>5663</v>
      </c>
      <c r="J1197" s="3481" t="s">
        <v>11327</v>
      </c>
      <c r="K1197" s="3470" t="s">
        <v>8795</v>
      </c>
      <c r="L1197" s="3470">
        <v>52.37</v>
      </c>
      <c r="M1197" s="3470">
        <v>13</v>
      </c>
      <c r="N1197" s="3470" t="s">
        <v>3678</v>
      </c>
      <c r="O1197" s="3470">
        <v>40.659999999999997</v>
      </c>
      <c r="P1197" s="3470" t="s">
        <v>3452</v>
      </c>
      <c r="Q1197" s="3457">
        <v>371827</v>
      </c>
      <c r="R1197" s="3470">
        <v>7100</v>
      </c>
      <c r="S1197" s="3472">
        <v>36.840000000000003</v>
      </c>
      <c r="T1197" s="3527">
        <v>368400.00000000006</v>
      </c>
      <c r="U1197" s="3495">
        <v>7035</v>
      </c>
      <c r="V1197" s="3474">
        <v>0.1</v>
      </c>
      <c r="W1197" s="3475">
        <v>33.15</v>
      </c>
      <c r="X1197" s="3473">
        <v>331500</v>
      </c>
      <c r="Y1197" s="3495">
        <v>2003</v>
      </c>
      <c r="Z1197" s="3441">
        <v>12</v>
      </c>
      <c r="AA1197" s="3470">
        <v>12</v>
      </c>
      <c r="AB1197" s="3477">
        <v>1840</v>
      </c>
      <c r="AC1197" s="3470" t="s">
        <v>9413</v>
      </c>
      <c r="AD1197" s="3485"/>
      <c r="AE1197" s="3441" t="s">
        <v>3663</v>
      </c>
      <c r="AF1197" s="3470" t="s">
        <v>4126</v>
      </c>
      <c r="AG1197" s="3522" t="s">
        <v>3466</v>
      </c>
      <c r="AH1197" s="3485"/>
      <c r="AI1197" s="3470" t="s">
        <v>5021</v>
      </c>
      <c r="AJ1197" s="3523">
        <v>38107</v>
      </c>
      <c r="AK1197" s="3612" t="s">
        <v>3467</v>
      </c>
      <c r="AL1197" s="3441">
        <v>67641700</v>
      </c>
      <c r="AN1197" s="3480" t="s">
        <v>3695</v>
      </c>
      <c r="AO1197" s="3470" t="s">
        <v>2420</v>
      </c>
      <c r="AP1197" s="3441" t="s">
        <v>3476</v>
      </c>
      <c r="AQ1197" s="3441" t="s">
        <v>3571</v>
      </c>
      <c r="AW1197" s="3441" t="s">
        <v>3572</v>
      </c>
      <c r="AY1197" s="3524" t="s">
        <v>11328</v>
      </c>
      <c r="AZ1197" s="3470" t="s">
        <v>8795</v>
      </c>
      <c r="BA1197" s="3441" t="s">
        <v>9474</v>
      </c>
      <c r="BB1197" s="3524" t="s">
        <v>8799</v>
      </c>
      <c r="BC1197" s="3441" t="s">
        <v>8800</v>
      </c>
      <c r="BD1197" s="3525" t="s">
        <v>2420</v>
      </c>
      <c r="BE1197" s="3441" t="s">
        <v>2420</v>
      </c>
      <c r="BF1197" s="3526">
        <v>2.8</v>
      </c>
      <c r="BG1197" s="3484">
        <v>37957</v>
      </c>
      <c r="BH1197" s="3441" t="s">
        <v>8801</v>
      </c>
      <c r="BI1197" s="3441" t="s">
        <v>3476</v>
      </c>
      <c r="BJ1197" s="3484">
        <v>37964</v>
      </c>
      <c r="BK1197" s="3484">
        <v>37966</v>
      </c>
      <c r="BL1197" s="3470" t="s">
        <v>3670</v>
      </c>
    </row>
    <row r="1198" spans="1:70" s="3470" customFormat="1" ht="12" hidden="1">
      <c r="A1198" s="3453" t="s">
        <v>11329</v>
      </c>
      <c r="B1198" s="3470" t="s">
        <v>11330</v>
      </c>
      <c r="C1198" s="3481" t="s">
        <v>11331</v>
      </c>
      <c r="D1198" s="3470">
        <v>62544009</v>
      </c>
      <c r="E1198" s="3470" t="s">
        <v>3558</v>
      </c>
      <c r="F1198" s="3470" t="s">
        <v>8152</v>
      </c>
      <c r="H1198" s="3453" t="s">
        <v>11332</v>
      </c>
      <c r="I1198" s="3453" t="s">
        <v>2420</v>
      </c>
      <c r="J1198" s="3453" t="s">
        <v>11333</v>
      </c>
      <c r="K1198" s="3470" t="s">
        <v>8154</v>
      </c>
      <c r="L1198" s="3495">
        <v>167.31</v>
      </c>
      <c r="M1198" s="3685" t="s">
        <v>11334</v>
      </c>
      <c r="N1198" s="3470" t="s">
        <v>11335</v>
      </c>
      <c r="O1198" s="3495">
        <v>167.31</v>
      </c>
      <c r="P1198" s="3470" t="s">
        <v>11336</v>
      </c>
      <c r="Q1198" s="3492">
        <v>1336003.8119999999</v>
      </c>
      <c r="R1198" s="3470">
        <v>7985.2</v>
      </c>
      <c r="S1198" s="3472">
        <v>132.27000000000001</v>
      </c>
      <c r="T1198" s="3550">
        <v>1322700</v>
      </c>
      <c r="U1198" s="3470">
        <v>7906</v>
      </c>
      <c r="V1198" s="3474">
        <v>0.1</v>
      </c>
      <c r="W1198" s="3475">
        <v>119.04</v>
      </c>
      <c r="X1198" s="3611">
        <v>1190400</v>
      </c>
      <c r="Y1198" s="3441">
        <v>2003</v>
      </c>
      <c r="Z1198" s="3441">
        <v>12</v>
      </c>
      <c r="AA1198" s="3441">
        <v>17</v>
      </c>
      <c r="AB1198" s="3477">
        <v>5805</v>
      </c>
      <c r="AC1198" s="3470" t="s">
        <v>9007</v>
      </c>
      <c r="AE1198" s="3456" t="s">
        <v>3663</v>
      </c>
      <c r="AF1198" s="3470" t="s">
        <v>7751</v>
      </c>
      <c r="AG1198" s="3470" t="s">
        <v>3466</v>
      </c>
      <c r="AI1198" s="3456" t="s">
        <v>5021</v>
      </c>
      <c r="AJ1198" s="3478">
        <v>38280</v>
      </c>
      <c r="AK1198" s="3612" t="s">
        <v>3467</v>
      </c>
      <c r="AL1198" s="3441">
        <v>67641700</v>
      </c>
      <c r="AM1198" s="3441"/>
      <c r="AN1198" s="3480" t="s">
        <v>3739</v>
      </c>
      <c r="AO1198" s="3470" t="s">
        <v>11337</v>
      </c>
      <c r="AP1198" s="3456" t="s">
        <v>3476</v>
      </c>
      <c r="AQ1198" s="3456" t="s">
        <v>3571</v>
      </c>
      <c r="AU1198" s="3470" t="s">
        <v>3568</v>
      </c>
      <c r="AV1198" s="3519" t="s">
        <v>3568</v>
      </c>
      <c r="AW1198" s="3470" t="s">
        <v>3572</v>
      </c>
      <c r="AY1198" s="3495">
        <v>599707</v>
      </c>
      <c r="AZ1198" s="3470" t="s">
        <v>8154</v>
      </c>
      <c r="BA1198" s="3470" t="s">
        <v>8156</v>
      </c>
      <c r="BB1198" s="3470">
        <v>1100001176135</v>
      </c>
      <c r="BC1198" s="3470" t="s">
        <v>8157</v>
      </c>
      <c r="BD1198" s="3470">
        <v>100037</v>
      </c>
      <c r="BE1198" s="3470">
        <v>68044940</v>
      </c>
      <c r="BF1198" s="3520">
        <v>2.9</v>
      </c>
      <c r="BG1198" s="3478">
        <v>37940</v>
      </c>
      <c r="BH1198" s="3470" t="s">
        <v>4753</v>
      </c>
      <c r="BI1198" s="3470" t="s">
        <v>3476</v>
      </c>
      <c r="BJ1198" s="3478">
        <v>37970</v>
      </c>
      <c r="BK1198" s="3478"/>
      <c r="BL1198" s="3470" t="s">
        <v>3670</v>
      </c>
      <c r="BP1198" s="3441"/>
      <c r="BQ1198" s="3441"/>
      <c r="BR1198" s="3441"/>
    </row>
    <row r="1199" spans="1:70" s="3441" customFormat="1" ht="12" hidden="1">
      <c r="A1199" s="3485" t="s">
        <v>11338</v>
      </c>
      <c r="B1199" s="3470" t="s">
        <v>11339</v>
      </c>
      <c r="C1199" s="3481" t="s">
        <v>11340</v>
      </c>
      <c r="D1199" s="3481" t="s">
        <v>11341</v>
      </c>
      <c r="E1199" s="3470" t="s">
        <v>3558</v>
      </c>
      <c r="F1199" s="3528" t="s">
        <v>7652</v>
      </c>
      <c r="G1199" s="3470"/>
      <c r="H1199" s="3470" t="s">
        <v>4281</v>
      </c>
      <c r="I1199" s="3470" t="s">
        <v>3735</v>
      </c>
      <c r="J1199" s="3481" t="s">
        <v>4335</v>
      </c>
      <c r="K1199" s="3470" t="s">
        <v>6369</v>
      </c>
      <c r="L1199" s="3470">
        <v>88.34</v>
      </c>
      <c r="M1199" s="3470">
        <v>10</v>
      </c>
      <c r="N1199" s="3453" t="s">
        <v>3451</v>
      </c>
      <c r="O1199" s="3470">
        <v>71.400000000000006</v>
      </c>
      <c r="P1199" s="3470" t="s">
        <v>3452</v>
      </c>
      <c r="Q1199" s="3457">
        <v>437724.7</v>
      </c>
      <c r="R1199" s="3470">
        <v>4955</v>
      </c>
      <c r="S1199" s="3472">
        <v>43.33</v>
      </c>
      <c r="T1199" s="3527">
        <v>433300</v>
      </c>
      <c r="U1199" s="3470">
        <v>4905</v>
      </c>
      <c r="V1199" s="3512">
        <v>0.1</v>
      </c>
      <c r="W1199" s="3475">
        <v>38.99</v>
      </c>
      <c r="X1199" s="3473">
        <v>389900</v>
      </c>
      <c r="Y1199" s="3441">
        <v>2003</v>
      </c>
      <c r="Z1199" s="3441">
        <v>12</v>
      </c>
      <c r="AA1199" s="3470">
        <v>15</v>
      </c>
      <c r="AB1199" s="3485">
        <v>2165</v>
      </c>
      <c r="AC1199" s="3470" t="s">
        <v>9413</v>
      </c>
      <c r="AD1199" s="3485"/>
      <c r="AE1199" s="3441" t="s">
        <v>3663</v>
      </c>
      <c r="AF1199" s="3486" t="s">
        <v>4126</v>
      </c>
      <c r="AG1199" s="3522" t="s">
        <v>3466</v>
      </c>
      <c r="AH1199" s="3485" t="s">
        <v>3568</v>
      </c>
      <c r="AI1199" s="3470" t="s">
        <v>5021</v>
      </c>
      <c r="AJ1199" s="3535">
        <v>37986</v>
      </c>
      <c r="AK1199" s="3612" t="s">
        <v>3467</v>
      </c>
      <c r="AL1199" s="3441">
        <v>67641700</v>
      </c>
      <c r="AN1199" s="3480" t="s">
        <v>3739</v>
      </c>
      <c r="AP1199" s="3441" t="s">
        <v>3476</v>
      </c>
      <c r="AQ1199" s="3441" t="s">
        <v>3571</v>
      </c>
      <c r="AV1199" s="3441" t="s">
        <v>3568</v>
      </c>
      <c r="AW1199" s="3441" t="s">
        <v>3572</v>
      </c>
      <c r="AY1199" s="3524" t="s">
        <v>11342</v>
      </c>
      <c r="AZ1199" s="3441" t="s">
        <v>6369</v>
      </c>
      <c r="BA1199" s="3441" t="s">
        <v>7655</v>
      </c>
      <c r="BB1199" s="3524" t="s">
        <v>7656</v>
      </c>
      <c r="BC1199" s="3441" t="s">
        <v>7657</v>
      </c>
      <c r="BD1199" s="3525">
        <v>100025</v>
      </c>
      <c r="BE1199" s="3441">
        <v>62908858</v>
      </c>
      <c r="BF1199" s="3526">
        <v>2.7</v>
      </c>
      <c r="BG1199" s="3518">
        <v>37949</v>
      </c>
      <c r="BH1199" s="3441" t="s">
        <v>4681</v>
      </c>
      <c r="BI1199" s="3441" t="s">
        <v>3476</v>
      </c>
      <c r="BJ1199" s="3484">
        <v>37966</v>
      </c>
      <c r="BK1199" s="3484"/>
      <c r="BL1199" s="3470" t="s">
        <v>3670</v>
      </c>
    </row>
    <row r="1200" spans="1:70" s="3470" customFormat="1" ht="12" hidden="1">
      <c r="A1200" s="3453" t="s">
        <v>11343</v>
      </c>
      <c r="B1200" s="3470" t="s">
        <v>11344</v>
      </c>
      <c r="C1200" s="3481" t="s">
        <v>11345</v>
      </c>
      <c r="D1200" s="3470" t="s">
        <v>11346</v>
      </c>
      <c r="E1200" s="3470" t="s">
        <v>2736</v>
      </c>
      <c r="F1200" s="3470" t="s">
        <v>4782</v>
      </c>
      <c r="H1200" s="3470" t="s">
        <v>3952</v>
      </c>
      <c r="I1200" s="3470" t="s">
        <v>8778</v>
      </c>
      <c r="J1200" s="3470" t="s">
        <v>9486</v>
      </c>
      <c r="K1200" s="3470" t="s">
        <v>4789</v>
      </c>
      <c r="L1200" s="3470">
        <v>95.86</v>
      </c>
      <c r="M1200" s="3470">
        <v>10</v>
      </c>
      <c r="N1200" s="3453" t="s">
        <v>3451</v>
      </c>
      <c r="O1200" s="3470">
        <v>74</v>
      </c>
      <c r="P1200" s="3470" t="s">
        <v>3452</v>
      </c>
      <c r="Q1200" s="3457">
        <v>524162.48</v>
      </c>
      <c r="R1200" s="3470">
        <v>5468</v>
      </c>
      <c r="S1200" s="3472">
        <v>51.91</v>
      </c>
      <c r="T1200" s="3527">
        <v>519099.99999999994</v>
      </c>
      <c r="U1200" s="3470">
        <v>5416</v>
      </c>
      <c r="V1200" s="3474">
        <v>0.1</v>
      </c>
      <c r="W1200" s="3475">
        <v>46.71</v>
      </c>
      <c r="X1200" s="3476">
        <v>467100</v>
      </c>
      <c r="Y1200" s="3470">
        <v>2003</v>
      </c>
      <c r="Z1200" s="3441">
        <v>12</v>
      </c>
      <c r="AA1200" s="3470">
        <v>15</v>
      </c>
      <c r="AB1200" s="3477">
        <v>2595</v>
      </c>
      <c r="AC1200" s="3470" t="s">
        <v>9077</v>
      </c>
      <c r="AE1200" s="3470" t="s">
        <v>3663</v>
      </c>
      <c r="AF1200" s="3453" t="s">
        <v>7751</v>
      </c>
      <c r="AG1200" s="3470" t="s">
        <v>3466</v>
      </c>
      <c r="AI1200" s="3470" t="s">
        <v>3664</v>
      </c>
      <c r="AJ1200" s="3478">
        <v>38261</v>
      </c>
      <c r="AK1200" s="3612" t="s">
        <v>3467</v>
      </c>
      <c r="AL1200" s="3441">
        <v>67641700</v>
      </c>
      <c r="AM1200" s="3441"/>
      <c r="AN1200" s="3480" t="s">
        <v>3739</v>
      </c>
      <c r="AP1200" s="3441" t="s">
        <v>3476</v>
      </c>
      <c r="AQ1200" s="3470" t="s">
        <v>3457</v>
      </c>
      <c r="AW1200" s="3470" t="s">
        <v>3458</v>
      </c>
      <c r="AX1200" s="3508"/>
      <c r="AY1200" s="3470">
        <v>552430</v>
      </c>
      <c r="AZ1200" s="3470" t="s">
        <v>4789</v>
      </c>
      <c r="BA1200" s="3470" t="s">
        <v>8741</v>
      </c>
      <c r="BB1200" s="3470" t="s">
        <v>4791</v>
      </c>
      <c r="BC1200" s="3470" t="s">
        <v>8742</v>
      </c>
      <c r="BD1200" s="3470">
        <v>102308</v>
      </c>
      <c r="BE1200" s="3470">
        <v>68041987</v>
      </c>
      <c r="BF1200" s="3526">
        <v>2.8</v>
      </c>
      <c r="BG1200" s="3478">
        <v>37926</v>
      </c>
      <c r="BI1200" s="3470" t="s">
        <v>3476</v>
      </c>
      <c r="BJ1200" s="3484">
        <v>37960</v>
      </c>
      <c r="BK1200" s="3478"/>
      <c r="BL1200" s="3470" t="s">
        <v>3594</v>
      </c>
      <c r="BP1200" s="3441"/>
      <c r="BQ1200" s="3441"/>
      <c r="BR1200" s="3441"/>
    </row>
    <row r="1201" spans="1:70" s="3470" customFormat="1" ht="13.2" hidden="1">
      <c r="A1201" s="3456" t="s">
        <v>11347</v>
      </c>
      <c r="B1201" s="3470" t="s">
        <v>11348</v>
      </c>
      <c r="C1201" s="3481" t="s">
        <v>11349</v>
      </c>
      <c r="D1201" s="3470">
        <v>13301197378</v>
      </c>
      <c r="E1201" s="3470" t="s">
        <v>3558</v>
      </c>
      <c r="F1201" s="3470" t="s">
        <v>11350</v>
      </c>
      <c r="H1201" s="3470" t="s">
        <v>5814</v>
      </c>
      <c r="J1201" s="3470" t="s">
        <v>11351</v>
      </c>
      <c r="K1201" s="3470" t="s">
        <v>11348</v>
      </c>
      <c r="L1201" s="3470">
        <v>136.43</v>
      </c>
      <c r="M1201" s="3470">
        <v>19</v>
      </c>
      <c r="N1201" s="3470" t="s">
        <v>3632</v>
      </c>
      <c r="P1201" s="3470" t="s">
        <v>3452</v>
      </c>
      <c r="Q1201" s="3492">
        <v>667864.41470000008</v>
      </c>
      <c r="R1201" s="3470">
        <v>4895.29</v>
      </c>
      <c r="S1201" s="3472">
        <v>75.03</v>
      </c>
      <c r="T1201" s="3527">
        <v>750300</v>
      </c>
      <c r="U1201" s="3470">
        <v>5500</v>
      </c>
      <c r="V1201" s="3512">
        <v>0.05</v>
      </c>
      <c r="W1201" s="3475">
        <v>71.27</v>
      </c>
      <c r="X1201" s="3473">
        <v>712700</v>
      </c>
      <c r="Y1201" s="3470">
        <v>2003</v>
      </c>
      <c r="Z1201" s="3470">
        <v>12</v>
      </c>
      <c r="AA1201" s="3470">
        <v>16</v>
      </c>
      <c r="AB1201" s="3485">
        <v>3750</v>
      </c>
      <c r="AC1201" s="3470" t="s">
        <v>9077</v>
      </c>
      <c r="AE1201" s="3470" t="s">
        <v>3566</v>
      </c>
      <c r="AF1201" s="3470" t="s">
        <v>3493</v>
      </c>
      <c r="AG1201" s="3470" t="s">
        <v>3466</v>
      </c>
      <c r="AH1201" s="3470" t="s">
        <v>11352</v>
      </c>
      <c r="AI1201" s="3470" t="s">
        <v>3569</v>
      </c>
      <c r="AJ1201" s="3478"/>
      <c r="AK1201" s="3479" t="s">
        <v>3467</v>
      </c>
      <c r="AL1201" s="3441">
        <v>82253572</v>
      </c>
      <c r="AQ1201" s="3470" t="s">
        <v>3571</v>
      </c>
      <c r="AW1201" s="3470" t="s">
        <v>3572</v>
      </c>
      <c r="AX1201" s="3470" t="s">
        <v>2511</v>
      </c>
      <c r="AY1201" s="3481"/>
      <c r="AZ1201" s="3470" t="s">
        <v>11353</v>
      </c>
      <c r="BB1201" s="3481" t="s">
        <v>11354</v>
      </c>
      <c r="BC1201" s="3470" t="s">
        <v>11355</v>
      </c>
      <c r="BD1201" s="3482">
        <v>100086</v>
      </c>
      <c r="BE1201" s="3470">
        <v>62639080</v>
      </c>
      <c r="BF1201" s="3483">
        <v>2.7</v>
      </c>
      <c r="BG1201" s="3478">
        <v>37750</v>
      </c>
      <c r="BJ1201" s="3478">
        <v>37966</v>
      </c>
      <c r="BK1201" s="3478"/>
      <c r="BM1201" s="3441"/>
      <c r="BN1201" s="3441"/>
      <c r="BO1201" s="3441"/>
      <c r="BP1201" s="3441"/>
      <c r="BQ1201" s="3441"/>
      <c r="BR1201" s="3441"/>
    </row>
    <row r="1202" spans="1:70" s="3441" customFormat="1" ht="12" hidden="1">
      <c r="A1202" s="3453" t="s">
        <v>11356</v>
      </c>
      <c r="B1202" s="3470" t="s">
        <v>11357</v>
      </c>
      <c r="C1202" s="3481" t="s">
        <v>11358</v>
      </c>
      <c r="D1202" s="3481" t="s">
        <v>11359</v>
      </c>
      <c r="E1202" s="3470" t="s">
        <v>3558</v>
      </c>
      <c r="F1202" s="3528" t="s">
        <v>4645</v>
      </c>
      <c r="G1202" s="3470"/>
      <c r="H1202" s="3470" t="s">
        <v>9611</v>
      </c>
      <c r="I1202" s="3470" t="s">
        <v>8778</v>
      </c>
      <c r="J1202" s="3481" t="s">
        <v>11360</v>
      </c>
      <c r="K1202" s="3470" t="s">
        <v>4649</v>
      </c>
      <c r="L1202" s="3470">
        <v>51.45</v>
      </c>
      <c r="M1202" s="3470">
        <v>10</v>
      </c>
      <c r="N1202" s="3453" t="s">
        <v>3489</v>
      </c>
      <c r="O1202" s="3470">
        <v>40.56</v>
      </c>
      <c r="P1202" s="3470" t="s">
        <v>3452</v>
      </c>
      <c r="Q1202" s="3457">
        <v>404551.35000000003</v>
      </c>
      <c r="R1202" s="3470">
        <v>7863</v>
      </c>
      <c r="S1202" s="3472">
        <v>40.130000000000003</v>
      </c>
      <c r="T1202" s="3550">
        <v>401300</v>
      </c>
      <c r="U1202" s="3491">
        <v>7800</v>
      </c>
      <c r="V1202" s="3529">
        <v>0.1</v>
      </c>
      <c r="W1202" s="3475">
        <v>36.11</v>
      </c>
      <c r="X1202" s="3511">
        <v>361100</v>
      </c>
      <c r="Y1202" s="3501">
        <v>2003</v>
      </c>
      <c r="Z1202" s="3441">
        <v>12</v>
      </c>
      <c r="AA1202" s="3470">
        <v>15</v>
      </c>
      <c r="AB1202" s="3477">
        <v>2005</v>
      </c>
      <c r="AC1202" s="3470" t="s">
        <v>9413</v>
      </c>
      <c r="AD1202" s="3485"/>
      <c r="AE1202" s="3441" t="s">
        <v>3663</v>
      </c>
      <c r="AF1202" s="3470" t="s">
        <v>4126</v>
      </c>
      <c r="AG1202" s="3522" t="s">
        <v>3466</v>
      </c>
      <c r="AH1202" s="3485"/>
      <c r="AI1202" s="3470" t="s">
        <v>5021</v>
      </c>
      <c r="AJ1202" s="3523">
        <v>38199</v>
      </c>
      <c r="AK1202" s="3612" t="s">
        <v>3467</v>
      </c>
      <c r="AL1202" s="3441">
        <v>67641700</v>
      </c>
      <c r="AN1202" s="3480" t="s">
        <v>3739</v>
      </c>
      <c r="AP1202" s="3441" t="s">
        <v>3476</v>
      </c>
      <c r="AQ1202" s="3441" t="s">
        <v>3571</v>
      </c>
      <c r="AW1202" s="3441" t="s">
        <v>3572</v>
      </c>
      <c r="AX1202" s="3441" t="s">
        <v>3568</v>
      </c>
      <c r="AY1202" s="3524" t="s">
        <v>11361</v>
      </c>
      <c r="AZ1202" s="3441" t="s">
        <v>4654</v>
      </c>
      <c r="BA1202" s="3441" t="s">
        <v>4688</v>
      </c>
      <c r="BB1202" s="3524" t="s">
        <v>4689</v>
      </c>
      <c r="BC1202" s="3441" t="s">
        <v>4656</v>
      </c>
      <c r="BD1202" s="3525">
        <v>100037</v>
      </c>
      <c r="BE1202" s="3441">
        <v>68347718</v>
      </c>
      <c r="BF1202" s="3526">
        <v>2.8</v>
      </c>
      <c r="BG1202" s="3518">
        <v>37943</v>
      </c>
      <c r="BI1202" s="3441" t="s">
        <v>3476</v>
      </c>
      <c r="BJ1202" s="3478">
        <v>37965</v>
      </c>
      <c r="BK1202" s="3518"/>
      <c r="BL1202" s="3470" t="s">
        <v>3670</v>
      </c>
    </row>
    <row r="1203" spans="1:70" s="3470" customFormat="1" ht="12" hidden="1">
      <c r="A1203" s="3453" t="s">
        <v>11362</v>
      </c>
      <c r="B1203" s="3470" t="s">
        <v>11363</v>
      </c>
      <c r="C1203" s="3481" t="s">
        <v>11364</v>
      </c>
      <c r="D1203" s="3470">
        <v>63941385</v>
      </c>
      <c r="E1203" s="3470" t="s">
        <v>2736</v>
      </c>
      <c r="F1203" s="3470" t="s">
        <v>4782</v>
      </c>
      <c r="H1203" s="3470" t="s">
        <v>3952</v>
      </c>
      <c r="I1203" s="3470" t="s">
        <v>4454</v>
      </c>
      <c r="J1203" s="3470" t="s">
        <v>11365</v>
      </c>
      <c r="K1203" s="3470" t="s">
        <v>4789</v>
      </c>
      <c r="L1203" s="3470">
        <v>89.5</v>
      </c>
      <c r="M1203" s="3470">
        <v>19</v>
      </c>
      <c r="N1203" s="3453" t="s">
        <v>3451</v>
      </c>
      <c r="O1203" s="3470">
        <v>69.09</v>
      </c>
      <c r="P1203" s="3470" t="s">
        <v>3452</v>
      </c>
      <c r="Q1203" s="3457">
        <v>573695</v>
      </c>
      <c r="R1203" s="3470">
        <v>6410</v>
      </c>
      <c r="S1203" s="3472">
        <v>56.83</v>
      </c>
      <c r="T1203" s="3527">
        <v>568300</v>
      </c>
      <c r="U1203" s="3470">
        <v>6350</v>
      </c>
      <c r="V1203" s="3474">
        <v>0.1</v>
      </c>
      <c r="W1203" s="3475">
        <v>51.14</v>
      </c>
      <c r="X1203" s="3476">
        <v>511400</v>
      </c>
      <c r="Y1203" s="3470">
        <v>2003</v>
      </c>
      <c r="Z1203" s="3441">
        <v>12</v>
      </c>
      <c r="AA1203" s="3470">
        <v>15</v>
      </c>
      <c r="AB1203" s="3477">
        <v>2840</v>
      </c>
      <c r="AC1203" s="3470" t="s">
        <v>9364</v>
      </c>
      <c r="AE1203" s="3470" t="s">
        <v>3663</v>
      </c>
      <c r="AF1203" s="3453" t="s">
        <v>7751</v>
      </c>
      <c r="AG1203" s="3470" t="s">
        <v>3466</v>
      </c>
      <c r="AI1203" s="3470" t="s">
        <v>3664</v>
      </c>
      <c r="AJ1203" s="3478">
        <v>38261</v>
      </c>
      <c r="AK1203" s="3612" t="s">
        <v>3467</v>
      </c>
      <c r="AL1203" s="3441">
        <v>67641700</v>
      </c>
      <c r="AM1203" s="3441"/>
      <c r="AN1203" s="3480" t="s">
        <v>3739</v>
      </c>
      <c r="AP1203" s="3441" t="s">
        <v>3476</v>
      </c>
      <c r="AQ1203" s="3470" t="s">
        <v>3457</v>
      </c>
      <c r="AW1203" s="3470" t="s">
        <v>3458</v>
      </c>
      <c r="AX1203" s="3508"/>
      <c r="AY1203" s="3470">
        <v>552458</v>
      </c>
      <c r="AZ1203" s="3470" t="s">
        <v>4789</v>
      </c>
      <c r="BA1203" s="3470" t="s">
        <v>8741</v>
      </c>
      <c r="BB1203" s="3470" t="s">
        <v>4791</v>
      </c>
      <c r="BC1203" s="3470" t="s">
        <v>8742</v>
      </c>
      <c r="BD1203" s="3470">
        <v>102308</v>
      </c>
      <c r="BE1203" s="3470">
        <v>68041987</v>
      </c>
      <c r="BF1203" s="3526">
        <v>2.8</v>
      </c>
      <c r="BG1203" s="3478">
        <v>37943</v>
      </c>
      <c r="BI1203" s="3470" t="s">
        <v>3476</v>
      </c>
      <c r="BJ1203" s="3484">
        <v>37965</v>
      </c>
      <c r="BK1203" s="3478"/>
      <c r="BL1203" s="3470" t="s">
        <v>3594</v>
      </c>
      <c r="BP1203" s="3441"/>
      <c r="BQ1203" s="3441"/>
      <c r="BR1203" s="3441"/>
    </row>
    <row r="1204" spans="1:70" s="3441" customFormat="1" ht="12" hidden="1">
      <c r="A1204" s="3485" t="s">
        <v>11366</v>
      </c>
      <c r="B1204" s="3470" t="s">
        <v>11367</v>
      </c>
      <c r="C1204" s="3481" t="s">
        <v>11368</v>
      </c>
      <c r="D1204" s="3481" t="s">
        <v>11369</v>
      </c>
      <c r="E1204" s="3470" t="s">
        <v>3558</v>
      </c>
      <c r="F1204" s="3528" t="s">
        <v>3733</v>
      </c>
      <c r="G1204" s="3470"/>
      <c r="H1204" s="3470" t="s">
        <v>11313</v>
      </c>
      <c r="I1204" s="3470" t="s">
        <v>4718</v>
      </c>
      <c r="J1204" s="3470" t="s">
        <v>5263</v>
      </c>
      <c r="K1204" s="3470" t="s">
        <v>3647</v>
      </c>
      <c r="L1204" s="3470">
        <v>88.67</v>
      </c>
      <c r="M1204" s="3470">
        <v>17</v>
      </c>
      <c r="N1204" s="3470" t="s">
        <v>6193</v>
      </c>
      <c r="O1204" s="3470">
        <v>71.09</v>
      </c>
      <c r="P1204" s="3470" t="s">
        <v>3452</v>
      </c>
      <c r="Q1204" s="3492">
        <v>602069.30000000005</v>
      </c>
      <c r="R1204" s="3470">
        <v>6790</v>
      </c>
      <c r="S1204" s="3472">
        <v>59.67</v>
      </c>
      <c r="T1204" s="3527">
        <v>596700</v>
      </c>
      <c r="U1204" s="3470">
        <v>6730</v>
      </c>
      <c r="V1204" s="3474">
        <v>0.1</v>
      </c>
      <c r="W1204" s="3475">
        <v>53.7</v>
      </c>
      <c r="X1204" s="3494">
        <v>537000</v>
      </c>
      <c r="Y1204" s="3441">
        <v>2003</v>
      </c>
      <c r="Z1204" s="3441">
        <v>12</v>
      </c>
      <c r="AA1204" s="3470">
        <v>15</v>
      </c>
      <c r="AB1204" s="3477">
        <v>2980</v>
      </c>
      <c r="AC1204" s="3470" t="s">
        <v>4800</v>
      </c>
      <c r="AD1204" s="3485"/>
      <c r="AE1204" s="3441" t="s">
        <v>3663</v>
      </c>
      <c r="AF1204" s="3470" t="s">
        <v>3587</v>
      </c>
      <c r="AG1204" s="3522" t="s">
        <v>3466</v>
      </c>
      <c r="AH1204" s="3485"/>
      <c r="AI1204" s="3470" t="s">
        <v>5021</v>
      </c>
      <c r="AJ1204" s="3523">
        <v>38117</v>
      </c>
      <c r="AK1204" s="3603" t="s">
        <v>3467</v>
      </c>
      <c r="AL1204" s="3441">
        <v>67641700</v>
      </c>
      <c r="AN1204" s="3480" t="s">
        <v>3482</v>
      </c>
      <c r="AO1204" s="3470" t="s">
        <v>2420</v>
      </c>
      <c r="AP1204" s="3441" t="s">
        <v>3476</v>
      </c>
      <c r="AQ1204" s="3441" t="s">
        <v>3571</v>
      </c>
      <c r="AW1204" s="3441" t="s">
        <v>3572</v>
      </c>
      <c r="AY1204" s="3524" t="s">
        <v>11370</v>
      </c>
      <c r="AZ1204" s="3441" t="s">
        <v>3737</v>
      </c>
      <c r="BA1204" s="3441" t="s">
        <v>3742</v>
      </c>
      <c r="BB1204" s="3524" t="s">
        <v>3743</v>
      </c>
      <c r="BC1204" s="3441" t="s">
        <v>3744</v>
      </c>
      <c r="BD1204" s="3525">
        <v>100088</v>
      </c>
      <c r="BE1204" s="3441">
        <v>82058259</v>
      </c>
      <c r="BF1204" s="3526">
        <v>2.7</v>
      </c>
      <c r="BG1204" s="3478">
        <v>37959</v>
      </c>
      <c r="BI1204" s="3441" t="s">
        <v>8464</v>
      </c>
      <c r="BJ1204" s="3478">
        <v>37966</v>
      </c>
      <c r="BK1204" s="3484" t="s">
        <v>2420</v>
      </c>
      <c r="BL1204" s="3470" t="s">
        <v>3670</v>
      </c>
    </row>
    <row r="1205" spans="1:70" s="3470" customFormat="1" ht="12" hidden="1">
      <c r="A1205" s="3453" t="s">
        <v>11371</v>
      </c>
      <c r="B1205" s="3470" t="s">
        <v>11372</v>
      </c>
      <c r="C1205" s="3481" t="s">
        <v>11373</v>
      </c>
      <c r="D1205" s="3470">
        <v>13911778635</v>
      </c>
      <c r="E1205" s="3470" t="s">
        <v>3558</v>
      </c>
      <c r="F1205" s="3470" t="s">
        <v>3559</v>
      </c>
      <c r="H1205" s="3453" t="s">
        <v>11374</v>
      </c>
      <c r="I1205" s="3453" t="s">
        <v>3726</v>
      </c>
      <c r="J1205" s="3453" t="s">
        <v>6756</v>
      </c>
      <c r="K1205" s="3470" t="s">
        <v>7737</v>
      </c>
      <c r="L1205" s="3495">
        <v>74.099999999999994</v>
      </c>
      <c r="M1205" s="3495">
        <v>13</v>
      </c>
      <c r="N1205" s="3542" t="s">
        <v>3451</v>
      </c>
      <c r="O1205" s="3495">
        <v>60.09</v>
      </c>
      <c r="P1205" s="3470" t="s">
        <v>3452</v>
      </c>
      <c r="Q1205" s="3492">
        <v>363090</v>
      </c>
      <c r="R1205" s="3470">
        <v>4900</v>
      </c>
      <c r="S1205" s="3472">
        <v>35.93</v>
      </c>
      <c r="T1205" s="3527">
        <v>359300</v>
      </c>
      <c r="U1205" s="3470">
        <v>4850</v>
      </c>
      <c r="V1205" s="3512">
        <v>0.05</v>
      </c>
      <c r="W1205" s="3475">
        <v>34.130000000000003</v>
      </c>
      <c r="X1205" s="3473">
        <v>341300</v>
      </c>
      <c r="Y1205" s="3470">
        <v>2003</v>
      </c>
      <c r="Z1205" s="3441">
        <v>12</v>
      </c>
      <c r="AA1205" s="3470">
        <v>15</v>
      </c>
      <c r="AB1205" s="3485">
        <v>1795</v>
      </c>
      <c r="AC1205" s="3470" t="s">
        <v>9007</v>
      </c>
      <c r="AE1205" s="3456" t="s">
        <v>3663</v>
      </c>
      <c r="AF1205" s="3453" t="s">
        <v>3493</v>
      </c>
      <c r="AG1205" s="3470" t="s">
        <v>3466</v>
      </c>
      <c r="AH1205" s="3470" t="s">
        <v>3568</v>
      </c>
      <c r="AI1205" s="3456" t="s">
        <v>5021</v>
      </c>
      <c r="AJ1205" s="3478">
        <v>37992</v>
      </c>
      <c r="AK1205" s="3603" t="s">
        <v>3467</v>
      </c>
      <c r="AL1205" s="3441">
        <v>67641700</v>
      </c>
      <c r="AM1205" s="3441"/>
      <c r="AN1205" s="3480" t="s">
        <v>3739</v>
      </c>
      <c r="AO1205" s="3470" t="s">
        <v>3568</v>
      </c>
      <c r="AP1205" s="3456" t="s">
        <v>3476</v>
      </c>
      <c r="AQ1205" s="3456" t="s">
        <v>3571</v>
      </c>
      <c r="AV1205" s="3519"/>
      <c r="AW1205" s="3470" t="s">
        <v>3572</v>
      </c>
      <c r="AY1205" s="3495">
        <v>318411</v>
      </c>
      <c r="AZ1205" s="3470" t="s">
        <v>7737</v>
      </c>
      <c r="BA1205" s="3470" t="s">
        <v>9926</v>
      </c>
      <c r="BB1205" s="3481" t="s">
        <v>9581</v>
      </c>
      <c r="BC1205" s="3470" t="s">
        <v>3576</v>
      </c>
      <c r="BD1205" s="3470">
        <v>100035</v>
      </c>
      <c r="BE1205" s="3470">
        <v>84050010</v>
      </c>
      <c r="BF1205" s="3520">
        <v>2.8</v>
      </c>
      <c r="BG1205" s="3478">
        <v>37946</v>
      </c>
      <c r="BI1205" s="3470" t="s">
        <v>3476</v>
      </c>
      <c r="BJ1205" s="3478">
        <v>37966</v>
      </c>
      <c r="BK1205" s="3470" t="s">
        <v>3568</v>
      </c>
      <c r="BL1205" s="3441" t="s">
        <v>3670</v>
      </c>
      <c r="BP1205" s="3441"/>
      <c r="BQ1205" s="3441"/>
      <c r="BR1205" s="3441"/>
    </row>
    <row r="1206" spans="1:70" s="3470" customFormat="1" ht="12" hidden="1">
      <c r="A1206" s="3453" t="s">
        <v>11375</v>
      </c>
      <c r="B1206" s="3470" t="s">
        <v>11376</v>
      </c>
      <c r="C1206" s="3481" t="s">
        <v>11377</v>
      </c>
      <c r="D1206" s="3470">
        <v>13651388153</v>
      </c>
      <c r="E1206" s="3470" t="s">
        <v>3558</v>
      </c>
      <c r="F1206" s="3470" t="s">
        <v>3559</v>
      </c>
      <c r="H1206" s="3453" t="s">
        <v>5304</v>
      </c>
      <c r="I1206" s="3453" t="s">
        <v>4011</v>
      </c>
      <c r="J1206" s="3453" t="s">
        <v>11378</v>
      </c>
      <c r="K1206" s="3470" t="s">
        <v>7737</v>
      </c>
      <c r="L1206" s="3495">
        <v>102.81</v>
      </c>
      <c r="M1206" s="3495">
        <v>18</v>
      </c>
      <c r="N1206" s="3542" t="s">
        <v>3486</v>
      </c>
      <c r="O1206" s="3495">
        <v>83.38</v>
      </c>
      <c r="P1206" s="3470" t="s">
        <v>3452</v>
      </c>
      <c r="Q1206" s="3492">
        <v>495000.33510000003</v>
      </c>
      <c r="R1206" s="3470">
        <v>4814.71</v>
      </c>
      <c r="S1206" s="3472">
        <v>48.98</v>
      </c>
      <c r="T1206" s="3527">
        <v>489799.99999999994</v>
      </c>
      <c r="U1206" s="3470">
        <v>4765</v>
      </c>
      <c r="V1206" s="3512">
        <v>0.05</v>
      </c>
      <c r="W1206" s="3475">
        <v>46.53</v>
      </c>
      <c r="X1206" s="3473">
        <v>465300</v>
      </c>
      <c r="Y1206" s="3470">
        <v>2003</v>
      </c>
      <c r="Z1206" s="3441">
        <v>12</v>
      </c>
      <c r="AA1206" s="3470">
        <v>15</v>
      </c>
      <c r="AB1206" s="3485">
        <v>2445</v>
      </c>
      <c r="AC1206" s="3470" t="s">
        <v>9007</v>
      </c>
      <c r="AE1206" s="3456" t="s">
        <v>3663</v>
      </c>
      <c r="AF1206" s="3453" t="s">
        <v>3493</v>
      </c>
      <c r="AG1206" s="3470" t="s">
        <v>3466</v>
      </c>
      <c r="AH1206" s="3470" t="s">
        <v>3568</v>
      </c>
      <c r="AI1206" s="3456" t="s">
        <v>5021</v>
      </c>
      <c r="AJ1206" s="3478">
        <v>37993</v>
      </c>
      <c r="AK1206" s="3603" t="s">
        <v>3467</v>
      </c>
      <c r="AL1206" s="3441">
        <v>67641700</v>
      </c>
      <c r="AM1206" s="3441"/>
      <c r="AN1206" s="3480" t="s">
        <v>3739</v>
      </c>
      <c r="AO1206" s="3470" t="s">
        <v>3568</v>
      </c>
      <c r="AP1206" s="3456" t="s">
        <v>3476</v>
      </c>
      <c r="AQ1206" s="3456" t="s">
        <v>3571</v>
      </c>
      <c r="AV1206" s="3519"/>
      <c r="AW1206" s="3470" t="s">
        <v>3572</v>
      </c>
      <c r="AY1206" s="3495">
        <v>318428</v>
      </c>
      <c r="AZ1206" s="3470" t="s">
        <v>7737</v>
      </c>
      <c r="BA1206" s="3470" t="s">
        <v>9926</v>
      </c>
      <c r="BB1206" s="3481" t="s">
        <v>9581</v>
      </c>
      <c r="BC1206" s="3470" t="s">
        <v>3576</v>
      </c>
      <c r="BD1206" s="3470">
        <v>100035</v>
      </c>
      <c r="BE1206" s="3470">
        <v>84050010</v>
      </c>
      <c r="BF1206" s="3520">
        <v>2.8</v>
      </c>
      <c r="BG1206" s="3478">
        <v>37951</v>
      </c>
      <c r="BI1206" s="3470" t="s">
        <v>3476</v>
      </c>
      <c r="BJ1206" s="3484">
        <v>37967</v>
      </c>
      <c r="BK1206" s="3470" t="s">
        <v>3568</v>
      </c>
      <c r="BL1206" s="3441" t="s">
        <v>3670</v>
      </c>
      <c r="BP1206" s="3441"/>
      <c r="BQ1206" s="3441"/>
      <c r="BR1206" s="3441"/>
    </row>
    <row r="1207" spans="1:70" s="3470" customFormat="1" ht="12" hidden="1">
      <c r="A1207" s="3453" t="s">
        <v>11379</v>
      </c>
      <c r="B1207" s="3470" t="s">
        <v>11380</v>
      </c>
      <c r="C1207" s="3481" t="s">
        <v>11381</v>
      </c>
      <c r="D1207" s="3470">
        <v>13911666931</v>
      </c>
      <c r="E1207" s="3470" t="s">
        <v>3558</v>
      </c>
      <c r="F1207" s="3470" t="s">
        <v>3559</v>
      </c>
      <c r="H1207" s="3453" t="s">
        <v>5304</v>
      </c>
      <c r="I1207" s="3453" t="s">
        <v>3726</v>
      </c>
      <c r="J1207" s="3453" t="s">
        <v>11382</v>
      </c>
      <c r="K1207" s="3470" t="s">
        <v>7737</v>
      </c>
      <c r="L1207" s="3495">
        <v>73.66</v>
      </c>
      <c r="M1207" s="3495">
        <v>6</v>
      </c>
      <c r="N1207" s="3542" t="s">
        <v>3451</v>
      </c>
      <c r="O1207" s="3495">
        <v>59.74</v>
      </c>
      <c r="P1207" s="3470" t="s">
        <v>3452</v>
      </c>
      <c r="Q1207" s="3492">
        <v>353568</v>
      </c>
      <c r="R1207" s="3470">
        <v>4800</v>
      </c>
      <c r="S1207" s="3472">
        <v>34.979999999999997</v>
      </c>
      <c r="T1207" s="3527">
        <v>349799.99999999994</v>
      </c>
      <c r="U1207" s="3470">
        <v>4750</v>
      </c>
      <c r="V1207" s="3512">
        <v>0.05</v>
      </c>
      <c r="W1207" s="3475">
        <v>33.229999999999997</v>
      </c>
      <c r="X1207" s="3473">
        <v>332299.99999999994</v>
      </c>
      <c r="Y1207" s="3470">
        <v>2003</v>
      </c>
      <c r="Z1207" s="3441">
        <v>12</v>
      </c>
      <c r="AA1207" s="3470">
        <v>15</v>
      </c>
      <c r="AB1207" s="3485">
        <v>1745</v>
      </c>
      <c r="AC1207" s="3470" t="s">
        <v>9007</v>
      </c>
      <c r="AE1207" s="3456" t="s">
        <v>3663</v>
      </c>
      <c r="AF1207" s="3453" t="s">
        <v>3493</v>
      </c>
      <c r="AG1207" s="3470" t="s">
        <v>3466</v>
      </c>
      <c r="AH1207" s="3470" t="s">
        <v>3568</v>
      </c>
      <c r="AI1207" s="3456" t="s">
        <v>5021</v>
      </c>
      <c r="AJ1207" s="3478">
        <v>37997</v>
      </c>
      <c r="AK1207" s="3603" t="s">
        <v>3467</v>
      </c>
      <c r="AL1207" s="3441">
        <v>67641700</v>
      </c>
      <c r="AM1207" s="3441"/>
      <c r="AN1207" s="3480" t="s">
        <v>3739</v>
      </c>
      <c r="AO1207" s="3470" t="s">
        <v>3568</v>
      </c>
      <c r="AP1207" s="3456" t="s">
        <v>3476</v>
      </c>
      <c r="AQ1207" s="3456" t="s">
        <v>3571</v>
      </c>
      <c r="AV1207" s="3519"/>
      <c r="AW1207" s="3470" t="s">
        <v>3572</v>
      </c>
      <c r="AY1207" s="3495">
        <v>318401</v>
      </c>
      <c r="AZ1207" s="3470" t="s">
        <v>7737</v>
      </c>
      <c r="BA1207" s="3470" t="s">
        <v>9926</v>
      </c>
      <c r="BB1207" s="3481" t="s">
        <v>9581</v>
      </c>
      <c r="BC1207" s="3470" t="s">
        <v>3576</v>
      </c>
      <c r="BD1207" s="3470">
        <v>100035</v>
      </c>
      <c r="BE1207" s="3470">
        <v>84050010</v>
      </c>
      <c r="BF1207" s="3520">
        <v>2.8</v>
      </c>
      <c r="BG1207" s="3478">
        <v>37952</v>
      </c>
      <c r="BI1207" s="3470" t="s">
        <v>3476</v>
      </c>
      <c r="BJ1207" s="3484">
        <v>37967</v>
      </c>
      <c r="BK1207" s="3470" t="s">
        <v>3568</v>
      </c>
      <c r="BL1207" s="3441" t="s">
        <v>3670</v>
      </c>
      <c r="BP1207" s="3441"/>
      <c r="BQ1207" s="3441"/>
      <c r="BR1207" s="3441"/>
    </row>
    <row r="1208" spans="1:70" s="3441" customFormat="1" ht="12" hidden="1">
      <c r="A1208" s="3485" t="s">
        <v>11383</v>
      </c>
      <c r="B1208" s="3470" t="s">
        <v>11384</v>
      </c>
      <c r="C1208" s="3481" t="s">
        <v>11385</v>
      </c>
      <c r="D1208" s="3453">
        <v>13661106935</v>
      </c>
      <c r="E1208" s="3470" t="s">
        <v>3558</v>
      </c>
      <c r="F1208" s="3470" t="s">
        <v>4403</v>
      </c>
      <c r="G1208" s="3470" t="s">
        <v>3568</v>
      </c>
      <c r="H1208" s="3470" t="s">
        <v>11386</v>
      </c>
      <c r="I1208" s="3470" t="s">
        <v>4217</v>
      </c>
      <c r="J1208" s="3481" t="s">
        <v>4325</v>
      </c>
      <c r="K1208" s="3470" t="s">
        <v>4406</v>
      </c>
      <c r="L1208" s="3470">
        <v>123.48</v>
      </c>
      <c r="M1208" s="3470">
        <v>5</v>
      </c>
      <c r="N1208" s="3470" t="s">
        <v>3488</v>
      </c>
      <c r="O1208" s="3470">
        <v>110.68</v>
      </c>
      <c r="P1208" s="3470" t="s">
        <v>3452</v>
      </c>
      <c r="Q1208" s="3457">
        <v>639626.4</v>
      </c>
      <c r="R1208" s="3470">
        <v>5180</v>
      </c>
      <c r="S1208" s="3472">
        <v>63.34</v>
      </c>
      <c r="T1208" s="3550">
        <v>633400</v>
      </c>
      <c r="U1208" s="3470">
        <v>5130</v>
      </c>
      <c r="V1208" s="3474">
        <v>0.1</v>
      </c>
      <c r="W1208" s="3475">
        <v>57</v>
      </c>
      <c r="X1208" s="3511">
        <v>570000</v>
      </c>
      <c r="Y1208" s="3441">
        <v>2003</v>
      </c>
      <c r="Z1208" s="3441">
        <v>12</v>
      </c>
      <c r="AA1208" s="3441">
        <v>23</v>
      </c>
      <c r="AB1208" s="3477">
        <v>3165</v>
      </c>
      <c r="AC1208" s="3470" t="s">
        <v>9060</v>
      </c>
      <c r="AD1208" s="3485"/>
      <c r="AE1208" s="3441" t="s">
        <v>3663</v>
      </c>
      <c r="AF1208" s="3470" t="s">
        <v>7751</v>
      </c>
      <c r="AG1208" s="3522" t="s">
        <v>3466</v>
      </c>
      <c r="AH1208" s="3485"/>
      <c r="AI1208" s="3470" t="s">
        <v>3664</v>
      </c>
      <c r="AJ1208" s="3523">
        <v>38352</v>
      </c>
      <c r="AK1208" s="3612" t="s">
        <v>3467</v>
      </c>
      <c r="AL1208" s="3441">
        <v>67641700</v>
      </c>
      <c r="AN1208" s="3480" t="s">
        <v>3680</v>
      </c>
      <c r="AO1208" s="3470" t="s">
        <v>11387</v>
      </c>
      <c r="AP1208" s="3456" t="s">
        <v>3476</v>
      </c>
      <c r="AQ1208" s="3456" t="s">
        <v>3571</v>
      </c>
      <c r="AR1208" s="3441" t="s">
        <v>2420</v>
      </c>
      <c r="AS1208" s="3441" t="s">
        <v>2420</v>
      </c>
      <c r="AT1208" s="3441" t="s">
        <v>2420</v>
      </c>
      <c r="AW1208" s="3441" t="s">
        <v>3572</v>
      </c>
      <c r="AX1208" s="3441" t="s">
        <v>3568</v>
      </c>
      <c r="AY1208" s="3524" t="s">
        <v>11388</v>
      </c>
      <c r="AZ1208" s="3441" t="s">
        <v>4076</v>
      </c>
      <c r="BA1208" s="3441" t="s">
        <v>4409</v>
      </c>
      <c r="BB1208" s="3524" t="s">
        <v>4410</v>
      </c>
      <c r="BC1208" s="3441" t="s">
        <v>4411</v>
      </c>
      <c r="BD1208" s="3525" t="s">
        <v>3568</v>
      </c>
      <c r="BE1208" s="3441">
        <v>68152860</v>
      </c>
      <c r="BF1208" s="3526">
        <v>2.8</v>
      </c>
      <c r="BG1208" s="3518">
        <v>37968</v>
      </c>
      <c r="BH1208" s="3441" t="s">
        <v>4412</v>
      </c>
      <c r="BI1208" s="3470" t="s">
        <v>3476</v>
      </c>
      <c r="BJ1208" s="3478">
        <v>37977</v>
      </c>
      <c r="BK1208" s="3518"/>
      <c r="BL1208" s="3470" t="s">
        <v>3670</v>
      </c>
    </row>
    <row r="1209" spans="1:70" s="3441" customFormat="1" ht="12" hidden="1">
      <c r="A1209" s="3485" t="s">
        <v>11389</v>
      </c>
      <c r="B1209" s="3470" t="s">
        <v>11390</v>
      </c>
      <c r="C1209" s="3481" t="s">
        <v>11391</v>
      </c>
      <c r="D1209" s="3453">
        <v>13651088872</v>
      </c>
      <c r="E1209" s="3470" t="s">
        <v>3558</v>
      </c>
      <c r="F1209" s="3470" t="s">
        <v>4403</v>
      </c>
      <c r="G1209" s="3470" t="s">
        <v>3568</v>
      </c>
      <c r="H1209" s="3470" t="s">
        <v>11386</v>
      </c>
      <c r="I1209" s="3470" t="s">
        <v>4173</v>
      </c>
      <c r="J1209" s="3481" t="s">
        <v>4012</v>
      </c>
      <c r="K1209" s="3470" t="s">
        <v>4406</v>
      </c>
      <c r="L1209" s="3470">
        <v>137.63999999999999</v>
      </c>
      <c r="M1209" s="3470">
        <v>2</v>
      </c>
      <c r="N1209" s="3470" t="s">
        <v>3632</v>
      </c>
      <c r="O1209" s="3470">
        <v>123.37</v>
      </c>
      <c r="P1209" s="3470" t="s">
        <v>3452</v>
      </c>
      <c r="Q1209" s="3457">
        <v>754267.2</v>
      </c>
      <c r="R1209" s="3470">
        <v>5480</v>
      </c>
      <c r="S1209" s="3472">
        <v>74.66</v>
      </c>
      <c r="T1209" s="3550">
        <v>746600</v>
      </c>
      <c r="U1209" s="3470">
        <v>5425</v>
      </c>
      <c r="V1209" s="3474">
        <v>0.1</v>
      </c>
      <c r="W1209" s="3475">
        <v>67.19</v>
      </c>
      <c r="X1209" s="3511">
        <v>671900</v>
      </c>
      <c r="Y1209" s="3441">
        <v>2003</v>
      </c>
      <c r="Z1209" s="3441">
        <v>12</v>
      </c>
      <c r="AA1209" s="3441">
        <v>24</v>
      </c>
      <c r="AB1209" s="3477">
        <v>3730</v>
      </c>
      <c r="AC1209" s="3470" t="s">
        <v>9060</v>
      </c>
      <c r="AD1209" s="3485"/>
      <c r="AE1209" s="3441" t="s">
        <v>3663</v>
      </c>
      <c r="AF1209" s="3470" t="s">
        <v>7751</v>
      </c>
      <c r="AG1209" s="3522" t="s">
        <v>3466</v>
      </c>
      <c r="AH1209" s="3485"/>
      <c r="AI1209" s="3470" t="s">
        <v>3664</v>
      </c>
      <c r="AJ1209" s="3523">
        <v>38352</v>
      </c>
      <c r="AK1209" s="3612" t="s">
        <v>3467</v>
      </c>
      <c r="AL1209" s="3441">
        <v>67641700</v>
      </c>
      <c r="AN1209" s="3480" t="s">
        <v>3680</v>
      </c>
      <c r="AO1209" s="3470" t="s">
        <v>11392</v>
      </c>
      <c r="AP1209" s="3456" t="s">
        <v>3476</v>
      </c>
      <c r="AQ1209" s="3456" t="s">
        <v>3571</v>
      </c>
      <c r="AR1209" s="3441" t="s">
        <v>2420</v>
      </c>
      <c r="AS1209" s="3441" t="s">
        <v>2420</v>
      </c>
      <c r="AT1209" s="3441" t="s">
        <v>2420</v>
      </c>
      <c r="AW1209" s="3441" t="s">
        <v>3572</v>
      </c>
      <c r="AX1209" s="3441" t="s">
        <v>3568</v>
      </c>
      <c r="AY1209" s="3524" t="s">
        <v>11393</v>
      </c>
      <c r="AZ1209" s="3441" t="s">
        <v>4076</v>
      </c>
      <c r="BA1209" s="3441" t="s">
        <v>4409</v>
      </c>
      <c r="BB1209" s="3524" t="s">
        <v>4410</v>
      </c>
      <c r="BC1209" s="3441" t="s">
        <v>4411</v>
      </c>
      <c r="BD1209" s="3525" t="s">
        <v>3568</v>
      </c>
      <c r="BE1209" s="3441">
        <v>68152860</v>
      </c>
      <c r="BF1209" s="3526">
        <v>2.8</v>
      </c>
      <c r="BG1209" s="3518">
        <v>37967</v>
      </c>
      <c r="BH1209" s="3441" t="s">
        <v>4412</v>
      </c>
      <c r="BI1209" s="3470" t="s">
        <v>3476</v>
      </c>
      <c r="BJ1209" s="3478">
        <v>37977</v>
      </c>
      <c r="BK1209" s="3518"/>
      <c r="BL1209" s="3470" t="s">
        <v>3670</v>
      </c>
    </row>
    <row r="1210" spans="1:70" s="3470" customFormat="1" ht="12" hidden="1">
      <c r="A1210" s="3485" t="s">
        <v>11394</v>
      </c>
      <c r="B1210" s="3470" t="s">
        <v>11395</v>
      </c>
      <c r="C1210" s="3454" t="s">
        <v>11396</v>
      </c>
      <c r="D1210" s="3470">
        <v>13621374846</v>
      </c>
      <c r="E1210" s="3470" t="s">
        <v>2736</v>
      </c>
      <c r="F1210" s="3470" t="s">
        <v>5592</v>
      </c>
      <c r="G1210" s="3470" t="s">
        <v>2420</v>
      </c>
      <c r="H1210" s="3470" t="s">
        <v>9119</v>
      </c>
      <c r="I1210" s="3453" t="s">
        <v>3676</v>
      </c>
      <c r="J1210" s="3453" t="s">
        <v>6970</v>
      </c>
      <c r="K1210" s="3470" t="s">
        <v>5586</v>
      </c>
      <c r="L1210" s="3495">
        <v>53.97</v>
      </c>
      <c r="M1210" s="3495">
        <v>7</v>
      </c>
      <c r="N1210" s="3542" t="s">
        <v>3489</v>
      </c>
      <c r="O1210" s="3495">
        <v>44.19</v>
      </c>
      <c r="P1210" s="3470" t="s">
        <v>3452</v>
      </c>
      <c r="Q1210" s="3457">
        <v>212641.8</v>
      </c>
      <c r="R1210" s="3470">
        <v>3940</v>
      </c>
      <c r="S1210" s="3472">
        <v>21.02</v>
      </c>
      <c r="T1210" s="3550">
        <v>210200</v>
      </c>
      <c r="U1210" s="3470">
        <v>3895</v>
      </c>
      <c r="V1210" s="3474">
        <v>0.1</v>
      </c>
      <c r="W1210" s="3475">
        <v>18.91</v>
      </c>
      <c r="X1210" s="3511">
        <v>189100</v>
      </c>
      <c r="Y1210" s="3441">
        <v>2003</v>
      </c>
      <c r="Z1210" s="3441">
        <v>12</v>
      </c>
      <c r="AA1210" s="3470">
        <v>16</v>
      </c>
      <c r="AB1210" s="3485">
        <v>1050</v>
      </c>
      <c r="AC1210" s="3470" t="s">
        <v>9007</v>
      </c>
      <c r="AE1210" s="3456" t="s">
        <v>3663</v>
      </c>
      <c r="AF1210" s="3470" t="s">
        <v>4721</v>
      </c>
      <c r="AG1210" s="3470" t="s">
        <v>3466</v>
      </c>
      <c r="AI1210" s="3470" t="s">
        <v>3664</v>
      </c>
      <c r="AJ1210" s="3478">
        <v>38352</v>
      </c>
      <c r="AK1210" s="3612" t="s">
        <v>3467</v>
      </c>
      <c r="AL1210" s="3441">
        <v>67641700</v>
      </c>
      <c r="AM1210" s="3441"/>
      <c r="AN1210" s="3480" t="s">
        <v>3739</v>
      </c>
      <c r="AO1210" s="3470" t="s">
        <v>3568</v>
      </c>
      <c r="AP1210" s="3456" t="s">
        <v>3476</v>
      </c>
      <c r="AQ1210" s="3456" t="s">
        <v>3571</v>
      </c>
      <c r="AV1210" s="3519"/>
      <c r="AW1210" s="3470" t="s">
        <v>3572</v>
      </c>
      <c r="AX1210" s="3470" t="s">
        <v>2420</v>
      </c>
      <c r="AY1210" s="3495">
        <v>565834</v>
      </c>
      <c r="AZ1210" s="3470" t="s">
        <v>5586</v>
      </c>
      <c r="BA1210" s="3470" t="s">
        <v>5587</v>
      </c>
      <c r="BB1210" s="3619">
        <v>1102281326100</v>
      </c>
      <c r="BC1210" s="3470" t="s">
        <v>5588</v>
      </c>
      <c r="BD1210" s="3470">
        <v>100055</v>
      </c>
      <c r="BE1210" s="3470">
        <v>82951881</v>
      </c>
      <c r="BF1210" s="3520">
        <v>2.8</v>
      </c>
      <c r="BG1210" s="3478">
        <v>37955</v>
      </c>
      <c r="BI1210" s="3441" t="s">
        <v>3476</v>
      </c>
      <c r="BJ1210" s="3484">
        <v>37970</v>
      </c>
      <c r="BK1210" s="3478"/>
      <c r="BL1210" s="3441" t="s">
        <v>3670</v>
      </c>
      <c r="BM1210" s="3441"/>
      <c r="BN1210" s="3441"/>
      <c r="BO1210" s="3441"/>
      <c r="BP1210" s="3441"/>
      <c r="BQ1210" s="3441"/>
      <c r="BR1210" s="3441"/>
    </row>
    <row r="1211" spans="1:70" s="3470" customFormat="1" ht="12" hidden="1">
      <c r="A1211" s="3485" t="s">
        <v>11397</v>
      </c>
      <c r="B1211" s="3470" t="s">
        <v>11398</v>
      </c>
      <c r="C1211" s="3454" t="s">
        <v>11399</v>
      </c>
      <c r="D1211" s="3470">
        <v>13810334047</v>
      </c>
      <c r="E1211" s="3470" t="s">
        <v>2736</v>
      </c>
      <c r="F1211" s="3470" t="s">
        <v>5592</v>
      </c>
      <c r="G1211" s="3470" t="s">
        <v>2420</v>
      </c>
      <c r="H1211" s="3470" t="s">
        <v>9230</v>
      </c>
      <c r="I1211" s="3453" t="s">
        <v>3726</v>
      </c>
      <c r="J1211" s="3453" t="s">
        <v>3492</v>
      </c>
      <c r="K1211" s="3470" t="s">
        <v>5586</v>
      </c>
      <c r="L1211" s="3495">
        <v>40.86</v>
      </c>
      <c r="M1211" s="3495">
        <v>6</v>
      </c>
      <c r="N1211" s="3453" t="s">
        <v>3678</v>
      </c>
      <c r="O1211" s="3495">
        <v>33.28</v>
      </c>
      <c r="P1211" s="3470" t="s">
        <v>3452</v>
      </c>
      <c r="Q1211" s="3457">
        <v>160171.20000000001</v>
      </c>
      <c r="R1211" s="3470">
        <v>3920</v>
      </c>
      <c r="S1211" s="3472">
        <v>15.82</v>
      </c>
      <c r="T1211" s="3550">
        <v>158200</v>
      </c>
      <c r="U1211" s="3470">
        <v>3874</v>
      </c>
      <c r="V1211" s="3474">
        <v>0.1</v>
      </c>
      <c r="W1211" s="3475">
        <v>14.23</v>
      </c>
      <c r="X1211" s="3511">
        <v>142300</v>
      </c>
      <c r="Y1211" s="3441">
        <v>2003</v>
      </c>
      <c r="Z1211" s="3441">
        <v>12</v>
      </c>
      <c r="AA1211" s="3470">
        <v>16</v>
      </c>
      <c r="AB1211" s="3485">
        <v>790</v>
      </c>
      <c r="AC1211" s="3470" t="s">
        <v>9007</v>
      </c>
      <c r="AE1211" s="3456" t="s">
        <v>3663</v>
      </c>
      <c r="AF1211" s="3470" t="s">
        <v>4721</v>
      </c>
      <c r="AG1211" s="3470" t="s">
        <v>3466</v>
      </c>
      <c r="AI1211" s="3470" t="s">
        <v>3664</v>
      </c>
      <c r="AJ1211" s="3478">
        <v>38352</v>
      </c>
      <c r="AK1211" s="3612" t="s">
        <v>3467</v>
      </c>
      <c r="AL1211" s="3441">
        <v>67641700</v>
      </c>
      <c r="AM1211" s="3441"/>
      <c r="AN1211" s="3480" t="s">
        <v>3739</v>
      </c>
      <c r="AO1211" s="3470" t="s">
        <v>3568</v>
      </c>
      <c r="AP1211" s="3456" t="s">
        <v>3476</v>
      </c>
      <c r="AQ1211" s="3456" t="s">
        <v>3571</v>
      </c>
      <c r="AV1211" s="3519"/>
      <c r="AW1211" s="3470" t="s">
        <v>3572</v>
      </c>
      <c r="AX1211" s="3470" t="s">
        <v>2420</v>
      </c>
      <c r="AY1211" s="3495">
        <v>565388</v>
      </c>
      <c r="AZ1211" s="3470" t="s">
        <v>5586</v>
      </c>
      <c r="BA1211" s="3470" t="s">
        <v>5587</v>
      </c>
      <c r="BB1211" s="3619">
        <v>1102281326100</v>
      </c>
      <c r="BC1211" s="3470" t="s">
        <v>5588</v>
      </c>
      <c r="BD1211" s="3470">
        <v>100055</v>
      </c>
      <c r="BE1211" s="3470">
        <v>82951881</v>
      </c>
      <c r="BF1211" s="3520">
        <v>2.8</v>
      </c>
      <c r="BG1211" s="3478">
        <v>37961</v>
      </c>
      <c r="BI1211" s="3441" t="s">
        <v>3476</v>
      </c>
      <c r="BJ1211" s="3484">
        <v>37970</v>
      </c>
      <c r="BK1211" s="3478"/>
      <c r="BL1211" s="3441" t="s">
        <v>3670</v>
      </c>
      <c r="BM1211" s="3441"/>
      <c r="BN1211" s="3441"/>
      <c r="BO1211" s="3441"/>
      <c r="BP1211" s="3441"/>
      <c r="BQ1211" s="3441"/>
      <c r="BR1211" s="3441"/>
    </row>
    <row r="1212" spans="1:70" s="3441" customFormat="1" ht="12" hidden="1">
      <c r="A1212" s="3453" t="s">
        <v>11400</v>
      </c>
      <c r="B1212" s="3470" t="s">
        <v>11401</v>
      </c>
      <c r="C1212" s="3481" t="s">
        <v>11402</v>
      </c>
      <c r="D1212" s="3454" t="s">
        <v>11403</v>
      </c>
      <c r="E1212" s="3470" t="s">
        <v>2736</v>
      </c>
      <c r="F1212" s="3528" t="s">
        <v>5792</v>
      </c>
      <c r="G1212" s="3470"/>
      <c r="H1212" s="3470" t="s">
        <v>6004</v>
      </c>
      <c r="I1212" s="3453" t="s">
        <v>3726</v>
      </c>
      <c r="J1212" s="3481" t="s">
        <v>6970</v>
      </c>
      <c r="K1212" s="3470" t="s">
        <v>4811</v>
      </c>
      <c r="L1212" s="3470">
        <v>113.54</v>
      </c>
      <c r="M1212" s="3470">
        <v>7</v>
      </c>
      <c r="N1212" s="3453" t="s">
        <v>3661</v>
      </c>
      <c r="O1212" s="3470">
        <v>102.5</v>
      </c>
      <c r="P1212" s="3470" t="s">
        <v>3452</v>
      </c>
      <c r="Q1212" s="3457">
        <v>747093.20000000007</v>
      </c>
      <c r="R1212" s="3470">
        <v>6580</v>
      </c>
      <c r="S1212" s="3472">
        <v>74.08</v>
      </c>
      <c r="T1212" s="3527">
        <v>740800</v>
      </c>
      <c r="U1212" s="3470">
        <v>6525</v>
      </c>
      <c r="V1212" s="3474">
        <v>0.05</v>
      </c>
      <c r="W1212" s="3475">
        <v>70.37</v>
      </c>
      <c r="X1212" s="3473">
        <v>703700</v>
      </c>
      <c r="Y1212" s="3441">
        <v>2003</v>
      </c>
      <c r="Z1212" s="3441">
        <v>12</v>
      </c>
      <c r="AA1212" s="3441">
        <v>18</v>
      </c>
      <c r="AB1212" s="3485">
        <v>3700</v>
      </c>
      <c r="AC1212" s="3470" t="s">
        <v>9007</v>
      </c>
      <c r="AD1212" s="3485"/>
      <c r="AE1212" s="3441" t="s">
        <v>3663</v>
      </c>
      <c r="AF1212" s="3470" t="s">
        <v>3453</v>
      </c>
      <c r="AG1212" s="3522" t="s">
        <v>3466</v>
      </c>
      <c r="AH1212" s="3485"/>
      <c r="AI1212" s="3470" t="s">
        <v>3664</v>
      </c>
      <c r="AJ1212" s="3523">
        <v>37984</v>
      </c>
      <c r="AK1212" s="3606" t="s">
        <v>3467</v>
      </c>
      <c r="AL1212" s="3441">
        <v>67641700</v>
      </c>
      <c r="AN1212" s="3480" t="s">
        <v>3739</v>
      </c>
      <c r="AO1212" s="3470"/>
      <c r="AP1212" s="3456" t="s">
        <v>3476</v>
      </c>
      <c r="AQ1212" s="3441" t="s">
        <v>11404</v>
      </c>
      <c r="AR1212" s="3441">
        <v>2003</v>
      </c>
      <c r="AS1212" s="3441">
        <v>12</v>
      </c>
      <c r="AT1212" s="3441">
        <v>23</v>
      </c>
      <c r="AW1212" s="3441" t="s">
        <v>3572</v>
      </c>
      <c r="AY1212" s="3465" t="s">
        <v>11405</v>
      </c>
      <c r="AZ1212" s="3441" t="s">
        <v>4811</v>
      </c>
      <c r="BA1212" s="3441" t="s">
        <v>10447</v>
      </c>
      <c r="BB1212" s="3524" t="s">
        <v>4813</v>
      </c>
      <c r="BC1212" s="3441" t="s">
        <v>10448</v>
      </c>
      <c r="BD1212" s="3525">
        <v>101500</v>
      </c>
      <c r="BE1212" s="3441">
        <v>62964593</v>
      </c>
      <c r="BF1212" s="3526">
        <v>2.8</v>
      </c>
      <c r="BG1212" s="3478">
        <v>37954</v>
      </c>
      <c r="BI1212" s="3470" t="s">
        <v>3476</v>
      </c>
      <c r="BJ1212" s="3484">
        <v>37971</v>
      </c>
      <c r="BK1212" s="3484"/>
      <c r="BL1212" s="3441" t="s">
        <v>3594</v>
      </c>
    </row>
    <row r="1213" spans="1:70" s="3470" customFormat="1" ht="12" hidden="1">
      <c r="A1213" s="3485" t="s">
        <v>11406</v>
      </c>
      <c r="B1213" s="3470" t="s">
        <v>5881</v>
      </c>
      <c r="C1213" s="3454" t="s">
        <v>11407</v>
      </c>
      <c r="D1213" s="3470">
        <v>13681061527</v>
      </c>
      <c r="E1213" s="3470" t="s">
        <v>2736</v>
      </c>
      <c r="F1213" s="3470" t="s">
        <v>5592</v>
      </c>
      <c r="G1213" s="3470" t="s">
        <v>2420</v>
      </c>
      <c r="H1213" s="3470" t="s">
        <v>11408</v>
      </c>
      <c r="I1213" s="3453" t="s">
        <v>3464</v>
      </c>
      <c r="J1213" s="3453" t="s">
        <v>4335</v>
      </c>
      <c r="K1213" s="3470" t="s">
        <v>5586</v>
      </c>
      <c r="L1213" s="3495">
        <v>98.22</v>
      </c>
      <c r="M1213" s="3495">
        <v>10</v>
      </c>
      <c r="N1213" s="3470" t="s">
        <v>3486</v>
      </c>
      <c r="O1213" s="3495">
        <v>83.29</v>
      </c>
      <c r="P1213" s="3470" t="s">
        <v>3452</v>
      </c>
      <c r="Q1213" s="3457">
        <v>409576.90919999999</v>
      </c>
      <c r="R1213" s="3470">
        <v>4917.4799999999996</v>
      </c>
      <c r="S1213" s="3472">
        <v>40.46</v>
      </c>
      <c r="T1213" s="3550">
        <v>404600</v>
      </c>
      <c r="U1213" s="3470">
        <v>4120</v>
      </c>
      <c r="V1213" s="3474">
        <v>0.1</v>
      </c>
      <c r="W1213" s="3475">
        <v>36.409999999999997</v>
      </c>
      <c r="X1213" s="3511">
        <v>364099.99999999994</v>
      </c>
      <c r="Y1213" s="3441">
        <v>2003</v>
      </c>
      <c r="Z1213" s="3441">
        <v>12</v>
      </c>
      <c r="AA1213" s="3441">
        <v>22</v>
      </c>
      <c r="AB1213" s="3485">
        <v>2020</v>
      </c>
      <c r="AC1213" s="3470" t="s">
        <v>9077</v>
      </c>
      <c r="AE1213" s="3456" t="s">
        <v>3663</v>
      </c>
      <c r="AF1213" s="3470" t="s">
        <v>4721</v>
      </c>
      <c r="AG1213" s="3470" t="s">
        <v>3466</v>
      </c>
      <c r="AI1213" s="3470" t="s">
        <v>3664</v>
      </c>
      <c r="AJ1213" s="3478">
        <v>38352</v>
      </c>
      <c r="AK1213" s="3612" t="s">
        <v>3467</v>
      </c>
      <c r="AL1213" s="3441">
        <v>67641700</v>
      </c>
      <c r="AM1213" s="3441"/>
      <c r="AN1213" s="3480" t="s">
        <v>3484</v>
      </c>
      <c r="AO1213" s="3470" t="s">
        <v>11409</v>
      </c>
      <c r="AP1213" s="3456" t="s">
        <v>3476</v>
      </c>
      <c r="AQ1213" s="3456" t="s">
        <v>3571</v>
      </c>
      <c r="AV1213" s="3519"/>
      <c r="AW1213" s="3470" t="s">
        <v>3572</v>
      </c>
      <c r="AX1213" s="3470" t="s">
        <v>2420</v>
      </c>
      <c r="AY1213" s="3495">
        <v>565840</v>
      </c>
      <c r="AZ1213" s="3470" t="s">
        <v>5586</v>
      </c>
      <c r="BA1213" s="3470" t="s">
        <v>5587</v>
      </c>
      <c r="BB1213" s="3619">
        <v>1102281326100</v>
      </c>
      <c r="BC1213" s="3470" t="s">
        <v>5588</v>
      </c>
      <c r="BD1213" s="3470">
        <v>100055</v>
      </c>
      <c r="BE1213" s="3470">
        <v>82951881</v>
      </c>
      <c r="BF1213" s="3520">
        <v>2.8</v>
      </c>
      <c r="BG1213" s="3478">
        <v>37956</v>
      </c>
      <c r="BI1213" s="3441" t="s">
        <v>3476</v>
      </c>
      <c r="BJ1213" s="3478">
        <v>37970</v>
      </c>
      <c r="BK1213" s="3478"/>
      <c r="BL1213" s="3441" t="s">
        <v>3594</v>
      </c>
      <c r="BM1213" s="3441"/>
      <c r="BN1213" s="3441"/>
      <c r="BO1213" s="3441"/>
      <c r="BP1213" s="3441"/>
      <c r="BQ1213" s="3441"/>
      <c r="BR1213" s="3441"/>
    </row>
    <row r="1214" spans="1:70" s="3441" customFormat="1" ht="12">
      <c r="A1214" s="3485" t="s">
        <v>11410</v>
      </c>
      <c r="B1214" s="3470" t="s">
        <v>11411</v>
      </c>
      <c r="C1214" s="3481" t="s">
        <v>11412</v>
      </c>
      <c r="D1214" s="3481" t="s">
        <v>11413</v>
      </c>
      <c r="E1214" s="3470" t="s">
        <v>2736</v>
      </c>
      <c r="F1214" s="3687" t="s">
        <v>9471</v>
      </c>
      <c r="G1214" s="3470"/>
      <c r="H1214" s="3470" t="s">
        <v>2420</v>
      </c>
      <c r="I1214" s="3470" t="s">
        <v>4124</v>
      </c>
      <c r="J1214" s="3481" t="s">
        <v>11414</v>
      </c>
      <c r="K1214" s="3470" t="s">
        <v>8795</v>
      </c>
      <c r="L1214" s="3470">
        <v>48.52</v>
      </c>
      <c r="M1214" s="3470">
        <v>8</v>
      </c>
      <c r="N1214" s="3470" t="s">
        <v>3678</v>
      </c>
      <c r="O1214" s="3470">
        <v>37.67</v>
      </c>
      <c r="P1214" s="3470" t="s">
        <v>3452</v>
      </c>
      <c r="Q1214" s="3457">
        <v>354196</v>
      </c>
      <c r="R1214" s="3470">
        <v>7300</v>
      </c>
      <c r="S1214" s="3472">
        <v>35.130000000000003</v>
      </c>
      <c r="T1214" s="3527">
        <v>351300</v>
      </c>
      <c r="U1214" s="3495">
        <v>7242</v>
      </c>
      <c r="V1214" s="3474">
        <v>0.1</v>
      </c>
      <c r="W1214" s="3475">
        <v>31.61</v>
      </c>
      <c r="X1214" s="3473">
        <v>316100</v>
      </c>
      <c r="Y1214" s="3495">
        <v>2003</v>
      </c>
      <c r="Z1214" s="3441">
        <v>12</v>
      </c>
      <c r="AA1214" s="3441">
        <v>18</v>
      </c>
      <c r="AB1214" s="3477">
        <v>1755</v>
      </c>
      <c r="AC1214" s="3470" t="s">
        <v>9413</v>
      </c>
      <c r="AD1214" s="3485"/>
      <c r="AE1214" s="3441" t="s">
        <v>3663</v>
      </c>
      <c r="AF1214" s="3470" t="s">
        <v>4126</v>
      </c>
      <c r="AG1214" s="3522" t="s">
        <v>3466</v>
      </c>
      <c r="AH1214" s="3485"/>
      <c r="AI1214" s="3470" t="s">
        <v>5021</v>
      </c>
      <c r="AJ1214" s="3523">
        <v>38107</v>
      </c>
      <c r="AK1214" s="3612" t="s">
        <v>3467</v>
      </c>
      <c r="AL1214" s="3441">
        <v>67641700</v>
      </c>
      <c r="AN1214" s="3480" t="s">
        <v>3739</v>
      </c>
      <c r="AO1214" s="3470" t="s">
        <v>2420</v>
      </c>
      <c r="AP1214" s="3441" t="s">
        <v>3476</v>
      </c>
      <c r="AQ1214" s="3441" t="s">
        <v>3571</v>
      </c>
      <c r="AW1214" s="3441" t="s">
        <v>3572</v>
      </c>
      <c r="AY1214" s="3524" t="s">
        <v>11415</v>
      </c>
      <c r="AZ1214" s="3470" t="s">
        <v>8795</v>
      </c>
      <c r="BA1214" s="3441" t="s">
        <v>9474</v>
      </c>
      <c r="BB1214" s="3524" t="s">
        <v>8799</v>
      </c>
      <c r="BC1214" s="3441" t="s">
        <v>8800</v>
      </c>
      <c r="BD1214" s="3525" t="s">
        <v>2420</v>
      </c>
      <c r="BE1214" s="3441" t="s">
        <v>2420</v>
      </c>
      <c r="BF1214" s="3526">
        <v>2.8</v>
      </c>
      <c r="BG1214" s="3484">
        <v>37936</v>
      </c>
      <c r="BH1214" s="3441" t="s">
        <v>8801</v>
      </c>
      <c r="BI1214" s="3441" t="s">
        <v>3476</v>
      </c>
      <c r="BJ1214" s="3484">
        <v>37972</v>
      </c>
      <c r="BK1214" s="3484">
        <v>37958</v>
      </c>
      <c r="BL1214" s="3470" t="s">
        <v>3670</v>
      </c>
    </row>
    <row r="1215" spans="1:70" s="3441" customFormat="1" ht="12" hidden="1">
      <c r="A1215" s="3453" t="s">
        <v>11416</v>
      </c>
      <c r="B1215" s="3470" t="s">
        <v>11417</v>
      </c>
      <c r="C1215" s="3481" t="s">
        <v>11418</v>
      </c>
      <c r="D1215" s="3481" t="s">
        <v>11419</v>
      </c>
      <c r="E1215" s="3470" t="s">
        <v>3558</v>
      </c>
      <c r="F1215" s="3528" t="s">
        <v>4645</v>
      </c>
      <c r="G1215" s="3470"/>
      <c r="H1215" s="3470" t="s">
        <v>9611</v>
      </c>
      <c r="I1215" s="3470" t="s">
        <v>9376</v>
      </c>
      <c r="J1215" s="3481" t="s">
        <v>11420</v>
      </c>
      <c r="K1215" s="3470" t="s">
        <v>4649</v>
      </c>
      <c r="L1215" s="3470">
        <v>109.8</v>
      </c>
      <c r="M1215" s="3470">
        <v>15</v>
      </c>
      <c r="N1215" s="3542" t="s">
        <v>3451</v>
      </c>
      <c r="O1215" s="3470">
        <v>86.55</v>
      </c>
      <c r="P1215" s="3470" t="s">
        <v>3452</v>
      </c>
      <c r="Q1215" s="3457">
        <v>841397.4</v>
      </c>
      <c r="R1215" s="3470">
        <v>7663</v>
      </c>
      <c r="S1215" s="3472">
        <v>83.54</v>
      </c>
      <c r="T1215" s="3550">
        <v>835400.00000000012</v>
      </c>
      <c r="U1215" s="3491">
        <v>7609</v>
      </c>
      <c r="V1215" s="3529">
        <v>0.1</v>
      </c>
      <c r="W1215" s="3475">
        <v>75.180000000000007</v>
      </c>
      <c r="X1215" s="3511">
        <v>751800.00000000012</v>
      </c>
      <c r="Y1215" s="3501">
        <v>2003</v>
      </c>
      <c r="Z1215" s="3441">
        <v>12</v>
      </c>
      <c r="AA1215" s="3441">
        <v>18</v>
      </c>
      <c r="AB1215" s="3477">
        <v>4175</v>
      </c>
      <c r="AC1215" s="3470" t="s">
        <v>9007</v>
      </c>
      <c r="AD1215" s="3485"/>
      <c r="AE1215" s="3441" t="s">
        <v>3663</v>
      </c>
      <c r="AF1215" s="3470" t="s">
        <v>4126</v>
      </c>
      <c r="AG1215" s="3522" t="s">
        <v>3466</v>
      </c>
      <c r="AH1215" s="3485"/>
      <c r="AI1215" s="3470" t="s">
        <v>5021</v>
      </c>
      <c r="AJ1215" s="3523">
        <v>38199</v>
      </c>
      <c r="AK1215" s="3612" t="s">
        <v>3467</v>
      </c>
      <c r="AL1215" s="3441">
        <v>67641700</v>
      </c>
      <c r="AN1215" s="3480" t="s">
        <v>3739</v>
      </c>
      <c r="AP1215" s="3441" t="s">
        <v>3476</v>
      </c>
      <c r="AQ1215" s="3441" t="s">
        <v>3571</v>
      </c>
      <c r="AW1215" s="3441" t="s">
        <v>3572</v>
      </c>
      <c r="AX1215" s="3441" t="s">
        <v>3568</v>
      </c>
      <c r="AY1215" s="3524" t="s">
        <v>11421</v>
      </c>
      <c r="AZ1215" s="3441" t="s">
        <v>4654</v>
      </c>
      <c r="BA1215" s="3441" t="s">
        <v>4688</v>
      </c>
      <c r="BB1215" s="3524" t="s">
        <v>4689</v>
      </c>
      <c r="BC1215" s="3441" t="s">
        <v>4656</v>
      </c>
      <c r="BD1215" s="3525">
        <v>100037</v>
      </c>
      <c r="BE1215" s="3441">
        <v>68347718</v>
      </c>
      <c r="BF1215" s="3526">
        <v>2.8</v>
      </c>
      <c r="BG1215" s="3518">
        <v>37938</v>
      </c>
      <c r="BI1215" s="3441" t="s">
        <v>3476</v>
      </c>
      <c r="BJ1215" s="3484">
        <v>37972</v>
      </c>
      <c r="BK1215" s="3518"/>
      <c r="BL1215" s="3470" t="s">
        <v>3670</v>
      </c>
    </row>
    <row r="1216" spans="1:70" s="3441" customFormat="1" ht="12" hidden="1">
      <c r="A1216" s="3453" t="s">
        <v>11422</v>
      </c>
      <c r="B1216" s="3470" t="s">
        <v>11423</v>
      </c>
      <c r="C1216" s="3481" t="s">
        <v>11424</v>
      </c>
      <c r="D1216" s="3481" t="s">
        <v>11425</v>
      </c>
      <c r="E1216" s="3470" t="s">
        <v>3558</v>
      </c>
      <c r="F1216" s="3528" t="s">
        <v>7652</v>
      </c>
      <c r="G1216" s="3470"/>
      <c r="H1216" s="3470" t="s">
        <v>10114</v>
      </c>
      <c r="I1216" s="3470" t="s">
        <v>4563</v>
      </c>
      <c r="J1216" s="3481" t="s">
        <v>10462</v>
      </c>
      <c r="K1216" s="3470" t="s">
        <v>6369</v>
      </c>
      <c r="L1216" s="3470">
        <v>87.8</v>
      </c>
      <c r="M1216" s="3470">
        <v>4</v>
      </c>
      <c r="N1216" s="3453" t="s">
        <v>3451</v>
      </c>
      <c r="O1216" s="3470">
        <v>69.260000000000005</v>
      </c>
      <c r="P1216" s="3470" t="s">
        <v>3452</v>
      </c>
      <c r="Q1216" s="3457">
        <v>410026</v>
      </c>
      <c r="R1216" s="3470">
        <v>4670</v>
      </c>
      <c r="S1216" s="3472">
        <v>40.58</v>
      </c>
      <c r="T1216" s="3527">
        <v>405800</v>
      </c>
      <c r="U1216" s="3470">
        <v>4623</v>
      </c>
      <c r="V1216" s="3512">
        <v>0.1</v>
      </c>
      <c r="W1216" s="3475">
        <v>36.520000000000003</v>
      </c>
      <c r="X1216" s="3473">
        <v>365200.00000000006</v>
      </c>
      <c r="Y1216" s="3441">
        <v>2003</v>
      </c>
      <c r="Z1216" s="3441">
        <v>12</v>
      </c>
      <c r="AA1216" s="3441">
        <v>18</v>
      </c>
      <c r="AB1216" s="3485">
        <v>2025</v>
      </c>
      <c r="AC1216" s="3470" t="s">
        <v>8840</v>
      </c>
      <c r="AD1216" s="3485"/>
      <c r="AE1216" s="3441" t="s">
        <v>3663</v>
      </c>
      <c r="AF1216" s="3470" t="s">
        <v>4721</v>
      </c>
      <c r="AG1216" s="3522" t="s">
        <v>3466</v>
      </c>
      <c r="AH1216" s="3485" t="s">
        <v>3568</v>
      </c>
      <c r="AI1216" s="3470" t="s">
        <v>5021</v>
      </c>
      <c r="AJ1216" s="3535">
        <v>38123</v>
      </c>
      <c r="AK1216" s="3612" t="s">
        <v>3467</v>
      </c>
      <c r="AL1216" s="3441">
        <v>67641700</v>
      </c>
      <c r="AN1216" s="3480" t="s">
        <v>3739</v>
      </c>
      <c r="AP1216" s="3441" t="s">
        <v>3476</v>
      </c>
      <c r="AQ1216" s="3441" t="s">
        <v>3571</v>
      </c>
      <c r="AV1216" s="3441" t="s">
        <v>3568</v>
      </c>
      <c r="AW1216" s="3441" t="s">
        <v>3572</v>
      </c>
      <c r="AY1216" s="3524" t="s">
        <v>11426</v>
      </c>
      <c r="AZ1216" s="3441" t="s">
        <v>6369</v>
      </c>
      <c r="BA1216" s="3441" t="s">
        <v>7655</v>
      </c>
      <c r="BB1216" s="3524" t="s">
        <v>7656</v>
      </c>
      <c r="BC1216" s="3441" t="s">
        <v>7657</v>
      </c>
      <c r="BD1216" s="3525">
        <v>100025</v>
      </c>
      <c r="BE1216" s="3441">
        <v>62908858</v>
      </c>
      <c r="BF1216" s="3526">
        <v>2.7</v>
      </c>
      <c r="BG1216" s="3518">
        <v>37951</v>
      </c>
      <c r="BH1216" s="3441" t="s">
        <v>4681</v>
      </c>
      <c r="BI1216" s="3441" t="s">
        <v>3476</v>
      </c>
      <c r="BJ1216" s="3484">
        <v>37971</v>
      </c>
      <c r="BK1216" s="3484"/>
      <c r="BL1216" s="3470" t="s">
        <v>3670</v>
      </c>
    </row>
    <row r="1217" spans="1:70" s="3470" customFormat="1" ht="12" hidden="1">
      <c r="A1217" s="3453" t="s">
        <v>11427</v>
      </c>
      <c r="B1217" s="3470" t="s">
        <v>4380</v>
      </c>
      <c r="C1217" s="3481" t="s">
        <v>11428</v>
      </c>
      <c r="D1217" s="3470">
        <v>13681302940</v>
      </c>
      <c r="E1217" s="3470" t="s">
        <v>3558</v>
      </c>
      <c r="F1217" s="3470" t="s">
        <v>3559</v>
      </c>
      <c r="H1217" s="3453" t="s">
        <v>5304</v>
      </c>
      <c r="I1217" s="3453" t="s">
        <v>3726</v>
      </c>
      <c r="J1217" s="3453" t="s">
        <v>11429</v>
      </c>
      <c r="K1217" s="3470" t="s">
        <v>7737</v>
      </c>
      <c r="L1217" s="3495">
        <v>73.66</v>
      </c>
      <c r="M1217" s="3495">
        <v>4</v>
      </c>
      <c r="N1217" s="3542" t="s">
        <v>3451</v>
      </c>
      <c r="O1217" s="3495">
        <v>59.74</v>
      </c>
      <c r="P1217" s="3470" t="s">
        <v>3452</v>
      </c>
      <c r="Q1217" s="3492">
        <v>353568</v>
      </c>
      <c r="R1217" s="3470">
        <v>4800</v>
      </c>
      <c r="S1217" s="3472">
        <v>35</v>
      </c>
      <c r="T1217" s="3527">
        <v>350000</v>
      </c>
      <c r="U1217" s="3470">
        <v>4752</v>
      </c>
      <c r="V1217" s="3512">
        <v>0.05</v>
      </c>
      <c r="W1217" s="3475">
        <v>33.25</v>
      </c>
      <c r="X1217" s="3473">
        <v>332500</v>
      </c>
      <c r="Y1217" s="3470">
        <v>2003</v>
      </c>
      <c r="Z1217" s="3441">
        <v>12</v>
      </c>
      <c r="AA1217" s="3441">
        <v>18</v>
      </c>
      <c r="AB1217" s="3485">
        <v>1750</v>
      </c>
      <c r="AC1217" s="3470" t="s">
        <v>9077</v>
      </c>
      <c r="AE1217" s="3456" t="s">
        <v>3663</v>
      </c>
      <c r="AF1217" s="3453" t="s">
        <v>3493</v>
      </c>
      <c r="AG1217" s="3470" t="s">
        <v>3466</v>
      </c>
      <c r="AH1217" s="3470" t="s">
        <v>3568</v>
      </c>
      <c r="AI1217" s="3456" t="s">
        <v>5021</v>
      </c>
      <c r="AJ1217" s="3478">
        <v>37992</v>
      </c>
      <c r="AK1217" s="3603" t="s">
        <v>3467</v>
      </c>
      <c r="AL1217" s="3441">
        <v>67641700</v>
      </c>
      <c r="AM1217" s="3441"/>
      <c r="AN1217" s="3480" t="s">
        <v>3739</v>
      </c>
      <c r="AO1217" s="3470" t="s">
        <v>3568</v>
      </c>
      <c r="AP1217" s="3456" t="s">
        <v>3476</v>
      </c>
      <c r="AQ1217" s="3456" t="s">
        <v>3571</v>
      </c>
      <c r="AV1217" s="3519"/>
      <c r="AW1217" s="3470" t="s">
        <v>3572</v>
      </c>
      <c r="AY1217" s="3495">
        <v>318415</v>
      </c>
      <c r="AZ1217" s="3470" t="s">
        <v>7737</v>
      </c>
      <c r="BA1217" s="3470" t="s">
        <v>9926</v>
      </c>
      <c r="BB1217" s="3481" t="s">
        <v>9581</v>
      </c>
      <c r="BC1217" s="3470" t="s">
        <v>3576</v>
      </c>
      <c r="BD1217" s="3470">
        <v>100035</v>
      </c>
      <c r="BE1217" s="3470">
        <v>84050010</v>
      </c>
      <c r="BF1217" s="3520">
        <v>2.8</v>
      </c>
      <c r="BG1217" s="3478">
        <v>37945</v>
      </c>
      <c r="BI1217" s="3470" t="s">
        <v>3476</v>
      </c>
      <c r="BJ1217" s="3484">
        <v>37971</v>
      </c>
      <c r="BK1217" s="3470" t="s">
        <v>3568</v>
      </c>
      <c r="BL1217" s="3441" t="s">
        <v>3670</v>
      </c>
      <c r="BP1217" s="3441"/>
      <c r="BQ1217" s="3441"/>
      <c r="BR1217" s="3441"/>
    </row>
    <row r="1218" spans="1:70" s="3441" customFormat="1" ht="12">
      <c r="A1218" s="3485" t="s">
        <v>11430</v>
      </c>
      <c r="B1218" s="3470" t="s">
        <v>11431</v>
      </c>
      <c r="C1218" s="3481" t="s">
        <v>11432</v>
      </c>
      <c r="D1218" s="3481" t="s">
        <v>11433</v>
      </c>
      <c r="E1218" s="3470" t="s">
        <v>2736</v>
      </c>
      <c r="F1218" s="3687" t="s">
        <v>9471</v>
      </c>
      <c r="G1218" s="3470"/>
      <c r="H1218" s="3470" t="s">
        <v>2420</v>
      </c>
      <c r="I1218" s="3470" t="s">
        <v>4124</v>
      </c>
      <c r="J1218" s="3481" t="s">
        <v>11434</v>
      </c>
      <c r="K1218" s="3470" t="s">
        <v>8795</v>
      </c>
      <c r="L1218" s="3470">
        <v>48.52</v>
      </c>
      <c r="M1218" s="3470">
        <v>8</v>
      </c>
      <c r="N1218" s="3470" t="s">
        <v>3678</v>
      </c>
      <c r="O1218" s="3470">
        <v>37.67</v>
      </c>
      <c r="P1218" s="3470" t="s">
        <v>3452</v>
      </c>
      <c r="Q1218" s="3457">
        <v>361474</v>
      </c>
      <c r="R1218" s="3470">
        <v>7450</v>
      </c>
      <c r="S1218" s="3472">
        <v>35.869999999999997</v>
      </c>
      <c r="T1218" s="3527">
        <v>358700</v>
      </c>
      <c r="U1218" s="3495">
        <v>7394</v>
      </c>
      <c r="V1218" s="3474">
        <v>0.1</v>
      </c>
      <c r="W1218" s="3475">
        <v>32.28</v>
      </c>
      <c r="X1218" s="3473">
        <v>322800</v>
      </c>
      <c r="Y1218" s="3495">
        <v>2003</v>
      </c>
      <c r="Z1218" s="3441">
        <v>12</v>
      </c>
      <c r="AA1218" s="3441">
        <v>18</v>
      </c>
      <c r="AB1218" s="3477">
        <v>1790</v>
      </c>
      <c r="AC1218" s="3470" t="s">
        <v>9413</v>
      </c>
      <c r="AD1218" s="3485"/>
      <c r="AE1218" s="3441" t="s">
        <v>3663</v>
      </c>
      <c r="AF1218" s="3470" t="s">
        <v>4126</v>
      </c>
      <c r="AG1218" s="3522" t="s">
        <v>3466</v>
      </c>
      <c r="AH1218" s="3485"/>
      <c r="AI1218" s="3470" t="s">
        <v>5021</v>
      </c>
      <c r="AJ1218" s="3523">
        <v>38107</v>
      </c>
      <c r="AK1218" s="3612" t="s">
        <v>3467</v>
      </c>
      <c r="AL1218" s="3441">
        <v>67641700</v>
      </c>
      <c r="AN1218" s="3480" t="s">
        <v>3739</v>
      </c>
      <c r="AO1218" s="3470" t="s">
        <v>2420</v>
      </c>
      <c r="AP1218" s="3441" t="s">
        <v>3476</v>
      </c>
      <c r="AQ1218" s="3441" t="s">
        <v>3571</v>
      </c>
      <c r="AW1218" s="3441" t="s">
        <v>3572</v>
      </c>
      <c r="AY1218" s="3524" t="s">
        <v>11435</v>
      </c>
      <c r="AZ1218" s="3470" t="s">
        <v>8795</v>
      </c>
      <c r="BA1218" s="3441" t="s">
        <v>9474</v>
      </c>
      <c r="BB1218" s="3524" t="s">
        <v>8799</v>
      </c>
      <c r="BC1218" s="3441" t="s">
        <v>8800</v>
      </c>
      <c r="BD1218" s="3525" t="s">
        <v>2420</v>
      </c>
      <c r="BE1218" s="3441" t="s">
        <v>2420</v>
      </c>
      <c r="BF1218" s="3526">
        <v>2.8</v>
      </c>
      <c r="BG1218" s="3484">
        <v>37936</v>
      </c>
      <c r="BH1218" s="3441" t="s">
        <v>8801</v>
      </c>
      <c r="BI1218" s="3441" t="s">
        <v>3476</v>
      </c>
      <c r="BJ1218" s="3484">
        <v>37972</v>
      </c>
      <c r="BK1218" s="3484">
        <v>37966</v>
      </c>
      <c r="BL1218" s="3470" t="s">
        <v>3670</v>
      </c>
    </row>
    <row r="1219" spans="1:70" s="3441" customFormat="1" ht="12">
      <c r="A1219" s="3485" t="s">
        <v>11436</v>
      </c>
      <c r="B1219" s="3470" t="s">
        <v>11437</v>
      </c>
      <c r="C1219" s="3481" t="s">
        <v>11438</v>
      </c>
      <c r="D1219" s="3481" t="s">
        <v>11439</v>
      </c>
      <c r="E1219" s="3470" t="s">
        <v>2736</v>
      </c>
      <c r="F1219" s="3687" t="s">
        <v>9471</v>
      </c>
      <c r="G1219" s="3470"/>
      <c r="H1219" s="3470" t="s">
        <v>2420</v>
      </c>
      <c r="I1219" s="3470" t="s">
        <v>4124</v>
      </c>
      <c r="J1219" s="3481" t="s">
        <v>10430</v>
      </c>
      <c r="K1219" s="3470" t="s">
        <v>8795</v>
      </c>
      <c r="L1219" s="3470">
        <v>48.52</v>
      </c>
      <c r="M1219" s="3470">
        <v>8</v>
      </c>
      <c r="N1219" s="3470" t="s">
        <v>3678</v>
      </c>
      <c r="O1219" s="3470">
        <v>37.67</v>
      </c>
      <c r="P1219" s="3470" t="s">
        <v>3452</v>
      </c>
      <c r="Q1219" s="3457">
        <v>361474</v>
      </c>
      <c r="R1219" s="3470">
        <v>7450</v>
      </c>
      <c r="S1219" s="3472">
        <v>35.92</v>
      </c>
      <c r="T1219" s="3527">
        <v>359200</v>
      </c>
      <c r="U1219" s="3495">
        <v>7405</v>
      </c>
      <c r="V1219" s="3474">
        <v>0.1</v>
      </c>
      <c r="W1219" s="3475">
        <v>32.32</v>
      </c>
      <c r="X1219" s="3473">
        <v>323200</v>
      </c>
      <c r="Y1219" s="3495">
        <v>2003</v>
      </c>
      <c r="Z1219" s="3441">
        <v>12</v>
      </c>
      <c r="AA1219" s="3441">
        <v>24</v>
      </c>
      <c r="AB1219" s="3477">
        <v>1795</v>
      </c>
      <c r="AC1219" s="3470" t="s">
        <v>9413</v>
      </c>
      <c r="AD1219" s="3485"/>
      <c r="AE1219" s="3441" t="s">
        <v>3663</v>
      </c>
      <c r="AF1219" s="3470" t="s">
        <v>4126</v>
      </c>
      <c r="AG1219" s="3522" t="s">
        <v>3466</v>
      </c>
      <c r="AH1219" s="3485"/>
      <c r="AI1219" s="3470" t="s">
        <v>5021</v>
      </c>
      <c r="AJ1219" s="3523">
        <v>38107</v>
      </c>
      <c r="AK1219" s="3612" t="s">
        <v>3467</v>
      </c>
      <c r="AL1219" s="3441">
        <v>67641700</v>
      </c>
      <c r="AN1219" s="3480" t="s">
        <v>3680</v>
      </c>
      <c r="AO1219" s="3470" t="s">
        <v>2420</v>
      </c>
      <c r="AP1219" s="3441" t="s">
        <v>3476</v>
      </c>
      <c r="AQ1219" s="3441" t="s">
        <v>3571</v>
      </c>
      <c r="AW1219" s="3441" t="s">
        <v>3572</v>
      </c>
      <c r="AY1219" s="3524" t="s">
        <v>11440</v>
      </c>
      <c r="AZ1219" s="3470" t="s">
        <v>8795</v>
      </c>
      <c r="BA1219" s="3441" t="s">
        <v>9474</v>
      </c>
      <c r="BB1219" s="3524" t="s">
        <v>8799</v>
      </c>
      <c r="BC1219" s="3441" t="s">
        <v>8800</v>
      </c>
      <c r="BD1219" s="3525" t="s">
        <v>2420</v>
      </c>
      <c r="BE1219" s="3441" t="s">
        <v>2420</v>
      </c>
      <c r="BF1219" s="3526">
        <v>2.8</v>
      </c>
      <c r="BG1219" s="3484">
        <v>37964</v>
      </c>
      <c r="BH1219" s="3441" t="s">
        <v>8801</v>
      </c>
      <c r="BI1219" s="3441" t="s">
        <v>3476</v>
      </c>
      <c r="BJ1219" s="3484">
        <v>37972</v>
      </c>
      <c r="BK1219" s="3484">
        <v>37977</v>
      </c>
      <c r="BL1219" s="3470" t="s">
        <v>3670</v>
      </c>
    </row>
    <row r="1220" spans="1:70" s="3441" customFormat="1" ht="12" hidden="1">
      <c r="A1220" s="3453" t="s">
        <v>11441</v>
      </c>
      <c r="B1220" s="3470" t="s">
        <v>11442</v>
      </c>
      <c r="C1220" s="3481" t="s">
        <v>11443</v>
      </c>
      <c r="D1220" s="3481" t="s">
        <v>11444</v>
      </c>
      <c r="E1220" s="3470" t="s">
        <v>3558</v>
      </c>
      <c r="F1220" s="3528" t="s">
        <v>4645</v>
      </c>
      <c r="G1220" s="3470"/>
      <c r="H1220" s="3470" t="s">
        <v>9881</v>
      </c>
      <c r="I1220" s="3470" t="s">
        <v>4624</v>
      </c>
      <c r="J1220" s="3481" t="s">
        <v>9355</v>
      </c>
      <c r="K1220" s="3470" t="s">
        <v>4649</v>
      </c>
      <c r="L1220" s="3470">
        <v>109.8</v>
      </c>
      <c r="M1220" s="3470">
        <v>6</v>
      </c>
      <c r="N1220" s="3542" t="s">
        <v>3451</v>
      </c>
      <c r="O1220" s="3470">
        <v>86.55</v>
      </c>
      <c r="P1220" s="3470" t="s">
        <v>3452</v>
      </c>
      <c r="Q1220" s="3457">
        <v>809445.6</v>
      </c>
      <c r="R1220" s="3470">
        <v>7372</v>
      </c>
      <c r="S1220" s="3472">
        <v>80.31</v>
      </c>
      <c r="T1220" s="3550">
        <v>803100</v>
      </c>
      <c r="U1220" s="3491">
        <v>7315</v>
      </c>
      <c r="V1220" s="3529">
        <v>0.1</v>
      </c>
      <c r="W1220" s="3475">
        <v>72.27</v>
      </c>
      <c r="X1220" s="3511">
        <v>722700</v>
      </c>
      <c r="Y1220" s="3501">
        <v>2003</v>
      </c>
      <c r="Z1220" s="3441">
        <v>12</v>
      </c>
      <c r="AA1220" s="3441">
        <v>19</v>
      </c>
      <c r="AB1220" s="3477">
        <v>4015</v>
      </c>
      <c r="AC1220" s="3470" t="s">
        <v>9007</v>
      </c>
      <c r="AD1220" s="3485"/>
      <c r="AE1220" s="3441" t="s">
        <v>3663</v>
      </c>
      <c r="AF1220" s="3470" t="s">
        <v>4126</v>
      </c>
      <c r="AG1220" s="3522" t="s">
        <v>3466</v>
      </c>
      <c r="AH1220" s="3485"/>
      <c r="AI1220" s="3470" t="s">
        <v>5021</v>
      </c>
      <c r="AJ1220" s="3523">
        <v>38199</v>
      </c>
      <c r="AK1220" s="3612" t="s">
        <v>3467</v>
      </c>
      <c r="AL1220" s="3441">
        <v>67641700</v>
      </c>
      <c r="AN1220" s="3480" t="s">
        <v>3739</v>
      </c>
      <c r="AP1220" s="3441" t="s">
        <v>3476</v>
      </c>
      <c r="AQ1220" s="3441" t="s">
        <v>3571</v>
      </c>
      <c r="AW1220" s="3441" t="s">
        <v>3572</v>
      </c>
      <c r="AX1220" s="3441" t="s">
        <v>3568</v>
      </c>
      <c r="AY1220" s="3524" t="s">
        <v>11445</v>
      </c>
      <c r="AZ1220" s="3441" t="s">
        <v>4654</v>
      </c>
      <c r="BA1220" s="3441" t="s">
        <v>4688</v>
      </c>
      <c r="BB1220" s="3524" t="s">
        <v>4689</v>
      </c>
      <c r="BC1220" s="3441" t="s">
        <v>4656</v>
      </c>
      <c r="BD1220" s="3525">
        <v>100037</v>
      </c>
      <c r="BE1220" s="3441">
        <v>68347718</v>
      </c>
      <c r="BF1220" s="3526">
        <v>2.8</v>
      </c>
      <c r="BG1220" s="3518">
        <v>37944</v>
      </c>
      <c r="BI1220" s="3441" t="s">
        <v>3476</v>
      </c>
      <c r="BJ1220" s="3484">
        <v>37971</v>
      </c>
      <c r="BK1220" s="3518"/>
      <c r="BL1220" s="3470" t="s">
        <v>3670</v>
      </c>
    </row>
    <row r="1221" spans="1:70" s="3441" customFormat="1" ht="12">
      <c r="A1221" s="3485" t="s">
        <v>11446</v>
      </c>
      <c r="B1221" s="3470" t="s">
        <v>11447</v>
      </c>
      <c r="C1221" s="3481" t="s">
        <v>11448</v>
      </c>
      <c r="D1221" s="3481" t="s">
        <v>11449</v>
      </c>
      <c r="E1221" s="3470" t="s">
        <v>2736</v>
      </c>
      <c r="F1221" s="3687" t="s">
        <v>9471</v>
      </c>
      <c r="G1221" s="3470"/>
      <c r="H1221" s="3470" t="s">
        <v>2420</v>
      </c>
      <c r="I1221" s="3470" t="s">
        <v>8778</v>
      </c>
      <c r="J1221" s="3481" t="s">
        <v>11450</v>
      </c>
      <c r="K1221" s="3470" t="s">
        <v>8795</v>
      </c>
      <c r="L1221" s="3470">
        <v>48.03</v>
      </c>
      <c r="M1221" s="3470">
        <v>10</v>
      </c>
      <c r="N1221" s="3470" t="s">
        <v>3678</v>
      </c>
      <c r="O1221" s="3470">
        <v>37.67</v>
      </c>
      <c r="P1221" s="3470" t="s">
        <v>3452</v>
      </c>
      <c r="Q1221" s="3457">
        <v>338611.5</v>
      </c>
      <c r="R1221" s="3470">
        <v>7050</v>
      </c>
      <c r="S1221" s="3472">
        <v>33.57</v>
      </c>
      <c r="T1221" s="3527">
        <v>335700</v>
      </c>
      <c r="U1221" s="3495">
        <v>6990</v>
      </c>
      <c r="V1221" s="3474">
        <v>0.1</v>
      </c>
      <c r="W1221" s="3475">
        <v>30.21</v>
      </c>
      <c r="X1221" s="3473">
        <v>302100</v>
      </c>
      <c r="Y1221" s="3495">
        <v>2003</v>
      </c>
      <c r="Z1221" s="3441">
        <v>12</v>
      </c>
      <c r="AA1221" s="3470">
        <v>19</v>
      </c>
      <c r="AB1221" s="3477">
        <v>1675</v>
      </c>
      <c r="AC1221" s="3470" t="s">
        <v>9413</v>
      </c>
      <c r="AD1221" s="3485"/>
      <c r="AE1221" s="3441" t="s">
        <v>3663</v>
      </c>
      <c r="AF1221" s="3470" t="s">
        <v>4126</v>
      </c>
      <c r="AG1221" s="3522" t="s">
        <v>3466</v>
      </c>
      <c r="AH1221" s="3485"/>
      <c r="AI1221" s="3470" t="s">
        <v>5021</v>
      </c>
      <c r="AJ1221" s="3523">
        <v>38107</v>
      </c>
      <c r="AK1221" s="3612" t="s">
        <v>3467</v>
      </c>
      <c r="AL1221" s="3441">
        <v>67641700</v>
      </c>
      <c r="AN1221" s="3480" t="s">
        <v>3739</v>
      </c>
      <c r="AO1221" s="3470" t="s">
        <v>2420</v>
      </c>
      <c r="AP1221" s="3441" t="s">
        <v>3476</v>
      </c>
      <c r="AQ1221" s="3441" t="s">
        <v>3571</v>
      </c>
      <c r="AW1221" s="3441" t="s">
        <v>3572</v>
      </c>
      <c r="AY1221" s="3524" t="s">
        <v>11451</v>
      </c>
      <c r="AZ1221" s="3470" t="s">
        <v>8795</v>
      </c>
      <c r="BA1221" s="3441" t="s">
        <v>9474</v>
      </c>
      <c r="BB1221" s="3524" t="s">
        <v>8799</v>
      </c>
      <c r="BC1221" s="3441" t="s">
        <v>8800</v>
      </c>
      <c r="BD1221" s="3525" t="s">
        <v>2420</v>
      </c>
      <c r="BE1221" s="3441" t="s">
        <v>2420</v>
      </c>
      <c r="BF1221" s="3526">
        <v>2.8</v>
      </c>
      <c r="BG1221" s="3484">
        <v>37952</v>
      </c>
      <c r="BH1221" s="3441" t="s">
        <v>8801</v>
      </c>
      <c r="BI1221" s="3441" t="s">
        <v>3476</v>
      </c>
      <c r="BJ1221" s="3484">
        <v>37971</v>
      </c>
      <c r="BK1221" s="3484">
        <v>37966</v>
      </c>
      <c r="BL1221" s="3470" t="s">
        <v>3670</v>
      </c>
    </row>
    <row r="1222" spans="1:70" s="3470" customFormat="1" ht="12" hidden="1">
      <c r="A1222" s="3470" t="s">
        <v>11452</v>
      </c>
      <c r="B1222" s="3470" t="s">
        <v>11453</v>
      </c>
      <c r="C1222" s="3481" t="s">
        <v>11454</v>
      </c>
      <c r="D1222" s="3470" t="s">
        <v>11455</v>
      </c>
      <c r="E1222" s="3470" t="s">
        <v>3558</v>
      </c>
      <c r="F1222" s="3470" t="s">
        <v>3613</v>
      </c>
      <c r="H1222" s="3453" t="s">
        <v>5600</v>
      </c>
      <c r="I1222" s="3453" t="s">
        <v>4854</v>
      </c>
      <c r="J1222" s="3453" t="s">
        <v>4042</v>
      </c>
      <c r="K1222" s="3470" t="s">
        <v>3968</v>
      </c>
      <c r="L1222" s="3495">
        <v>145.04</v>
      </c>
      <c r="M1222" s="3495">
        <v>3</v>
      </c>
      <c r="N1222" s="3470" t="s">
        <v>4003</v>
      </c>
      <c r="O1222" s="3495">
        <v>132.36000000000001</v>
      </c>
      <c r="P1222" s="3470" t="s">
        <v>3452</v>
      </c>
      <c r="Q1222" s="3457">
        <v>715047.2</v>
      </c>
      <c r="R1222" s="3470">
        <v>4930</v>
      </c>
      <c r="S1222" s="3472">
        <v>70.77</v>
      </c>
      <c r="T1222" s="3550">
        <v>707700</v>
      </c>
      <c r="U1222" s="3470">
        <v>4880</v>
      </c>
      <c r="V1222" s="3474">
        <v>0.05</v>
      </c>
      <c r="W1222" s="3475">
        <v>67.23</v>
      </c>
      <c r="X1222" s="3511">
        <v>672300</v>
      </c>
      <c r="Y1222" s="3441">
        <v>2003</v>
      </c>
      <c r="Z1222" s="3441">
        <v>12</v>
      </c>
      <c r="AA1222" s="3470">
        <v>22</v>
      </c>
      <c r="AB1222" s="3485">
        <v>3535</v>
      </c>
      <c r="AC1222" s="3470" t="s">
        <v>4761</v>
      </c>
      <c r="AE1222" s="3441" t="s">
        <v>3663</v>
      </c>
      <c r="AF1222" s="3454" t="s">
        <v>3453</v>
      </c>
      <c r="AG1222" s="3470" t="s">
        <v>3466</v>
      </c>
      <c r="AI1222" s="3470" t="s">
        <v>3664</v>
      </c>
      <c r="AJ1222" s="3478">
        <v>37894</v>
      </c>
      <c r="AK1222" s="3612" t="s">
        <v>3467</v>
      </c>
      <c r="AL1222" s="3441">
        <v>67641700</v>
      </c>
      <c r="AN1222" s="3480" t="s">
        <v>3484</v>
      </c>
      <c r="AP1222" s="3441" t="s">
        <v>3476</v>
      </c>
      <c r="AQ1222" s="3456" t="s">
        <v>3571</v>
      </c>
      <c r="AV1222" s="3519"/>
      <c r="AW1222" s="3470" t="s">
        <v>3572</v>
      </c>
      <c r="AY1222" s="3495">
        <v>331280</v>
      </c>
      <c r="AZ1222" s="3470" t="s">
        <v>3968</v>
      </c>
      <c r="BA1222" s="3470" t="s">
        <v>3971</v>
      </c>
      <c r="BB1222" s="3470" t="s">
        <v>3972</v>
      </c>
      <c r="BC1222" s="3470" t="s">
        <v>3973</v>
      </c>
      <c r="BD1222" s="3470">
        <v>100096</v>
      </c>
      <c r="BE1222" s="3470">
        <v>82919961</v>
      </c>
      <c r="BF1222" s="3520">
        <v>2.9</v>
      </c>
      <c r="BG1222" s="3478">
        <v>37955</v>
      </c>
      <c r="BI1222" s="3441" t="s">
        <v>8007</v>
      </c>
      <c r="BJ1222" s="3478">
        <v>37972</v>
      </c>
      <c r="BK1222" s="3478"/>
      <c r="BL1222" s="3441" t="s">
        <v>3670</v>
      </c>
      <c r="BM1222" s="3441"/>
      <c r="BN1222" s="3441"/>
      <c r="BO1222" s="3441"/>
      <c r="BP1222" s="3441"/>
      <c r="BQ1222" s="3441"/>
      <c r="BR1222" s="3441"/>
    </row>
    <row r="1223" spans="1:70" s="3441" customFormat="1" ht="12" hidden="1">
      <c r="A1223" s="3485" t="s">
        <v>11456</v>
      </c>
      <c r="B1223" s="3470" t="s">
        <v>11457</v>
      </c>
      <c r="C1223" s="3481" t="s">
        <v>11458</v>
      </c>
      <c r="D1223" s="3481" t="s">
        <v>11459</v>
      </c>
      <c r="E1223" s="3470" t="s">
        <v>3558</v>
      </c>
      <c r="F1223" s="3470" t="s">
        <v>7771</v>
      </c>
      <c r="G1223" s="3470"/>
      <c r="H1223" s="3470" t="s">
        <v>7772</v>
      </c>
      <c r="I1223" s="3470" t="s">
        <v>3726</v>
      </c>
      <c r="J1223" s="3481" t="s">
        <v>11460</v>
      </c>
      <c r="K1223" s="3470" t="s">
        <v>11461</v>
      </c>
      <c r="L1223" s="3470">
        <v>83.93</v>
      </c>
      <c r="M1223" s="3470">
        <v>4</v>
      </c>
      <c r="N1223" s="3470" t="s">
        <v>4030</v>
      </c>
      <c r="O1223" s="3470">
        <v>71.77</v>
      </c>
      <c r="P1223" s="3470" t="s">
        <v>3452</v>
      </c>
      <c r="Q1223" s="3492">
        <v>426999.7501</v>
      </c>
      <c r="R1223" s="3470">
        <v>5087.57</v>
      </c>
      <c r="S1223" s="3472">
        <v>42.28</v>
      </c>
      <c r="T1223" s="3527">
        <v>422800</v>
      </c>
      <c r="U1223" s="3470">
        <v>5038</v>
      </c>
      <c r="V1223" s="3474">
        <v>0.1</v>
      </c>
      <c r="W1223" s="3475">
        <v>38.049999999999997</v>
      </c>
      <c r="X1223" s="3511">
        <v>380500</v>
      </c>
      <c r="Y1223" s="3441">
        <v>2003</v>
      </c>
      <c r="Z1223" s="3441">
        <v>12</v>
      </c>
      <c r="AA1223" s="3470">
        <v>22</v>
      </c>
      <c r="AB1223" s="3477">
        <v>2110</v>
      </c>
      <c r="AC1223" s="3470" t="s">
        <v>9077</v>
      </c>
      <c r="AD1223" s="3485"/>
      <c r="AE1223" s="3441" t="s">
        <v>3663</v>
      </c>
      <c r="AF1223" s="3470" t="s">
        <v>3604</v>
      </c>
      <c r="AG1223" s="3522" t="s">
        <v>3466</v>
      </c>
      <c r="AH1223" s="3485" t="s">
        <v>3568</v>
      </c>
      <c r="AI1223" s="3470" t="s">
        <v>5021</v>
      </c>
      <c r="AJ1223" s="3523">
        <v>38077</v>
      </c>
      <c r="AK1223" s="3612" t="s">
        <v>3467</v>
      </c>
      <c r="AL1223" s="3441">
        <v>67641700</v>
      </c>
      <c r="AN1223" s="3480" t="s">
        <v>3680</v>
      </c>
      <c r="AO1223" s="3470" t="s">
        <v>2420</v>
      </c>
      <c r="AP1223" s="3441" t="s">
        <v>3476</v>
      </c>
      <c r="AQ1223" s="3441" t="s">
        <v>3571</v>
      </c>
      <c r="AU1223" s="3441" t="s">
        <v>3568</v>
      </c>
      <c r="AW1223" s="3441" t="s">
        <v>3572</v>
      </c>
      <c r="AY1223" s="3524" t="s">
        <v>11462</v>
      </c>
      <c r="AZ1223" s="3470" t="s">
        <v>11461</v>
      </c>
      <c r="BA1223" s="3441" t="s">
        <v>11463</v>
      </c>
      <c r="BB1223" s="3524" t="s">
        <v>11464</v>
      </c>
      <c r="BC1223" s="3441" t="s">
        <v>11465</v>
      </c>
      <c r="BD1223" s="3525">
        <v>101200</v>
      </c>
      <c r="BE1223" s="3441">
        <v>62943728</v>
      </c>
      <c r="BF1223" s="3526">
        <v>2.7</v>
      </c>
      <c r="BG1223" s="3518">
        <v>37957</v>
      </c>
      <c r="BH1223" s="3441" t="s">
        <v>7648</v>
      </c>
      <c r="BI1223" s="3441" t="s">
        <v>3476</v>
      </c>
      <c r="BJ1223" s="3518">
        <v>37973</v>
      </c>
      <c r="BK1223" s="3518"/>
      <c r="BL1223" s="3470" t="s">
        <v>3670</v>
      </c>
    </row>
    <row r="1224" spans="1:70" s="3441" customFormat="1" ht="12" hidden="1">
      <c r="A1224" s="3485" t="s">
        <v>11466</v>
      </c>
      <c r="B1224" s="3470" t="s">
        <v>11467</v>
      </c>
      <c r="C1224" s="3481" t="s">
        <v>11468</v>
      </c>
      <c r="D1224" s="3481" t="s">
        <v>11469</v>
      </c>
      <c r="E1224" s="3470" t="s">
        <v>3558</v>
      </c>
      <c r="F1224" s="3528" t="s">
        <v>7652</v>
      </c>
      <c r="G1224" s="3470"/>
      <c r="H1224" s="3470" t="s">
        <v>10114</v>
      </c>
      <c r="I1224" s="3470" t="s">
        <v>4581</v>
      </c>
      <c r="J1224" s="3481" t="s">
        <v>4325</v>
      </c>
      <c r="K1224" s="3470" t="s">
        <v>6369</v>
      </c>
      <c r="L1224" s="3470">
        <v>66.73</v>
      </c>
      <c r="M1224" s="3470">
        <v>5</v>
      </c>
      <c r="N1224" s="3470" t="s">
        <v>3489</v>
      </c>
      <c r="O1224" s="3470">
        <v>52.64</v>
      </c>
      <c r="P1224" s="3470" t="s">
        <v>3452</v>
      </c>
      <c r="Q1224" s="3457">
        <v>295613.90000000002</v>
      </c>
      <c r="R1224" s="3470">
        <v>4430</v>
      </c>
      <c r="S1224" s="3472">
        <v>29.22</v>
      </c>
      <c r="T1224" s="3527">
        <v>292200</v>
      </c>
      <c r="U1224" s="3470">
        <v>4380</v>
      </c>
      <c r="V1224" s="3512">
        <v>0.1</v>
      </c>
      <c r="W1224" s="3475">
        <v>26.29</v>
      </c>
      <c r="X1224" s="3473">
        <v>262900</v>
      </c>
      <c r="Y1224" s="3441">
        <v>2003</v>
      </c>
      <c r="Z1224" s="3441">
        <v>12</v>
      </c>
      <c r="AA1224" s="3470">
        <v>22</v>
      </c>
      <c r="AB1224" s="3485">
        <v>1460</v>
      </c>
      <c r="AC1224" s="3470" t="s">
        <v>9077</v>
      </c>
      <c r="AD1224" s="3485"/>
      <c r="AE1224" s="3441" t="s">
        <v>3663</v>
      </c>
      <c r="AF1224" s="3470" t="s">
        <v>4721</v>
      </c>
      <c r="AG1224" s="3522" t="s">
        <v>3466</v>
      </c>
      <c r="AH1224" s="3485" t="s">
        <v>3568</v>
      </c>
      <c r="AI1224" s="3470" t="s">
        <v>5021</v>
      </c>
      <c r="AJ1224" s="3535">
        <v>38123</v>
      </c>
      <c r="AK1224" s="3612" t="s">
        <v>3467</v>
      </c>
      <c r="AL1224" s="3441">
        <v>67641700</v>
      </c>
      <c r="AN1224" s="3480" t="s">
        <v>3680</v>
      </c>
      <c r="AP1224" s="3441" t="s">
        <v>3476</v>
      </c>
      <c r="AQ1224" s="3441" t="s">
        <v>3571</v>
      </c>
      <c r="AV1224" s="3441" t="s">
        <v>3568</v>
      </c>
      <c r="AW1224" s="3441" t="s">
        <v>3572</v>
      </c>
      <c r="AY1224" s="3524" t="s">
        <v>11470</v>
      </c>
      <c r="AZ1224" s="3441" t="s">
        <v>6369</v>
      </c>
      <c r="BA1224" s="3441" t="s">
        <v>7655</v>
      </c>
      <c r="BB1224" s="3524" t="s">
        <v>7656</v>
      </c>
      <c r="BC1224" s="3441" t="s">
        <v>7657</v>
      </c>
      <c r="BD1224" s="3525">
        <v>100025</v>
      </c>
      <c r="BE1224" s="3441">
        <v>62908858</v>
      </c>
      <c r="BF1224" s="3526">
        <v>2.7</v>
      </c>
      <c r="BG1224" s="3518">
        <v>37955</v>
      </c>
      <c r="BH1224" s="3441" t="s">
        <v>4681</v>
      </c>
      <c r="BI1224" s="3441" t="s">
        <v>3476</v>
      </c>
      <c r="BJ1224" s="3478">
        <v>37972</v>
      </c>
      <c r="BK1224" s="3484"/>
      <c r="BL1224" s="3470" t="s">
        <v>3670</v>
      </c>
    </row>
    <row r="1225" spans="1:70" s="3441" customFormat="1" ht="12" hidden="1">
      <c r="A1225" s="3485" t="s">
        <v>11471</v>
      </c>
      <c r="B1225" s="3470" t="s">
        <v>11472</v>
      </c>
      <c r="C1225" s="3481" t="s">
        <v>11473</v>
      </c>
      <c r="D1225" s="3481" t="s">
        <v>11474</v>
      </c>
      <c r="E1225" s="3470" t="s">
        <v>3558</v>
      </c>
      <c r="F1225" s="3528" t="s">
        <v>3733</v>
      </c>
      <c r="G1225" s="3470"/>
      <c r="H1225" s="3470" t="s">
        <v>11313</v>
      </c>
      <c r="I1225" s="3470" t="s">
        <v>4447</v>
      </c>
      <c r="J1225" s="3470" t="s">
        <v>5263</v>
      </c>
      <c r="K1225" s="3470" t="s">
        <v>3737</v>
      </c>
      <c r="L1225" s="3470">
        <v>88.67</v>
      </c>
      <c r="M1225" s="3470">
        <v>12</v>
      </c>
      <c r="N1225" s="3453" t="s">
        <v>3491</v>
      </c>
      <c r="O1225" s="3470">
        <v>71.09</v>
      </c>
      <c r="P1225" s="3470" t="s">
        <v>3452</v>
      </c>
      <c r="Q1225" s="3492">
        <v>586108.69999999995</v>
      </c>
      <c r="R1225" s="3470">
        <v>6610</v>
      </c>
      <c r="S1225" s="3472">
        <v>58.07</v>
      </c>
      <c r="T1225" s="3527">
        <v>580700</v>
      </c>
      <c r="U1225" s="3470">
        <v>6550</v>
      </c>
      <c r="V1225" s="3474">
        <v>0.1</v>
      </c>
      <c r="W1225" s="3475">
        <v>52.26</v>
      </c>
      <c r="X1225" s="3494">
        <v>522600</v>
      </c>
      <c r="Y1225" s="3441">
        <v>2003</v>
      </c>
      <c r="Z1225" s="3441">
        <v>12</v>
      </c>
      <c r="AA1225" s="3470">
        <v>22</v>
      </c>
      <c r="AB1225" s="3477">
        <v>2900</v>
      </c>
      <c r="AC1225" s="3470" t="s">
        <v>9007</v>
      </c>
      <c r="AD1225" s="3485"/>
      <c r="AE1225" s="3441" t="s">
        <v>3663</v>
      </c>
      <c r="AF1225" s="3470" t="s">
        <v>3604</v>
      </c>
      <c r="AG1225" s="3522" t="s">
        <v>3466</v>
      </c>
      <c r="AH1225" s="3485" t="s">
        <v>2420</v>
      </c>
      <c r="AI1225" s="3470" t="s">
        <v>5021</v>
      </c>
      <c r="AJ1225" s="3523">
        <v>38117</v>
      </c>
      <c r="AK1225" s="3612" t="s">
        <v>3467</v>
      </c>
      <c r="AL1225" s="3441">
        <v>67641700</v>
      </c>
      <c r="AN1225" s="3480" t="s">
        <v>3680</v>
      </c>
      <c r="AO1225" s="3470" t="s">
        <v>2420</v>
      </c>
      <c r="AP1225" s="3441" t="s">
        <v>3476</v>
      </c>
      <c r="AQ1225" s="3441" t="s">
        <v>3571</v>
      </c>
      <c r="AW1225" s="3441" t="s">
        <v>3572</v>
      </c>
      <c r="AY1225" s="3524" t="s">
        <v>11475</v>
      </c>
      <c r="AZ1225" s="3441" t="s">
        <v>3737</v>
      </c>
      <c r="BA1225" s="3441" t="s">
        <v>3742</v>
      </c>
      <c r="BB1225" s="3524" t="s">
        <v>3743</v>
      </c>
      <c r="BC1225" s="3441" t="s">
        <v>3744</v>
      </c>
      <c r="BD1225" s="3525">
        <v>100088</v>
      </c>
      <c r="BE1225" s="3441">
        <v>82058259</v>
      </c>
      <c r="BF1225" s="3526" t="s">
        <v>8595</v>
      </c>
      <c r="BG1225" s="3478">
        <v>37965</v>
      </c>
      <c r="BH1225" s="3441" t="s">
        <v>4753</v>
      </c>
      <c r="BI1225" s="3441" t="s">
        <v>3476</v>
      </c>
      <c r="BJ1225" s="3518">
        <v>37974</v>
      </c>
      <c r="BK1225" s="3484" t="s">
        <v>2420</v>
      </c>
      <c r="BL1225" s="3470" t="s">
        <v>3670</v>
      </c>
    </row>
    <row r="1226" spans="1:70" s="3441" customFormat="1" ht="12" hidden="1">
      <c r="A1226" s="3485" t="s">
        <v>11476</v>
      </c>
      <c r="B1226" s="3470" t="s">
        <v>11477</v>
      </c>
      <c r="C1226" s="3481" t="s">
        <v>11478</v>
      </c>
      <c r="D1226" s="3481" t="s">
        <v>11479</v>
      </c>
      <c r="E1226" s="3470" t="s">
        <v>3558</v>
      </c>
      <c r="F1226" s="3470" t="s">
        <v>7771</v>
      </c>
      <c r="G1226" s="3470"/>
      <c r="H1226" s="3470" t="s">
        <v>7772</v>
      </c>
      <c r="I1226" s="3470" t="s">
        <v>4309</v>
      </c>
      <c r="J1226" s="3481" t="s">
        <v>11480</v>
      </c>
      <c r="K1226" s="3470" t="s">
        <v>11461</v>
      </c>
      <c r="L1226" s="3470">
        <v>83.93</v>
      </c>
      <c r="M1226" s="3470">
        <v>8</v>
      </c>
      <c r="N1226" s="3470" t="s">
        <v>4030</v>
      </c>
      <c r="O1226" s="3470">
        <v>71.77</v>
      </c>
      <c r="P1226" s="3470" t="s">
        <v>3452</v>
      </c>
      <c r="Q1226" s="3492">
        <v>464132.9</v>
      </c>
      <c r="R1226" s="3470">
        <v>5530</v>
      </c>
      <c r="S1226" s="3472">
        <v>45.99</v>
      </c>
      <c r="T1226" s="3527">
        <v>459900</v>
      </c>
      <c r="U1226" s="3470">
        <v>5480</v>
      </c>
      <c r="V1226" s="3474">
        <v>0.1</v>
      </c>
      <c r="W1226" s="3475">
        <v>41.39</v>
      </c>
      <c r="X1226" s="3511">
        <v>413900</v>
      </c>
      <c r="Y1226" s="3441">
        <v>2003</v>
      </c>
      <c r="Z1226" s="3441">
        <v>12</v>
      </c>
      <c r="AA1226" s="3470">
        <v>22</v>
      </c>
      <c r="AB1226" s="3477">
        <v>2295</v>
      </c>
      <c r="AC1226" s="3470" t="s">
        <v>9007</v>
      </c>
      <c r="AD1226" s="3485"/>
      <c r="AE1226" s="3441" t="s">
        <v>3663</v>
      </c>
      <c r="AF1226" s="3470" t="s">
        <v>3604</v>
      </c>
      <c r="AG1226" s="3522" t="s">
        <v>3466</v>
      </c>
      <c r="AH1226" s="3485" t="s">
        <v>3568</v>
      </c>
      <c r="AI1226" s="3470" t="s">
        <v>5021</v>
      </c>
      <c r="AJ1226" s="3523">
        <v>38077</v>
      </c>
      <c r="AK1226" s="3612" t="s">
        <v>3467</v>
      </c>
      <c r="AL1226" s="3441">
        <v>67641700</v>
      </c>
      <c r="AN1226" s="3480" t="s">
        <v>3680</v>
      </c>
      <c r="AO1226" s="3470" t="s">
        <v>2420</v>
      </c>
      <c r="AP1226" s="3441" t="s">
        <v>3476</v>
      </c>
      <c r="AQ1226" s="3441" t="s">
        <v>3571</v>
      </c>
      <c r="AU1226" s="3441" t="s">
        <v>3568</v>
      </c>
      <c r="AW1226" s="3441" t="s">
        <v>3572</v>
      </c>
      <c r="AY1226" s="3524" t="s">
        <v>11481</v>
      </c>
      <c r="AZ1226" s="3470" t="s">
        <v>11461</v>
      </c>
      <c r="BA1226" s="3441" t="s">
        <v>11463</v>
      </c>
      <c r="BB1226" s="3524" t="s">
        <v>11464</v>
      </c>
      <c r="BC1226" s="3441" t="s">
        <v>11465</v>
      </c>
      <c r="BD1226" s="3525">
        <v>101200</v>
      </c>
      <c r="BE1226" s="3441">
        <v>62943728</v>
      </c>
      <c r="BF1226" s="3526">
        <v>2.7</v>
      </c>
      <c r="BG1226" s="3518">
        <v>37956</v>
      </c>
      <c r="BH1226" s="3441" t="s">
        <v>7648</v>
      </c>
      <c r="BI1226" s="3441" t="s">
        <v>3476</v>
      </c>
      <c r="BJ1226" s="3518">
        <v>37973</v>
      </c>
      <c r="BK1226" s="3518"/>
      <c r="BL1226" s="3470" t="s">
        <v>3670</v>
      </c>
    </row>
    <row r="1227" spans="1:70" s="3441" customFormat="1" ht="12" hidden="1">
      <c r="A1227" s="3453" t="s">
        <v>11482</v>
      </c>
      <c r="B1227" s="3470" t="s">
        <v>11483</v>
      </c>
      <c r="C1227" s="3481" t="s">
        <v>11484</v>
      </c>
      <c r="D1227" s="3481" t="s">
        <v>11485</v>
      </c>
      <c r="E1227" s="3470" t="s">
        <v>3558</v>
      </c>
      <c r="F1227" s="3528" t="s">
        <v>4645</v>
      </c>
      <c r="G1227" s="3470"/>
      <c r="H1227" s="3470" t="s">
        <v>9611</v>
      </c>
      <c r="I1227" s="3470" t="s">
        <v>4535</v>
      </c>
      <c r="J1227" s="3481" t="s">
        <v>11486</v>
      </c>
      <c r="K1227" s="3470" t="s">
        <v>4649</v>
      </c>
      <c r="L1227" s="3470">
        <v>89.07</v>
      </c>
      <c r="M1227" s="3470">
        <v>3</v>
      </c>
      <c r="N1227" s="3542" t="s">
        <v>3489</v>
      </c>
      <c r="O1227" s="3470">
        <v>70.209999999999994</v>
      </c>
      <c r="P1227" s="3470" t="s">
        <v>3452</v>
      </c>
      <c r="Q1227" s="3457">
        <v>610307.6399999999</v>
      </c>
      <c r="R1227" s="3470">
        <v>6852</v>
      </c>
      <c r="S1227" s="3472">
        <v>60.49</v>
      </c>
      <c r="T1227" s="3550">
        <v>604900</v>
      </c>
      <c r="U1227" s="3491">
        <v>6792</v>
      </c>
      <c r="V1227" s="3529">
        <v>0.1</v>
      </c>
      <c r="W1227" s="3475">
        <v>54.44</v>
      </c>
      <c r="X1227" s="3511">
        <v>544400</v>
      </c>
      <c r="Y1227" s="3501">
        <v>2003</v>
      </c>
      <c r="Z1227" s="3441">
        <v>12</v>
      </c>
      <c r="AA1227" s="3470">
        <v>22</v>
      </c>
      <c r="AB1227" s="3477">
        <v>3020</v>
      </c>
      <c r="AC1227" s="3470" t="s">
        <v>9007</v>
      </c>
      <c r="AD1227" s="3485"/>
      <c r="AE1227" s="3441" t="s">
        <v>3663</v>
      </c>
      <c r="AF1227" s="3470" t="s">
        <v>4126</v>
      </c>
      <c r="AG1227" s="3522" t="s">
        <v>3466</v>
      </c>
      <c r="AH1227" s="3485"/>
      <c r="AI1227" s="3470" t="s">
        <v>5021</v>
      </c>
      <c r="AJ1227" s="3523">
        <v>38199</v>
      </c>
      <c r="AK1227" s="3612" t="s">
        <v>3467</v>
      </c>
      <c r="AL1227" s="3441">
        <v>67641700</v>
      </c>
      <c r="AN1227" s="3480" t="s">
        <v>3680</v>
      </c>
      <c r="AP1227" s="3441" t="s">
        <v>3476</v>
      </c>
      <c r="AQ1227" s="3441" t="s">
        <v>3571</v>
      </c>
      <c r="AW1227" s="3441" t="s">
        <v>3572</v>
      </c>
      <c r="AX1227" s="3441" t="s">
        <v>3568</v>
      </c>
      <c r="AY1227" s="3524" t="s">
        <v>11487</v>
      </c>
      <c r="AZ1227" s="3441" t="s">
        <v>4654</v>
      </c>
      <c r="BA1227" s="3441" t="s">
        <v>4688</v>
      </c>
      <c r="BB1227" s="3524" t="s">
        <v>4689</v>
      </c>
      <c r="BC1227" s="3441" t="s">
        <v>4656</v>
      </c>
      <c r="BD1227" s="3525">
        <v>100037</v>
      </c>
      <c r="BE1227" s="3441">
        <v>68347718</v>
      </c>
      <c r="BF1227" s="3526">
        <v>2.8</v>
      </c>
      <c r="BG1227" s="3518">
        <v>37942</v>
      </c>
      <c r="BI1227" s="3441" t="s">
        <v>3476</v>
      </c>
      <c r="BJ1227" s="3518">
        <v>37974</v>
      </c>
      <c r="BK1227" s="3518"/>
      <c r="BL1227" s="3470" t="s">
        <v>3670</v>
      </c>
    </row>
    <row r="1228" spans="1:70" s="3441" customFormat="1" ht="12">
      <c r="A1228" s="3485" t="s">
        <v>11488</v>
      </c>
      <c r="B1228" s="3470" t="s">
        <v>11489</v>
      </c>
      <c r="C1228" s="3481" t="s">
        <v>11490</v>
      </c>
      <c r="D1228" s="3481" t="s">
        <v>11491</v>
      </c>
      <c r="E1228" s="3470" t="s">
        <v>2736</v>
      </c>
      <c r="F1228" s="3687" t="s">
        <v>9471</v>
      </c>
      <c r="G1228" s="3470"/>
      <c r="H1228" s="3470" t="s">
        <v>2420</v>
      </c>
      <c r="I1228" s="3470" t="s">
        <v>4707</v>
      </c>
      <c r="J1228" s="3481" t="s">
        <v>3831</v>
      </c>
      <c r="K1228" s="3470" t="s">
        <v>8795</v>
      </c>
      <c r="L1228" s="3470">
        <v>48.52</v>
      </c>
      <c r="M1228" s="3470">
        <v>14</v>
      </c>
      <c r="N1228" s="3470" t="s">
        <v>3678</v>
      </c>
      <c r="O1228" s="3470">
        <v>37.67</v>
      </c>
      <c r="P1228" s="3470" t="s">
        <v>3452</v>
      </c>
      <c r="Q1228" s="3457">
        <v>361474</v>
      </c>
      <c r="R1228" s="3470">
        <v>7450</v>
      </c>
      <c r="S1228" s="3472">
        <v>35.869999999999997</v>
      </c>
      <c r="T1228" s="3527">
        <v>358700</v>
      </c>
      <c r="U1228" s="3495">
        <v>7394</v>
      </c>
      <c r="V1228" s="3474">
        <v>0.1</v>
      </c>
      <c r="W1228" s="3475">
        <v>32.28</v>
      </c>
      <c r="X1228" s="3473">
        <v>322800</v>
      </c>
      <c r="Y1228" s="3495">
        <v>2003</v>
      </c>
      <c r="Z1228" s="3441">
        <v>12</v>
      </c>
      <c r="AA1228" s="3441">
        <v>24</v>
      </c>
      <c r="AB1228" s="3477">
        <v>1790</v>
      </c>
      <c r="AC1228" s="3470" t="s">
        <v>9413</v>
      </c>
      <c r="AD1228" s="3485"/>
      <c r="AE1228" s="3441" t="s">
        <v>3663</v>
      </c>
      <c r="AF1228" s="3470" t="s">
        <v>4126</v>
      </c>
      <c r="AG1228" s="3522" t="s">
        <v>3466</v>
      </c>
      <c r="AH1228" s="3485"/>
      <c r="AI1228" s="3470" t="s">
        <v>5021</v>
      </c>
      <c r="AJ1228" s="3523">
        <v>38107</v>
      </c>
      <c r="AK1228" s="3612" t="s">
        <v>3467</v>
      </c>
      <c r="AL1228" s="3441">
        <v>67641700</v>
      </c>
      <c r="AN1228" s="3480" t="s">
        <v>3680</v>
      </c>
      <c r="AO1228" s="3470" t="s">
        <v>2420</v>
      </c>
      <c r="AP1228" s="3441" t="s">
        <v>3476</v>
      </c>
      <c r="AQ1228" s="3441" t="s">
        <v>3571</v>
      </c>
      <c r="AW1228" s="3441" t="s">
        <v>3572</v>
      </c>
      <c r="AY1228" s="3524" t="s">
        <v>11492</v>
      </c>
      <c r="AZ1228" s="3470" t="s">
        <v>8795</v>
      </c>
      <c r="BA1228" s="3441" t="s">
        <v>9474</v>
      </c>
      <c r="BB1228" s="3524" t="s">
        <v>8799</v>
      </c>
      <c r="BC1228" s="3441" t="s">
        <v>8800</v>
      </c>
      <c r="BD1228" s="3525" t="s">
        <v>2420</v>
      </c>
      <c r="BE1228" s="3441" t="s">
        <v>2420</v>
      </c>
      <c r="BF1228" s="3526">
        <v>2.8</v>
      </c>
      <c r="BG1228" s="3484">
        <v>37971</v>
      </c>
      <c r="BH1228" s="3441" t="s">
        <v>8801</v>
      </c>
      <c r="BI1228" s="3441" t="s">
        <v>3476</v>
      </c>
      <c r="BJ1228" s="3484">
        <v>37973</v>
      </c>
      <c r="BK1228" s="3484">
        <v>37977</v>
      </c>
      <c r="BL1228" s="3470" t="s">
        <v>3670</v>
      </c>
    </row>
    <row r="1229" spans="1:70" s="3441" customFormat="1" ht="12" hidden="1">
      <c r="A1229" s="3453" t="s">
        <v>11493</v>
      </c>
      <c r="B1229" s="3470" t="s">
        <v>11494</v>
      </c>
      <c r="C1229" s="3481" t="s">
        <v>11495</v>
      </c>
      <c r="D1229" s="3481" t="s">
        <v>11496</v>
      </c>
      <c r="E1229" s="3470" t="s">
        <v>3558</v>
      </c>
      <c r="F1229" s="3470" t="s">
        <v>4693</v>
      </c>
      <c r="G1229" s="3470"/>
      <c r="H1229" s="3470" t="s">
        <v>4453</v>
      </c>
      <c r="I1229" s="3470" t="s">
        <v>4387</v>
      </c>
      <c r="J1229" s="3481" t="s">
        <v>6752</v>
      </c>
      <c r="K1229" s="3470" t="s">
        <v>4697</v>
      </c>
      <c r="L1229" s="3470">
        <v>35.33</v>
      </c>
      <c r="M1229" s="3470">
        <v>7</v>
      </c>
      <c r="N1229" s="3470" t="s">
        <v>3692</v>
      </c>
      <c r="O1229" s="3470">
        <v>26.24</v>
      </c>
      <c r="P1229" s="3470" t="s">
        <v>3452</v>
      </c>
      <c r="Q1229" s="3457">
        <v>292956.36</v>
      </c>
      <c r="R1229" s="3470">
        <v>8292</v>
      </c>
      <c r="S1229" s="3472">
        <v>29.04</v>
      </c>
      <c r="T1229" s="3550">
        <v>290400</v>
      </c>
      <c r="U1229" s="3491">
        <v>8220</v>
      </c>
      <c r="V1229" s="3529">
        <v>0.1</v>
      </c>
      <c r="W1229" s="3475">
        <v>26.13</v>
      </c>
      <c r="X1229" s="3511">
        <v>261300</v>
      </c>
      <c r="Y1229" s="3501">
        <v>2003</v>
      </c>
      <c r="Z1229" s="3441">
        <v>12</v>
      </c>
      <c r="AA1229" s="3470">
        <v>22</v>
      </c>
      <c r="AB1229" s="3477">
        <v>1450</v>
      </c>
      <c r="AC1229" s="3470" t="s">
        <v>8840</v>
      </c>
      <c r="AD1229" s="3485"/>
      <c r="AE1229" s="3441" t="s">
        <v>3663</v>
      </c>
      <c r="AF1229" s="3470" t="s">
        <v>3604</v>
      </c>
      <c r="AG1229" s="3522" t="s">
        <v>3466</v>
      </c>
      <c r="AH1229" s="3485" t="s">
        <v>3463</v>
      </c>
      <c r="AI1229" s="3470" t="s">
        <v>5021</v>
      </c>
      <c r="AJ1229" s="3523">
        <v>38138</v>
      </c>
      <c r="AK1229" s="3612" t="s">
        <v>3467</v>
      </c>
      <c r="AL1229" s="3441">
        <v>67641700</v>
      </c>
      <c r="AN1229" s="3480" t="s">
        <v>3680</v>
      </c>
      <c r="AO1229" s="3470" t="s">
        <v>3568</v>
      </c>
      <c r="AP1229" s="3441" t="s">
        <v>3476</v>
      </c>
      <c r="AQ1229" s="3441" t="s">
        <v>3571</v>
      </c>
      <c r="AV1229" s="3441" t="s">
        <v>3568</v>
      </c>
      <c r="AW1229" s="3441" t="s">
        <v>3572</v>
      </c>
      <c r="AX1229" s="3441" t="s">
        <v>3568</v>
      </c>
      <c r="AY1229" s="3524" t="s">
        <v>11497</v>
      </c>
      <c r="AZ1229" s="3441" t="s">
        <v>4697</v>
      </c>
      <c r="BA1229" s="3441" t="s">
        <v>4700</v>
      </c>
      <c r="BB1229" s="3524" t="s">
        <v>4701</v>
      </c>
      <c r="BC1229" s="3441" t="s">
        <v>4702</v>
      </c>
      <c r="BD1229" s="3525">
        <v>100011</v>
      </c>
      <c r="BE1229" s="3441">
        <v>62351476</v>
      </c>
      <c r="BF1229" s="3526">
        <v>2.8</v>
      </c>
      <c r="BG1229" s="3518">
        <v>37933</v>
      </c>
      <c r="BI1229" s="3470" t="s">
        <v>3476</v>
      </c>
      <c r="BJ1229" s="3518">
        <v>37973</v>
      </c>
      <c r="BK1229" s="3518"/>
      <c r="BL1229" s="3470" t="s">
        <v>3670</v>
      </c>
    </row>
    <row r="1230" spans="1:70" s="3441" customFormat="1" ht="12" hidden="1">
      <c r="A1230" s="3485" t="s">
        <v>11498</v>
      </c>
      <c r="B1230" s="3470" t="s">
        <v>11499</v>
      </c>
      <c r="C1230" s="3481" t="s">
        <v>11500</v>
      </c>
      <c r="D1230" s="3481" t="s">
        <v>11501</v>
      </c>
      <c r="E1230" s="3470" t="s">
        <v>3558</v>
      </c>
      <c r="F1230" s="3470" t="s">
        <v>7771</v>
      </c>
      <c r="G1230" s="3470"/>
      <c r="H1230" s="3470" t="s">
        <v>7772</v>
      </c>
      <c r="I1230" s="3470" t="s">
        <v>4001</v>
      </c>
      <c r="J1230" s="3684" t="s">
        <v>11502</v>
      </c>
      <c r="K1230" s="3470" t="s">
        <v>11461</v>
      </c>
      <c r="L1230" s="3470">
        <v>84.34</v>
      </c>
      <c r="M1230" s="3470">
        <v>3</v>
      </c>
      <c r="N1230" s="3470" t="s">
        <v>4030</v>
      </c>
      <c r="O1230" s="3470">
        <v>72.12</v>
      </c>
      <c r="P1230" s="3470" t="s">
        <v>3452</v>
      </c>
      <c r="Q1230" s="3492">
        <v>432000.44420000003</v>
      </c>
      <c r="R1230" s="3470">
        <v>5122.13</v>
      </c>
      <c r="S1230" s="3472">
        <v>42.77</v>
      </c>
      <c r="T1230" s="3527">
        <v>427700.00000000006</v>
      </c>
      <c r="U1230" s="3470">
        <v>5072</v>
      </c>
      <c r="V1230" s="3474">
        <v>0.1</v>
      </c>
      <c r="W1230" s="3475">
        <v>38.49</v>
      </c>
      <c r="X1230" s="3511">
        <v>384900</v>
      </c>
      <c r="Y1230" s="3441">
        <v>2003</v>
      </c>
      <c r="Z1230" s="3441">
        <v>12</v>
      </c>
      <c r="AA1230" s="3470">
        <v>22</v>
      </c>
      <c r="AB1230" s="3477">
        <v>2135</v>
      </c>
      <c r="AC1230" s="3470" t="s">
        <v>4761</v>
      </c>
      <c r="AD1230" s="3485"/>
      <c r="AE1230" s="3441" t="s">
        <v>3663</v>
      </c>
      <c r="AF1230" s="3470" t="s">
        <v>3604</v>
      </c>
      <c r="AG1230" s="3522" t="s">
        <v>3466</v>
      </c>
      <c r="AH1230" s="3485" t="s">
        <v>3568</v>
      </c>
      <c r="AI1230" s="3470" t="s">
        <v>5021</v>
      </c>
      <c r="AJ1230" s="3523">
        <v>38077</v>
      </c>
      <c r="AK1230" s="3612" t="s">
        <v>3467</v>
      </c>
      <c r="AL1230" s="3441">
        <v>67641700</v>
      </c>
      <c r="AN1230" s="3480" t="s">
        <v>3680</v>
      </c>
      <c r="AO1230" s="3470" t="s">
        <v>2420</v>
      </c>
      <c r="AP1230" s="3441" t="s">
        <v>3476</v>
      </c>
      <c r="AQ1230" s="3441" t="s">
        <v>3571</v>
      </c>
      <c r="AU1230" s="3441" t="s">
        <v>3568</v>
      </c>
      <c r="AW1230" s="3441" t="s">
        <v>3572</v>
      </c>
      <c r="AY1230" s="3524" t="s">
        <v>11503</v>
      </c>
      <c r="AZ1230" s="3470" t="s">
        <v>11461</v>
      </c>
      <c r="BA1230" s="3441" t="s">
        <v>11463</v>
      </c>
      <c r="BB1230" s="3524" t="s">
        <v>11464</v>
      </c>
      <c r="BC1230" s="3441" t="s">
        <v>11465</v>
      </c>
      <c r="BD1230" s="3525">
        <v>101200</v>
      </c>
      <c r="BE1230" s="3441">
        <v>62943728</v>
      </c>
      <c r="BF1230" s="3526">
        <v>2.7</v>
      </c>
      <c r="BG1230" s="3518">
        <v>37955</v>
      </c>
      <c r="BH1230" s="3441" t="s">
        <v>7648</v>
      </c>
      <c r="BI1230" s="3441" t="s">
        <v>3476</v>
      </c>
      <c r="BJ1230" s="3484">
        <v>37972</v>
      </c>
      <c r="BK1230" s="3518"/>
      <c r="BL1230" s="3470" t="s">
        <v>3670</v>
      </c>
    </row>
    <row r="1231" spans="1:70" s="3470" customFormat="1" ht="12" hidden="1">
      <c r="A1231" s="3453" t="s">
        <v>11504</v>
      </c>
      <c r="B1231" s="3470" t="s">
        <v>11505</v>
      </c>
      <c r="C1231" s="3481" t="s">
        <v>11506</v>
      </c>
      <c r="D1231" s="3470">
        <v>13611067917</v>
      </c>
      <c r="E1231" s="3470" t="s">
        <v>3558</v>
      </c>
      <c r="F1231" s="3470" t="s">
        <v>3559</v>
      </c>
      <c r="H1231" s="3453" t="s">
        <v>4281</v>
      </c>
      <c r="I1231" s="3453" t="s">
        <v>3676</v>
      </c>
      <c r="J1231" s="3453" t="s">
        <v>4208</v>
      </c>
      <c r="K1231" s="3470" t="s">
        <v>7737</v>
      </c>
      <c r="L1231" s="3495">
        <v>145.82</v>
      </c>
      <c r="M1231" s="3495">
        <v>8</v>
      </c>
      <c r="N1231" s="3542" t="s">
        <v>3632</v>
      </c>
      <c r="O1231" s="3495">
        <v>117.39</v>
      </c>
      <c r="P1231" s="3470" t="s">
        <v>3452</v>
      </c>
      <c r="Q1231" s="3492">
        <v>681562.67999999993</v>
      </c>
      <c r="R1231" s="3470">
        <v>4674</v>
      </c>
      <c r="S1231" s="3472">
        <v>67.42</v>
      </c>
      <c r="T1231" s="3527">
        <v>674200</v>
      </c>
      <c r="U1231" s="3470">
        <v>4624</v>
      </c>
      <c r="V1231" s="3512">
        <v>0.05</v>
      </c>
      <c r="W1231" s="3475">
        <v>64.040000000000006</v>
      </c>
      <c r="X1231" s="3473">
        <v>640400.00000000012</v>
      </c>
      <c r="Y1231" s="3470">
        <v>2003</v>
      </c>
      <c r="Z1231" s="3441">
        <v>12</v>
      </c>
      <c r="AA1231" s="3441">
        <v>23</v>
      </c>
      <c r="AB1231" s="3485">
        <v>3370</v>
      </c>
      <c r="AC1231" s="3470" t="s">
        <v>4761</v>
      </c>
      <c r="AE1231" s="3456" t="s">
        <v>3663</v>
      </c>
      <c r="AF1231" s="3453" t="s">
        <v>3493</v>
      </c>
      <c r="AG1231" s="3470" t="s">
        <v>3466</v>
      </c>
      <c r="AH1231" s="3470" t="s">
        <v>3568</v>
      </c>
      <c r="AI1231" s="3456" t="s">
        <v>5021</v>
      </c>
      <c r="AJ1231" s="3478">
        <v>37953</v>
      </c>
      <c r="AK1231" s="3603" t="s">
        <v>3467</v>
      </c>
      <c r="AL1231" s="3441">
        <v>67641700</v>
      </c>
      <c r="AM1231" s="3441"/>
      <c r="AN1231" s="3480" t="s">
        <v>3680</v>
      </c>
      <c r="AO1231" s="3470" t="s">
        <v>3568</v>
      </c>
      <c r="AP1231" s="3456" t="s">
        <v>3476</v>
      </c>
      <c r="AQ1231" s="3456" t="s">
        <v>3571</v>
      </c>
      <c r="AV1231" s="3519"/>
      <c r="AW1231" s="3470" t="s">
        <v>3572</v>
      </c>
      <c r="AY1231" s="3495">
        <v>318509</v>
      </c>
      <c r="AZ1231" s="3470" t="s">
        <v>7737</v>
      </c>
      <c r="BA1231" s="3470" t="s">
        <v>9926</v>
      </c>
      <c r="BB1231" s="3481" t="s">
        <v>9581</v>
      </c>
      <c r="BC1231" s="3470" t="s">
        <v>3576</v>
      </c>
      <c r="BD1231" s="3470">
        <v>100035</v>
      </c>
      <c r="BE1231" s="3470">
        <v>84050010</v>
      </c>
      <c r="BF1231" s="3520">
        <v>2.8</v>
      </c>
      <c r="BG1231" s="3478">
        <v>37911</v>
      </c>
      <c r="BI1231" s="3441" t="s">
        <v>8464</v>
      </c>
      <c r="BJ1231" s="3484">
        <v>37973</v>
      </c>
      <c r="BK1231" s="3470" t="s">
        <v>3568</v>
      </c>
      <c r="BL1231" s="3441" t="s">
        <v>3670</v>
      </c>
      <c r="BP1231" s="3441"/>
      <c r="BQ1231" s="3441"/>
      <c r="BR1231" s="3441"/>
    </row>
    <row r="1232" spans="1:70" s="3470" customFormat="1" ht="12" hidden="1">
      <c r="A1232" s="3453" t="s">
        <v>11507</v>
      </c>
      <c r="B1232" s="3470" t="s">
        <v>11508</v>
      </c>
      <c r="C1232" s="3481" t="s">
        <v>11509</v>
      </c>
      <c r="D1232" s="3470">
        <v>13501207912</v>
      </c>
      <c r="E1232" s="3470" t="s">
        <v>3558</v>
      </c>
      <c r="F1232" s="3470" t="s">
        <v>3559</v>
      </c>
      <c r="H1232" s="3453" t="s">
        <v>5304</v>
      </c>
      <c r="I1232" s="3453" t="s">
        <v>4854</v>
      </c>
      <c r="J1232" s="3453" t="s">
        <v>10555</v>
      </c>
      <c r="K1232" s="3470" t="s">
        <v>7737</v>
      </c>
      <c r="L1232" s="3495">
        <v>104.39</v>
      </c>
      <c r="M1232" s="3495">
        <v>7</v>
      </c>
      <c r="N1232" s="3542" t="s">
        <v>3486</v>
      </c>
      <c r="O1232" s="3495">
        <v>84.66</v>
      </c>
      <c r="P1232" s="3470" t="s">
        <v>3452</v>
      </c>
      <c r="Q1232" s="3492">
        <v>483002.09099999996</v>
      </c>
      <c r="R1232" s="3470">
        <v>4626.8999999999996</v>
      </c>
      <c r="S1232" s="3472">
        <v>47.77</v>
      </c>
      <c r="T1232" s="3527">
        <v>477700.00000000006</v>
      </c>
      <c r="U1232" s="3470">
        <v>4577</v>
      </c>
      <c r="V1232" s="3512">
        <v>0.05</v>
      </c>
      <c r="W1232" s="3475">
        <v>45.38</v>
      </c>
      <c r="X1232" s="3473">
        <v>453800</v>
      </c>
      <c r="Y1232" s="3470">
        <v>2003</v>
      </c>
      <c r="Z1232" s="3441">
        <v>12</v>
      </c>
      <c r="AA1232" s="3441">
        <v>23</v>
      </c>
      <c r="AB1232" s="3485">
        <v>2385</v>
      </c>
      <c r="AC1232" s="3470" t="s">
        <v>9007</v>
      </c>
      <c r="AE1232" s="3456" t="s">
        <v>3663</v>
      </c>
      <c r="AF1232" s="3453" t="s">
        <v>3493</v>
      </c>
      <c r="AG1232" s="3470" t="s">
        <v>3466</v>
      </c>
      <c r="AH1232" s="3470" t="s">
        <v>3568</v>
      </c>
      <c r="AI1232" s="3456" t="s">
        <v>5021</v>
      </c>
      <c r="AJ1232" s="3478">
        <v>38001</v>
      </c>
      <c r="AK1232" s="3603" t="s">
        <v>3467</v>
      </c>
      <c r="AL1232" s="3441">
        <v>67641700</v>
      </c>
      <c r="AM1232" s="3441"/>
      <c r="AN1232" s="3480" t="s">
        <v>3680</v>
      </c>
      <c r="AO1232" s="3470" t="s">
        <v>3568</v>
      </c>
      <c r="AP1232" s="3456" t="s">
        <v>3476</v>
      </c>
      <c r="AQ1232" s="3456" t="s">
        <v>3571</v>
      </c>
      <c r="AV1232" s="3519"/>
      <c r="AW1232" s="3470" t="s">
        <v>3572</v>
      </c>
      <c r="AY1232" s="3495">
        <v>318419</v>
      </c>
      <c r="AZ1232" s="3470" t="s">
        <v>7737</v>
      </c>
      <c r="BA1232" s="3470" t="s">
        <v>9926</v>
      </c>
      <c r="BB1232" s="3481" t="s">
        <v>9581</v>
      </c>
      <c r="BC1232" s="3470" t="s">
        <v>3576</v>
      </c>
      <c r="BD1232" s="3470">
        <v>100035</v>
      </c>
      <c r="BE1232" s="3470">
        <v>84050051</v>
      </c>
      <c r="BF1232" s="3520">
        <v>2.8</v>
      </c>
      <c r="BG1232" s="3478">
        <v>37939</v>
      </c>
      <c r="BI1232" s="3441" t="s">
        <v>8464</v>
      </c>
      <c r="BJ1232" s="3484">
        <v>37974</v>
      </c>
      <c r="BK1232" s="3470" t="s">
        <v>3568</v>
      </c>
      <c r="BL1232" s="3441" t="s">
        <v>3670</v>
      </c>
      <c r="BP1232" s="3441"/>
      <c r="BQ1232" s="3441"/>
      <c r="BR1232" s="3441"/>
    </row>
    <row r="1233" spans="1:70" s="3441" customFormat="1" ht="12" hidden="1">
      <c r="A1233" s="3485" t="s">
        <v>11510</v>
      </c>
      <c r="B1233" s="3470" t="s">
        <v>11511</v>
      </c>
      <c r="C1233" s="3481" t="s">
        <v>11512</v>
      </c>
      <c r="D1233" s="3481" t="s">
        <v>11513</v>
      </c>
      <c r="E1233" s="3470" t="s">
        <v>3558</v>
      </c>
      <c r="F1233" s="3470" t="s">
        <v>7771</v>
      </c>
      <c r="G1233" s="3470"/>
      <c r="H1233" s="3470" t="s">
        <v>7772</v>
      </c>
      <c r="I1233" s="3470" t="s">
        <v>3726</v>
      </c>
      <c r="J1233" s="3481" t="s">
        <v>11514</v>
      </c>
      <c r="K1233" s="3470" t="s">
        <v>11461</v>
      </c>
      <c r="L1233" s="3470">
        <v>83.93</v>
      </c>
      <c r="M1233" s="3470">
        <v>2</v>
      </c>
      <c r="N1233" s="3470" t="s">
        <v>4030</v>
      </c>
      <c r="O1233" s="3470">
        <v>71.77</v>
      </c>
      <c r="P1233" s="3470" t="s">
        <v>3452</v>
      </c>
      <c r="Q1233" s="3492">
        <v>419033.95380000002</v>
      </c>
      <c r="R1233" s="3470">
        <v>4992.66</v>
      </c>
      <c r="S1233" s="3472">
        <v>41.48</v>
      </c>
      <c r="T1233" s="3527">
        <v>414799.99999999994</v>
      </c>
      <c r="U1233" s="3470">
        <v>4943</v>
      </c>
      <c r="V1233" s="3474">
        <v>0.1</v>
      </c>
      <c r="W1233" s="3475">
        <v>37.33</v>
      </c>
      <c r="X1233" s="3511">
        <v>373300</v>
      </c>
      <c r="Y1233" s="3441">
        <v>2003</v>
      </c>
      <c r="Z1233" s="3441">
        <v>12</v>
      </c>
      <c r="AA1233" s="3470">
        <v>22</v>
      </c>
      <c r="AB1233" s="3477">
        <v>2070</v>
      </c>
      <c r="AC1233" s="3470" t="s">
        <v>9007</v>
      </c>
      <c r="AD1233" s="3485"/>
      <c r="AE1233" s="3441" t="s">
        <v>3663</v>
      </c>
      <c r="AF1233" s="3470" t="s">
        <v>3604</v>
      </c>
      <c r="AG1233" s="3522" t="s">
        <v>3466</v>
      </c>
      <c r="AH1233" s="3485" t="s">
        <v>3568</v>
      </c>
      <c r="AI1233" s="3470" t="s">
        <v>5021</v>
      </c>
      <c r="AJ1233" s="3523">
        <v>38077</v>
      </c>
      <c r="AK1233" s="3612" t="s">
        <v>3467</v>
      </c>
      <c r="AL1233" s="3441">
        <v>67641700</v>
      </c>
      <c r="AN1233" s="3480" t="s">
        <v>3680</v>
      </c>
      <c r="AO1233" s="3470" t="s">
        <v>2420</v>
      </c>
      <c r="AP1233" s="3441" t="s">
        <v>3476</v>
      </c>
      <c r="AQ1233" s="3441" t="s">
        <v>3571</v>
      </c>
      <c r="AU1233" s="3441" t="s">
        <v>3568</v>
      </c>
      <c r="AW1233" s="3441" t="s">
        <v>3572</v>
      </c>
      <c r="AY1233" s="3524" t="s">
        <v>11515</v>
      </c>
      <c r="AZ1233" s="3470" t="s">
        <v>11461</v>
      </c>
      <c r="BA1233" s="3441" t="s">
        <v>11463</v>
      </c>
      <c r="BB1233" s="3524" t="s">
        <v>11464</v>
      </c>
      <c r="BC1233" s="3441" t="s">
        <v>11465</v>
      </c>
      <c r="BD1233" s="3525">
        <v>101200</v>
      </c>
      <c r="BE1233" s="3441">
        <v>62943728</v>
      </c>
      <c r="BF1233" s="3526">
        <v>2.7</v>
      </c>
      <c r="BG1233" s="3518">
        <v>37955</v>
      </c>
      <c r="BH1233" s="3441" t="s">
        <v>7648</v>
      </c>
      <c r="BI1233" s="3441" t="s">
        <v>3476</v>
      </c>
      <c r="BJ1233" s="3484">
        <v>37974</v>
      </c>
      <c r="BK1233" s="3518"/>
      <c r="BL1233" s="3470" t="s">
        <v>3670</v>
      </c>
    </row>
    <row r="1234" spans="1:70" s="3470" customFormat="1" ht="12" hidden="1">
      <c r="A1234" s="3485" t="s">
        <v>11516</v>
      </c>
      <c r="B1234" s="3470" t="s">
        <v>11517</v>
      </c>
      <c r="C1234" s="3454" t="s">
        <v>11518</v>
      </c>
      <c r="D1234" s="3470">
        <v>13651016861</v>
      </c>
      <c r="E1234" s="3470" t="s">
        <v>2736</v>
      </c>
      <c r="F1234" s="3470" t="s">
        <v>5592</v>
      </c>
      <c r="G1234" s="3470" t="s">
        <v>2420</v>
      </c>
      <c r="H1234" s="3470" t="s">
        <v>9982</v>
      </c>
      <c r="I1234" s="3453" t="s">
        <v>3676</v>
      </c>
      <c r="J1234" s="3453" t="s">
        <v>5848</v>
      </c>
      <c r="K1234" s="3470" t="s">
        <v>5586</v>
      </c>
      <c r="L1234" s="3495">
        <v>98.22</v>
      </c>
      <c r="M1234" s="3495">
        <v>5</v>
      </c>
      <c r="N1234" s="3470" t="s">
        <v>3486</v>
      </c>
      <c r="O1234" s="3495">
        <v>83.29</v>
      </c>
      <c r="P1234" s="3470" t="s">
        <v>3452</v>
      </c>
      <c r="Q1234" s="3457">
        <v>392880</v>
      </c>
      <c r="R1234" s="3470">
        <v>4000</v>
      </c>
      <c r="S1234" s="3472">
        <v>38.79</v>
      </c>
      <c r="T1234" s="3550">
        <v>387900</v>
      </c>
      <c r="U1234" s="3470">
        <v>3950</v>
      </c>
      <c r="V1234" s="3474">
        <v>0.1</v>
      </c>
      <c r="W1234" s="3475">
        <v>34.909999999999997</v>
      </c>
      <c r="X1234" s="3511">
        <v>349099.99999999994</v>
      </c>
      <c r="Y1234" s="3441">
        <v>2003</v>
      </c>
      <c r="Z1234" s="3441">
        <v>12</v>
      </c>
      <c r="AA1234" s="3441">
        <v>25</v>
      </c>
      <c r="AB1234" s="3485">
        <v>1935</v>
      </c>
      <c r="AC1234" s="3470" t="s">
        <v>9007</v>
      </c>
      <c r="AE1234" s="3456" t="s">
        <v>3663</v>
      </c>
      <c r="AF1234" s="3470" t="s">
        <v>4721</v>
      </c>
      <c r="AG1234" s="3470" t="s">
        <v>3466</v>
      </c>
      <c r="AI1234" s="3470" t="s">
        <v>3664</v>
      </c>
      <c r="AJ1234" s="3478">
        <v>38352</v>
      </c>
      <c r="AK1234" s="3612" t="s">
        <v>3467</v>
      </c>
      <c r="AL1234" s="3441">
        <v>67641700</v>
      </c>
      <c r="AM1234" s="3441"/>
      <c r="AN1234" s="3480" t="s">
        <v>3484</v>
      </c>
      <c r="AO1234" s="3470" t="s">
        <v>11519</v>
      </c>
      <c r="AP1234" s="3456" t="s">
        <v>3476</v>
      </c>
      <c r="AQ1234" s="3456" t="s">
        <v>3571</v>
      </c>
      <c r="AV1234" s="3519"/>
      <c r="AW1234" s="3470" t="s">
        <v>3572</v>
      </c>
      <c r="AX1234" s="3470" t="s">
        <v>2420</v>
      </c>
      <c r="AY1234" s="3495">
        <v>565392</v>
      </c>
      <c r="AZ1234" s="3470" t="s">
        <v>5586</v>
      </c>
      <c r="BA1234" s="3470" t="s">
        <v>5587</v>
      </c>
      <c r="BB1234" s="3619">
        <v>1102281326100</v>
      </c>
      <c r="BC1234" s="3470" t="s">
        <v>5588</v>
      </c>
      <c r="BD1234" s="3470">
        <v>100055</v>
      </c>
      <c r="BE1234" s="3470">
        <v>82951881</v>
      </c>
      <c r="BF1234" s="3520">
        <v>2.8</v>
      </c>
      <c r="BG1234" s="3478">
        <v>37961</v>
      </c>
      <c r="BI1234" s="3441" t="s">
        <v>3476</v>
      </c>
      <c r="BJ1234" s="3478">
        <v>37979</v>
      </c>
      <c r="BK1234" s="3478"/>
      <c r="BL1234" s="3441" t="s">
        <v>3594</v>
      </c>
      <c r="BM1234" s="3441"/>
      <c r="BN1234" s="3441"/>
      <c r="BO1234" s="3441"/>
      <c r="BP1234" s="3441"/>
      <c r="BQ1234" s="3441"/>
      <c r="BR1234" s="3441"/>
    </row>
    <row r="1235" spans="1:70" s="3441" customFormat="1" ht="12" hidden="1">
      <c r="A1235" s="3485" t="s">
        <v>11520</v>
      </c>
      <c r="B1235" s="3470" t="s">
        <v>11521</v>
      </c>
      <c r="C1235" s="3481" t="s">
        <v>11522</v>
      </c>
      <c r="D1235" s="3481" t="s">
        <v>11523</v>
      </c>
      <c r="E1235" s="3470" t="s">
        <v>3558</v>
      </c>
      <c r="F1235" s="3528" t="s">
        <v>7652</v>
      </c>
      <c r="G1235" s="3470"/>
      <c r="H1235" s="3470" t="s">
        <v>4281</v>
      </c>
      <c r="I1235" s="3470" t="s">
        <v>4854</v>
      </c>
      <c r="J1235" s="3481" t="s">
        <v>4208</v>
      </c>
      <c r="K1235" s="3470" t="s">
        <v>6369</v>
      </c>
      <c r="L1235" s="3470">
        <v>88.23</v>
      </c>
      <c r="M1235" s="3470">
        <v>8</v>
      </c>
      <c r="N1235" s="3453" t="s">
        <v>3451</v>
      </c>
      <c r="O1235" s="3470">
        <v>71.459999999999994</v>
      </c>
      <c r="P1235" s="3470" t="s">
        <v>3452</v>
      </c>
      <c r="Q1235" s="3457">
        <v>428356.65</v>
      </c>
      <c r="R1235" s="3470">
        <v>4855</v>
      </c>
      <c r="S1235" s="3472">
        <v>42.39</v>
      </c>
      <c r="T1235" s="3527">
        <v>423900</v>
      </c>
      <c r="U1235" s="3470">
        <v>4805</v>
      </c>
      <c r="V1235" s="3512">
        <v>0.1</v>
      </c>
      <c r="W1235" s="3475">
        <v>38.15</v>
      </c>
      <c r="X1235" s="3473">
        <v>381500</v>
      </c>
      <c r="Y1235" s="3441">
        <v>2003</v>
      </c>
      <c r="Z1235" s="3441">
        <v>12</v>
      </c>
      <c r="AA1235" s="3470">
        <v>24</v>
      </c>
      <c r="AB1235" s="3485">
        <v>2115</v>
      </c>
      <c r="AC1235" s="3470" t="s">
        <v>4800</v>
      </c>
      <c r="AD1235" s="3485"/>
      <c r="AE1235" s="3441" t="s">
        <v>3663</v>
      </c>
      <c r="AF1235" s="3486" t="s">
        <v>4126</v>
      </c>
      <c r="AG1235" s="3522" t="s">
        <v>3466</v>
      </c>
      <c r="AH1235" s="3485" t="s">
        <v>3568</v>
      </c>
      <c r="AI1235" s="3470" t="s">
        <v>5021</v>
      </c>
      <c r="AJ1235" s="3535">
        <v>37986</v>
      </c>
      <c r="AK1235" s="3612" t="s">
        <v>3467</v>
      </c>
      <c r="AL1235" s="3441">
        <v>67641700</v>
      </c>
      <c r="AN1235" s="3480" t="s">
        <v>3484</v>
      </c>
      <c r="AP1235" s="3441" t="s">
        <v>3476</v>
      </c>
      <c r="AQ1235" s="3441" t="s">
        <v>3571</v>
      </c>
      <c r="AV1235" s="3441" t="s">
        <v>3568</v>
      </c>
      <c r="AW1235" s="3441" t="s">
        <v>3572</v>
      </c>
      <c r="AY1235" s="3524" t="s">
        <v>11524</v>
      </c>
      <c r="AZ1235" s="3441" t="s">
        <v>6369</v>
      </c>
      <c r="BA1235" s="3441" t="s">
        <v>7655</v>
      </c>
      <c r="BB1235" s="3524" t="s">
        <v>7656</v>
      </c>
      <c r="BC1235" s="3441" t="s">
        <v>7657</v>
      </c>
      <c r="BD1235" s="3525">
        <v>100025</v>
      </c>
      <c r="BE1235" s="3441">
        <v>62908858</v>
      </c>
      <c r="BF1235" s="3526">
        <v>2.7</v>
      </c>
      <c r="BG1235" s="3518">
        <v>37945</v>
      </c>
      <c r="BH1235" s="3441" t="s">
        <v>4681</v>
      </c>
      <c r="BI1235" s="3441" t="s">
        <v>3721</v>
      </c>
      <c r="BJ1235" s="3484">
        <v>37973</v>
      </c>
      <c r="BK1235" s="3484"/>
      <c r="BL1235" s="3470" t="s">
        <v>3670</v>
      </c>
    </row>
    <row r="1236" spans="1:70" s="3441" customFormat="1" ht="12" hidden="1">
      <c r="A1236" s="3485" t="s">
        <v>11525</v>
      </c>
      <c r="B1236" s="3470" t="s">
        <v>11526</v>
      </c>
      <c r="C1236" s="3481" t="s">
        <v>11527</v>
      </c>
      <c r="D1236" s="3481" t="s">
        <v>11528</v>
      </c>
      <c r="E1236" s="3470" t="s">
        <v>3558</v>
      </c>
      <c r="F1236" s="3470" t="s">
        <v>11529</v>
      </c>
      <c r="G1236" s="3470"/>
      <c r="H1236" s="3470" t="s">
        <v>4281</v>
      </c>
      <c r="I1236" s="3470" t="s">
        <v>4011</v>
      </c>
      <c r="J1236" s="3481" t="s">
        <v>11530</v>
      </c>
      <c r="K1236" s="3470" t="s">
        <v>6545</v>
      </c>
      <c r="L1236" s="3470">
        <v>137.94</v>
      </c>
      <c r="M1236" s="3470">
        <v>4</v>
      </c>
      <c r="N1236" s="3453" t="s">
        <v>3632</v>
      </c>
      <c r="O1236" s="3470">
        <v>121.85</v>
      </c>
      <c r="P1236" s="3470" t="s">
        <v>3452</v>
      </c>
      <c r="Q1236" s="3457">
        <v>640000.21799999999</v>
      </c>
      <c r="R1236" s="3470">
        <v>4639.7</v>
      </c>
      <c r="S1236" s="3472">
        <v>63.35</v>
      </c>
      <c r="T1236" s="3527">
        <v>633500</v>
      </c>
      <c r="U1236" s="3495">
        <v>4593</v>
      </c>
      <c r="V1236" s="3474">
        <v>0.05</v>
      </c>
      <c r="W1236" s="3475">
        <v>60.18</v>
      </c>
      <c r="X1236" s="3476">
        <v>601800</v>
      </c>
      <c r="Y1236" s="3495">
        <v>2003</v>
      </c>
      <c r="Z1236" s="3441">
        <v>12</v>
      </c>
      <c r="AA1236" s="3470">
        <v>24</v>
      </c>
      <c r="AB1236" s="3477">
        <v>3165</v>
      </c>
      <c r="AC1236" s="3470" t="s">
        <v>9007</v>
      </c>
      <c r="AD1236" s="3485"/>
      <c r="AE1236" s="3441" t="s">
        <v>3663</v>
      </c>
      <c r="AF1236" s="3470" t="s">
        <v>3453</v>
      </c>
      <c r="AG1236" s="3522" t="s">
        <v>3466</v>
      </c>
      <c r="AH1236" s="3485" t="s">
        <v>3568</v>
      </c>
      <c r="AI1236" s="3470" t="s">
        <v>5021</v>
      </c>
      <c r="AJ1236" s="3523">
        <v>37986</v>
      </c>
      <c r="AK1236" s="3612" t="s">
        <v>3467</v>
      </c>
      <c r="AL1236" s="3441">
        <v>67641700</v>
      </c>
      <c r="AN1236" s="3480" t="s">
        <v>3484</v>
      </c>
      <c r="AO1236" s="3441" t="s">
        <v>3568</v>
      </c>
      <c r="AP1236" s="3441" t="s">
        <v>3476</v>
      </c>
      <c r="AQ1236" s="3441" t="s">
        <v>3571</v>
      </c>
      <c r="AR1236" s="3441" t="s">
        <v>3568</v>
      </c>
      <c r="AS1236" s="3441" t="s">
        <v>3568</v>
      </c>
      <c r="AT1236" s="3441" t="s">
        <v>3568</v>
      </c>
      <c r="AW1236" s="3441" t="s">
        <v>3572</v>
      </c>
      <c r="AX1236" s="3441" t="s">
        <v>2420</v>
      </c>
      <c r="AY1236" s="3524" t="s">
        <v>11531</v>
      </c>
      <c r="AZ1236" s="3441" t="s">
        <v>6548</v>
      </c>
      <c r="BA1236" s="3441" t="s">
        <v>7774</v>
      </c>
      <c r="BB1236" s="3524" t="s">
        <v>7775</v>
      </c>
      <c r="BC1236" s="3441" t="s">
        <v>7776</v>
      </c>
      <c r="BD1236" s="3525">
        <v>100085</v>
      </c>
      <c r="BE1236" s="3441">
        <v>84976161</v>
      </c>
      <c r="BF1236" s="3526">
        <v>2.7</v>
      </c>
      <c r="BG1236" s="3518">
        <v>37934</v>
      </c>
      <c r="BH1236" s="3441" t="s">
        <v>3568</v>
      </c>
      <c r="BI1236" s="3441" t="s">
        <v>3721</v>
      </c>
      <c r="BJ1236" s="3478">
        <v>37978</v>
      </c>
      <c r="BK1236" s="3518" t="s">
        <v>2420</v>
      </c>
      <c r="BL1236" s="3470" t="s">
        <v>3670</v>
      </c>
    </row>
    <row r="1237" spans="1:70" s="3441" customFormat="1" ht="12" hidden="1">
      <c r="A1237" s="3485" t="s">
        <v>11532</v>
      </c>
      <c r="B1237" s="3470" t="s">
        <v>4094</v>
      </c>
      <c r="C1237" s="3481" t="s">
        <v>11533</v>
      </c>
      <c r="D1237" s="3481" t="s">
        <v>11534</v>
      </c>
      <c r="E1237" s="3470" t="s">
        <v>3558</v>
      </c>
      <c r="F1237" s="3470" t="s">
        <v>10065</v>
      </c>
      <c r="G1237" s="3470"/>
      <c r="H1237" s="3470" t="s">
        <v>10066</v>
      </c>
      <c r="I1237" s="3470" t="s">
        <v>3464</v>
      </c>
      <c r="J1237" s="3481" t="s">
        <v>3474</v>
      </c>
      <c r="K1237" s="3470" t="s">
        <v>10068</v>
      </c>
      <c r="L1237" s="3470">
        <v>92.9</v>
      </c>
      <c r="M1237" s="3470">
        <v>5</v>
      </c>
      <c r="N1237" s="3470" t="s">
        <v>3486</v>
      </c>
      <c r="O1237" s="3470">
        <v>80.22</v>
      </c>
      <c r="P1237" s="3470" t="s">
        <v>3452</v>
      </c>
      <c r="Q1237" s="3457">
        <v>447926.64000000007</v>
      </c>
      <c r="R1237" s="3470">
        <v>4821.6000000000004</v>
      </c>
      <c r="S1237" s="3472">
        <v>44.33</v>
      </c>
      <c r="T1237" s="3527">
        <v>443300</v>
      </c>
      <c r="U1237" s="3495">
        <v>4772</v>
      </c>
      <c r="V1237" s="3474">
        <v>0.1</v>
      </c>
      <c r="W1237" s="3475">
        <v>39.89</v>
      </c>
      <c r="X1237" s="3476">
        <v>398900</v>
      </c>
      <c r="Y1237" s="3495">
        <v>2003</v>
      </c>
      <c r="Z1237" s="3441">
        <v>12</v>
      </c>
      <c r="AA1237" s="3470">
        <v>24</v>
      </c>
      <c r="AB1237" s="3477">
        <v>2215</v>
      </c>
      <c r="AC1237" s="3470" t="s">
        <v>9007</v>
      </c>
      <c r="AD1237" s="3485"/>
      <c r="AE1237" s="3441" t="s">
        <v>3663</v>
      </c>
      <c r="AF1237" s="3470" t="s">
        <v>4126</v>
      </c>
      <c r="AG1237" s="3522" t="s">
        <v>3466</v>
      </c>
      <c r="AH1237" s="3485" t="s">
        <v>3568</v>
      </c>
      <c r="AI1237" s="3470" t="s">
        <v>5021</v>
      </c>
      <c r="AJ1237" s="3523">
        <v>38047</v>
      </c>
      <c r="AK1237" s="3612" t="s">
        <v>3467</v>
      </c>
      <c r="AL1237" s="3441">
        <v>67641700</v>
      </c>
      <c r="AN1237" s="3480" t="s">
        <v>3484</v>
      </c>
      <c r="AO1237" s="3441" t="s">
        <v>3568</v>
      </c>
      <c r="AP1237" s="3441" t="s">
        <v>3476</v>
      </c>
      <c r="AQ1237" s="3441" t="s">
        <v>3571</v>
      </c>
      <c r="AR1237" s="3441" t="s">
        <v>3568</v>
      </c>
      <c r="AS1237" s="3441" t="s">
        <v>3568</v>
      </c>
      <c r="AT1237" s="3441" t="s">
        <v>3568</v>
      </c>
      <c r="AW1237" s="3441" t="s">
        <v>3572</v>
      </c>
      <c r="AX1237" s="3441" t="s">
        <v>2420</v>
      </c>
      <c r="AY1237" s="3524" t="s">
        <v>11535</v>
      </c>
      <c r="AZ1237" s="3470" t="s">
        <v>10068</v>
      </c>
      <c r="BA1237" s="3441" t="s">
        <v>10071</v>
      </c>
      <c r="BB1237" s="3524" t="s">
        <v>10674</v>
      </c>
      <c r="BC1237" s="3441" t="s">
        <v>10073</v>
      </c>
      <c r="BD1237" s="3525">
        <v>100505</v>
      </c>
      <c r="BE1237" s="3441">
        <v>62935226</v>
      </c>
      <c r="BF1237" s="3526">
        <v>2.7</v>
      </c>
      <c r="BG1237" s="3518">
        <v>37968</v>
      </c>
      <c r="BH1237" s="3441" t="s">
        <v>3568</v>
      </c>
      <c r="BI1237" s="3441" t="s">
        <v>3721</v>
      </c>
      <c r="BJ1237" s="3478">
        <v>37978</v>
      </c>
      <c r="BK1237" s="3518" t="s">
        <v>2420</v>
      </c>
      <c r="BL1237" s="3470" t="s">
        <v>3670</v>
      </c>
    </row>
    <row r="1238" spans="1:70" s="3618" customFormat="1" ht="12">
      <c r="A1238" s="3485" t="s">
        <v>11536</v>
      </c>
      <c r="B1238" s="3470" t="s">
        <v>11537</v>
      </c>
      <c r="C1238" s="3481" t="s">
        <v>11538</v>
      </c>
      <c r="D1238" s="3481" t="s">
        <v>11539</v>
      </c>
      <c r="E1238" s="3470" t="s">
        <v>2736</v>
      </c>
      <c r="F1238" s="3687" t="s">
        <v>9471</v>
      </c>
      <c r="G1238" s="3470"/>
      <c r="H1238" s="3470" t="s">
        <v>2420</v>
      </c>
      <c r="I1238" s="3470" t="s">
        <v>4624</v>
      </c>
      <c r="J1238" s="3481" t="s">
        <v>11540</v>
      </c>
      <c r="K1238" s="3470" t="s">
        <v>8795</v>
      </c>
      <c r="L1238" s="3470">
        <v>52.37</v>
      </c>
      <c r="M1238" s="3470">
        <v>6</v>
      </c>
      <c r="N1238" s="3470" t="s">
        <v>3678</v>
      </c>
      <c r="O1238" s="3470">
        <v>40.659999999999997</v>
      </c>
      <c r="P1238" s="3470" t="s">
        <v>3452</v>
      </c>
      <c r="Q1238" s="3457">
        <v>400630.5</v>
      </c>
      <c r="R1238" s="3470">
        <v>7650</v>
      </c>
      <c r="S1238" s="3472">
        <v>40.020000000000003</v>
      </c>
      <c r="T1238" s="3527">
        <v>400200.00000000006</v>
      </c>
      <c r="U1238" s="3495">
        <v>7642</v>
      </c>
      <c r="V1238" s="3474">
        <v>0.1</v>
      </c>
      <c r="W1238" s="3475">
        <v>36.01</v>
      </c>
      <c r="X1238" s="3473">
        <v>360100</v>
      </c>
      <c r="Y1238" s="3495">
        <v>2003</v>
      </c>
      <c r="Z1238" s="3441">
        <v>12</v>
      </c>
      <c r="AA1238" s="3441">
        <v>25</v>
      </c>
      <c r="AB1238" s="3477">
        <v>2000</v>
      </c>
      <c r="AC1238" s="3470" t="s">
        <v>9042</v>
      </c>
      <c r="AD1238" s="3485"/>
      <c r="AE1238" s="3441" t="s">
        <v>3663</v>
      </c>
      <c r="AF1238" s="3470" t="s">
        <v>4126</v>
      </c>
      <c r="AG1238" s="3522" t="s">
        <v>3466</v>
      </c>
      <c r="AH1238" s="3485"/>
      <c r="AI1238" s="3470" t="s">
        <v>5021</v>
      </c>
      <c r="AJ1238" s="3523">
        <v>38107</v>
      </c>
      <c r="AK1238" s="3612" t="s">
        <v>3467</v>
      </c>
      <c r="AL1238" s="3441">
        <v>67641700</v>
      </c>
      <c r="AM1238" s="3441"/>
      <c r="AN1238" s="3480" t="s">
        <v>3680</v>
      </c>
      <c r="AO1238" s="3470" t="s">
        <v>2420</v>
      </c>
      <c r="AP1238" s="3441" t="s">
        <v>3476</v>
      </c>
      <c r="AQ1238" s="3441" t="s">
        <v>3571</v>
      </c>
      <c r="AR1238" s="3441"/>
      <c r="AS1238" s="3441"/>
      <c r="AT1238" s="3441"/>
      <c r="AU1238" s="3441"/>
      <c r="AV1238" s="3441"/>
      <c r="AW1238" s="3441" t="s">
        <v>3572</v>
      </c>
      <c r="AX1238" s="3441"/>
      <c r="AY1238" s="3524" t="s">
        <v>11541</v>
      </c>
      <c r="AZ1238" s="3470" t="s">
        <v>8795</v>
      </c>
      <c r="BA1238" s="3441" t="s">
        <v>9474</v>
      </c>
      <c r="BB1238" s="3524" t="s">
        <v>8799</v>
      </c>
      <c r="BC1238" s="3441" t="s">
        <v>8800</v>
      </c>
      <c r="BD1238" s="3525" t="s">
        <v>2420</v>
      </c>
      <c r="BE1238" s="3441" t="s">
        <v>2420</v>
      </c>
      <c r="BF1238" s="3526">
        <v>2.8</v>
      </c>
      <c r="BG1238" s="3484">
        <v>37857</v>
      </c>
      <c r="BH1238" s="3441" t="s">
        <v>8801</v>
      </c>
      <c r="BI1238" s="3441" t="s">
        <v>3476</v>
      </c>
      <c r="BJ1238" s="3484">
        <v>37977</v>
      </c>
      <c r="BK1238" s="3484">
        <v>37977</v>
      </c>
      <c r="BL1238" s="3470" t="s">
        <v>3670</v>
      </c>
      <c r="BM1238" s="3441"/>
      <c r="BN1238" s="3441"/>
      <c r="BO1238" s="3441"/>
      <c r="BP1238" s="3441"/>
      <c r="BQ1238" s="3441"/>
      <c r="BR1238" s="3441"/>
    </row>
    <row r="1239" spans="1:70" s="3441" customFormat="1" ht="12" hidden="1">
      <c r="A1239" s="3485" t="s">
        <v>11542</v>
      </c>
      <c r="B1239" s="3470" t="s">
        <v>11543</v>
      </c>
      <c r="C1239" s="3481" t="s">
        <v>11544</v>
      </c>
      <c r="D1239" s="3481" t="s">
        <v>11545</v>
      </c>
      <c r="E1239" s="3470" t="s">
        <v>3558</v>
      </c>
      <c r="F1239" s="3528" t="s">
        <v>3733</v>
      </c>
      <c r="G1239" s="3470"/>
      <c r="H1239" s="3470" t="s">
        <v>10995</v>
      </c>
      <c r="I1239" s="3470" t="s">
        <v>4454</v>
      </c>
      <c r="J1239" s="3470" t="s">
        <v>6333</v>
      </c>
      <c r="K1239" s="3470" t="s">
        <v>3737</v>
      </c>
      <c r="L1239" s="3470">
        <v>76.069999999999993</v>
      </c>
      <c r="M1239" s="3470">
        <v>19</v>
      </c>
      <c r="N1239" s="3470" t="s">
        <v>3451</v>
      </c>
      <c r="O1239" s="3470">
        <v>60.99</v>
      </c>
      <c r="P1239" s="3470" t="s">
        <v>3452</v>
      </c>
      <c r="Q1239" s="3492">
        <v>488369.39999999997</v>
      </c>
      <c r="R1239" s="3470">
        <v>6420</v>
      </c>
      <c r="S1239" s="3472">
        <v>48.44</v>
      </c>
      <c r="T1239" s="3527">
        <v>484400</v>
      </c>
      <c r="U1239" s="3470">
        <v>6368</v>
      </c>
      <c r="V1239" s="3474">
        <v>0.1</v>
      </c>
      <c r="W1239" s="3475">
        <v>43.59</v>
      </c>
      <c r="X1239" s="3494">
        <v>435900.00000000006</v>
      </c>
      <c r="Y1239" s="3441">
        <v>2003</v>
      </c>
      <c r="Z1239" s="3441">
        <v>12</v>
      </c>
      <c r="AA1239" s="3441">
        <v>24</v>
      </c>
      <c r="AB1239" s="3477">
        <v>2420</v>
      </c>
      <c r="AC1239" s="3470" t="s">
        <v>9383</v>
      </c>
      <c r="AD1239" s="3485"/>
      <c r="AE1239" s="3441" t="s">
        <v>3663</v>
      </c>
      <c r="AF1239" s="3470" t="s">
        <v>3604</v>
      </c>
      <c r="AG1239" s="3522" t="s">
        <v>3466</v>
      </c>
      <c r="AH1239" s="3485" t="s">
        <v>2420</v>
      </c>
      <c r="AI1239" s="3470" t="s">
        <v>5021</v>
      </c>
      <c r="AJ1239" s="3523">
        <v>38132</v>
      </c>
      <c r="AK1239" s="3612" t="s">
        <v>3467</v>
      </c>
      <c r="AL1239" s="3441">
        <v>67641700</v>
      </c>
      <c r="AN1239" s="3480" t="s">
        <v>3680</v>
      </c>
      <c r="AO1239" s="3470" t="s">
        <v>2420</v>
      </c>
      <c r="AP1239" s="3441" t="s">
        <v>3476</v>
      </c>
      <c r="AQ1239" s="3441" t="s">
        <v>3571</v>
      </c>
      <c r="AW1239" s="3441" t="s">
        <v>3572</v>
      </c>
      <c r="AY1239" s="3524" t="s">
        <v>11546</v>
      </c>
      <c r="AZ1239" s="3441" t="s">
        <v>3737</v>
      </c>
      <c r="BA1239" s="3441" t="s">
        <v>3742</v>
      </c>
      <c r="BB1239" s="3524" t="s">
        <v>3743</v>
      </c>
      <c r="BC1239" s="3441" t="s">
        <v>3744</v>
      </c>
      <c r="BD1239" s="3525">
        <v>100088</v>
      </c>
      <c r="BE1239" s="3441">
        <v>82058259</v>
      </c>
      <c r="BF1239" s="3526" t="s">
        <v>8595</v>
      </c>
      <c r="BG1239" s="3478">
        <v>37953</v>
      </c>
      <c r="BH1239" s="3441" t="s">
        <v>4753</v>
      </c>
      <c r="BI1239" s="3441" t="s">
        <v>3476</v>
      </c>
      <c r="BJ1239" s="3478">
        <v>37977</v>
      </c>
      <c r="BK1239" s="3484" t="s">
        <v>2420</v>
      </c>
      <c r="BL1239" s="3470" t="s">
        <v>3670</v>
      </c>
    </row>
    <row r="1240" spans="1:70" s="3618" customFormat="1" ht="12" hidden="1">
      <c r="A1240" s="3485" t="s">
        <v>11547</v>
      </c>
      <c r="B1240" s="3470" t="s">
        <v>11548</v>
      </c>
      <c r="C1240" s="3481" t="s">
        <v>11549</v>
      </c>
      <c r="D1240" s="3481" t="s">
        <v>11550</v>
      </c>
      <c r="E1240" s="3470" t="s">
        <v>3558</v>
      </c>
      <c r="F1240" s="3528" t="s">
        <v>3733</v>
      </c>
      <c r="G1240" s="3470"/>
      <c r="H1240" s="3470" t="s">
        <v>4040</v>
      </c>
      <c r="I1240" s="3453" t="s">
        <v>4854</v>
      </c>
      <c r="J1240" s="3470" t="s">
        <v>3777</v>
      </c>
      <c r="K1240" s="3470" t="s">
        <v>3737</v>
      </c>
      <c r="L1240" s="3470">
        <v>159.37</v>
      </c>
      <c r="M1240" s="3470">
        <v>7</v>
      </c>
      <c r="N1240" s="3453" t="s">
        <v>3632</v>
      </c>
      <c r="O1240" s="3470">
        <v>126.37</v>
      </c>
      <c r="P1240" s="3470" t="s">
        <v>3633</v>
      </c>
      <c r="Q1240" s="3492">
        <v>852629.5</v>
      </c>
      <c r="R1240" s="3470">
        <v>5350</v>
      </c>
      <c r="S1240" s="3472">
        <v>94.74</v>
      </c>
      <c r="T1240" s="3527">
        <v>947400</v>
      </c>
      <c r="U1240" s="3470">
        <v>5945</v>
      </c>
      <c r="V1240" s="3474">
        <v>0.1</v>
      </c>
      <c r="W1240" s="3475">
        <v>85.26</v>
      </c>
      <c r="X1240" s="3494">
        <v>852600</v>
      </c>
      <c r="Y1240" s="3441">
        <v>2003</v>
      </c>
      <c r="Z1240" s="3441">
        <v>12</v>
      </c>
      <c r="AA1240" s="3470">
        <v>30</v>
      </c>
      <c r="AB1240" s="3477">
        <v>4735</v>
      </c>
      <c r="AC1240" s="3470" t="s">
        <v>9007</v>
      </c>
      <c r="AD1240" s="3485"/>
      <c r="AE1240" s="3441" t="s">
        <v>3663</v>
      </c>
      <c r="AF1240" s="3470" t="s">
        <v>4126</v>
      </c>
      <c r="AG1240" s="3522" t="s">
        <v>3466</v>
      </c>
      <c r="AH1240" s="3485" t="s">
        <v>11551</v>
      </c>
      <c r="AI1240" s="3470" t="s">
        <v>5021</v>
      </c>
      <c r="AJ1240" s="3523">
        <v>38027</v>
      </c>
      <c r="AK1240" s="3612" t="s">
        <v>3467</v>
      </c>
      <c r="AL1240" s="3441">
        <v>67641700</v>
      </c>
      <c r="AM1240" s="3441"/>
      <c r="AN1240" s="3480" t="s">
        <v>4699</v>
      </c>
      <c r="AO1240" s="3470" t="s">
        <v>2420</v>
      </c>
      <c r="AP1240" s="3441" t="s">
        <v>3476</v>
      </c>
      <c r="AQ1240" s="3441" t="s">
        <v>3571</v>
      </c>
      <c r="AR1240" s="3441"/>
      <c r="AS1240" s="3441"/>
      <c r="AT1240" s="3441"/>
      <c r="AU1240" s="3441"/>
      <c r="AV1240" s="3441"/>
      <c r="AW1240" s="3441" t="s">
        <v>3572</v>
      </c>
      <c r="AX1240" s="3441"/>
      <c r="AY1240" s="3524" t="s">
        <v>11552</v>
      </c>
      <c r="AZ1240" s="3441" t="s">
        <v>3737</v>
      </c>
      <c r="BA1240" s="3441" t="s">
        <v>3742</v>
      </c>
      <c r="BB1240" s="3524" t="s">
        <v>3743</v>
      </c>
      <c r="BC1240" s="3441" t="s">
        <v>3744</v>
      </c>
      <c r="BD1240" s="3525">
        <v>100088</v>
      </c>
      <c r="BE1240" s="3441">
        <v>82058259</v>
      </c>
      <c r="BF1240" s="3526" t="s">
        <v>8595</v>
      </c>
      <c r="BG1240" s="3478">
        <v>37923</v>
      </c>
      <c r="BH1240" s="3441" t="s">
        <v>4753</v>
      </c>
      <c r="BI1240" s="3441" t="s">
        <v>3476</v>
      </c>
      <c r="BJ1240" s="3478">
        <v>37973</v>
      </c>
      <c r="BK1240" s="3484" t="s">
        <v>2420</v>
      </c>
      <c r="BL1240" s="3470" t="s">
        <v>3670</v>
      </c>
      <c r="BM1240" s="3441"/>
      <c r="BN1240" s="3441"/>
      <c r="BO1240" s="3441"/>
      <c r="BP1240" s="3441"/>
      <c r="BQ1240" s="3441"/>
      <c r="BR1240" s="3441"/>
    </row>
    <row r="1241" spans="1:70" s="3441" customFormat="1" ht="12" hidden="1">
      <c r="A1241" s="3485" t="s">
        <v>11553</v>
      </c>
      <c r="B1241" s="3470" t="s">
        <v>11554</v>
      </c>
      <c r="C1241" s="3481" t="s">
        <v>11555</v>
      </c>
      <c r="D1241" s="3481" t="s">
        <v>11556</v>
      </c>
      <c r="E1241" s="3470" t="s">
        <v>3558</v>
      </c>
      <c r="F1241" s="3528" t="s">
        <v>7652</v>
      </c>
      <c r="G1241" s="3470"/>
      <c r="H1241" s="3470" t="s">
        <v>4281</v>
      </c>
      <c r="I1241" s="3453" t="s">
        <v>4854</v>
      </c>
      <c r="J1241" s="3481" t="s">
        <v>4549</v>
      </c>
      <c r="K1241" s="3470" t="s">
        <v>6369</v>
      </c>
      <c r="L1241" s="3470">
        <v>88.23</v>
      </c>
      <c r="M1241" s="3470">
        <v>3</v>
      </c>
      <c r="N1241" s="3470" t="s">
        <v>3451</v>
      </c>
      <c r="O1241" s="3470">
        <v>71.459999999999994</v>
      </c>
      <c r="P1241" s="3470" t="s">
        <v>3452</v>
      </c>
      <c r="Q1241" s="3457">
        <v>410710.65</v>
      </c>
      <c r="R1241" s="3470">
        <v>4655</v>
      </c>
      <c r="S1241" s="3472">
        <v>40.619999999999997</v>
      </c>
      <c r="T1241" s="3527">
        <v>406200</v>
      </c>
      <c r="U1241" s="3470">
        <v>4605</v>
      </c>
      <c r="V1241" s="3512">
        <v>0.1</v>
      </c>
      <c r="W1241" s="3475">
        <v>36.549999999999997</v>
      </c>
      <c r="X1241" s="3473">
        <v>365500</v>
      </c>
      <c r="Y1241" s="3441">
        <v>2003</v>
      </c>
      <c r="Z1241" s="3441">
        <v>12</v>
      </c>
      <c r="AA1241" s="3441">
        <v>25</v>
      </c>
      <c r="AB1241" s="3485">
        <v>2030</v>
      </c>
      <c r="AC1241" s="3470" t="s">
        <v>9007</v>
      </c>
      <c r="AD1241" s="3485"/>
      <c r="AE1241" s="3441" t="s">
        <v>3663</v>
      </c>
      <c r="AF1241" s="3453" t="s">
        <v>4126</v>
      </c>
      <c r="AG1241" s="3522" t="s">
        <v>3466</v>
      </c>
      <c r="AH1241" s="3485" t="s">
        <v>3568</v>
      </c>
      <c r="AI1241" s="3470" t="s">
        <v>5021</v>
      </c>
      <c r="AJ1241" s="3535">
        <v>37986</v>
      </c>
      <c r="AK1241" s="3612" t="s">
        <v>3467</v>
      </c>
      <c r="AL1241" s="3441">
        <v>67641700</v>
      </c>
      <c r="AN1241" s="3480" t="s">
        <v>3680</v>
      </c>
      <c r="AP1241" s="3441" t="s">
        <v>3476</v>
      </c>
      <c r="AQ1241" s="3441" t="s">
        <v>3571</v>
      </c>
      <c r="AV1241" s="3441" t="s">
        <v>3568</v>
      </c>
      <c r="AW1241" s="3441" t="s">
        <v>3572</v>
      </c>
      <c r="AY1241" s="3524" t="s">
        <v>11557</v>
      </c>
      <c r="AZ1241" s="3441" t="s">
        <v>6369</v>
      </c>
      <c r="BA1241" s="3441" t="s">
        <v>7655</v>
      </c>
      <c r="BB1241" s="3524" t="s">
        <v>7656</v>
      </c>
      <c r="BC1241" s="3441" t="s">
        <v>7657</v>
      </c>
      <c r="BD1241" s="3525">
        <v>100025</v>
      </c>
      <c r="BE1241" s="3441">
        <v>62908858</v>
      </c>
      <c r="BF1241" s="3526">
        <v>2.7</v>
      </c>
      <c r="BG1241" s="3518">
        <v>37942</v>
      </c>
      <c r="BH1241" s="3441" t="s">
        <v>4681</v>
      </c>
      <c r="BI1241" s="3441" t="s">
        <v>3476</v>
      </c>
      <c r="BJ1241" s="3478">
        <v>37979</v>
      </c>
      <c r="BK1241" s="3484"/>
      <c r="BL1241" s="3470" t="s">
        <v>3670</v>
      </c>
    </row>
    <row r="1242" spans="1:70" s="3441" customFormat="1" ht="12" hidden="1">
      <c r="A1242" s="3485" t="s">
        <v>11558</v>
      </c>
      <c r="B1242" s="3470" t="s">
        <v>11559</v>
      </c>
      <c r="C1242" s="3481" t="s">
        <v>11560</v>
      </c>
      <c r="D1242" s="3481" t="s">
        <v>11561</v>
      </c>
      <c r="E1242" s="3470" t="s">
        <v>3558</v>
      </c>
      <c r="F1242" s="3528" t="s">
        <v>7652</v>
      </c>
      <c r="G1242" s="3470"/>
      <c r="H1242" s="3470" t="s">
        <v>10114</v>
      </c>
      <c r="I1242" s="3453" t="s">
        <v>4124</v>
      </c>
      <c r="J1242" s="3481" t="s">
        <v>9893</v>
      </c>
      <c r="K1242" s="3470" t="s">
        <v>6369</v>
      </c>
      <c r="L1242" s="3470">
        <v>80.430000000000007</v>
      </c>
      <c r="M1242" s="3470">
        <v>8</v>
      </c>
      <c r="N1242" s="3470" t="s">
        <v>3451</v>
      </c>
      <c r="O1242" s="3470">
        <v>63.45</v>
      </c>
      <c r="P1242" s="3470" t="s">
        <v>3452</v>
      </c>
      <c r="Q1242" s="3457">
        <v>372390.9</v>
      </c>
      <c r="R1242" s="3470">
        <v>4630</v>
      </c>
      <c r="S1242" s="3472">
        <v>36.83</v>
      </c>
      <c r="T1242" s="3527">
        <v>368300</v>
      </c>
      <c r="U1242" s="3470">
        <v>4580</v>
      </c>
      <c r="V1242" s="3512">
        <v>0.1</v>
      </c>
      <c r="W1242" s="3475">
        <v>33.14</v>
      </c>
      <c r="X1242" s="3473">
        <v>331400</v>
      </c>
      <c r="Y1242" s="3441">
        <v>2003</v>
      </c>
      <c r="Z1242" s="3441">
        <v>12</v>
      </c>
      <c r="AA1242" s="3441">
        <v>25</v>
      </c>
      <c r="AB1242" s="3485">
        <v>1840</v>
      </c>
      <c r="AC1242" s="3470" t="s">
        <v>9077</v>
      </c>
      <c r="AD1242" s="3485"/>
      <c r="AE1242" s="3441" t="s">
        <v>3663</v>
      </c>
      <c r="AF1242" s="3453" t="s">
        <v>7751</v>
      </c>
      <c r="AG1242" s="3522" t="s">
        <v>3466</v>
      </c>
      <c r="AH1242" s="3485" t="s">
        <v>3568</v>
      </c>
      <c r="AI1242" s="3470" t="s">
        <v>5021</v>
      </c>
      <c r="AJ1242" s="3535">
        <v>38123</v>
      </c>
      <c r="AK1242" s="3612" t="s">
        <v>3467</v>
      </c>
      <c r="AL1242" s="3441">
        <v>67641700</v>
      </c>
      <c r="AN1242" s="3480" t="s">
        <v>3680</v>
      </c>
      <c r="AP1242" s="3441" t="s">
        <v>3476</v>
      </c>
      <c r="AQ1242" s="3441" t="s">
        <v>3571</v>
      </c>
      <c r="AV1242" s="3441" t="s">
        <v>3568</v>
      </c>
      <c r="AW1242" s="3441" t="s">
        <v>3572</v>
      </c>
      <c r="AY1242" s="3524" t="s">
        <v>11562</v>
      </c>
      <c r="AZ1242" s="3441" t="s">
        <v>6369</v>
      </c>
      <c r="BA1242" s="3441" t="s">
        <v>7655</v>
      </c>
      <c r="BB1242" s="3524" t="s">
        <v>7656</v>
      </c>
      <c r="BC1242" s="3441" t="s">
        <v>7657</v>
      </c>
      <c r="BD1242" s="3525">
        <v>100025</v>
      </c>
      <c r="BE1242" s="3441">
        <v>62908858</v>
      </c>
      <c r="BF1242" s="3526">
        <v>2.7</v>
      </c>
      <c r="BG1242" s="3518">
        <v>37953</v>
      </c>
      <c r="BH1242" s="3441" t="s">
        <v>4681</v>
      </c>
      <c r="BI1242" s="3441" t="s">
        <v>3476</v>
      </c>
      <c r="BJ1242" s="3478">
        <v>37977</v>
      </c>
      <c r="BK1242" s="3484"/>
      <c r="BL1242" s="3470" t="s">
        <v>3670</v>
      </c>
    </row>
    <row r="1243" spans="1:70" s="3441" customFormat="1" ht="12" hidden="1">
      <c r="A1243" s="3485" t="s">
        <v>11563</v>
      </c>
      <c r="B1243" s="3470" t="s">
        <v>11564</v>
      </c>
      <c r="C1243" s="3481" t="s">
        <v>11565</v>
      </c>
      <c r="D1243" s="3481" t="s">
        <v>11566</v>
      </c>
      <c r="E1243" s="3470" t="s">
        <v>3558</v>
      </c>
      <c r="F1243" s="3528" t="s">
        <v>4669</v>
      </c>
      <c r="G1243" s="3470"/>
      <c r="H1243" s="3470" t="s">
        <v>10603</v>
      </c>
      <c r="I1243" s="3470" t="s">
        <v>11567</v>
      </c>
      <c r="J1243" s="3481" t="s">
        <v>10499</v>
      </c>
      <c r="K1243" s="3470" t="s">
        <v>7533</v>
      </c>
      <c r="L1243" s="3470">
        <v>101.48</v>
      </c>
      <c r="M1243" s="3470">
        <v>23</v>
      </c>
      <c r="N1243" s="3470" t="s">
        <v>3486</v>
      </c>
      <c r="O1243" s="3470">
        <v>78.930000000000007</v>
      </c>
      <c r="P1243" s="3470" t="s">
        <v>3452</v>
      </c>
      <c r="Q1243" s="3457">
        <v>715508.34300000011</v>
      </c>
      <c r="R1243" s="3470">
        <v>9065.1</v>
      </c>
      <c r="S1243" s="3472">
        <v>71.28</v>
      </c>
      <c r="T1243" s="3550">
        <v>712800</v>
      </c>
      <c r="U1243" s="3470">
        <v>7025</v>
      </c>
      <c r="V1243" s="3474">
        <v>0.1</v>
      </c>
      <c r="W1243" s="3475">
        <v>64.150000000000006</v>
      </c>
      <c r="X1243" s="3511">
        <v>641500</v>
      </c>
      <c r="Y1243" s="3441">
        <v>2003</v>
      </c>
      <c r="Z1243" s="3441">
        <v>12</v>
      </c>
      <c r="AA1243" s="3441">
        <v>25</v>
      </c>
      <c r="AB1243" s="3485">
        <v>3560</v>
      </c>
      <c r="AC1243" s="3470" t="s">
        <v>9007</v>
      </c>
      <c r="AD1243" s="3485"/>
      <c r="AE1243" s="3441" t="s">
        <v>3663</v>
      </c>
      <c r="AF1243" s="3470" t="s">
        <v>4721</v>
      </c>
      <c r="AG1243" s="3522" t="s">
        <v>3466</v>
      </c>
      <c r="AH1243" s="3485" t="s">
        <v>2420</v>
      </c>
      <c r="AI1243" s="3470" t="s">
        <v>5021</v>
      </c>
      <c r="AJ1243" s="3523">
        <v>38347</v>
      </c>
      <c r="AK1243" s="3603" t="s">
        <v>3467</v>
      </c>
      <c r="AL1243" s="3441">
        <v>67641700</v>
      </c>
      <c r="AN1243" s="3480" t="s">
        <v>3680</v>
      </c>
      <c r="AO1243" s="3441" t="s">
        <v>3568</v>
      </c>
      <c r="AP1243" s="3441" t="s">
        <v>3476</v>
      </c>
      <c r="AQ1243" s="3441" t="s">
        <v>3571</v>
      </c>
      <c r="AW1243" s="3441" t="s">
        <v>3572</v>
      </c>
      <c r="AY1243" s="3524" t="s">
        <v>11568</v>
      </c>
      <c r="AZ1243" s="3441" t="s">
        <v>4677</v>
      </c>
      <c r="BA1243" s="3441" t="s">
        <v>4678</v>
      </c>
      <c r="BB1243" s="3524" t="s">
        <v>4679</v>
      </c>
      <c r="BC1243" s="3441" t="s">
        <v>4680</v>
      </c>
      <c r="BD1243" s="3525">
        <v>100089</v>
      </c>
      <c r="BE1243" s="3441">
        <v>68719656</v>
      </c>
      <c r="BF1243" s="3526">
        <v>2.8</v>
      </c>
      <c r="BG1243" s="3518">
        <v>37976</v>
      </c>
      <c r="BI1243" s="3470" t="s">
        <v>3476</v>
      </c>
      <c r="BJ1243" s="3478">
        <v>37979</v>
      </c>
      <c r="BK1243" s="3484"/>
      <c r="BL1243" s="3470" t="s">
        <v>3670</v>
      </c>
    </row>
    <row r="1244" spans="1:70" s="3470" customFormat="1" ht="12" hidden="1">
      <c r="A1244" s="3485" t="s">
        <v>11569</v>
      </c>
      <c r="B1244" s="3470" t="s">
        <v>11570</v>
      </c>
      <c r="C1244" s="3454" t="s">
        <v>11571</v>
      </c>
      <c r="D1244" s="3470">
        <v>13910981694</v>
      </c>
      <c r="E1244" s="3470" t="s">
        <v>2736</v>
      </c>
      <c r="F1244" s="3470" t="s">
        <v>5592</v>
      </c>
      <c r="G1244" s="3470" t="s">
        <v>2420</v>
      </c>
      <c r="H1244" s="3470" t="s">
        <v>9119</v>
      </c>
      <c r="I1244" s="3453" t="s">
        <v>3676</v>
      </c>
      <c r="J1244" s="3453" t="s">
        <v>5137</v>
      </c>
      <c r="K1244" s="3470" t="s">
        <v>5586</v>
      </c>
      <c r="L1244" s="3495">
        <v>86.9</v>
      </c>
      <c r="M1244" s="3495">
        <v>3</v>
      </c>
      <c r="N1244" s="3470" t="s">
        <v>3451</v>
      </c>
      <c r="O1244" s="3495">
        <v>71.03</v>
      </c>
      <c r="P1244" s="3470" t="s">
        <v>3452</v>
      </c>
      <c r="Q1244" s="3457">
        <v>335434</v>
      </c>
      <c r="R1244" s="3470">
        <v>3860</v>
      </c>
      <c r="S1244" s="3472">
        <v>33.119999999999997</v>
      </c>
      <c r="T1244" s="3550">
        <v>331200</v>
      </c>
      <c r="U1244" s="3470">
        <v>3812</v>
      </c>
      <c r="V1244" s="3474">
        <v>0.1</v>
      </c>
      <c r="W1244" s="3475">
        <v>29.8</v>
      </c>
      <c r="X1244" s="3511">
        <v>298000</v>
      </c>
      <c r="Y1244" s="3441">
        <v>2003</v>
      </c>
      <c r="Z1244" s="3441">
        <v>12</v>
      </c>
      <c r="AA1244" s="3441">
        <v>25</v>
      </c>
      <c r="AB1244" s="3485">
        <v>1655</v>
      </c>
      <c r="AC1244" s="3470" t="s">
        <v>4800</v>
      </c>
      <c r="AE1244" s="3456" t="s">
        <v>3663</v>
      </c>
      <c r="AF1244" s="3470" t="s">
        <v>3604</v>
      </c>
      <c r="AG1244" s="3470" t="s">
        <v>3466</v>
      </c>
      <c r="AI1244" s="3470" t="s">
        <v>3664</v>
      </c>
      <c r="AJ1244" s="3478">
        <v>38352</v>
      </c>
      <c r="AK1244" s="3612" t="s">
        <v>3467</v>
      </c>
      <c r="AL1244" s="3441">
        <v>67641700</v>
      </c>
      <c r="AM1244" s="3441"/>
      <c r="AN1244" s="3480" t="s">
        <v>3484</v>
      </c>
      <c r="AO1244" s="3470" t="s">
        <v>2420</v>
      </c>
      <c r="AP1244" s="3456" t="s">
        <v>3476</v>
      </c>
      <c r="AQ1244" s="3456" t="s">
        <v>3571</v>
      </c>
      <c r="AV1244" s="3519"/>
      <c r="AW1244" s="3470" t="s">
        <v>3572</v>
      </c>
      <c r="AX1244" s="3470" t="s">
        <v>2420</v>
      </c>
      <c r="AY1244" s="3495">
        <v>565378</v>
      </c>
      <c r="AZ1244" s="3470" t="s">
        <v>5586</v>
      </c>
      <c r="BA1244" s="3470" t="s">
        <v>5587</v>
      </c>
      <c r="BB1244" s="3619">
        <v>1102281326100</v>
      </c>
      <c r="BC1244" s="3470" t="s">
        <v>5588</v>
      </c>
      <c r="BD1244" s="3470">
        <v>100055</v>
      </c>
      <c r="BE1244" s="3470">
        <v>82951881</v>
      </c>
      <c r="BF1244" s="3520">
        <v>2.8</v>
      </c>
      <c r="BG1244" s="3478">
        <v>37964</v>
      </c>
      <c r="BI1244" s="3441" t="s">
        <v>3476</v>
      </c>
      <c r="BJ1244" s="3478">
        <v>37977</v>
      </c>
      <c r="BK1244" s="3478"/>
      <c r="BL1244" s="3441" t="s">
        <v>3594</v>
      </c>
      <c r="BM1244" s="3441"/>
      <c r="BN1244" s="3441"/>
      <c r="BO1244" s="3441"/>
      <c r="BP1244" s="3441"/>
      <c r="BQ1244" s="3441"/>
      <c r="BR1244" s="3441"/>
    </row>
    <row r="1245" spans="1:70" s="3470" customFormat="1" ht="12" hidden="1">
      <c r="A1245" s="3485" t="s">
        <v>11572</v>
      </c>
      <c r="B1245" s="3470" t="s">
        <v>11573</v>
      </c>
      <c r="C1245" s="3454" t="s">
        <v>11574</v>
      </c>
      <c r="D1245" s="3470">
        <v>13910423855</v>
      </c>
      <c r="E1245" s="3470" t="s">
        <v>2736</v>
      </c>
      <c r="F1245" s="3470" t="s">
        <v>5592</v>
      </c>
      <c r="G1245" s="3470" t="s">
        <v>2420</v>
      </c>
      <c r="H1245" s="3470" t="s">
        <v>9119</v>
      </c>
      <c r="I1245" s="3453" t="s">
        <v>3676</v>
      </c>
      <c r="J1245" s="3453" t="s">
        <v>3809</v>
      </c>
      <c r="K1245" s="3470" t="s">
        <v>5586</v>
      </c>
      <c r="L1245" s="3495">
        <v>99.89</v>
      </c>
      <c r="M1245" s="3495">
        <v>8</v>
      </c>
      <c r="N1245" s="3470" t="s">
        <v>3486</v>
      </c>
      <c r="O1245" s="3495">
        <v>81.790000000000006</v>
      </c>
      <c r="P1245" s="3470" t="s">
        <v>3452</v>
      </c>
      <c r="Q1245" s="3457">
        <v>402556.7</v>
      </c>
      <c r="R1245" s="3470">
        <v>4030</v>
      </c>
      <c r="S1245" s="3472">
        <v>39.75</v>
      </c>
      <c r="T1245" s="3550">
        <v>397500</v>
      </c>
      <c r="U1245" s="3470">
        <v>3980</v>
      </c>
      <c r="V1245" s="3474">
        <v>0.1</v>
      </c>
      <c r="W1245" s="3475">
        <v>35.770000000000003</v>
      </c>
      <c r="X1245" s="3511">
        <v>357700.00000000006</v>
      </c>
      <c r="Y1245" s="3441">
        <v>2003</v>
      </c>
      <c r="Z1245" s="3441">
        <v>12</v>
      </c>
      <c r="AA1245" s="3441">
        <v>25</v>
      </c>
      <c r="AB1245" s="3485">
        <v>1985</v>
      </c>
      <c r="AC1245" s="3470" t="s">
        <v>9413</v>
      </c>
      <c r="AE1245" s="3456" t="s">
        <v>3663</v>
      </c>
      <c r="AF1245" s="3470" t="s">
        <v>3604</v>
      </c>
      <c r="AG1245" s="3470" t="s">
        <v>3466</v>
      </c>
      <c r="AI1245" s="3470" t="s">
        <v>3664</v>
      </c>
      <c r="AJ1245" s="3478">
        <v>38352</v>
      </c>
      <c r="AK1245" s="3612" t="s">
        <v>3467</v>
      </c>
      <c r="AL1245" s="3441">
        <v>67641700</v>
      </c>
      <c r="AM1245" s="3441"/>
      <c r="AN1245" s="3480" t="s">
        <v>3484</v>
      </c>
      <c r="AO1245" s="3470" t="s">
        <v>2420</v>
      </c>
      <c r="AP1245" s="3456" t="s">
        <v>3476</v>
      </c>
      <c r="AQ1245" s="3456" t="s">
        <v>3571</v>
      </c>
      <c r="AV1245" s="3519"/>
      <c r="AW1245" s="3470" t="s">
        <v>3572</v>
      </c>
      <c r="AX1245" s="3470" t="s">
        <v>2420</v>
      </c>
      <c r="AY1245" s="3495">
        <v>565831</v>
      </c>
      <c r="AZ1245" s="3470" t="s">
        <v>5586</v>
      </c>
      <c r="BA1245" s="3470" t="s">
        <v>5587</v>
      </c>
      <c r="BB1245" s="3619">
        <v>1102281326100</v>
      </c>
      <c r="BC1245" s="3470" t="s">
        <v>5588</v>
      </c>
      <c r="BD1245" s="3470">
        <v>100055</v>
      </c>
      <c r="BE1245" s="3470">
        <v>82951881</v>
      </c>
      <c r="BF1245" s="3520">
        <v>2.8</v>
      </c>
      <c r="BG1245" s="3478">
        <v>37976</v>
      </c>
      <c r="BI1245" s="3441" t="s">
        <v>3476</v>
      </c>
      <c r="BJ1245" s="3478">
        <v>37979</v>
      </c>
      <c r="BK1245" s="3478"/>
      <c r="BL1245" s="3441" t="s">
        <v>3594</v>
      </c>
      <c r="BM1245" s="3441"/>
      <c r="BN1245" s="3441"/>
      <c r="BO1245" s="3441"/>
      <c r="BP1245" s="3441"/>
      <c r="BQ1245" s="3441"/>
      <c r="BR1245" s="3441"/>
    </row>
    <row r="1246" spans="1:70" s="3618" customFormat="1" ht="12">
      <c r="A1246" s="3485" t="s">
        <v>11575</v>
      </c>
      <c r="B1246" s="3470" t="s">
        <v>11576</v>
      </c>
      <c r="C1246" s="3481" t="s">
        <v>11577</v>
      </c>
      <c r="D1246" s="3481" t="s">
        <v>11578</v>
      </c>
      <c r="E1246" s="3470" t="s">
        <v>2736</v>
      </c>
      <c r="F1246" s="3687" t="s">
        <v>9471</v>
      </c>
      <c r="G1246" s="3470"/>
      <c r="H1246" s="3470" t="s">
        <v>2420</v>
      </c>
      <c r="I1246" s="3470" t="s">
        <v>4707</v>
      </c>
      <c r="J1246" s="3481" t="s">
        <v>11579</v>
      </c>
      <c r="K1246" s="3470" t="s">
        <v>8795</v>
      </c>
      <c r="L1246" s="3470">
        <v>48.52</v>
      </c>
      <c r="M1246" s="3470">
        <v>14</v>
      </c>
      <c r="N1246" s="3470" t="s">
        <v>3678</v>
      </c>
      <c r="O1246" s="3470">
        <v>37.67</v>
      </c>
      <c r="P1246" s="3470" t="s">
        <v>3452</v>
      </c>
      <c r="Q1246" s="3457">
        <v>351770</v>
      </c>
      <c r="R1246" s="3470">
        <v>7250</v>
      </c>
      <c r="S1246" s="3472">
        <v>34.86</v>
      </c>
      <c r="T1246" s="3527">
        <v>348600</v>
      </c>
      <c r="U1246" s="3495">
        <v>7185</v>
      </c>
      <c r="V1246" s="3474">
        <v>0.1</v>
      </c>
      <c r="W1246" s="3475">
        <v>31.37</v>
      </c>
      <c r="X1246" s="3473">
        <v>313700</v>
      </c>
      <c r="Y1246" s="3495">
        <v>2003</v>
      </c>
      <c r="Z1246" s="3441">
        <v>12</v>
      </c>
      <c r="AA1246" s="3441">
        <v>25</v>
      </c>
      <c r="AB1246" s="3477">
        <v>1740</v>
      </c>
      <c r="AC1246" s="3470" t="s">
        <v>8840</v>
      </c>
      <c r="AD1246" s="3485"/>
      <c r="AE1246" s="3441" t="s">
        <v>3663</v>
      </c>
      <c r="AF1246" s="3470" t="s">
        <v>4126</v>
      </c>
      <c r="AG1246" s="3522" t="s">
        <v>3466</v>
      </c>
      <c r="AH1246" s="3485"/>
      <c r="AI1246" s="3470" t="s">
        <v>5021</v>
      </c>
      <c r="AJ1246" s="3523">
        <v>38107</v>
      </c>
      <c r="AK1246" s="3612" t="s">
        <v>3467</v>
      </c>
      <c r="AL1246" s="3441">
        <v>67641700</v>
      </c>
      <c r="AM1246" s="3441"/>
      <c r="AN1246" s="3480" t="s">
        <v>3680</v>
      </c>
      <c r="AO1246" s="3470" t="s">
        <v>2420</v>
      </c>
      <c r="AP1246" s="3441" t="s">
        <v>3476</v>
      </c>
      <c r="AQ1246" s="3441" t="s">
        <v>3571</v>
      </c>
      <c r="AR1246" s="3441"/>
      <c r="AS1246" s="3441"/>
      <c r="AT1246" s="3441"/>
      <c r="AU1246" s="3441"/>
      <c r="AV1246" s="3441"/>
      <c r="AW1246" s="3441" t="s">
        <v>3572</v>
      </c>
      <c r="AX1246" s="3441"/>
      <c r="AY1246" s="3524" t="s">
        <v>11580</v>
      </c>
      <c r="AZ1246" s="3470" t="s">
        <v>8795</v>
      </c>
      <c r="BA1246" s="3441" t="s">
        <v>9474</v>
      </c>
      <c r="BB1246" s="3524" t="s">
        <v>8799</v>
      </c>
      <c r="BC1246" s="3441" t="s">
        <v>8800</v>
      </c>
      <c r="BD1246" s="3525" t="s">
        <v>2420</v>
      </c>
      <c r="BE1246" s="3441" t="s">
        <v>2420</v>
      </c>
      <c r="BF1246" s="3526">
        <v>2.8</v>
      </c>
      <c r="BG1246" s="3484">
        <v>37906</v>
      </c>
      <c r="BH1246" s="3441" t="s">
        <v>8801</v>
      </c>
      <c r="BI1246" s="3441" t="s">
        <v>3476</v>
      </c>
      <c r="BJ1246" s="3484">
        <v>37977</v>
      </c>
      <c r="BK1246" s="3484">
        <v>37949</v>
      </c>
      <c r="BL1246" s="3470" t="s">
        <v>3670</v>
      </c>
      <c r="BM1246" s="3441"/>
      <c r="BN1246" s="3441"/>
      <c r="BO1246" s="3441"/>
      <c r="BP1246" s="3441"/>
      <c r="BQ1246" s="3441"/>
      <c r="BR1246" s="3441"/>
    </row>
    <row r="1247" spans="1:70" s="3629" customFormat="1" ht="12" hidden="1">
      <c r="A1247" s="3485" t="s">
        <v>11581</v>
      </c>
      <c r="B1247" s="3470" t="s">
        <v>11582</v>
      </c>
      <c r="C1247" s="3454" t="s">
        <v>11583</v>
      </c>
      <c r="D1247" s="3470">
        <v>13301100844</v>
      </c>
      <c r="E1247" s="3470" t="s">
        <v>2736</v>
      </c>
      <c r="F1247" s="3470" t="s">
        <v>5592</v>
      </c>
      <c r="G1247" s="3470" t="s">
        <v>2420</v>
      </c>
      <c r="H1247" s="3470" t="s">
        <v>5608</v>
      </c>
      <c r="I1247" s="3453" t="s">
        <v>3464</v>
      </c>
      <c r="J1247" s="3453" t="s">
        <v>9486</v>
      </c>
      <c r="K1247" s="3470" t="s">
        <v>5586</v>
      </c>
      <c r="L1247" s="3495">
        <v>114.33</v>
      </c>
      <c r="M1247" s="3495">
        <v>10</v>
      </c>
      <c r="N1247" s="3470" t="s">
        <v>3632</v>
      </c>
      <c r="O1247" s="3495">
        <v>96.96</v>
      </c>
      <c r="P1247" s="3470" t="s">
        <v>3452</v>
      </c>
      <c r="Q1247" s="3457">
        <v>452746.8</v>
      </c>
      <c r="R1247" s="3470">
        <v>3960</v>
      </c>
      <c r="S1247" s="3472">
        <v>44.74</v>
      </c>
      <c r="T1247" s="3550">
        <v>447400</v>
      </c>
      <c r="U1247" s="3470">
        <v>3914</v>
      </c>
      <c r="V1247" s="3474">
        <v>0.1</v>
      </c>
      <c r="W1247" s="3475">
        <v>40.26</v>
      </c>
      <c r="X1247" s="3511">
        <v>402600</v>
      </c>
      <c r="Y1247" s="3441">
        <v>2003</v>
      </c>
      <c r="Z1247" s="3441">
        <v>12</v>
      </c>
      <c r="AA1247" s="3441">
        <v>25</v>
      </c>
      <c r="AB1247" s="3485">
        <v>2235</v>
      </c>
      <c r="AC1247" s="3470" t="s">
        <v>9007</v>
      </c>
      <c r="AD1247" s="3470"/>
      <c r="AE1247" s="3456" t="s">
        <v>3663</v>
      </c>
      <c r="AF1247" s="3470" t="s">
        <v>3604</v>
      </c>
      <c r="AG1247" s="3470" t="s">
        <v>3466</v>
      </c>
      <c r="AH1247" s="3470"/>
      <c r="AI1247" s="3470" t="s">
        <v>3664</v>
      </c>
      <c r="AJ1247" s="3478">
        <v>38108</v>
      </c>
      <c r="AK1247" s="3612" t="s">
        <v>3467</v>
      </c>
      <c r="AL1247" s="3441">
        <v>67641700</v>
      </c>
      <c r="AM1247" s="3441"/>
      <c r="AN1247" s="3480" t="s">
        <v>3484</v>
      </c>
      <c r="AO1247" s="3470" t="s">
        <v>2420</v>
      </c>
      <c r="AP1247" s="3456" t="s">
        <v>3476</v>
      </c>
      <c r="AQ1247" s="3456" t="s">
        <v>3571</v>
      </c>
      <c r="AR1247" s="3470"/>
      <c r="AS1247" s="3470"/>
      <c r="AT1247" s="3470"/>
      <c r="AU1247" s="3470"/>
      <c r="AV1247" s="3519"/>
      <c r="AW1247" s="3470" t="s">
        <v>3572</v>
      </c>
      <c r="AX1247" s="3470" t="s">
        <v>2420</v>
      </c>
      <c r="AY1247" s="3495">
        <v>299427</v>
      </c>
      <c r="AZ1247" s="3470" t="s">
        <v>5586</v>
      </c>
      <c r="BA1247" s="3470" t="s">
        <v>5587</v>
      </c>
      <c r="BB1247" s="3619">
        <v>1102281326100</v>
      </c>
      <c r="BC1247" s="3470" t="s">
        <v>5588</v>
      </c>
      <c r="BD1247" s="3470">
        <v>100055</v>
      </c>
      <c r="BE1247" s="3470">
        <v>82951881</v>
      </c>
      <c r="BF1247" s="3520">
        <v>2.8</v>
      </c>
      <c r="BG1247" s="3478">
        <v>37966</v>
      </c>
      <c r="BH1247" s="3470"/>
      <c r="BI1247" s="3441" t="s">
        <v>3476</v>
      </c>
      <c r="BJ1247" s="3478">
        <v>37979</v>
      </c>
      <c r="BK1247" s="3478"/>
      <c r="BL1247" s="3441" t="s">
        <v>3594</v>
      </c>
      <c r="BM1247" s="3441"/>
      <c r="BN1247" s="3441"/>
      <c r="BO1247" s="3441"/>
      <c r="BP1247" s="3441"/>
      <c r="BQ1247" s="3441"/>
      <c r="BR1247" s="3441"/>
    </row>
    <row r="1248" spans="1:70" s="3618" customFormat="1" ht="12" hidden="1">
      <c r="A1248" s="3485" t="s">
        <v>11584</v>
      </c>
      <c r="B1248" s="3470" t="s">
        <v>11585</v>
      </c>
      <c r="C1248" s="3481" t="s">
        <v>11586</v>
      </c>
      <c r="D1248" s="3481" t="s">
        <v>11587</v>
      </c>
      <c r="E1248" s="3470" t="s">
        <v>3558</v>
      </c>
      <c r="F1248" s="3528" t="s">
        <v>4669</v>
      </c>
      <c r="G1248" s="3470"/>
      <c r="H1248" s="3470" t="s">
        <v>4453</v>
      </c>
      <c r="I1248" s="3470" t="s">
        <v>7565</v>
      </c>
      <c r="J1248" s="3481" t="s">
        <v>10499</v>
      </c>
      <c r="K1248" s="3470" t="s">
        <v>7533</v>
      </c>
      <c r="L1248" s="3470">
        <v>101.48</v>
      </c>
      <c r="M1248" s="3470">
        <v>20</v>
      </c>
      <c r="N1248" s="3470" t="s">
        <v>3451</v>
      </c>
      <c r="O1248" s="3470">
        <v>78.930000000000007</v>
      </c>
      <c r="P1248" s="3470" t="s">
        <v>3452</v>
      </c>
      <c r="Q1248" s="3457">
        <v>718326.14399999997</v>
      </c>
      <c r="R1248" s="3470">
        <v>9100.7999999999993</v>
      </c>
      <c r="S1248" s="3472">
        <v>71.27</v>
      </c>
      <c r="T1248" s="3550">
        <v>712700</v>
      </c>
      <c r="U1248" s="3470">
        <v>7024</v>
      </c>
      <c r="V1248" s="3474">
        <v>0.1</v>
      </c>
      <c r="W1248" s="3475">
        <v>64.14</v>
      </c>
      <c r="X1248" s="3511">
        <v>641400</v>
      </c>
      <c r="Y1248" s="3441">
        <v>2003</v>
      </c>
      <c r="Z1248" s="3441">
        <v>12</v>
      </c>
      <c r="AA1248" s="3441">
        <v>25</v>
      </c>
      <c r="AB1248" s="3485">
        <v>3560</v>
      </c>
      <c r="AC1248" s="3470" t="s">
        <v>9007</v>
      </c>
      <c r="AD1248" s="3485"/>
      <c r="AE1248" s="3441" t="s">
        <v>3663</v>
      </c>
      <c r="AF1248" s="3470" t="s">
        <v>4721</v>
      </c>
      <c r="AG1248" s="3522" t="s">
        <v>3466</v>
      </c>
      <c r="AH1248" s="3485" t="s">
        <v>2420</v>
      </c>
      <c r="AI1248" s="3470" t="s">
        <v>5021</v>
      </c>
      <c r="AJ1248" s="3523">
        <v>38347</v>
      </c>
      <c r="AK1248" s="3603" t="s">
        <v>3467</v>
      </c>
      <c r="AL1248" s="3441">
        <v>67641700</v>
      </c>
      <c r="AM1248" s="3441"/>
      <c r="AN1248" s="3480" t="s">
        <v>3680</v>
      </c>
      <c r="AO1248" s="3441" t="s">
        <v>3568</v>
      </c>
      <c r="AP1248" s="3441" t="s">
        <v>3476</v>
      </c>
      <c r="AQ1248" s="3441" t="s">
        <v>3571</v>
      </c>
      <c r="AR1248" s="3441"/>
      <c r="AS1248" s="3441"/>
      <c r="AT1248" s="3441"/>
      <c r="AU1248" s="3441"/>
      <c r="AV1248" s="3441"/>
      <c r="AW1248" s="3441" t="s">
        <v>3572</v>
      </c>
      <c r="AX1248" s="3441"/>
      <c r="AY1248" s="3524" t="s">
        <v>11588</v>
      </c>
      <c r="AZ1248" s="3441" t="s">
        <v>4677</v>
      </c>
      <c r="BA1248" s="3441" t="s">
        <v>4678</v>
      </c>
      <c r="BB1248" s="3524" t="s">
        <v>4679</v>
      </c>
      <c r="BC1248" s="3441" t="s">
        <v>4680</v>
      </c>
      <c r="BD1248" s="3525">
        <v>100089</v>
      </c>
      <c r="BE1248" s="3441">
        <v>68719656</v>
      </c>
      <c r="BF1248" s="3526">
        <v>2.8</v>
      </c>
      <c r="BG1248" s="3518">
        <v>37976</v>
      </c>
      <c r="BH1248" s="3441"/>
      <c r="BI1248" s="3470" t="s">
        <v>3476</v>
      </c>
      <c r="BJ1248" s="3478">
        <v>37979</v>
      </c>
      <c r="BK1248" s="3484"/>
      <c r="BL1248" s="3470" t="s">
        <v>3670</v>
      </c>
      <c r="BM1248" s="3441"/>
      <c r="BN1248" s="3441"/>
      <c r="BO1248" s="3441"/>
      <c r="BP1248" s="3441"/>
      <c r="BQ1248" s="3441"/>
      <c r="BR1248" s="3441"/>
    </row>
    <row r="1249" spans="1:70" s="3441" customFormat="1" ht="12" hidden="1">
      <c r="A1249" s="3453" t="s">
        <v>11589</v>
      </c>
      <c r="B1249" s="3470" t="s">
        <v>11590</v>
      </c>
      <c r="C1249" s="3481" t="s">
        <v>11591</v>
      </c>
      <c r="D1249" s="3481" t="s">
        <v>11592</v>
      </c>
      <c r="E1249" s="3470" t="s">
        <v>3558</v>
      </c>
      <c r="F1249" s="3470" t="s">
        <v>4693</v>
      </c>
      <c r="G1249" s="3470"/>
      <c r="H1249" s="3470" t="s">
        <v>4453</v>
      </c>
      <c r="I1249" s="3470" t="s">
        <v>4124</v>
      </c>
      <c r="J1249" s="3481" t="s">
        <v>3809</v>
      </c>
      <c r="K1249" s="3470" t="s">
        <v>4697</v>
      </c>
      <c r="L1249" s="3470">
        <v>35.33</v>
      </c>
      <c r="M1249" s="3470">
        <v>8</v>
      </c>
      <c r="N1249" s="3470" t="s">
        <v>3692</v>
      </c>
      <c r="O1249" s="3470">
        <v>26.24</v>
      </c>
      <c r="P1249" s="3470" t="s">
        <v>3452</v>
      </c>
      <c r="Q1249" s="3457">
        <v>294722.86</v>
      </c>
      <c r="R1249" s="3470">
        <v>8342</v>
      </c>
      <c r="S1249" s="3472">
        <v>29.21</v>
      </c>
      <c r="T1249" s="3550">
        <v>292100</v>
      </c>
      <c r="U1249" s="3491">
        <v>8270</v>
      </c>
      <c r="V1249" s="3529">
        <v>0.1</v>
      </c>
      <c r="W1249" s="3475">
        <v>26.28</v>
      </c>
      <c r="X1249" s="3511">
        <v>262800</v>
      </c>
      <c r="Y1249" s="3501">
        <v>2003</v>
      </c>
      <c r="Z1249" s="3441">
        <v>12</v>
      </c>
      <c r="AA1249" s="3470">
        <v>26</v>
      </c>
      <c r="AB1249" s="3477">
        <v>1460</v>
      </c>
      <c r="AC1249" s="3470" t="s">
        <v>9864</v>
      </c>
      <c r="AD1249" s="3485"/>
      <c r="AE1249" s="3441" t="s">
        <v>3663</v>
      </c>
      <c r="AF1249" s="3470" t="s">
        <v>3604</v>
      </c>
      <c r="AG1249" s="3522" t="s">
        <v>3466</v>
      </c>
      <c r="AH1249" s="3485" t="s">
        <v>3463</v>
      </c>
      <c r="AI1249" s="3470" t="s">
        <v>5021</v>
      </c>
      <c r="AJ1249" s="3523">
        <v>38138</v>
      </c>
      <c r="AK1249" s="3612" t="s">
        <v>3467</v>
      </c>
      <c r="AL1249" s="3441">
        <v>67641700</v>
      </c>
      <c r="AN1249" s="3480" t="s">
        <v>3680</v>
      </c>
      <c r="AO1249" s="3470" t="s">
        <v>3568</v>
      </c>
      <c r="AP1249" s="3441" t="s">
        <v>3476</v>
      </c>
      <c r="AQ1249" s="3441" t="s">
        <v>3571</v>
      </c>
      <c r="AV1249" s="3441" t="s">
        <v>3568</v>
      </c>
      <c r="AW1249" s="3441" t="s">
        <v>3572</v>
      </c>
      <c r="AX1249" s="3441" t="s">
        <v>3568</v>
      </c>
      <c r="AY1249" s="3524" t="s">
        <v>11593</v>
      </c>
      <c r="AZ1249" s="3441" t="s">
        <v>4697</v>
      </c>
      <c r="BA1249" s="3441" t="s">
        <v>4700</v>
      </c>
      <c r="BB1249" s="3524" t="s">
        <v>4701</v>
      </c>
      <c r="BC1249" s="3441" t="s">
        <v>4702</v>
      </c>
      <c r="BD1249" s="3525">
        <v>100011</v>
      </c>
      <c r="BE1249" s="3441">
        <v>62351476</v>
      </c>
      <c r="BF1249" s="3526">
        <v>2.8</v>
      </c>
      <c r="BG1249" s="3518">
        <v>37962</v>
      </c>
      <c r="BI1249" s="3470" t="s">
        <v>3476</v>
      </c>
      <c r="BJ1249" s="3478">
        <v>37978</v>
      </c>
      <c r="BK1249" s="3518"/>
      <c r="BL1249" s="3470" t="s">
        <v>3670</v>
      </c>
    </row>
    <row r="1250" spans="1:70" s="3441" customFormat="1" ht="12" hidden="1">
      <c r="A1250" s="3453" t="s">
        <v>11594</v>
      </c>
      <c r="B1250" s="3470" t="s">
        <v>11595</v>
      </c>
      <c r="C1250" s="3481" t="s">
        <v>11596</v>
      </c>
      <c r="D1250" s="3481" t="s">
        <v>11597</v>
      </c>
      <c r="E1250" s="3470" t="s">
        <v>3558</v>
      </c>
      <c r="F1250" s="3470" t="s">
        <v>4693</v>
      </c>
      <c r="G1250" s="3470"/>
      <c r="H1250" s="3470" t="s">
        <v>10915</v>
      </c>
      <c r="I1250" s="3470" t="s">
        <v>4387</v>
      </c>
      <c r="J1250" s="3481" t="s">
        <v>11598</v>
      </c>
      <c r="K1250" s="3470" t="s">
        <v>4697</v>
      </c>
      <c r="L1250" s="3470">
        <v>37.979999999999997</v>
      </c>
      <c r="M1250" s="3470">
        <v>7</v>
      </c>
      <c r="N1250" s="3470" t="s">
        <v>3692</v>
      </c>
      <c r="O1250" s="3470">
        <v>28.21</v>
      </c>
      <c r="P1250" s="3470" t="s">
        <v>3452</v>
      </c>
      <c r="Q1250" s="3457">
        <v>339617.16</v>
      </c>
      <c r="R1250" s="3470">
        <v>8942</v>
      </c>
      <c r="S1250" s="3472">
        <v>33.68</v>
      </c>
      <c r="T1250" s="3550">
        <v>336800</v>
      </c>
      <c r="U1250" s="3491">
        <v>8870</v>
      </c>
      <c r="V1250" s="3529">
        <v>0.1</v>
      </c>
      <c r="W1250" s="3475">
        <v>30.31</v>
      </c>
      <c r="X1250" s="3511">
        <v>303100</v>
      </c>
      <c r="Y1250" s="3501">
        <v>2003</v>
      </c>
      <c r="Z1250" s="3441">
        <v>12</v>
      </c>
      <c r="AA1250" s="3470">
        <v>26</v>
      </c>
      <c r="AB1250" s="3477">
        <v>1680</v>
      </c>
      <c r="AC1250" s="3470" t="s">
        <v>4800</v>
      </c>
      <c r="AD1250" s="3485"/>
      <c r="AE1250" s="3441" t="s">
        <v>3663</v>
      </c>
      <c r="AF1250" s="3470" t="s">
        <v>3604</v>
      </c>
      <c r="AG1250" s="3522" t="s">
        <v>3466</v>
      </c>
      <c r="AH1250" s="3485" t="s">
        <v>3463</v>
      </c>
      <c r="AI1250" s="3470" t="s">
        <v>5021</v>
      </c>
      <c r="AJ1250" s="3523">
        <v>38138</v>
      </c>
      <c r="AK1250" s="3612" t="s">
        <v>3467</v>
      </c>
      <c r="AL1250" s="3441">
        <v>67641700</v>
      </c>
      <c r="AN1250" s="3480" t="s">
        <v>3680</v>
      </c>
      <c r="AO1250" s="3470" t="s">
        <v>3568</v>
      </c>
      <c r="AP1250" s="3441" t="s">
        <v>3476</v>
      </c>
      <c r="AQ1250" s="3441" t="s">
        <v>3571</v>
      </c>
      <c r="AV1250" s="3441" t="s">
        <v>3568</v>
      </c>
      <c r="AW1250" s="3441" t="s">
        <v>3572</v>
      </c>
      <c r="AX1250" s="3441" t="s">
        <v>3568</v>
      </c>
      <c r="AY1250" s="3524" t="s">
        <v>11599</v>
      </c>
      <c r="AZ1250" s="3441" t="s">
        <v>4697</v>
      </c>
      <c r="BA1250" s="3441" t="s">
        <v>4700</v>
      </c>
      <c r="BB1250" s="3524" t="s">
        <v>4701</v>
      </c>
      <c r="BC1250" s="3441" t="s">
        <v>4702</v>
      </c>
      <c r="BD1250" s="3525">
        <v>100011</v>
      </c>
      <c r="BE1250" s="3441">
        <v>62351476</v>
      </c>
      <c r="BF1250" s="3526">
        <v>2.8</v>
      </c>
      <c r="BG1250" s="3518">
        <v>37968</v>
      </c>
      <c r="BI1250" s="3470" t="s">
        <v>3476</v>
      </c>
      <c r="BJ1250" s="3478">
        <v>37978</v>
      </c>
      <c r="BK1250" s="3518"/>
      <c r="BL1250" s="3470" t="s">
        <v>3670</v>
      </c>
    </row>
    <row r="1251" spans="1:70" s="3441" customFormat="1" ht="12" hidden="1">
      <c r="A1251" s="3453" t="s">
        <v>11600</v>
      </c>
      <c r="B1251" s="3470" t="s">
        <v>11601</v>
      </c>
      <c r="C1251" s="3481" t="s">
        <v>11602</v>
      </c>
      <c r="D1251" s="3481" t="s">
        <v>11603</v>
      </c>
      <c r="E1251" s="3470" t="s">
        <v>3558</v>
      </c>
      <c r="F1251" s="3528" t="s">
        <v>4645</v>
      </c>
      <c r="G1251" s="3470"/>
      <c r="H1251" s="3470" t="s">
        <v>9611</v>
      </c>
      <c r="I1251" s="3470" t="s">
        <v>7204</v>
      </c>
      <c r="J1251" s="3481" t="s">
        <v>8886</v>
      </c>
      <c r="K1251" s="3470" t="s">
        <v>4649</v>
      </c>
      <c r="L1251" s="3470">
        <v>89.07</v>
      </c>
      <c r="M1251" s="3470">
        <v>9</v>
      </c>
      <c r="N1251" s="3542" t="s">
        <v>3489</v>
      </c>
      <c r="O1251" s="3470">
        <v>70.209999999999994</v>
      </c>
      <c r="P1251" s="3470" t="s">
        <v>3452</v>
      </c>
      <c r="Q1251" s="3457">
        <v>631684.43999999994</v>
      </c>
      <c r="R1251" s="3470">
        <v>7092</v>
      </c>
      <c r="S1251" s="3472">
        <v>62.61</v>
      </c>
      <c r="T1251" s="3550">
        <v>626100</v>
      </c>
      <c r="U1251" s="3491">
        <v>7030</v>
      </c>
      <c r="V1251" s="3529">
        <v>0.1</v>
      </c>
      <c r="W1251" s="3475">
        <v>56.34</v>
      </c>
      <c r="X1251" s="3511">
        <v>563400</v>
      </c>
      <c r="Y1251" s="3501">
        <v>2003</v>
      </c>
      <c r="Z1251" s="3441">
        <v>12</v>
      </c>
      <c r="AA1251" s="3441">
        <v>26</v>
      </c>
      <c r="AB1251" s="3477">
        <v>3130</v>
      </c>
      <c r="AC1251" s="3470" t="s">
        <v>9077</v>
      </c>
      <c r="AD1251" s="3485"/>
      <c r="AE1251" s="3441" t="s">
        <v>3663</v>
      </c>
      <c r="AF1251" s="3470" t="s">
        <v>4126</v>
      </c>
      <c r="AG1251" s="3522" t="s">
        <v>3466</v>
      </c>
      <c r="AH1251" s="3485"/>
      <c r="AI1251" s="3470" t="s">
        <v>5021</v>
      </c>
      <c r="AJ1251" s="3523">
        <v>38199</v>
      </c>
      <c r="AK1251" s="3612" t="s">
        <v>3467</v>
      </c>
      <c r="AL1251" s="3441">
        <v>67641700</v>
      </c>
      <c r="AN1251" s="3480" t="s">
        <v>3680</v>
      </c>
      <c r="AP1251" s="3441" t="s">
        <v>3476</v>
      </c>
      <c r="AQ1251" s="3441" t="s">
        <v>3571</v>
      </c>
      <c r="AW1251" s="3441" t="s">
        <v>3572</v>
      </c>
      <c r="AX1251" s="3441" t="s">
        <v>3568</v>
      </c>
      <c r="AY1251" s="3524" t="s">
        <v>11604</v>
      </c>
      <c r="AZ1251" s="3441" t="s">
        <v>4654</v>
      </c>
      <c r="BA1251" s="3441" t="s">
        <v>4688</v>
      </c>
      <c r="BB1251" s="3524" t="s">
        <v>4689</v>
      </c>
      <c r="BC1251" s="3441" t="s">
        <v>4656</v>
      </c>
      <c r="BD1251" s="3525">
        <v>100037</v>
      </c>
      <c r="BE1251" s="3441">
        <v>68347718</v>
      </c>
      <c r="BF1251" s="3526">
        <v>2.8</v>
      </c>
      <c r="BG1251" s="3518">
        <v>37972</v>
      </c>
      <c r="BI1251" s="3441" t="s">
        <v>3476</v>
      </c>
      <c r="BJ1251" s="3478">
        <v>37978</v>
      </c>
      <c r="BK1251" s="3518"/>
      <c r="BL1251" s="3470" t="s">
        <v>3670</v>
      </c>
    </row>
    <row r="1252" spans="1:70" s="3441" customFormat="1" ht="12" hidden="1">
      <c r="A1252" s="3453" t="s">
        <v>11605</v>
      </c>
      <c r="B1252" s="3470" t="s">
        <v>11606</v>
      </c>
      <c r="C1252" s="3481" t="s">
        <v>11607</v>
      </c>
      <c r="D1252" s="3481" t="s">
        <v>11608</v>
      </c>
      <c r="E1252" s="3470" t="s">
        <v>3558</v>
      </c>
      <c r="F1252" s="3528" t="s">
        <v>7652</v>
      </c>
      <c r="G1252" s="3470"/>
      <c r="H1252" s="3470" t="s">
        <v>4281</v>
      </c>
      <c r="I1252" s="3453" t="s">
        <v>3448</v>
      </c>
      <c r="J1252" s="3481" t="s">
        <v>3449</v>
      </c>
      <c r="K1252" s="3470" t="s">
        <v>6369</v>
      </c>
      <c r="L1252" s="3470">
        <v>88.38</v>
      </c>
      <c r="M1252" s="3470">
        <v>4</v>
      </c>
      <c r="N1252" s="3470" t="s">
        <v>3451</v>
      </c>
      <c r="O1252" s="3470">
        <v>71.430000000000007</v>
      </c>
      <c r="P1252" s="3470" t="s">
        <v>3452</v>
      </c>
      <c r="Q1252" s="3457">
        <v>415827.89999999997</v>
      </c>
      <c r="R1252" s="3470">
        <v>4705</v>
      </c>
      <c r="S1252" s="3472">
        <v>41.14</v>
      </c>
      <c r="T1252" s="3527">
        <v>411400</v>
      </c>
      <c r="U1252" s="3470">
        <v>4655</v>
      </c>
      <c r="V1252" s="3512">
        <v>0.1</v>
      </c>
      <c r="W1252" s="3475">
        <v>37.020000000000003</v>
      </c>
      <c r="X1252" s="3473">
        <v>370200.00000000006</v>
      </c>
      <c r="Y1252" s="3441">
        <v>2003</v>
      </c>
      <c r="Z1252" s="3441">
        <v>12</v>
      </c>
      <c r="AA1252" s="3470">
        <v>26</v>
      </c>
      <c r="AB1252" s="3485">
        <v>2055</v>
      </c>
      <c r="AC1252" s="3470" t="s">
        <v>9007</v>
      </c>
      <c r="AD1252" s="3485"/>
      <c r="AE1252" s="3441" t="s">
        <v>3663</v>
      </c>
      <c r="AF1252" s="3453" t="s">
        <v>4126</v>
      </c>
      <c r="AG1252" s="3522" t="s">
        <v>3466</v>
      </c>
      <c r="AH1252" s="3485" t="s">
        <v>3568</v>
      </c>
      <c r="AI1252" s="3470" t="s">
        <v>5021</v>
      </c>
      <c r="AJ1252" s="3535">
        <v>37986</v>
      </c>
      <c r="AK1252" s="3612" t="s">
        <v>3467</v>
      </c>
      <c r="AL1252" s="3441">
        <v>67641700</v>
      </c>
      <c r="AN1252" s="3480" t="s">
        <v>3680</v>
      </c>
      <c r="AP1252" s="3441" t="s">
        <v>3476</v>
      </c>
      <c r="AQ1252" s="3441" t="s">
        <v>3571</v>
      </c>
      <c r="AV1252" s="3441" t="s">
        <v>3568</v>
      </c>
      <c r="AW1252" s="3441" t="s">
        <v>3572</v>
      </c>
      <c r="AY1252" s="3524" t="s">
        <v>11609</v>
      </c>
      <c r="AZ1252" s="3441" t="s">
        <v>6369</v>
      </c>
      <c r="BA1252" s="3441" t="s">
        <v>7655</v>
      </c>
      <c r="BB1252" s="3524" t="s">
        <v>7656</v>
      </c>
      <c r="BC1252" s="3441" t="s">
        <v>7657</v>
      </c>
      <c r="BD1252" s="3525">
        <v>100025</v>
      </c>
      <c r="BE1252" s="3441">
        <v>62908858</v>
      </c>
      <c r="BF1252" s="3526">
        <v>2.7</v>
      </c>
      <c r="BG1252" s="3518">
        <v>37955</v>
      </c>
      <c r="BH1252" s="3441" t="s">
        <v>4681</v>
      </c>
      <c r="BI1252" s="3441" t="s">
        <v>3476</v>
      </c>
      <c r="BJ1252" s="3478">
        <v>37980</v>
      </c>
      <c r="BK1252" s="3484"/>
      <c r="BL1252" s="3470" t="s">
        <v>3670</v>
      </c>
    </row>
    <row r="1253" spans="1:70" s="3441" customFormat="1" ht="12" hidden="1">
      <c r="A1253" s="3453" t="s">
        <v>11610</v>
      </c>
      <c r="B1253" s="3470" t="s">
        <v>11611</v>
      </c>
      <c r="C1253" s="3481" t="s">
        <v>11612</v>
      </c>
      <c r="D1253" s="3481" t="s">
        <v>11613</v>
      </c>
      <c r="E1253" s="3470" t="s">
        <v>3558</v>
      </c>
      <c r="F1253" s="3528" t="s">
        <v>7652</v>
      </c>
      <c r="G1253" s="3470"/>
      <c r="H1253" s="3470" t="s">
        <v>4281</v>
      </c>
      <c r="I1253" s="3453" t="s">
        <v>3582</v>
      </c>
      <c r="J1253" s="3481" t="s">
        <v>4325</v>
      </c>
      <c r="K1253" s="3470" t="s">
        <v>6369</v>
      </c>
      <c r="L1253" s="3470">
        <v>88.12</v>
      </c>
      <c r="M1253" s="3470">
        <v>5</v>
      </c>
      <c r="N1253" s="3470" t="s">
        <v>3451</v>
      </c>
      <c r="O1253" s="3470">
        <v>71.069999999999993</v>
      </c>
      <c r="P1253" s="3470" t="s">
        <v>3452</v>
      </c>
      <c r="Q1253" s="3457">
        <v>419010.60000000003</v>
      </c>
      <c r="R1253" s="3470">
        <v>4755</v>
      </c>
      <c r="S1253" s="3472">
        <v>41.46</v>
      </c>
      <c r="T1253" s="3527">
        <v>414600</v>
      </c>
      <c r="U1253" s="3470">
        <v>4705</v>
      </c>
      <c r="V1253" s="3512">
        <v>0.1</v>
      </c>
      <c r="W1253" s="3475">
        <v>37.31</v>
      </c>
      <c r="X1253" s="3473">
        <v>373100</v>
      </c>
      <c r="Y1253" s="3441">
        <v>2003</v>
      </c>
      <c r="Z1253" s="3441">
        <v>12</v>
      </c>
      <c r="AA1253" s="3470">
        <v>26</v>
      </c>
      <c r="AB1253" s="3485">
        <v>2070</v>
      </c>
      <c r="AC1253" s="3470" t="s">
        <v>9077</v>
      </c>
      <c r="AD1253" s="3485"/>
      <c r="AE1253" s="3441" t="s">
        <v>3663</v>
      </c>
      <c r="AF1253" s="3453" t="s">
        <v>4126</v>
      </c>
      <c r="AG1253" s="3522" t="s">
        <v>3466</v>
      </c>
      <c r="AH1253" s="3485" t="s">
        <v>3568</v>
      </c>
      <c r="AI1253" s="3470" t="s">
        <v>5021</v>
      </c>
      <c r="AJ1253" s="3535">
        <v>37986</v>
      </c>
      <c r="AK1253" s="3612" t="s">
        <v>3467</v>
      </c>
      <c r="AL1253" s="3441">
        <v>67641700</v>
      </c>
      <c r="AN1253" s="3480" t="s">
        <v>3680</v>
      </c>
      <c r="AP1253" s="3441" t="s">
        <v>3476</v>
      </c>
      <c r="AQ1253" s="3441" t="s">
        <v>3571</v>
      </c>
      <c r="AV1253" s="3441" t="s">
        <v>3568</v>
      </c>
      <c r="AW1253" s="3441" t="s">
        <v>3572</v>
      </c>
      <c r="AY1253" s="3524" t="s">
        <v>11614</v>
      </c>
      <c r="AZ1253" s="3441" t="s">
        <v>6369</v>
      </c>
      <c r="BA1253" s="3441" t="s">
        <v>7655</v>
      </c>
      <c r="BB1253" s="3524" t="s">
        <v>7656</v>
      </c>
      <c r="BC1253" s="3441" t="s">
        <v>7657</v>
      </c>
      <c r="BD1253" s="3525">
        <v>100025</v>
      </c>
      <c r="BE1253" s="3441">
        <v>62908858</v>
      </c>
      <c r="BF1253" s="3526">
        <v>2.7</v>
      </c>
      <c r="BG1253" s="3518">
        <v>37968</v>
      </c>
      <c r="BH1253" s="3441" t="s">
        <v>4681</v>
      </c>
      <c r="BI1253" s="3441" t="s">
        <v>3476</v>
      </c>
      <c r="BJ1253" s="3478">
        <v>37979</v>
      </c>
      <c r="BK1253" s="3484"/>
      <c r="BL1253" s="3470" t="s">
        <v>3670</v>
      </c>
    </row>
    <row r="1254" spans="1:70" s="3441" customFormat="1" ht="12" hidden="1">
      <c r="A1254" s="3485" t="s">
        <v>11615</v>
      </c>
      <c r="B1254" s="3470" t="s">
        <v>11616</v>
      </c>
      <c r="C1254" s="3481" t="s">
        <v>11617</v>
      </c>
      <c r="D1254" s="3453" t="s">
        <v>11618</v>
      </c>
      <c r="E1254" s="3470" t="s">
        <v>3558</v>
      </c>
      <c r="F1254" s="3470" t="s">
        <v>4403</v>
      </c>
      <c r="G1254" s="3470" t="s">
        <v>3568</v>
      </c>
      <c r="H1254" s="3470" t="s">
        <v>4273</v>
      </c>
      <c r="I1254" s="3470" t="s">
        <v>4100</v>
      </c>
      <c r="J1254" s="3481" t="s">
        <v>3479</v>
      </c>
      <c r="K1254" s="3470" t="s">
        <v>4406</v>
      </c>
      <c r="L1254" s="3470">
        <v>92.05</v>
      </c>
      <c r="M1254" s="3470">
        <v>1</v>
      </c>
      <c r="N1254" s="3542" t="s">
        <v>3486</v>
      </c>
      <c r="O1254" s="3470">
        <v>83.09</v>
      </c>
      <c r="P1254" s="3470" t="s">
        <v>3452</v>
      </c>
      <c r="Q1254" s="3457">
        <v>445522</v>
      </c>
      <c r="R1254" s="3470">
        <v>4840</v>
      </c>
      <c r="S1254" s="3472">
        <v>44.09</v>
      </c>
      <c r="T1254" s="3550">
        <v>440900.00000000006</v>
      </c>
      <c r="U1254" s="3470">
        <v>4790</v>
      </c>
      <c r="V1254" s="3474">
        <v>0.1</v>
      </c>
      <c r="W1254" s="3475">
        <v>39.68</v>
      </c>
      <c r="X1254" s="3511">
        <v>396800</v>
      </c>
      <c r="Y1254" s="3441">
        <v>2003</v>
      </c>
      <c r="Z1254" s="3441">
        <v>12</v>
      </c>
      <c r="AA1254" s="3470">
        <v>26</v>
      </c>
      <c r="AB1254" s="3477">
        <v>2200</v>
      </c>
      <c r="AC1254" s="3470" t="s">
        <v>9364</v>
      </c>
      <c r="AD1254" s="3485"/>
      <c r="AE1254" s="3441" t="s">
        <v>3663</v>
      </c>
      <c r="AF1254" s="3470" t="s">
        <v>3587</v>
      </c>
      <c r="AG1254" s="3522" t="s">
        <v>3466</v>
      </c>
      <c r="AH1254" s="3485"/>
      <c r="AI1254" s="3470" t="s">
        <v>3664</v>
      </c>
      <c r="AJ1254" s="3523">
        <v>38077</v>
      </c>
      <c r="AK1254" s="3612" t="s">
        <v>3467</v>
      </c>
      <c r="AL1254" s="3441">
        <v>67641700</v>
      </c>
      <c r="AN1254" s="3480" t="s">
        <v>3680</v>
      </c>
      <c r="AO1254" s="3470" t="s">
        <v>2420</v>
      </c>
      <c r="AP1254" s="3456" t="s">
        <v>3476</v>
      </c>
      <c r="AQ1254" s="3456" t="s">
        <v>3571</v>
      </c>
      <c r="AR1254" s="3441" t="s">
        <v>2420</v>
      </c>
      <c r="AS1254" s="3441" t="s">
        <v>2420</v>
      </c>
      <c r="AT1254" s="3441" t="s">
        <v>2420</v>
      </c>
      <c r="AW1254" s="3441" t="s">
        <v>3572</v>
      </c>
      <c r="AX1254" s="3441" t="s">
        <v>3568</v>
      </c>
      <c r="AY1254" s="3524" t="s">
        <v>11619</v>
      </c>
      <c r="AZ1254" s="3441" t="s">
        <v>4076</v>
      </c>
      <c r="BA1254" s="3441" t="s">
        <v>4409</v>
      </c>
      <c r="BB1254" s="3524" t="s">
        <v>4410</v>
      </c>
      <c r="BC1254" s="3441" t="s">
        <v>4411</v>
      </c>
      <c r="BD1254" s="3525" t="s">
        <v>3568</v>
      </c>
      <c r="BE1254" s="3441">
        <v>68152860</v>
      </c>
      <c r="BF1254" s="3526">
        <v>2.8</v>
      </c>
      <c r="BG1254" s="3518">
        <v>37965</v>
      </c>
      <c r="BH1254" s="3441" t="s">
        <v>4412</v>
      </c>
      <c r="BI1254" s="3470" t="s">
        <v>3476</v>
      </c>
      <c r="BJ1254" s="3478">
        <v>37980</v>
      </c>
      <c r="BK1254" s="3518"/>
      <c r="BL1254" s="3470" t="s">
        <v>3670</v>
      </c>
    </row>
    <row r="1255" spans="1:70" s="3441" customFormat="1" ht="12" hidden="1">
      <c r="A1255" s="3485" t="s">
        <v>11620</v>
      </c>
      <c r="B1255" s="3470" t="s">
        <v>11621</v>
      </c>
      <c r="C1255" s="3481" t="s">
        <v>11622</v>
      </c>
      <c r="D1255" s="3481" t="s">
        <v>11623</v>
      </c>
      <c r="E1255" s="3470" t="s">
        <v>3558</v>
      </c>
      <c r="F1255" s="3470" t="s">
        <v>4693</v>
      </c>
      <c r="G1255" s="3470"/>
      <c r="H1255" s="3470" t="s">
        <v>4453</v>
      </c>
      <c r="I1255" s="3470" t="s">
        <v>8778</v>
      </c>
      <c r="J1255" s="3481" t="s">
        <v>11624</v>
      </c>
      <c r="K1255" s="3470" t="s">
        <v>4697</v>
      </c>
      <c r="L1255" s="3470">
        <v>37.75</v>
      </c>
      <c r="M1255" s="3470">
        <v>10</v>
      </c>
      <c r="N1255" s="3470" t="s">
        <v>3692</v>
      </c>
      <c r="O1255" s="3470">
        <v>28.04</v>
      </c>
      <c r="P1255" s="3470" t="s">
        <v>3452</v>
      </c>
      <c r="Q1255" s="3457">
        <v>318685.5</v>
      </c>
      <c r="R1255" s="3470">
        <v>8442</v>
      </c>
      <c r="S1255" s="3472">
        <v>31.59</v>
      </c>
      <c r="T1255" s="3550">
        <v>315900</v>
      </c>
      <c r="U1255" s="3491">
        <v>8370</v>
      </c>
      <c r="V1255" s="3529">
        <v>0.1</v>
      </c>
      <c r="W1255" s="3475">
        <v>28.43</v>
      </c>
      <c r="X1255" s="3511">
        <v>284300</v>
      </c>
      <c r="Y1255" s="3501">
        <v>2003</v>
      </c>
      <c r="Z1255" s="3441">
        <v>12</v>
      </c>
      <c r="AA1255" s="3470">
        <v>29</v>
      </c>
      <c r="AB1255" s="3477">
        <v>1575</v>
      </c>
      <c r="AC1255" s="3470" t="s">
        <v>8840</v>
      </c>
      <c r="AD1255" s="3485"/>
      <c r="AE1255" s="3441" t="s">
        <v>3663</v>
      </c>
      <c r="AF1255" s="3470" t="s">
        <v>3604</v>
      </c>
      <c r="AG1255" s="3522" t="s">
        <v>3466</v>
      </c>
      <c r="AH1255" s="3485" t="s">
        <v>3463</v>
      </c>
      <c r="AI1255" s="3470" t="s">
        <v>5021</v>
      </c>
      <c r="AJ1255" s="3523">
        <v>38138</v>
      </c>
      <c r="AK1255" s="3612" t="s">
        <v>3467</v>
      </c>
      <c r="AL1255" s="3441">
        <v>67641700</v>
      </c>
      <c r="AN1255" s="3480" t="s">
        <v>4699</v>
      </c>
      <c r="AO1255" s="3470" t="s">
        <v>3568</v>
      </c>
      <c r="AP1255" s="3441" t="s">
        <v>3476</v>
      </c>
      <c r="AQ1255" s="3441" t="s">
        <v>3571</v>
      </c>
      <c r="AV1255" s="3441" t="s">
        <v>3568</v>
      </c>
      <c r="AW1255" s="3441" t="s">
        <v>3572</v>
      </c>
      <c r="AX1255" s="3441" t="s">
        <v>3568</v>
      </c>
      <c r="AY1255" s="3524" t="s">
        <v>11625</v>
      </c>
      <c r="AZ1255" s="3441" t="s">
        <v>4697</v>
      </c>
      <c r="BA1255" s="3441" t="s">
        <v>4700</v>
      </c>
      <c r="BB1255" s="3524" t="s">
        <v>4701</v>
      </c>
      <c r="BC1255" s="3441" t="s">
        <v>4702</v>
      </c>
      <c r="BD1255" s="3525">
        <v>100011</v>
      </c>
      <c r="BE1255" s="3441">
        <v>62351476</v>
      </c>
      <c r="BF1255" s="3526">
        <v>2.8</v>
      </c>
      <c r="BG1255" s="3518">
        <v>37965</v>
      </c>
      <c r="BI1255" s="3470" t="s">
        <v>3476</v>
      </c>
      <c r="BJ1255" s="3484">
        <v>37981</v>
      </c>
      <c r="BK1255" s="3518"/>
      <c r="BL1255" s="3470" t="s">
        <v>3670</v>
      </c>
    </row>
    <row r="1256" spans="1:70" s="3441" customFormat="1" ht="12" hidden="1">
      <c r="A1256" s="3485" t="s">
        <v>11626</v>
      </c>
      <c r="B1256" s="3470" t="s">
        <v>11627</v>
      </c>
      <c r="C1256" s="3481" t="s">
        <v>11628</v>
      </c>
      <c r="D1256" s="3453" t="s">
        <v>11629</v>
      </c>
      <c r="E1256" s="3470" t="s">
        <v>3558</v>
      </c>
      <c r="F1256" s="3470" t="s">
        <v>4403</v>
      </c>
      <c r="G1256" s="3470" t="s">
        <v>3568</v>
      </c>
      <c r="H1256" s="3470" t="s">
        <v>11386</v>
      </c>
      <c r="I1256" s="3470" t="s">
        <v>4100</v>
      </c>
      <c r="J1256" s="3481" t="s">
        <v>3474</v>
      </c>
      <c r="K1256" s="3470" t="s">
        <v>4406</v>
      </c>
      <c r="L1256" s="3470">
        <v>123.48</v>
      </c>
      <c r="M1256" s="3470">
        <v>5</v>
      </c>
      <c r="N1256" s="3453" t="s">
        <v>3632</v>
      </c>
      <c r="O1256" s="3470">
        <v>110.68</v>
      </c>
      <c r="P1256" s="3470" t="s">
        <v>3452</v>
      </c>
      <c r="Q1256" s="3457">
        <v>639626.4</v>
      </c>
      <c r="R1256" s="3470">
        <v>5180</v>
      </c>
      <c r="S1256" s="3472">
        <v>63.34</v>
      </c>
      <c r="T1256" s="3550">
        <v>633400</v>
      </c>
      <c r="U1256" s="3470">
        <v>5130</v>
      </c>
      <c r="V1256" s="3474">
        <v>0.1</v>
      </c>
      <c r="W1256" s="3475">
        <v>57</v>
      </c>
      <c r="X1256" s="3511">
        <v>570000</v>
      </c>
      <c r="Y1256" s="3441">
        <v>2003</v>
      </c>
      <c r="Z1256" s="3441">
        <v>12</v>
      </c>
      <c r="AA1256" s="3470">
        <v>29</v>
      </c>
      <c r="AB1256" s="3477">
        <v>3165</v>
      </c>
      <c r="AC1256" s="3470" t="s">
        <v>9060</v>
      </c>
      <c r="AD1256" s="3485"/>
      <c r="AE1256" s="3441" t="s">
        <v>3663</v>
      </c>
      <c r="AF1256" s="3470" t="s">
        <v>7751</v>
      </c>
      <c r="AG1256" s="3522" t="s">
        <v>3466</v>
      </c>
      <c r="AH1256" s="3485"/>
      <c r="AI1256" s="3470" t="s">
        <v>3664</v>
      </c>
      <c r="AJ1256" s="3523">
        <v>38352</v>
      </c>
      <c r="AK1256" s="3612" t="s">
        <v>3467</v>
      </c>
      <c r="AL1256" s="3441">
        <v>67641700</v>
      </c>
      <c r="AN1256" s="3480" t="s">
        <v>4699</v>
      </c>
      <c r="AO1256" s="3470" t="s">
        <v>2420</v>
      </c>
      <c r="AP1256" s="3456" t="s">
        <v>3476</v>
      </c>
      <c r="AQ1256" s="3456" t="s">
        <v>3571</v>
      </c>
      <c r="AR1256" s="3441" t="s">
        <v>2420</v>
      </c>
      <c r="AS1256" s="3441" t="s">
        <v>2420</v>
      </c>
      <c r="AT1256" s="3441" t="s">
        <v>2420</v>
      </c>
      <c r="AW1256" s="3441" t="s">
        <v>3572</v>
      </c>
      <c r="AX1256" s="3441" t="s">
        <v>3568</v>
      </c>
      <c r="AY1256" s="3524" t="s">
        <v>11630</v>
      </c>
      <c r="AZ1256" s="3441" t="s">
        <v>4076</v>
      </c>
      <c r="BA1256" s="3441" t="s">
        <v>4409</v>
      </c>
      <c r="BB1256" s="3524" t="s">
        <v>4410</v>
      </c>
      <c r="BC1256" s="3441" t="s">
        <v>4411</v>
      </c>
      <c r="BD1256" s="3525" t="s">
        <v>3568</v>
      </c>
      <c r="BE1256" s="3441">
        <v>68152860</v>
      </c>
      <c r="BF1256" s="3526">
        <v>2.8</v>
      </c>
      <c r="BG1256" s="3518">
        <v>37970</v>
      </c>
      <c r="BH1256" s="3441" t="s">
        <v>4412</v>
      </c>
      <c r="BI1256" s="3470" t="s">
        <v>3476</v>
      </c>
      <c r="BJ1256" s="3484">
        <v>37979</v>
      </c>
      <c r="BK1256" s="3518"/>
      <c r="BL1256" s="3470" t="s">
        <v>3670</v>
      </c>
    </row>
    <row r="1257" spans="1:70" s="3618" customFormat="1" ht="12" hidden="1">
      <c r="A1257" s="3485" t="s">
        <v>11631</v>
      </c>
      <c r="B1257" s="3470" t="s">
        <v>11632</v>
      </c>
      <c r="C1257" s="3481" t="s">
        <v>11633</v>
      </c>
      <c r="D1257" s="3481" t="s">
        <v>11634</v>
      </c>
      <c r="E1257" s="3470" t="s">
        <v>3558</v>
      </c>
      <c r="F1257" s="3470" t="s">
        <v>4770</v>
      </c>
      <c r="G1257" s="3470"/>
      <c r="H1257" s="3470" t="s">
        <v>4771</v>
      </c>
      <c r="I1257" s="3453" t="s">
        <v>3726</v>
      </c>
      <c r="J1257" s="3481" t="s">
        <v>7370</v>
      </c>
      <c r="K1257" s="3470" t="s">
        <v>4772</v>
      </c>
      <c r="L1257" s="3470">
        <v>68.3</v>
      </c>
      <c r="M1257" s="3470">
        <v>1</v>
      </c>
      <c r="N1257" s="3453" t="s">
        <v>3489</v>
      </c>
      <c r="O1257" s="3470">
        <v>59.43</v>
      </c>
      <c r="P1257" s="3470" t="s">
        <v>3452</v>
      </c>
      <c r="Q1257" s="3457">
        <v>294509.59999999998</v>
      </c>
      <c r="R1257" s="3470">
        <v>4312</v>
      </c>
      <c r="S1257" s="3472">
        <v>29.1</v>
      </c>
      <c r="T1257" s="3527">
        <v>291000</v>
      </c>
      <c r="U1257" s="3470">
        <v>4262</v>
      </c>
      <c r="V1257" s="3512">
        <v>0.1</v>
      </c>
      <c r="W1257" s="3475">
        <v>26.19</v>
      </c>
      <c r="X1257" s="3476">
        <v>261900</v>
      </c>
      <c r="Y1257" s="3441">
        <v>2003</v>
      </c>
      <c r="Z1257" s="3441">
        <v>12</v>
      </c>
      <c r="AA1257" s="3470">
        <v>29</v>
      </c>
      <c r="AB1257" s="3477">
        <v>1455</v>
      </c>
      <c r="AC1257" s="3470" t="s">
        <v>9383</v>
      </c>
      <c r="AD1257" s="3485"/>
      <c r="AE1257" s="3441" t="s">
        <v>3663</v>
      </c>
      <c r="AF1257" s="3470" t="s">
        <v>3587</v>
      </c>
      <c r="AG1257" s="3522" t="s">
        <v>3466</v>
      </c>
      <c r="AH1257" s="3485"/>
      <c r="AI1257" s="3470" t="s">
        <v>7643</v>
      </c>
      <c r="AJ1257" s="3523">
        <v>38045</v>
      </c>
      <c r="AK1257" s="3612" t="s">
        <v>3467</v>
      </c>
      <c r="AL1257" s="3441">
        <v>67641700</v>
      </c>
      <c r="AM1257" s="3441"/>
      <c r="AN1257" s="3480" t="s">
        <v>4699</v>
      </c>
      <c r="AO1257" s="3470" t="s">
        <v>2420</v>
      </c>
      <c r="AP1257" s="3441" t="s">
        <v>3476</v>
      </c>
      <c r="AQ1257" s="3441" t="s">
        <v>3571</v>
      </c>
      <c r="AR1257" s="3441"/>
      <c r="AS1257" s="3441"/>
      <c r="AT1257" s="3441"/>
      <c r="AU1257" s="3441"/>
      <c r="AV1257" s="3441"/>
      <c r="AW1257" s="3441" t="s">
        <v>3572</v>
      </c>
      <c r="AX1257" s="3441"/>
      <c r="AY1257" s="3441">
        <v>559958</v>
      </c>
      <c r="AZ1257" s="3441" t="s">
        <v>4772</v>
      </c>
      <c r="BA1257" s="3441" t="s">
        <v>4775</v>
      </c>
      <c r="BB1257" s="3524" t="s">
        <v>4776</v>
      </c>
      <c r="BC1257" s="3441" t="s">
        <v>4777</v>
      </c>
      <c r="BD1257" s="3525">
        <v>100083</v>
      </c>
      <c r="BE1257" s="3441">
        <v>82355171</v>
      </c>
      <c r="BF1257" s="3526">
        <v>2.7</v>
      </c>
      <c r="BG1257" s="3518">
        <v>37964</v>
      </c>
      <c r="BH1257" s="3441" t="s">
        <v>4681</v>
      </c>
      <c r="BI1257" s="3441" t="s">
        <v>3476</v>
      </c>
      <c r="BJ1257" s="3484">
        <v>37981</v>
      </c>
      <c r="BK1257" s="3484"/>
      <c r="BL1257" s="3470" t="s">
        <v>3670</v>
      </c>
      <c r="BM1257" s="3441"/>
      <c r="BN1257" s="3441"/>
      <c r="BO1257" s="3441"/>
      <c r="BP1257" s="3441"/>
      <c r="BQ1257" s="3441"/>
      <c r="BR1257" s="3441"/>
    </row>
    <row r="1258" spans="1:70" s="3441" customFormat="1" ht="12" hidden="1">
      <c r="A1258" s="3485" t="s">
        <v>11635</v>
      </c>
      <c r="B1258" s="3470" t="s">
        <v>11636</v>
      </c>
      <c r="C1258" s="3481" t="s">
        <v>11637</v>
      </c>
      <c r="D1258" s="3481" t="s">
        <v>11638</v>
      </c>
      <c r="E1258" s="3470" t="s">
        <v>3558</v>
      </c>
      <c r="F1258" s="3528" t="s">
        <v>7637</v>
      </c>
      <c r="G1258" s="3470"/>
      <c r="H1258" s="3470" t="s">
        <v>11639</v>
      </c>
      <c r="I1258" s="3470" t="s">
        <v>3464</v>
      </c>
      <c r="J1258" s="3470" t="s">
        <v>3479</v>
      </c>
      <c r="K1258" s="3470" t="s">
        <v>7641</v>
      </c>
      <c r="L1258" s="3470">
        <v>170.58</v>
      </c>
      <c r="M1258" s="3470">
        <v>1</v>
      </c>
      <c r="N1258" s="3453" t="s">
        <v>3632</v>
      </c>
      <c r="O1258" s="3470">
        <v>156.03</v>
      </c>
      <c r="P1258" s="3470" t="s">
        <v>3452</v>
      </c>
      <c r="Q1258" s="3492">
        <v>1350256.6944000002</v>
      </c>
      <c r="R1258" s="3470">
        <v>7915.68</v>
      </c>
      <c r="S1258" s="3472">
        <v>134.04</v>
      </c>
      <c r="T1258" s="3527">
        <v>1340400</v>
      </c>
      <c r="U1258" s="3470">
        <v>7858</v>
      </c>
      <c r="V1258" s="3474">
        <v>0.1</v>
      </c>
      <c r="W1258" s="3475">
        <v>120.63</v>
      </c>
      <c r="X1258" s="3494">
        <v>1206300</v>
      </c>
      <c r="Y1258" s="3441">
        <v>2003</v>
      </c>
      <c r="Z1258" s="3441">
        <v>12</v>
      </c>
      <c r="AA1258" s="3470">
        <v>30</v>
      </c>
      <c r="AB1258" s="3477">
        <v>5850</v>
      </c>
      <c r="AC1258" s="3470" t="s">
        <v>4800</v>
      </c>
      <c r="AD1258" s="3485"/>
      <c r="AE1258" s="3441" t="s">
        <v>3663</v>
      </c>
      <c r="AF1258" s="3470" t="s">
        <v>7751</v>
      </c>
      <c r="AG1258" s="3522" t="s">
        <v>3466</v>
      </c>
      <c r="AH1258" s="3485"/>
      <c r="AI1258" s="3470" t="s">
        <v>7643</v>
      </c>
      <c r="AJ1258" s="3523">
        <v>38256</v>
      </c>
      <c r="AK1258" s="3612" t="s">
        <v>3467</v>
      </c>
      <c r="AL1258" s="3441">
        <v>67641700</v>
      </c>
      <c r="AN1258" s="3480" t="s">
        <v>4699</v>
      </c>
      <c r="AP1258" s="3441" t="s">
        <v>3476</v>
      </c>
      <c r="AQ1258" s="3441" t="s">
        <v>3571</v>
      </c>
      <c r="AW1258" s="3441" t="s">
        <v>3572</v>
      </c>
      <c r="AY1258" s="3524" t="s">
        <v>11640</v>
      </c>
      <c r="AZ1258" s="3441" t="s">
        <v>7641</v>
      </c>
      <c r="BA1258" s="3441" t="s">
        <v>7645</v>
      </c>
      <c r="BB1258" s="3524" t="s">
        <v>7646</v>
      </c>
      <c r="BC1258" s="3441" t="s">
        <v>7647</v>
      </c>
      <c r="BD1258" s="3525">
        <v>100016</v>
      </c>
      <c r="BE1258" s="3441">
        <v>84534666</v>
      </c>
      <c r="BF1258" s="3526">
        <v>3</v>
      </c>
      <c r="BG1258" s="3518">
        <v>37975</v>
      </c>
      <c r="BH1258" s="3441" t="s">
        <v>7648</v>
      </c>
      <c r="BI1258" s="3441" t="s">
        <v>3476</v>
      </c>
      <c r="BJ1258" s="3484">
        <v>37981</v>
      </c>
      <c r="BK1258" s="3518"/>
      <c r="BL1258" s="3470" t="s">
        <v>3670</v>
      </c>
    </row>
    <row r="1259" spans="1:70" s="3441" customFormat="1" ht="12" hidden="1">
      <c r="A1259" s="3485" t="s">
        <v>11641</v>
      </c>
      <c r="B1259" s="3470" t="s">
        <v>11642</v>
      </c>
      <c r="C1259" s="3481" t="s">
        <v>11643</v>
      </c>
      <c r="D1259" s="3481" t="s">
        <v>11644</v>
      </c>
      <c r="E1259" s="3470" t="s">
        <v>3558</v>
      </c>
      <c r="F1259" s="3528" t="s">
        <v>4111</v>
      </c>
      <c r="G1259" s="3470"/>
      <c r="H1259" s="3470" t="s">
        <v>6148</v>
      </c>
      <c r="I1259" s="3470" t="s">
        <v>7339</v>
      </c>
      <c r="J1259" s="3481" t="s">
        <v>9397</v>
      </c>
      <c r="K1259" s="3470" t="s">
        <v>4115</v>
      </c>
      <c r="L1259" s="3470">
        <v>146.03</v>
      </c>
      <c r="M1259" s="3470">
        <v>21</v>
      </c>
      <c r="N1259" s="3453" t="s">
        <v>3632</v>
      </c>
      <c r="O1259" s="3470">
        <v>119.21</v>
      </c>
      <c r="P1259" s="3470" t="s">
        <v>3452</v>
      </c>
      <c r="Q1259" s="3457">
        <v>933000.27300000004</v>
      </c>
      <c r="R1259" s="3470">
        <v>6389.1</v>
      </c>
      <c r="S1259" s="3472">
        <v>92.51</v>
      </c>
      <c r="T1259" s="3550">
        <v>925100</v>
      </c>
      <c r="U1259" s="3470">
        <v>6335</v>
      </c>
      <c r="V1259" s="3474">
        <v>0.1</v>
      </c>
      <c r="W1259" s="3475">
        <v>83.25</v>
      </c>
      <c r="X1259" s="3602">
        <v>832500</v>
      </c>
      <c r="Y1259" s="3441">
        <v>2003</v>
      </c>
      <c r="Z1259" s="3441">
        <v>12</v>
      </c>
      <c r="AA1259" s="3470">
        <v>30</v>
      </c>
      <c r="AB1259" s="3477">
        <v>4625</v>
      </c>
      <c r="AC1259" s="3470" t="s">
        <v>9007</v>
      </c>
      <c r="AD1259" s="3485"/>
      <c r="AE1259" s="3441" t="s">
        <v>3663</v>
      </c>
      <c r="AF1259" s="3470" t="s">
        <v>3493</v>
      </c>
      <c r="AG1259" s="3522" t="s">
        <v>3466</v>
      </c>
      <c r="AH1259" s="3485"/>
      <c r="AI1259" s="3470" t="s">
        <v>3664</v>
      </c>
      <c r="AJ1259" s="3523"/>
      <c r="AK1259" s="3612" t="s">
        <v>3467</v>
      </c>
      <c r="AL1259" s="3441">
        <v>67641700</v>
      </c>
      <c r="AN1259" s="3480" t="s">
        <v>4699</v>
      </c>
      <c r="AO1259" s="3470" t="s">
        <v>3568</v>
      </c>
      <c r="AP1259" s="3441" t="s">
        <v>3476</v>
      </c>
      <c r="AQ1259" s="3441" t="s">
        <v>3485</v>
      </c>
      <c r="AW1259" s="3441" t="s">
        <v>3572</v>
      </c>
      <c r="AX1259" s="3441" t="s">
        <v>2420</v>
      </c>
      <c r="AY1259" s="3524" t="s">
        <v>11645</v>
      </c>
      <c r="AZ1259" s="3441" t="s">
        <v>4115</v>
      </c>
      <c r="BA1259" s="3441" t="s">
        <v>4118</v>
      </c>
      <c r="BB1259" s="3524" t="s">
        <v>4119</v>
      </c>
      <c r="BC1259" s="3441" t="s">
        <v>4120</v>
      </c>
      <c r="BD1259" s="3525">
        <v>100086</v>
      </c>
      <c r="BE1259" s="3441">
        <v>63260460</v>
      </c>
      <c r="BF1259" s="3526">
        <v>2.7</v>
      </c>
      <c r="BG1259" s="3518">
        <v>37975</v>
      </c>
      <c r="BI1259" s="3441" t="s">
        <v>3475</v>
      </c>
      <c r="BJ1259" s="3484">
        <v>37984</v>
      </c>
      <c r="BK1259" s="3518"/>
      <c r="BL1259" s="3441" t="s">
        <v>3470</v>
      </c>
    </row>
    <row r="1260" spans="1:70" s="3441" customFormat="1" ht="12" hidden="1">
      <c r="A1260" s="3485" t="s">
        <v>11646</v>
      </c>
      <c r="B1260" s="3470" t="s">
        <v>11647</v>
      </c>
      <c r="C1260" s="3481" t="s">
        <v>11648</v>
      </c>
      <c r="D1260" s="3481" t="s">
        <v>11649</v>
      </c>
      <c r="E1260" s="3470" t="s">
        <v>3558</v>
      </c>
      <c r="F1260" s="3470" t="s">
        <v>9389</v>
      </c>
      <c r="G1260" s="3470"/>
      <c r="H1260" s="3470" t="s">
        <v>9778</v>
      </c>
      <c r="I1260" s="3470" t="s">
        <v>3582</v>
      </c>
      <c r="J1260" s="3481" t="s">
        <v>3449</v>
      </c>
      <c r="K1260" s="3470" t="s">
        <v>4772</v>
      </c>
      <c r="L1260" s="3470">
        <v>124.96</v>
      </c>
      <c r="M1260" s="3470">
        <v>4</v>
      </c>
      <c r="N1260" s="3453" t="s">
        <v>3488</v>
      </c>
      <c r="O1260" s="3470">
        <v>112.66</v>
      </c>
      <c r="P1260" s="3470" t="s">
        <v>3452</v>
      </c>
      <c r="Q1260" s="3457">
        <v>575565.76</v>
      </c>
      <c r="R1260" s="3470">
        <v>4606</v>
      </c>
      <c r="S1260" s="3472">
        <v>56.96</v>
      </c>
      <c r="T1260" s="3527">
        <v>569600</v>
      </c>
      <c r="U1260" s="3470">
        <v>4559</v>
      </c>
      <c r="V1260" s="3512">
        <v>0.1</v>
      </c>
      <c r="W1260" s="3475">
        <v>51.26</v>
      </c>
      <c r="X1260" s="3476">
        <v>512600</v>
      </c>
      <c r="Y1260" s="3441">
        <v>2003</v>
      </c>
      <c r="Z1260" s="3441">
        <v>12</v>
      </c>
      <c r="AA1260" s="3470">
        <v>30</v>
      </c>
      <c r="AB1260" s="3477">
        <v>2845</v>
      </c>
      <c r="AC1260" s="3470" t="s">
        <v>9413</v>
      </c>
      <c r="AD1260" s="3485"/>
      <c r="AE1260" s="3441" t="s">
        <v>3663</v>
      </c>
      <c r="AF1260" s="3470" t="s">
        <v>4126</v>
      </c>
      <c r="AG1260" s="3522" t="s">
        <v>3466</v>
      </c>
      <c r="AH1260" s="3485"/>
      <c r="AI1260" s="3470" t="s">
        <v>7643</v>
      </c>
      <c r="AJ1260" s="3523">
        <v>38025</v>
      </c>
      <c r="AK1260" s="3612" t="s">
        <v>3467</v>
      </c>
      <c r="AL1260" s="3441">
        <v>67641700</v>
      </c>
      <c r="AN1260" s="3480" t="s">
        <v>4699</v>
      </c>
      <c r="AO1260" s="3470" t="s">
        <v>2420</v>
      </c>
      <c r="AP1260" s="3441" t="s">
        <v>3476</v>
      </c>
      <c r="AQ1260" s="3441" t="s">
        <v>3571</v>
      </c>
      <c r="AW1260" s="3441" t="s">
        <v>3572</v>
      </c>
      <c r="AY1260" s="3441">
        <v>561634</v>
      </c>
      <c r="AZ1260" s="3441" t="s">
        <v>4772</v>
      </c>
      <c r="BA1260" s="3441" t="s">
        <v>4775</v>
      </c>
      <c r="BB1260" s="3524" t="s">
        <v>4776</v>
      </c>
      <c r="BC1260" s="3441" t="s">
        <v>4777</v>
      </c>
      <c r="BD1260" s="3525">
        <v>100083</v>
      </c>
      <c r="BE1260" s="3441">
        <v>82355171</v>
      </c>
      <c r="BF1260" s="3526">
        <v>2.7</v>
      </c>
      <c r="BG1260" s="3518">
        <v>37953</v>
      </c>
      <c r="BH1260" s="3441" t="s">
        <v>4681</v>
      </c>
      <c r="BI1260" s="3441" t="s">
        <v>3476</v>
      </c>
      <c r="BJ1260" s="3484">
        <v>37981</v>
      </c>
      <c r="BK1260" s="3484"/>
      <c r="BL1260" s="3470" t="s">
        <v>3670</v>
      </c>
    </row>
    <row r="1261" spans="1:70" s="3441" customFormat="1" ht="12" hidden="1">
      <c r="A1261" s="3453" t="s">
        <v>11650</v>
      </c>
      <c r="B1261" s="3470" t="s">
        <v>11651</v>
      </c>
      <c r="C1261" s="3481" t="s">
        <v>11652</v>
      </c>
      <c r="D1261" s="3481" t="s">
        <v>11653</v>
      </c>
      <c r="E1261" s="3470" t="s">
        <v>3558</v>
      </c>
      <c r="F1261" s="3528" t="s">
        <v>7652</v>
      </c>
      <c r="G1261" s="3470"/>
      <c r="H1261" s="3470" t="s">
        <v>10114</v>
      </c>
      <c r="I1261" s="3470" t="s">
        <v>3689</v>
      </c>
      <c r="J1261" s="3481" t="s">
        <v>9924</v>
      </c>
      <c r="K1261" s="3470" t="s">
        <v>6369</v>
      </c>
      <c r="L1261" s="3470">
        <v>80.430000000000007</v>
      </c>
      <c r="M1261" s="3470">
        <v>11</v>
      </c>
      <c r="N1261" s="3470" t="s">
        <v>3451</v>
      </c>
      <c r="O1261" s="3470">
        <v>63.45</v>
      </c>
      <c r="P1261" s="3470" t="s">
        <v>3452</v>
      </c>
      <c r="Q1261" s="3457">
        <v>389281.2</v>
      </c>
      <c r="R1261" s="3470">
        <v>4840</v>
      </c>
      <c r="S1261" s="3472">
        <v>38.54</v>
      </c>
      <c r="T1261" s="3527">
        <v>385400</v>
      </c>
      <c r="U1261" s="3470">
        <v>4792</v>
      </c>
      <c r="V1261" s="3512">
        <v>0.1</v>
      </c>
      <c r="W1261" s="3475">
        <v>34.68</v>
      </c>
      <c r="X1261" s="3473">
        <v>346800</v>
      </c>
      <c r="Y1261" s="3441">
        <v>2003</v>
      </c>
      <c r="Z1261" s="3441">
        <v>12</v>
      </c>
      <c r="AA1261" s="3470">
        <v>30</v>
      </c>
      <c r="AB1261" s="3485">
        <v>1925</v>
      </c>
      <c r="AC1261" s="3470" t="s">
        <v>9383</v>
      </c>
      <c r="AD1261" s="3485"/>
      <c r="AE1261" s="3441" t="s">
        <v>3663</v>
      </c>
      <c r="AF1261" s="3470" t="s">
        <v>3587</v>
      </c>
      <c r="AG1261" s="3522" t="s">
        <v>3466</v>
      </c>
      <c r="AH1261" s="3485" t="s">
        <v>3568</v>
      </c>
      <c r="AI1261" s="3470" t="s">
        <v>5021</v>
      </c>
      <c r="AJ1261" s="3535">
        <v>38123</v>
      </c>
      <c r="AK1261" s="3612" t="s">
        <v>3467</v>
      </c>
      <c r="AL1261" s="3441">
        <v>67641700</v>
      </c>
      <c r="AN1261" s="3480" t="s">
        <v>4699</v>
      </c>
      <c r="AP1261" s="3441" t="s">
        <v>3476</v>
      </c>
      <c r="AQ1261" s="3441" t="s">
        <v>3571</v>
      </c>
      <c r="AV1261" s="3441" t="s">
        <v>3568</v>
      </c>
      <c r="AW1261" s="3441" t="s">
        <v>3572</v>
      </c>
      <c r="AY1261" s="3524" t="s">
        <v>11654</v>
      </c>
      <c r="AZ1261" s="3441" t="s">
        <v>6369</v>
      </c>
      <c r="BA1261" s="3441" t="s">
        <v>7655</v>
      </c>
      <c r="BB1261" s="3524" t="s">
        <v>7656</v>
      </c>
      <c r="BC1261" s="3441" t="s">
        <v>7657</v>
      </c>
      <c r="BD1261" s="3525">
        <v>100025</v>
      </c>
      <c r="BE1261" s="3441">
        <v>62908858</v>
      </c>
      <c r="BF1261" s="3526">
        <v>2.7</v>
      </c>
      <c r="BG1261" s="3518">
        <v>37951</v>
      </c>
      <c r="BH1261" s="3441" t="s">
        <v>4681</v>
      </c>
      <c r="BI1261" s="3441" t="s">
        <v>3476</v>
      </c>
      <c r="BJ1261" s="3484">
        <v>37981</v>
      </c>
      <c r="BK1261" s="3484"/>
      <c r="BL1261" s="3470" t="s">
        <v>3670</v>
      </c>
    </row>
    <row r="1262" spans="1:70" s="3441" customFormat="1" ht="12" hidden="1">
      <c r="A1262" s="3485" t="s">
        <v>11655</v>
      </c>
      <c r="B1262" s="3470" t="s">
        <v>11656</v>
      </c>
      <c r="C1262" s="3481" t="s">
        <v>11657</v>
      </c>
      <c r="D1262" s="3481" t="s">
        <v>11658</v>
      </c>
      <c r="E1262" s="3470" t="s">
        <v>3558</v>
      </c>
      <c r="F1262" s="3470" t="s">
        <v>4770</v>
      </c>
      <c r="G1262" s="3470"/>
      <c r="H1262" s="3470" t="s">
        <v>11030</v>
      </c>
      <c r="I1262" s="3470" t="s">
        <v>3676</v>
      </c>
      <c r="J1262" s="3481" t="s">
        <v>4549</v>
      </c>
      <c r="K1262" s="3470" t="s">
        <v>4772</v>
      </c>
      <c r="L1262" s="3470">
        <v>61.72</v>
      </c>
      <c r="M1262" s="3470">
        <v>3</v>
      </c>
      <c r="N1262" s="3453" t="s">
        <v>3489</v>
      </c>
      <c r="O1262" s="3470">
        <v>55.27</v>
      </c>
      <c r="P1262" s="3470" t="s">
        <v>3452</v>
      </c>
      <c r="Q1262" s="3457">
        <v>281258.03999999998</v>
      </c>
      <c r="R1262" s="3470">
        <v>4557</v>
      </c>
      <c r="S1262" s="3472">
        <v>27.84</v>
      </c>
      <c r="T1262" s="3527">
        <v>278400</v>
      </c>
      <c r="U1262" s="3470">
        <v>4511</v>
      </c>
      <c r="V1262" s="3512">
        <v>0.1</v>
      </c>
      <c r="W1262" s="3475">
        <v>25.05</v>
      </c>
      <c r="X1262" s="3476">
        <v>250500</v>
      </c>
      <c r="Y1262" s="3441">
        <v>2003</v>
      </c>
      <c r="Z1262" s="3441">
        <v>12</v>
      </c>
      <c r="AA1262" s="3470">
        <v>30</v>
      </c>
      <c r="AB1262" s="3477">
        <v>1390</v>
      </c>
      <c r="AC1262" s="3470" t="s">
        <v>9077</v>
      </c>
      <c r="AD1262" s="3485"/>
      <c r="AE1262" s="3441" t="s">
        <v>3663</v>
      </c>
      <c r="AF1262" s="3470" t="s">
        <v>4126</v>
      </c>
      <c r="AG1262" s="3522" t="s">
        <v>3466</v>
      </c>
      <c r="AH1262" s="3485"/>
      <c r="AI1262" s="3470" t="s">
        <v>7643</v>
      </c>
      <c r="AJ1262" s="3523">
        <v>38042</v>
      </c>
      <c r="AK1262" s="3612" t="s">
        <v>3467</v>
      </c>
      <c r="AL1262" s="3441">
        <v>67641700</v>
      </c>
      <c r="AN1262" s="3480" t="s">
        <v>4699</v>
      </c>
      <c r="AO1262" s="3470" t="s">
        <v>2420</v>
      </c>
      <c r="AP1262" s="3441" t="s">
        <v>3476</v>
      </c>
      <c r="AQ1262" s="3441" t="s">
        <v>3571</v>
      </c>
      <c r="AW1262" s="3441" t="s">
        <v>3572</v>
      </c>
      <c r="AY1262" s="3441">
        <v>561630</v>
      </c>
      <c r="AZ1262" s="3441" t="s">
        <v>4772</v>
      </c>
      <c r="BA1262" s="3441" t="s">
        <v>4775</v>
      </c>
      <c r="BB1262" s="3524" t="s">
        <v>4776</v>
      </c>
      <c r="BC1262" s="3441" t="s">
        <v>4777</v>
      </c>
      <c r="BD1262" s="3525">
        <v>100083</v>
      </c>
      <c r="BE1262" s="3441">
        <v>82355171</v>
      </c>
      <c r="BF1262" s="3526">
        <v>2.7</v>
      </c>
      <c r="BG1262" s="3518">
        <v>37966</v>
      </c>
      <c r="BH1262" s="3441" t="s">
        <v>4681</v>
      </c>
      <c r="BI1262" s="3441" t="s">
        <v>3476</v>
      </c>
      <c r="BJ1262" s="3484">
        <v>37980</v>
      </c>
      <c r="BK1262" s="3484"/>
      <c r="BL1262" s="3470" t="s">
        <v>3670</v>
      </c>
    </row>
    <row r="1263" spans="1:70" s="3441" customFormat="1" ht="12" hidden="1">
      <c r="A1263" s="3485" t="s">
        <v>11659</v>
      </c>
      <c r="B1263" s="3470" t="s">
        <v>11660</v>
      </c>
      <c r="C1263" s="3481" t="s">
        <v>11661</v>
      </c>
      <c r="D1263" s="3481" t="s">
        <v>11662</v>
      </c>
      <c r="E1263" s="3470" t="s">
        <v>3558</v>
      </c>
      <c r="F1263" s="3470" t="s">
        <v>4770</v>
      </c>
      <c r="G1263" s="3470"/>
      <c r="H1263" s="3470" t="s">
        <v>4771</v>
      </c>
      <c r="I1263" s="3470" t="s">
        <v>4019</v>
      </c>
      <c r="J1263" s="3481" t="s">
        <v>3465</v>
      </c>
      <c r="K1263" s="3470" t="s">
        <v>4772</v>
      </c>
      <c r="L1263" s="3470">
        <v>68.650000000000006</v>
      </c>
      <c r="M1263" s="3470">
        <v>6</v>
      </c>
      <c r="N1263" s="3453" t="s">
        <v>3489</v>
      </c>
      <c r="O1263" s="3470">
        <v>59.81</v>
      </c>
      <c r="P1263" s="3470" t="s">
        <v>3452</v>
      </c>
      <c r="Q1263" s="3457">
        <v>296018.80000000005</v>
      </c>
      <c r="R1263" s="3470">
        <v>4312</v>
      </c>
      <c r="S1263" s="3472">
        <v>29.29</v>
      </c>
      <c r="T1263" s="3527">
        <v>292900</v>
      </c>
      <c r="U1263" s="3470">
        <v>4268</v>
      </c>
      <c r="V1263" s="3512">
        <v>0.1</v>
      </c>
      <c r="W1263" s="3475">
        <v>26.36</v>
      </c>
      <c r="X1263" s="3476">
        <v>263600</v>
      </c>
      <c r="Y1263" s="3441">
        <v>2003</v>
      </c>
      <c r="Z1263" s="3441">
        <v>12</v>
      </c>
      <c r="AA1263" s="3470">
        <v>30</v>
      </c>
      <c r="AB1263" s="3477">
        <v>1460</v>
      </c>
      <c r="AC1263" s="3470" t="s">
        <v>9077</v>
      </c>
      <c r="AD1263" s="3485"/>
      <c r="AE1263" s="3441" t="s">
        <v>3663</v>
      </c>
      <c r="AF1263" s="3470" t="s">
        <v>4126</v>
      </c>
      <c r="AG1263" s="3522" t="s">
        <v>3466</v>
      </c>
      <c r="AH1263" s="3485"/>
      <c r="AI1263" s="3470" t="s">
        <v>7643</v>
      </c>
      <c r="AJ1263" s="3523">
        <v>38041</v>
      </c>
      <c r="AK1263" s="3612" t="s">
        <v>3467</v>
      </c>
      <c r="AL1263" s="3441">
        <v>67641700</v>
      </c>
      <c r="AN1263" s="3480" t="s">
        <v>4699</v>
      </c>
      <c r="AO1263" s="3470" t="s">
        <v>2420</v>
      </c>
      <c r="AP1263" s="3441" t="s">
        <v>3476</v>
      </c>
      <c r="AQ1263" s="3441" t="s">
        <v>3571</v>
      </c>
      <c r="AW1263" s="3441" t="s">
        <v>3572</v>
      </c>
      <c r="AY1263" s="3441">
        <v>559959</v>
      </c>
      <c r="AZ1263" s="3441" t="s">
        <v>4772</v>
      </c>
      <c r="BA1263" s="3441" t="s">
        <v>4775</v>
      </c>
      <c r="BB1263" s="3524" t="s">
        <v>4776</v>
      </c>
      <c r="BC1263" s="3441" t="s">
        <v>4777</v>
      </c>
      <c r="BD1263" s="3525">
        <v>100083</v>
      </c>
      <c r="BE1263" s="3441">
        <v>82355171</v>
      </c>
      <c r="BF1263" s="3526">
        <v>2.7</v>
      </c>
      <c r="BG1263" s="3518">
        <v>37962</v>
      </c>
      <c r="BH1263" s="3441" t="s">
        <v>4681</v>
      </c>
      <c r="BI1263" s="3441" t="s">
        <v>3476</v>
      </c>
      <c r="BJ1263" s="3484">
        <v>37980</v>
      </c>
      <c r="BK1263" s="3484"/>
      <c r="BL1263" s="3470" t="s">
        <v>3670</v>
      </c>
    </row>
  </sheetData>
  <autoFilter ref="A2:BO1263">
    <filterColumn colId="5">
      <colorFilter dxfId="139"/>
    </filterColumn>
  </autoFilter>
  <mergeCells count="1">
    <mergeCell ref="AL1:AM1"/>
  </mergeCells>
  <phoneticPr fontId="136"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
  <sheetViews>
    <sheetView workbookViewId="0">
      <selection activeCell="I21" sqref="I21"/>
    </sheetView>
  </sheetViews>
  <sheetFormatPr defaultRowHeight="14.4"/>
  <cols>
    <col min="1" max="1" width="8.88671875" style="3780"/>
    <col min="2" max="2" width="31.6640625" style="3780" customWidth="1"/>
    <col min="3" max="3" width="39.5546875" style="3780" customWidth="1"/>
    <col min="4" max="16384" width="8.88671875" style="3780"/>
  </cols>
  <sheetData>
    <row r="1" spans="1:60" s="3759" customFormat="1" ht="13.2">
      <c r="A1" s="3753"/>
      <c r="B1" s="3754"/>
      <c r="C1" s="3753"/>
      <c r="D1" s="3753"/>
      <c r="E1" s="3753"/>
      <c r="F1" s="3753"/>
      <c r="G1" s="3753"/>
      <c r="H1" s="3753"/>
      <c r="I1" s="3753"/>
      <c r="J1" s="3753"/>
      <c r="K1" s="3753"/>
      <c r="L1" s="3753"/>
      <c r="M1" s="3753"/>
      <c r="N1" s="3753"/>
      <c r="O1" s="3753"/>
      <c r="P1" s="3753"/>
      <c r="Q1" s="3753"/>
      <c r="R1" s="3753"/>
      <c r="S1" s="3753"/>
      <c r="T1" s="3753"/>
      <c r="U1" s="3753"/>
      <c r="V1" s="3753"/>
      <c r="W1" s="3755"/>
      <c r="X1" s="3753"/>
      <c r="Y1" s="3753"/>
      <c r="Z1" s="3753"/>
      <c r="AA1" s="3753"/>
      <c r="AB1" s="3753"/>
      <c r="AC1" s="3756"/>
      <c r="AD1" s="3753"/>
      <c r="AE1" s="3753"/>
      <c r="AF1" s="3756"/>
      <c r="AG1" s="3753"/>
      <c r="AH1" s="3753"/>
      <c r="AI1" s="3753"/>
      <c r="AJ1" s="3753"/>
      <c r="AK1" s="3753"/>
      <c r="AL1" s="3753"/>
      <c r="AM1" s="3753"/>
      <c r="AN1" s="3753"/>
      <c r="AO1" s="3753"/>
      <c r="AP1" s="3753"/>
      <c r="AQ1" s="3753"/>
      <c r="AR1" s="3753"/>
      <c r="AS1" s="3753"/>
      <c r="AT1" s="3757"/>
      <c r="AU1" s="3758"/>
      <c r="AV1" s="3753" t="s">
        <v>11698</v>
      </c>
      <c r="AW1" s="3753"/>
      <c r="AX1" s="3756"/>
      <c r="AY1" s="3753" t="s">
        <v>11699</v>
      </c>
      <c r="AZ1" s="3753"/>
      <c r="BA1" s="3756"/>
      <c r="BB1" s="3753" t="s">
        <v>11700</v>
      </c>
      <c r="BC1" s="3753"/>
      <c r="BD1" s="3756"/>
      <c r="BE1" s="3753" t="s">
        <v>11701</v>
      </c>
      <c r="BF1" s="3753"/>
      <c r="BG1" s="3756"/>
      <c r="BH1" s="3756"/>
    </row>
    <row r="2" spans="1:60" s="3759" customFormat="1" ht="11.25" customHeight="1">
      <c r="A2" s="3760" t="s">
        <v>11702</v>
      </c>
      <c r="B2" s="3760" t="s">
        <v>11703</v>
      </c>
      <c r="C2" s="3760" t="s">
        <v>11704</v>
      </c>
      <c r="D2" s="3760" t="s">
        <v>3415</v>
      </c>
      <c r="E2" s="3760" t="s">
        <v>11705</v>
      </c>
      <c r="F2" s="3760" t="s">
        <v>11706</v>
      </c>
      <c r="G2" s="3760" t="s">
        <v>11707</v>
      </c>
      <c r="H2" s="3760" t="s">
        <v>11708</v>
      </c>
      <c r="I2" s="3760" t="s">
        <v>11709</v>
      </c>
      <c r="J2" s="3760" t="s">
        <v>11710</v>
      </c>
      <c r="K2" s="3760" t="s">
        <v>11711</v>
      </c>
      <c r="L2" s="3760" t="s">
        <v>11712</v>
      </c>
      <c r="M2" s="3760" t="s">
        <v>11713</v>
      </c>
      <c r="N2" s="3760" t="s">
        <v>11714</v>
      </c>
      <c r="O2" s="3760" t="s">
        <v>11715</v>
      </c>
      <c r="P2" s="3760" t="s">
        <v>11716</v>
      </c>
      <c r="Q2" s="3760" t="s">
        <v>11717</v>
      </c>
      <c r="R2" s="3760" t="s">
        <v>11718</v>
      </c>
      <c r="S2" s="3760" t="s">
        <v>11719</v>
      </c>
      <c r="T2" s="3760" t="s">
        <v>11720</v>
      </c>
      <c r="U2" s="3760" t="s">
        <v>11718</v>
      </c>
      <c r="V2" s="3760" t="s">
        <v>11719</v>
      </c>
      <c r="W2" s="3761" t="s">
        <v>11721</v>
      </c>
      <c r="X2" s="3760" t="s">
        <v>11722</v>
      </c>
      <c r="Y2" s="3760" t="s">
        <v>11723</v>
      </c>
      <c r="Z2" s="3760" t="s">
        <v>11724</v>
      </c>
      <c r="AA2" s="3760" t="s">
        <v>11725</v>
      </c>
      <c r="AB2" s="3760" t="s">
        <v>3516</v>
      </c>
      <c r="AC2" s="3762" t="s">
        <v>11726</v>
      </c>
      <c r="AD2" s="3760" t="s">
        <v>11727</v>
      </c>
      <c r="AE2" s="3760" t="s">
        <v>11728</v>
      </c>
      <c r="AF2" s="3762" t="s">
        <v>11729</v>
      </c>
      <c r="AG2" s="3760" t="s">
        <v>11730</v>
      </c>
      <c r="AH2" s="3760" t="s">
        <v>11731</v>
      </c>
      <c r="AI2" s="3760" t="s">
        <v>11732</v>
      </c>
      <c r="AJ2" s="3760" t="s">
        <v>11733</v>
      </c>
      <c r="AK2" s="3760" t="s">
        <v>11718</v>
      </c>
      <c r="AL2" s="3760" t="s">
        <v>11719</v>
      </c>
      <c r="AM2" s="3760" t="s">
        <v>11734</v>
      </c>
      <c r="AN2" s="3760" t="s">
        <v>11735</v>
      </c>
      <c r="AO2" s="3760" t="s">
        <v>11736</v>
      </c>
      <c r="AP2" s="3760" t="s">
        <v>11737</v>
      </c>
      <c r="AQ2" s="3760" t="s">
        <v>11738</v>
      </c>
      <c r="AR2" s="3760" t="s">
        <v>11739</v>
      </c>
      <c r="AS2" s="3760" t="s">
        <v>11740</v>
      </c>
      <c r="AT2" s="3763" t="s">
        <v>11741</v>
      </c>
      <c r="AU2" s="3764" t="s">
        <v>11742</v>
      </c>
      <c r="AV2" s="3760" t="s">
        <v>11743</v>
      </c>
      <c r="AW2" s="3760" t="s">
        <v>11744</v>
      </c>
      <c r="AX2" s="3762" t="s">
        <v>11745</v>
      </c>
      <c r="AY2" s="3760" t="s">
        <v>11743</v>
      </c>
      <c r="AZ2" s="3760" t="s">
        <v>11744</v>
      </c>
      <c r="BA2" s="3762" t="s">
        <v>11745</v>
      </c>
      <c r="BB2" s="3760" t="s">
        <v>11743</v>
      </c>
      <c r="BC2" s="3760" t="s">
        <v>11744</v>
      </c>
      <c r="BD2" s="3762" t="s">
        <v>11745</v>
      </c>
      <c r="BE2" s="3760" t="s">
        <v>11743</v>
      </c>
      <c r="BF2" s="3760" t="s">
        <v>11744</v>
      </c>
      <c r="BG2" s="3762" t="s">
        <v>11745</v>
      </c>
      <c r="BH2" s="3762" t="s">
        <v>11746</v>
      </c>
    </row>
    <row r="3" spans="1:60" s="3759" customFormat="1" ht="12" customHeight="1">
      <c r="A3" s="3765" t="s">
        <v>11747</v>
      </c>
      <c r="B3" s="3765" t="s">
        <v>11748</v>
      </c>
      <c r="C3" s="3765" t="s">
        <v>11749</v>
      </c>
      <c r="D3" s="3765" t="s">
        <v>3558</v>
      </c>
      <c r="E3" s="3765" t="s">
        <v>5328</v>
      </c>
      <c r="F3" s="3765" t="s">
        <v>11750</v>
      </c>
      <c r="G3" s="3766" t="s">
        <v>11751</v>
      </c>
      <c r="H3" s="3765"/>
      <c r="I3" s="3765" t="s">
        <v>11752</v>
      </c>
      <c r="J3" s="3765"/>
      <c r="K3" s="3765"/>
      <c r="L3" s="3766"/>
      <c r="M3" s="3765"/>
      <c r="N3" s="3765"/>
      <c r="O3" s="3765"/>
      <c r="P3" s="3765"/>
      <c r="Q3" s="3766"/>
      <c r="R3" s="3766"/>
      <c r="S3" s="3766"/>
      <c r="T3" s="3766"/>
      <c r="U3" s="3766"/>
      <c r="V3" s="3766"/>
      <c r="W3" s="3767"/>
      <c r="X3" s="3765" t="s">
        <v>11753</v>
      </c>
      <c r="Y3" s="3765" t="s">
        <v>11754</v>
      </c>
      <c r="Z3" s="3765" t="s">
        <v>11755</v>
      </c>
      <c r="AA3" s="3765" t="s">
        <v>11756</v>
      </c>
      <c r="AB3" s="3765" t="s">
        <v>11757</v>
      </c>
      <c r="AC3" s="3768" t="s">
        <v>11758</v>
      </c>
      <c r="AD3" s="3765" t="s">
        <v>3493</v>
      </c>
      <c r="AE3" s="3769" t="s">
        <v>11759</v>
      </c>
      <c r="AF3" s="3770">
        <v>37634</v>
      </c>
      <c r="AG3" s="3766">
        <v>60</v>
      </c>
      <c r="AH3" s="3765" t="s">
        <v>4880</v>
      </c>
      <c r="AI3" s="3765" t="s">
        <v>8127</v>
      </c>
      <c r="AJ3" s="3766">
        <v>2003</v>
      </c>
      <c r="AK3" s="3766">
        <v>7</v>
      </c>
      <c r="AL3" s="3766">
        <v>31</v>
      </c>
      <c r="AM3" s="3765" t="s">
        <v>11760</v>
      </c>
      <c r="AN3" s="3765" t="s">
        <v>4699</v>
      </c>
      <c r="AO3" s="3765"/>
      <c r="AP3" s="3765"/>
      <c r="AQ3" s="3765"/>
      <c r="AR3" s="3765"/>
      <c r="AS3" s="3765"/>
      <c r="AT3" s="3771"/>
      <c r="AU3" s="3772"/>
      <c r="AV3" s="3765"/>
      <c r="AW3" s="3765"/>
      <c r="AX3" s="3768"/>
      <c r="AY3" s="3765"/>
      <c r="AZ3" s="3765"/>
      <c r="BA3" s="3768"/>
      <c r="BB3" s="3765">
        <v>6080</v>
      </c>
      <c r="BC3" s="3765"/>
      <c r="BD3" s="3768">
        <v>37910</v>
      </c>
      <c r="BE3" s="3765"/>
      <c r="BF3" s="3765"/>
      <c r="BG3" s="3768"/>
      <c r="BH3" s="3773" t="s">
        <v>11761</v>
      </c>
    </row>
    <row r="4" spans="1:60" s="3759" customFormat="1" ht="12" customHeight="1">
      <c r="A4" s="3765" t="s">
        <v>11747</v>
      </c>
      <c r="B4" s="3765" t="s">
        <v>11748</v>
      </c>
      <c r="C4" s="3765" t="s">
        <v>11762</v>
      </c>
      <c r="D4" s="3765" t="s">
        <v>3558</v>
      </c>
      <c r="E4" s="3765" t="s">
        <v>5328</v>
      </c>
      <c r="F4" s="3765" t="s">
        <v>11750</v>
      </c>
      <c r="G4" s="3766">
        <v>6</v>
      </c>
      <c r="H4" s="3765"/>
      <c r="I4" s="3765" t="s">
        <v>11752</v>
      </c>
      <c r="J4" s="3765"/>
      <c r="K4" s="3765"/>
      <c r="L4" s="3766"/>
      <c r="M4" s="3765"/>
      <c r="N4" s="3765"/>
      <c r="O4" s="3765"/>
      <c r="P4" s="3765"/>
      <c r="Q4" s="3766"/>
      <c r="R4" s="3766"/>
      <c r="S4" s="3766"/>
      <c r="T4" s="3766"/>
      <c r="U4" s="3766"/>
      <c r="V4" s="3766"/>
      <c r="W4" s="3767"/>
      <c r="X4" s="3765" t="s">
        <v>11753</v>
      </c>
      <c r="Y4" s="3765" t="s">
        <v>11754</v>
      </c>
      <c r="Z4" s="3765" t="s">
        <v>11755</v>
      </c>
      <c r="AA4" s="3765" t="s">
        <v>11756</v>
      </c>
      <c r="AB4" s="3765" t="s">
        <v>11757</v>
      </c>
      <c r="AC4" s="3768" t="s">
        <v>11758</v>
      </c>
      <c r="AD4" s="3765" t="s">
        <v>3493</v>
      </c>
      <c r="AE4" s="3769" t="s">
        <v>11759</v>
      </c>
      <c r="AF4" s="3770">
        <v>37634</v>
      </c>
      <c r="AG4" s="3766">
        <v>60</v>
      </c>
      <c r="AH4" s="3765" t="s">
        <v>4880</v>
      </c>
      <c r="AI4" s="3765" t="s">
        <v>8127</v>
      </c>
      <c r="AJ4" s="3766">
        <v>2003</v>
      </c>
      <c r="AK4" s="3766">
        <v>7</v>
      </c>
      <c r="AL4" s="3766">
        <v>31</v>
      </c>
      <c r="AM4" s="3765" t="s">
        <v>11760</v>
      </c>
      <c r="AN4" s="3765" t="s">
        <v>4699</v>
      </c>
      <c r="AO4" s="3765"/>
      <c r="AP4" s="3765"/>
      <c r="AQ4" s="3765"/>
      <c r="AR4" s="3765"/>
      <c r="AS4" s="3765"/>
      <c r="AT4" s="3771"/>
      <c r="AU4" s="3772"/>
      <c r="AV4" s="3765"/>
      <c r="AW4" s="3765"/>
      <c r="AX4" s="3768"/>
      <c r="AY4" s="3765"/>
      <c r="AZ4" s="3765"/>
      <c r="BA4" s="3768"/>
      <c r="BB4" s="3765">
        <v>6080</v>
      </c>
      <c r="BC4" s="3765"/>
      <c r="BD4" s="3768">
        <v>37910</v>
      </c>
      <c r="BE4" s="3765"/>
      <c r="BF4" s="3765"/>
      <c r="BG4" s="3768"/>
      <c r="BH4" s="3773" t="s">
        <v>11761</v>
      </c>
    </row>
    <row r="5" spans="1:60" s="3759" customFormat="1" ht="12" customHeight="1">
      <c r="A5" s="3774" t="s">
        <v>11763</v>
      </c>
      <c r="B5" s="3765" t="s">
        <v>11764</v>
      </c>
      <c r="C5" s="3765" t="s">
        <v>11765</v>
      </c>
      <c r="D5" s="3765" t="s">
        <v>3558</v>
      </c>
      <c r="E5" s="3765" t="s">
        <v>11766</v>
      </c>
      <c r="F5" s="3765"/>
      <c r="G5" s="3766">
        <v>21</v>
      </c>
      <c r="H5" s="3765"/>
      <c r="I5" s="3765" t="s">
        <v>11767</v>
      </c>
      <c r="J5" s="3765" t="s">
        <v>11768</v>
      </c>
      <c r="K5" s="3765" t="s">
        <v>3390</v>
      </c>
      <c r="L5" s="3766">
        <v>38640.550000000003</v>
      </c>
      <c r="M5" s="3765"/>
      <c r="N5" s="3765"/>
      <c r="O5" s="3765"/>
      <c r="P5" s="3765"/>
      <c r="Q5" s="3766">
        <v>2002</v>
      </c>
      <c r="R5" s="3766">
        <v>11</v>
      </c>
      <c r="S5" s="3766">
        <v>21</v>
      </c>
      <c r="T5" s="3766">
        <v>2072</v>
      </c>
      <c r="U5" s="3766">
        <v>11</v>
      </c>
      <c r="V5" s="3766">
        <v>20</v>
      </c>
      <c r="W5" s="3767">
        <f t="shared" ref="W5:W8" ca="1" si="0">YEAR(TODAY())-Q5+(MONTH(TODAY())-R5)/12</f>
        <v>21.916666666666668</v>
      </c>
      <c r="X5" s="3765" t="s">
        <v>11769</v>
      </c>
      <c r="Y5" s="3765" t="s">
        <v>11770</v>
      </c>
      <c r="Z5" s="3765" t="s">
        <v>11771</v>
      </c>
      <c r="AA5" s="3765" t="s">
        <v>11772</v>
      </c>
      <c r="AB5" s="3765" t="s">
        <v>11773</v>
      </c>
      <c r="AC5" s="3768" t="s">
        <v>11774</v>
      </c>
      <c r="AD5" s="3771" t="s">
        <v>11761</v>
      </c>
      <c r="AE5" s="3769"/>
      <c r="AF5" s="3770"/>
      <c r="AG5" s="3766">
        <v>60</v>
      </c>
      <c r="AH5" s="3765" t="s">
        <v>3566</v>
      </c>
      <c r="AI5" s="3765" t="s">
        <v>3679</v>
      </c>
      <c r="AJ5" s="3766">
        <v>2003</v>
      </c>
      <c r="AK5" s="3766">
        <v>10</v>
      </c>
      <c r="AL5" s="3766">
        <v>15</v>
      </c>
      <c r="AM5" s="3765" t="s">
        <v>11775</v>
      </c>
      <c r="AN5" s="3765" t="s">
        <v>3680</v>
      </c>
      <c r="AO5" s="3765" t="s">
        <v>11776</v>
      </c>
      <c r="AP5" s="3765"/>
      <c r="AQ5" s="3765"/>
      <c r="AR5" s="3765" t="s">
        <v>11777</v>
      </c>
      <c r="AS5" s="3765" t="s">
        <v>11778</v>
      </c>
      <c r="AT5" s="3771"/>
      <c r="AU5" s="3772"/>
      <c r="AV5" s="3765"/>
      <c r="AW5" s="3765"/>
      <c r="AX5" s="3768"/>
      <c r="AY5" s="3765"/>
      <c r="AZ5" s="3765"/>
      <c r="BA5" s="3768"/>
      <c r="BB5" s="3765">
        <v>6700</v>
      </c>
      <c r="BC5" s="3765"/>
      <c r="BD5" s="3768" t="s">
        <v>11779</v>
      </c>
      <c r="BE5" s="3765"/>
      <c r="BF5" s="3765"/>
      <c r="BG5" s="3768"/>
      <c r="BH5" s="3773" t="s">
        <v>11761</v>
      </c>
    </row>
    <row r="6" spans="1:60" s="3759" customFormat="1" ht="12" customHeight="1">
      <c r="A6" s="3774" t="s">
        <v>11763</v>
      </c>
      <c r="B6" s="3765" t="s">
        <v>11764</v>
      </c>
      <c r="C6" s="3765" t="s">
        <v>11780</v>
      </c>
      <c r="D6" s="3765" t="s">
        <v>3558</v>
      </c>
      <c r="E6" s="3765" t="s">
        <v>11766</v>
      </c>
      <c r="F6" s="3765"/>
      <c r="G6" s="3766">
        <v>16</v>
      </c>
      <c r="H6" s="3765"/>
      <c r="I6" s="3765" t="s">
        <v>11767</v>
      </c>
      <c r="J6" s="3765" t="s">
        <v>11768</v>
      </c>
      <c r="K6" s="3765" t="s">
        <v>3390</v>
      </c>
      <c r="L6" s="3766">
        <v>38640.550000000003</v>
      </c>
      <c r="M6" s="3765"/>
      <c r="N6" s="3765"/>
      <c r="O6" s="3765"/>
      <c r="P6" s="3765"/>
      <c r="Q6" s="3766">
        <v>2002</v>
      </c>
      <c r="R6" s="3766">
        <v>11</v>
      </c>
      <c r="S6" s="3766">
        <v>21</v>
      </c>
      <c r="T6" s="3766">
        <v>2072</v>
      </c>
      <c r="U6" s="3766">
        <v>11</v>
      </c>
      <c r="V6" s="3766">
        <v>20</v>
      </c>
      <c r="W6" s="3767">
        <f t="shared" ca="1" si="0"/>
        <v>21.916666666666668</v>
      </c>
      <c r="X6" s="3765" t="s">
        <v>11769</v>
      </c>
      <c r="Y6" s="3765" t="s">
        <v>11770</v>
      </c>
      <c r="Z6" s="3765" t="s">
        <v>11771</v>
      </c>
      <c r="AA6" s="3765" t="s">
        <v>11772</v>
      </c>
      <c r="AB6" s="3765" t="s">
        <v>11773</v>
      </c>
      <c r="AC6" s="3768" t="s">
        <v>11774</v>
      </c>
      <c r="AD6" s="3771" t="s">
        <v>11761</v>
      </c>
      <c r="AE6" s="3769"/>
      <c r="AF6" s="3770"/>
      <c r="AG6" s="3766">
        <v>60</v>
      </c>
      <c r="AH6" s="3765" t="s">
        <v>3566</v>
      </c>
      <c r="AI6" s="3765"/>
      <c r="AJ6" s="3766">
        <v>2003</v>
      </c>
      <c r="AK6" s="3766">
        <v>10</v>
      </c>
      <c r="AL6" s="3766">
        <v>15</v>
      </c>
      <c r="AM6" s="3765" t="s">
        <v>11775</v>
      </c>
      <c r="AN6" s="3765"/>
      <c r="AO6" s="3765"/>
      <c r="AP6" s="3765"/>
      <c r="AQ6" s="3765"/>
      <c r="AR6" s="3765" t="s">
        <v>11777</v>
      </c>
      <c r="AS6" s="3765" t="s">
        <v>11778</v>
      </c>
      <c r="AT6" s="3771"/>
      <c r="AU6" s="3772"/>
      <c r="AV6" s="3765"/>
      <c r="AW6" s="3765"/>
      <c r="AX6" s="3768"/>
      <c r="AY6" s="3765"/>
      <c r="AZ6" s="3765"/>
      <c r="BA6" s="3768"/>
      <c r="BB6" s="3765">
        <v>6700</v>
      </c>
      <c r="BC6" s="3765"/>
      <c r="BD6" s="3768" t="s">
        <v>11779</v>
      </c>
      <c r="BE6" s="3765"/>
      <c r="BF6" s="3765"/>
      <c r="BG6" s="3768"/>
      <c r="BH6" s="3773" t="s">
        <v>11761</v>
      </c>
    </row>
    <row r="7" spans="1:60" s="3759" customFormat="1" ht="12" customHeight="1">
      <c r="A7" s="3774" t="s">
        <v>11763</v>
      </c>
      <c r="B7" s="3765" t="s">
        <v>11764</v>
      </c>
      <c r="C7" s="3765" t="s">
        <v>11781</v>
      </c>
      <c r="D7" s="3765" t="s">
        <v>3558</v>
      </c>
      <c r="E7" s="3765" t="s">
        <v>11766</v>
      </c>
      <c r="F7" s="3765"/>
      <c r="G7" s="3766">
        <v>10</v>
      </c>
      <c r="H7" s="3765"/>
      <c r="I7" s="3765" t="s">
        <v>11767</v>
      </c>
      <c r="J7" s="3765" t="s">
        <v>11768</v>
      </c>
      <c r="K7" s="3765" t="s">
        <v>3390</v>
      </c>
      <c r="L7" s="3766">
        <v>38640.550000000003</v>
      </c>
      <c r="M7" s="3765"/>
      <c r="N7" s="3765"/>
      <c r="O7" s="3765"/>
      <c r="P7" s="3765"/>
      <c r="Q7" s="3766">
        <v>2002</v>
      </c>
      <c r="R7" s="3766">
        <v>11</v>
      </c>
      <c r="S7" s="3766">
        <v>21</v>
      </c>
      <c r="T7" s="3766">
        <v>2072</v>
      </c>
      <c r="U7" s="3766">
        <v>11</v>
      </c>
      <c r="V7" s="3766">
        <v>20</v>
      </c>
      <c r="W7" s="3767">
        <f t="shared" ca="1" si="0"/>
        <v>21.916666666666668</v>
      </c>
      <c r="X7" s="3765" t="s">
        <v>11769</v>
      </c>
      <c r="Y7" s="3765" t="s">
        <v>11770</v>
      </c>
      <c r="Z7" s="3765" t="s">
        <v>11771</v>
      </c>
      <c r="AA7" s="3765" t="s">
        <v>11772</v>
      </c>
      <c r="AB7" s="3765" t="s">
        <v>11773</v>
      </c>
      <c r="AC7" s="3768" t="s">
        <v>11774</v>
      </c>
      <c r="AD7" s="3771" t="s">
        <v>11761</v>
      </c>
      <c r="AE7" s="3769"/>
      <c r="AF7" s="3770"/>
      <c r="AG7" s="3766">
        <v>60</v>
      </c>
      <c r="AH7" s="3765" t="s">
        <v>3566</v>
      </c>
      <c r="AI7" s="3765"/>
      <c r="AJ7" s="3766">
        <v>2003</v>
      </c>
      <c r="AK7" s="3766">
        <v>10</v>
      </c>
      <c r="AL7" s="3766">
        <v>15</v>
      </c>
      <c r="AM7" s="3765" t="s">
        <v>11775</v>
      </c>
      <c r="AN7" s="3765"/>
      <c r="AO7" s="3765"/>
      <c r="AP7" s="3765"/>
      <c r="AQ7" s="3765"/>
      <c r="AR7" s="3765" t="s">
        <v>11777</v>
      </c>
      <c r="AS7" s="3765" t="s">
        <v>11778</v>
      </c>
      <c r="AT7" s="3771"/>
      <c r="AU7" s="3772"/>
      <c r="AV7" s="3765"/>
      <c r="AW7" s="3765"/>
      <c r="AX7" s="3768"/>
      <c r="AY7" s="3765"/>
      <c r="AZ7" s="3765"/>
      <c r="BA7" s="3768"/>
      <c r="BB7" s="3765">
        <v>6700</v>
      </c>
      <c r="BC7" s="3765"/>
      <c r="BD7" s="3768" t="s">
        <v>11779</v>
      </c>
      <c r="BE7" s="3765"/>
      <c r="BF7" s="3765"/>
      <c r="BG7" s="3768"/>
      <c r="BH7" s="3773" t="s">
        <v>11761</v>
      </c>
    </row>
    <row r="8" spans="1:60" s="3759" customFormat="1" ht="12" customHeight="1">
      <c r="A8" s="3774" t="s">
        <v>11763</v>
      </c>
      <c r="B8" s="3765" t="s">
        <v>11764</v>
      </c>
      <c r="C8" s="3765" t="s">
        <v>11782</v>
      </c>
      <c r="D8" s="3765" t="s">
        <v>3558</v>
      </c>
      <c r="E8" s="3765" t="s">
        <v>11766</v>
      </c>
      <c r="F8" s="3765"/>
      <c r="G8" s="3766">
        <v>18</v>
      </c>
      <c r="H8" s="3765"/>
      <c r="I8" s="3765" t="s">
        <v>11767</v>
      </c>
      <c r="J8" s="3765" t="s">
        <v>11768</v>
      </c>
      <c r="K8" s="3765" t="s">
        <v>3390</v>
      </c>
      <c r="L8" s="3766">
        <v>38640.550000000003</v>
      </c>
      <c r="M8" s="3765"/>
      <c r="N8" s="3765"/>
      <c r="O8" s="3765"/>
      <c r="P8" s="3765"/>
      <c r="Q8" s="3766">
        <v>2002</v>
      </c>
      <c r="R8" s="3766">
        <v>11</v>
      </c>
      <c r="S8" s="3766">
        <v>21</v>
      </c>
      <c r="T8" s="3766">
        <v>2072</v>
      </c>
      <c r="U8" s="3766">
        <v>11</v>
      </c>
      <c r="V8" s="3766">
        <v>20</v>
      </c>
      <c r="W8" s="3767">
        <f t="shared" ca="1" si="0"/>
        <v>21.916666666666668</v>
      </c>
      <c r="X8" s="3765" t="s">
        <v>11769</v>
      </c>
      <c r="Y8" s="3765" t="s">
        <v>11770</v>
      </c>
      <c r="Z8" s="3765" t="s">
        <v>11771</v>
      </c>
      <c r="AA8" s="3765" t="s">
        <v>11772</v>
      </c>
      <c r="AB8" s="3765" t="s">
        <v>11773</v>
      </c>
      <c r="AC8" s="3768" t="s">
        <v>11774</v>
      </c>
      <c r="AD8" s="3771" t="s">
        <v>11761</v>
      </c>
      <c r="AE8" s="3769"/>
      <c r="AF8" s="3770"/>
      <c r="AG8" s="3766">
        <v>60</v>
      </c>
      <c r="AH8" s="3765" t="s">
        <v>3566</v>
      </c>
      <c r="AI8" s="3765"/>
      <c r="AJ8" s="3766">
        <v>2003</v>
      </c>
      <c r="AK8" s="3766">
        <v>10</v>
      </c>
      <c r="AL8" s="3766">
        <v>15</v>
      </c>
      <c r="AM8" s="3765" t="s">
        <v>11775</v>
      </c>
      <c r="AN8" s="3765"/>
      <c r="AO8" s="3765"/>
      <c r="AP8" s="3765"/>
      <c r="AQ8" s="3765"/>
      <c r="AR8" s="3765" t="s">
        <v>11777</v>
      </c>
      <c r="AS8" s="3765" t="s">
        <v>11778</v>
      </c>
      <c r="AT8" s="3771"/>
      <c r="AU8" s="3772"/>
      <c r="AV8" s="3765"/>
      <c r="AW8" s="3765"/>
      <c r="AX8" s="3768"/>
      <c r="AY8" s="3765"/>
      <c r="AZ8" s="3765"/>
      <c r="BA8" s="3768"/>
      <c r="BB8" s="3765">
        <v>6700</v>
      </c>
      <c r="BC8" s="3765"/>
      <c r="BD8" s="3768" t="s">
        <v>11779</v>
      </c>
      <c r="BE8" s="3765"/>
      <c r="BF8" s="3765"/>
      <c r="BG8" s="3768"/>
      <c r="BH8" s="3773" t="s">
        <v>11761</v>
      </c>
    </row>
    <row r="9" spans="1:60" s="3779" customFormat="1" ht="12" customHeight="1">
      <c r="A9" s="3775" t="s">
        <v>11783</v>
      </c>
      <c r="B9" s="3771" t="s">
        <v>11784</v>
      </c>
      <c r="C9" s="3776" t="s">
        <v>11785</v>
      </c>
      <c r="D9" s="3771" t="s">
        <v>3558</v>
      </c>
      <c r="E9" s="3771" t="s">
        <v>9318</v>
      </c>
      <c r="F9" s="3771" t="s">
        <v>11786</v>
      </c>
      <c r="G9" s="3776">
        <v>14</v>
      </c>
      <c r="H9" s="3771" t="s">
        <v>11787</v>
      </c>
      <c r="I9" s="3771" t="s">
        <v>11788</v>
      </c>
      <c r="J9" s="3771" t="s">
        <v>11789</v>
      </c>
      <c r="K9" s="3771" t="s">
        <v>3390</v>
      </c>
      <c r="L9" s="3776">
        <v>5222.08</v>
      </c>
      <c r="M9" s="3771"/>
      <c r="N9" s="3771"/>
      <c r="O9" s="3771"/>
      <c r="P9" s="3771"/>
      <c r="Q9" s="3776">
        <v>2002</v>
      </c>
      <c r="R9" s="3776">
        <v>4</v>
      </c>
      <c r="S9" s="3776">
        <v>17</v>
      </c>
      <c r="T9" s="3776">
        <v>2072</v>
      </c>
      <c r="U9" s="3776">
        <v>4</v>
      </c>
      <c r="V9" s="3776">
        <v>16</v>
      </c>
      <c r="W9" s="3767">
        <f ca="1">YEAR(TODAY())-Q9+(MONTH(TODAY())-R9)/12</f>
        <v>22.5</v>
      </c>
      <c r="X9" s="3771" t="s">
        <v>11790</v>
      </c>
      <c r="Y9" s="3771" t="s">
        <v>11791</v>
      </c>
      <c r="Z9" s="3771" t="s">
        <v>11792</v>
      </c>
      <c r="AA9" s="3771" t="s">
        <v>11793</v>
      </c>
      <c r="AB9" s="3771" t="s">
        <v>11794</v>
      </c>
      <c r="AC9" s="3772" t="s">
        <v>11795</v>
      </c>
      <c r="AD9" s="3771" t="s">
        <v>3493</v>
      </c>
      <c r="AE9" s="3777" t="s">
        <v>11796</v>
      </c>
      <c r="AF9" s="3778">
        <v>38104</v>
      </c>
      <c r="AG9" s="3776">
        <v>60</v>
      </c>
      <c r="AH9" s="3771" t="s">
        <v>11797</v>
      </c>
      <c r="AI9" s="3771" t="s">
        <v>3713</v>
      </c>
      <c r="AJ9" s="3776">
        <v>2005</v>
      </c>
      <c r="AK9" s="3776">
        <v>5</v>
      </c>
      <c r="AL9" s="3776">
        <v>23</v>
      </c>
      <c r="AM9" s="3771" t="s">
        <v>11798</v>
      </c>
      <c r="AN9" s="3771" t="s">
        <v>3482</v>
      </c>
      <c r="AO9" s="3771" t="s">
        <v>11799</v>
      </c>
      <c r="AP9" s="3771"/>
      <c r="AQ9" s="3771"/>
      <c r="AR9" s="3771" t="s">
        <v>11800</v>
      </c>
      <c r="AS9" s="3771" t="s">
        <v>11801</v>
      </c>
      <c r="AT9" s="3771"/>
      <c r="AU9" s="3772"/>
      <c r="AV9" s="3771"/>
      <c r="AW9" s="3771"/>
      <c r="AX9" s="3772"/>
      <c r="AY9" s="3771"/>
      <c r="AZ9" s="3771"/>
      <c r="BA9" s="3772"/>
      <c r="BB9" s="3771">
        <v>7200</v>
      </c>
      <c r="BC9" s="3771"/>
      <c r="BD9" s="3772">
        <v>37830</v>
      </c>
      <c r="BE9" s="3771"/>
      <c r="BF9" s="3771"/>
      <c r="BG9" s="3772"/>
      <c r="BH9" s="3773" t="s">
        <v>11761</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1888"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855" t="s">
        <v>1766</v>
      </c>
      <c r="C1" s="1225" t="s">
        <v>1662</v>
      </c>
      <c r="D1" s="1212"/>
      <c r="E1" s="3397"/>
      <c r="F1" s="1856"/>
      <c r="G1" s="1222" t="s">
        <v>1767</v>
      </c>
      <c r="H1" s="1221"/>
      <c r="I1" s="1221"/>
      <c r="J1" s="1221"/>
      <c r="K1" s="1223"/>
      <c r="L1" s="1224"/>
      <c r="M1" s="1225"/>
      <c r="N1" s="1225"/>
      <c r="O1" s="1225"/>
      <c r="P1" s="1921"/>
      <c r="Q1" s="1922"/>
      <c r="R1" s="1922"/>
      <c r="S1" s="1922"/>
      <c r="T1" s="1922"/>
      <c r="U1" s="1922"/>
      <c r="V1" s="1922"/>
      <c r="W1" s="1922"/>
      <c r="X1" s="1922"/>
      <c r="Y1" s="1922"/>
      <c r="Z1" s="1922"/>
      <c r="AA1" s="1922"/>
      <c r="AB1" s="1922"/>
      <c r="AC1" s="1923"/>
    </row>
    <row r="2" spans="1:29" s="347" customFormat="1" ht="28.5" customHeight="1" thickTop="1">
      <c r="A2" s="1208" t="s">
        <v>1462</v>
      </c>
      <c r="B2" s="1151" t="b">
        <f>IF(E1="项目模式",IF(C2="——",ROUND(C49*D3/10000,0),ROUND(C49*D3/10000,0)-D2),IF(E1="单套模式",IF(C2="——",ROUND(C49*D3/10000,4),ROUND(C49*D3/10000,4)-D2)))</f>
        <v>0</v>
      </c>
      <c r="C2" s="1858"/>
      <c r="D2" s="1105" t="e">
        <f ca="1">IF(E1="项目模式",SUMIF(INDIRECT("'"&amp;F2&amp;"'"&amp;"!A:A"),"承租人权益价值",INDIRECT("'"&amp;F2&amp;"'"&amp;"!c:c")),SUMIF(INDIRECT("'"&amp;F2&amp;"'"&amp;"!A:A"),"承租人权益价值（单套）",INDIRECT("'"&amp;F2&amp;"'"&amp;"!c:c")))</f>
        <v>#REF!</v>
      </c>
      <c r="E2" s="1859" t="s">
        <v>1463</v>
      </c>
      <c r="F2" s="1860"/>
      <c r="G2" s="898"/>
      <c r="H2" s="898"/>
      <c r="I2" s="898"/>
      <c r="J2" s="898"/>
      <c r="K2" s="898"/>
      <c r="L2" s="2705"/>
      <c r="M2" s="2706"/>
      <c r="N2" s="2706"/>
      <c r="O2" s="2706"/>
      <c r="P2" s="1924"/>
      <c r="Q2" s="902"/>
      <c r="R2" s="902"/>
      <c r="S2" s="902"/>
      <c r="T2" s="902"/>
      <c r="U2" s="902"/>
      <c r="V2" s="902"/>
      <c r="W2" s="902"/>
      <c r="X2" s="902"/>
      <c r="Y2" s="902"/>
      <c r="Z2" s="902"/>
      <c r="AA2" s="902"/>
      <c r="AB2" s="902"/>
      <c r="AC2" s="1925"/>
    </row>
    <row r="3" spans="1:29" s="347" customFormat="1" ht="28.5" customHeight="1" thickBot="1">
      <c r="A3" s="198" t="s">
        <v>1464</v>
      </c>
      <c r="B3" s="550">
        <f>IF(C2="——",C49,ROUND(B2*10000/D3,0))</f>
        <v>0</v>
      </c>
      <c r="C3" s="349" t="s">
        <v>1768</v>
      </c>
      <c r="D3" s="348">
        <f>IF(D1="",'数据-汇总表'!E3,SUMIF('数据-汇总表'!$C19:$C33,D1,'数据-汇总表'!$E19:$E33))</f>
        <v>88.78</v>
      </c>
      <c r="E3" s="1926"/>
      <c r="F3" s="899"/>
      <c r="G3" s="898"/>
      <c r="H3" s="898"/>
      <c r="I3" s="898"/>
      <c r="J3" s="898"/>
      <c r="K3" s="900"/>
      <c r="L3" s="2705"/>
      <c r="M3" s="2706"/>
      <c r="N3" s="2706"/>
      <c r="O3" s="2706"/>
      <c r="P3" s="1924"/>
      <c r="Q3" s="902"/>
      <c r="R3" s="902"/>
      <c r="S3" s="902"/>
      <c r="T3" s="902"/>
      <c r="U3" s="902"/>
      <c r="V3" s="902"/>
      <c r="W3" s="902"/>
      <c r="X3" s="902"/>
      <c r="Y3" s="902"/>
      <c r="Z3" s="902"/>
      <c r="AA3" s="902"/>
      <c r="AB3" s="902"/>
      <c r="AC3" s="1926"/>
    </row>
    <row r="4" spans="1:29" ht="14.4">
      <c r="A4" s="350" t="s">
        <v>1769</v>
      </c>
      <c r="B4" s="351"/>
      <c r="C4" s="4213" t="s">
        <v>1770</v>
      </c>
      <c r="D4" s="4214"/>
      <c r="E4" s="4215" t="s">
        <v>1771</v>
      </c>
      <c r="F4" s="4216"/>
      <c r="G4" s="4213" t="s">
        <v>1772</v>
      </c>
      <c r="H4" s="4214"/>
      <c r="I4" s="4213" t="s">
        <v>1773</v>
      </c>
      <c r="J4" s="4214"/>
      <c r="K4" s="551" t="s">
        <v>1774</v>
      </c>
      <c r="L4" s="2686"/>
      <c r="M4" s="2687"/>
      <c r="N4" s="2687"/>
      <c r="O4" s="2687"/>
      <c r="P4" s="4186" t="s">
        <v>1775</v>
      </c>
      <c r="Q4" s="4187"/>
      <c r="R4" s="4192" t="s">
        <v>1771</v>
      </c>
      <c r="S4" s="4193"/>
      <c r="T4" s="4192" t="s">
        <v>1772</v>
      </c>
      <c r="U4" s="4193"/>
      <c r="V4" s="4198" t="s">
        <v>1773</v>
      </c>
      <c r="W4" s="4198"/>
      <c r="X4" s="1342"/>
      <c r="Y4" s="4192" t="s">
        <v>1775</v>
      </c>
      <c r="Z4" s="4193"/>
      <c r="AA4" s="4179" t="s">
        <v>1771</v>
      </c>
      <c r="AB4" s="4198" t="s">
        <v>1772</v>
      </c>
      <c r="AC4" s="4179" t="s">
        <v>1773</v>
      </c>
    </row>
    <row r="5" spans="1:29">
      <c r="A5" s="353"/>
      <c r="B5" s="354"/>
      <c r="C5" s="4219" t="s">
        <v>1673</v>
      </c>
      <c r="D5" s="4220"/>
      <c r="E5" s="4223" t="s">
        <v>1674</v>
      </c>
      <c r="F5" s="4224"/>
      <c r="G5" s="4219" t="s">
        <v>1675</v>
      </c>
      <c r="H5" s="4220"/>
      <c r="I5" s="4219" t="s">
        <v>1676</v>
      </c>
      <c r="J5" s="4220"/>
      <c r="K5" s="551"/>
      <c r="L5" s="2686"/>
      <c r="M5" s="2687"/>
      <c r="N5" s="2687"/>
      <c r="O5" s="2687"/>
      <c r="P5" s="4188"/>
      <c r="Q5" s="4189"/>
      <c r="R5" s="4194"/>
      <c r="S5" s="4195"/>
      <c r="T5" s="4194"/>
      <c r="U5" s="4195"/>
      <c r="V5" s="4198"/>
      <c r="W5" s="4198"/>
      <c r="X5" s="1342"/>
      <c r="Y5" s="4194"/>
      <c r="Z5" s="4195"/>
      <c r="AA5" s="4180"/>
      <c r="AB5" s="4198"/>
      <c r="AC5" s="4180"/>
    </row>
    <row r="6" spans="1:29" ht="15" thickBot="1">
      <c r="A6" s="355"/>
      <c r="B6" s="356"/>
      <c r="C6" s="4217" t="s">
        <v>1677</v>
      </c>
      <c r="D6" s="4218"/>
      <c r="E6" s="4221" t="s">
        <v>1677</v>
      </c>
      <c r="F6" s="4222"/>
      <c r="G6" s="4217" t="s">
        <v>1677</v>
      </c>
      <c r="H6" s="4218"/>
      <c r="I6" s="4217" t="s">
        <v>1677</v>
      </c>
      <c r="J6" s="4218"/>
      <c r="K6" s="551" t="s">
        <v>1678</v>
      </c>
      <c r="L6" s="2686"/>
      <c r="M6" s="2687"/>
      <c r="N6" s="2687"/>
      <c r="O6" s="2687"/>
      <c r="P6" s="4190"/>
      <c r="Q6" s="4191"/>
      <c r="R6" s="4194"/>
      <c r="S6" s="4195"/>
      <c r="T6" s="4196"/>
      <c r="U6" s="4197"/>
      <c r="V6" s="4198"/>
      <c r="W6" s="4198"/>
      <c r="X6" s="1342"/>
      <c r="Y6" s="4196"/>
      <c r="Z6" s="4197"/>
      <c r="AA6" s="4181"/>
      <c r="AB6" s="4198"/>
      <c r="AC6" s="4181"/>
    </row>
    <row r="7" spans="1:29" s="108" customFormat="1" ht="15" thickBot="1">
      <c r="A7" s="357" t="s">
        <v>1679</v>
      </c>
      <c r="B7" s="358"/>
      <c r="C7" s="359">
        <f>'数据-取费表'!B2</f>
        <v>37917</v>
      </c>
      <c r="D7" s="360">
        <v>100</v>
      </c>
      <c r="E7" s="361"/>
      <c r="F7" s="362">
        <f>SUMIF(58:58,YEAR(E7)&amp;"-"&amp;MONTH(E7),59:59)</f>
        <v>0</v>
      </c>
      <c r="G7" s="361"/>
      <c r="H7" s="360">
        <f>SUMIF(58:58,YEAR(G7)&amp;"-"&amp;MONTH(G7),59:59)</f>
        <v>0</v>
      </c>
      <c r="I7" s="361"/>
      <c r="J7" s="360">
        <f>SUMIF(58:58,YEAR(I7)&amp;"-"&amp;MONTH(I7),59:59)</f>
        <v>0</v>
      </c>
      <c r="K7" s="552"/>
      <c r="L7" s="2688"/>
      <c r="M7" s="2689"/>
      <c r="N7" s="2689"/>
      <c r="O7" s="2689"/>
      <c r="P7" s="4203" t="s">
        <v>1680</v>
      </c>
      <c r="Q7" s="4205"/>
      <c r="R7" s="693" t="s">
        <v>14</v>
      </c>
      <c r="S7" s="694">
        <f t="shared" ref="S7:S15" si="0">F7</f>
        <v>0</v>
      </c>
      <c r="T7" s="693" t="s">
        <v>14</v>
      </c>
      <c r="U7" s="694">
        <f t="shared" ref="U7:U15" si="1">H7</f>
        <v>0</v>
      </c>
      <c r="V7" s="693" t="s">
        <v>14</v>
      </c>
      <c r="W7" s="694">
        <f t="shared" ref="W7:W15" si="2">J7</f>
        <v>0</v>
      </c>
      <c r="X7" s="695"/>
      <c r="Y7" s="4203" t="s">
        <v>1680</v>
      </c>
      <c r="Z7" s="4204"/>
      <c r="AA7" s="696" t="e">
        <f>D7/F7</f>
        <v>#DIV/0!</v>
      </c>
      <c r="AB7" s="696" t="e">
        <f>D7/H7</f>
        <v>#DIV/0!</v>
      </c>
      <c r="AC7" s="696" t="e">
        <f>D7/J7</f>
        <v>#DIV/0!</v>
      </c>
    </row>
    <row r="8" spans="1:29" s="108" customFormat="1" ht="1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2"/>
      <c r="L8" s="2688"/>
      <c r="M8" s="2689"/>
      <c r="N8" s="2689"/>
      <c r="O8" s="2689"/>
      <c r="P8" s="4203" t="s">
        <v>1683</v>
      </c>
      <c r="Q8" s="4204"/>
      <c r="R8" s="693" t="s">
        <v>14</v>
      </c>
      <c r="S8" s="694">
        <f t="shared" si="0"/>
        <v>100</v>
      </c>
      <c r="T8" s="693" t="s">
        <v>14</v>
      </c>
      <c r="U8" s="694">
        <f t="shared" si="1"/>
        <v>100</v>
      </c>
      <c r="V8" s="693" t="s">
        <v>14</v>
      </c>
      <c r="W8" s="694">
        <f t="shared" si="2"/>
        <v>100</v>
      </c>
      <c r="X8" s="695"/>
      <c r="Y8" s="4203" t="s">
        <v>1683</v>
      </c>
      <c r="Z8" s="4204"/>
      <c r="AA8" s="696">
        <f t="shared" ref="AA8:AA46" si="3">D8/F8</f>
        <v>1</v>
      </c>
      <c r="AB8" s="696">
        <f t="shared" ref="AB8:AB46" si="4">D8/H8</f>
        <v>1</v>
      </c>
      <c r="AC8" s="696">
        <f t="shared" ref="AC8:AC46" si="5">D8/J8</f>
        <v>1</v>
      </c>
    </row>
    <row r="9" spans="1:29" s="108" customFormat="1" ht="14.4">
      <c r="A9" s="364" t="s">
        <v>1684</v>
      </c>
      <c r="B9" s="63" t="s">
        <v>1685</v>
      </c>
      <c r="C9" s="365"/>
      <c r="D9" s="126">
        <v>100</v>
      </c>
      <c r="E9" s="366"/>
      <c r="F9" s="367">
        <f>SUMIF(63:63,E9,64:64)-SUMIF(63:63,C9,64:64)+100</f>
        <v>100</v>
      </c>
      <c r="G9" s="366"/>
      <c r="H9" s="126">
        <f>SUMIF(63:63,G9,64:64)-SUMIF(63:63,C9,64:64)+100</f>
        <v>100</v>
      </c>
      <c r="I9" s="366"/>
      <c r="J9" s="126">
        <f>SUMIF(63:63,I9,64:64)-SUMIF(63:63,C9,64:64)+100</f>
        <v>100</v>
      </c>
      <c r="K9" s="552"/>
      <c r="L9" s="2688"/>
      <c r="M9" s="2689"/>
      <c r="N9" s="2689"/>
      <c r="O9" s="2689"/>
      <c r="P9" s="4177" t="s">
        <v>1686</v>
      </c>
      <c r="Q9" s="1330" t="str">
        <f t="shared" ref="Q9:Q15" si="6">B9</f>
        <v>用途</v>
      </c>
      <c r="R9" s="693" t="s">
        <v>14</v>
      </c>
      <c r="S9" s="694">
        <f t="shared" si="0"/>
        <v>100</v>
      </c>
      <c r="T9" s="693" t="s">
        <v>14</v>
      </c>
      <c r="U9" s="694">
        <f t="shared" si="1"/>
        <v>100</v>
      </c>
      <c r="V9" s="693" t="s">
        <v>14</v>
      </c>
      <c r="W9" s="694">
        <f t="shared" si="2"/>
        <v>100</v>
      </c>
      <c r="X9" s="695"/>
      <c r="Y9" s="4178" t="s">
        <v>1687</v>
      </c>
      <c r="Z9" s="52" t="str">
        <f t="shared" ref="Z9:Z15" si="7">Q9</f>
        <v>用途</v>
      </c>
      <c r="AA9" s="696">
        <f t="shared" si="3"/>
        <v>1</v>
      </c>
      <c r="AB9" s="696">
        <f t="shared" si="4"/>
        <v>1</v>
      </c>
      <c r="AC9" s="696">
        <f t="shared" si="5"/>
        <v>1</v>
      </c>
    </row>
    <row r="10" spans="1:29" s="373" customFormat="1" ht="28.8">
      <c r="A10" s="369"/>
      <c r="B10" s="370" t="s">
        <v>1688</v>
      </c>
      <c r="C10" s="3405"/>
      <c r="D10" s="127">
        <v>100</v>
      </c>
      <c r="E10" s="3406"/>
      <c r="F10" s="371">
        <f>SUMIF(65:65,E10,66:66)-SUMIF(65:65,C10,66:66)+100</f>
        <v>100</v>
      </c>
      <c r="G10" s="3405"/>
      <c r="H10" s="127">
        <f>SUMIF(65:65,G10,66:66)-SUMIF(65:65,C10,66:66)+100</f>
        <v>100</v>
      </c>
      <c r="I10" s="3405"/>
      <c r="J10" s="127">
        <f>SUMIF(65:65,I10,66:66)-SUMIF(65:65,C10,66:66)+100</f>
        <v>100</v>
      </c>
      <c r="K10" s="552"/>
      <c r="L10" s="2690"/>
      <c r="M10" s="2691"/>
      <c r="N10" s="2691"/>
      <c r="O10" s="2691"/>
      <c r="P10" s="4177"/>
      <c r="Q10" s="1330" t="str">
        <f t="shared" si="6"/>
        <v>土地使用年限（年）</v>
      </c>
      <c r="R10" s="693" t="s">
        <v>14</v>
      </c>
      <c r="S10" s="694">
        <f t="shared" si="0"/>
        <v>100</v>
      </c>
      <c r="T10" s="693" t="s">
        <v>14</v>
      </c>
      <c r="U10" s="694">
        <f t="shared" si="1"/>
        <v>100</v>
      </c>
      <c r="V10" s="693" t="s">
        <v>14</v>
      </c>
      <c r="W10" s="694">
        <f t="shared" si="2"/>
        <v>100</v>
      </c>
      <c r="X10" s="695"/>
      <c r="Y10" s="4178"/>
      <c r="Z10" s="52" t="str">
        <f t="shared" si="7"/>
        <v>土地使用年限（年）</v>
      </c>
      <c r="AA10" s="696">
        <f t="shared" si="3"/>
        <v>1</v>
      </c>
      <c r="AB10" s="696">
        <f t="shared" si="4"/>
        <v>1</v>
      </c>
      <c r="AC10" s="696">
        <f t="shared" si="5"/>
        <v>1</v>
      </c>
    </row>
    <row r="11" spans="1:29" ht="15">
      <c r="A11" s="374"/>
      <c r="B11" s="370" t="s">
        <v>1689</v>
      </c>
      <c r="C11" s="375"/>
      <c r="D11" s="127">
        <v>100</v>
      </c>
      <c r="E11" s="376"/>
      <c r="F11" s="371" t="e">
        <f>LOOKUP(E11,68:68,69:69)-LOOKUP(C11,68:68,69:69)+100</f>
        <v>#N/A</v>
      </c>
      <c r="G11" s="375"/>
      <c r="H11" s="127" t="e">
        <f>LOOKUP(G11,68:68,69:69)-LOOKUP(C11,68:68,69:69)+100</f>
        <v>#N/A</v>
      </c>
      <c r="I11" s="375"/>
      <c r="J11" s="127" t="e">
        <f>LOOKUP(I11,68:68,69:69)-LOOKUP(C11,68:68,69:69)+100</f>
        <v>#N/A</v>
      </c>
      <c r="K11" s="553"/>
      <c r="L11" s="2692"/>
      <c r="M11" s="2687"/>
      <c r="N11" s="2687"/>
      <c r="O11" s="2687"/>
      <c r="P11" s="4177"/>
      <c r="Q11" s="1330" t="str">
        <f t="shared" si="6"/>
        <v>容积率</v>
      </c>
      <c r="R11" s="693" t="s">
        <v>14</v>
      </c>
      <c r="S11" s="694" t="e">
        <f t="shared" si="0"/>
        <v>#N/A</v>
      </c>
      <c r="T11" s="693" t="s">
        <v>14</v>
      </c>
      <c r="U11" s="694" t="e">
        <f t="shared" si="1"/>
        <v>#N/A</v>
      </c>
      <c r="V11" s="693" t="s">
        <v>14</v>
      </c>
      <c r="W11" s="694" t="e">
        <f t="shared" si="2"/>
        <v>#N/A</v>
      </c>
      <c r="X11" s="695"/>
      <c r="Y11" s="4178"/>
      <c r="Z11" s="52" t="str">
        <f t="shared" si="7"/>
        <v>容积率</v>
      </c>
      <c r="AA11" s="696" t="e">
        <f t="shared" si="3"/>
        <v>#N/A</v>
      </c>
      <c r="AB11" s="696" t="e">
        <f t="shared" si="4"/>
        <v>#N/A</v>
      </c>
      <c r="AC11" s="696" t="e">
        <f t="shared" si="5"/>
        <v>#N/A</v>
      </c>
    </row>
    <row r="12" spans="1:29" s="108" customFormat="1" ht="15">
      <c r="A12" s="377"/>
      <c r="B12" s="1868">
        <v>111</v>
      </c>
      <c r="C12" s="378"/>
      <c r="D12" s="379">
        <v>100</v>
      </c>
      <c r="E12" s="380"/>
      <c r="F12" s="371">
        <f>SUMIF(70:70,E12,71:71)-SUMIF(70:70,C12,71:71)+100</f>
        <v>100</v>
      </c>
      <c r="G12" s="380"/>
      <c r="H12" s="127">
        <f>SUMIF(70:70,G12,71:71)-SUMIF(70:70,C12,71:71)+100</f>
        <v>100</v>
      </c>
      <c r="I12" s="380"/>
      <c r="J12" s="127">
        <f>SUMIF(70:70,I12,71:71)-SUMIF(70:70,C12,71:71)+100</f>
        <v>100</v>
      </c>
      <c r="K12" s="554"/>
      <c r="L12" s="2688"/>
      <c r="M12" s="2689"/>
      <c r="N12" s="2689"/>
      <c r="O12" s="2689"/>
      <c r="P12" s="4177"/>
      <c r="Q12" s="1330">
        <f t="shared" si="6"/>
        <v>111</v>
      </c>
      <c r="R12" s="693" t="s">
        <v>14</v>
      </c>
      <c r="S12" s="694">
        <f t="shared" si="0"/>
        <v>100</v>
      </c>
      <c r="T12" s="693" t="s">
        <v>14</v>
      </c>
      <c r="U12" s="694">
        <f t="shared" si="1"/>
        <v>100</v>
      </c>
      <c r="V12" s="693" t="s">
        <v>14</v>
      </c>
      <c r="W12" s="694">
        <f t="shared" si="2"/>
        <v>100</v>
      </c>
      <c r="X12" s="695"/>
      <c r="Y12" s="4178"/>
      <c r="Z12" s="52">
        <f t="shared" si="7"/>
        <v>111</v>
      </c>
      <c r="AA12" s="696">
        <f>D12/F12</f>
        <v>1</v>
      </c>
      <c r="AB12" s="696">
        <f>D12/H12</f>
        <v>1</v>
      </c>
      <c r="AC12" s="696">
        <f>D12/J12</f>
        <v>1</v>
      </c>
    </row>
    <row r="13" spans="1:29" ht="15">
      <c r="A13" s="374"/>
      <c r="B13" s="1868">
        <v>111</v>
      </c>
      <c r="C13" s="380"/>
      <c r="D13" s="381">
        <v>100</v>
      </c>
      <c r="E13" s="380"/>
      <c r="F13" s="371">
        <f>SUMIF(72:72,E13,73:73)-SUMIF(72:72,C13,73:73)+100</f>
        <v>100</v>
      </c>
      <c r="G13" s="380"/>
      <c r="H13" s="381">
        <f>SUMIF(72:72,G13,73:73)-SUMIF(72:72,C13,73:73)+100</f>
        <v>100</v>
      </c>
      <c r="I13" s="380"/>
      <c r="J13" s="381">
        <f>SUMIF(72:72,I13,73:73)-SUMIF(72:72,C13,73:73)+100</f>
        <v>100</v>
      </c>
      <c r="K13" s="554"/>
      <c r="L13" s="2693"/>
      <c r="M13" s="2687"/>
      <c r="N13" s="2687"/>
      <c r="O13" s="2687"/>
      <c r="P13" s="4177"/>
      <c r="Q13" s="1330">
        <f t="shared" si="6"/>
        <v>111</v>
      </c>
      <c r="R13" s="693" t="s">
        <v>14</v>
      </c>
      <c r="S13" s="694">
        <f t="shared" si="0"/>
        <v>100</v>
      </c>
      <c r="T13" s="693" t="s">
        <v>14</v>
      </c>
      <c r="U13" s="694">
        <f t="shared" si="1"/>
        <v>100</v>
      </c>
      <c r="V13" s="693" t="s">
        <v>14</v>
      </c>
      <c r="W13" s="694">
        <f t="shared" si="2"/>
        <v>100</v>
      </c>
      <c r="X13" s="695"/>
      <c r="Y13" s="4178"/>
      <c r="Z13" s="52">
        <f t="shared" si="7"/>
        <v>111</v>
      </c>
      <c r="AA13" s="696">
        <f t="shared" si="3"/>
        <v>1</v>
      </c>
      <c r="AB13" s="696">
        <f t="shared" si="4"/>
        <v>1</v>
      </c>
      <c r="AC13" s="696">
        <f t="shared" si="5"/>
        <v>1</v>
      </c>
    </row>
    <row r="14" spans="1:29" ht="15.6" thickBot="1">
      <c r="A14" s="382"/>
      <c r="B14" s="1870">
        <v>111</v>
      </c>
      <c r="C14" s="383"/>
      <c r="D14" s="384">
        <v>100</v>
      </c>
      <c r="E14" s="380"/>
      <c r="F14" s="385">
        <f>SUMIF(74:74,E14,75:75)-SUMIF(74:74,C14,75:75)+100</f>
        <v>100</v>
      </c>
      <c r="G14" s="380"/>
      <c r="H14" s="384">
        <f>SUMIF(74:74,G14,75:75)-SUMIF(74:74,C14,75:75)+100</f>
        <v>100</v>
      </c>
      <c r="I14" s="380"/>
      <c r="J14" s="384">
        <f>SUMIF(74:74,I14,75:75)-SUMIF(74:74,C14,75:75)+100</f>
        <v>100</v>
      </c>
      <c r="K14" s="554"/>
      <c r="L14" s="2693"/>
      <c r="M14" s="2687"/>
      <c r="N14" s="2687"/>
      <c r="O14" s="2687"/>
      <c r="P14" s="4177"/>
      <c r="Q14" s="1330">
        <f t="shared" si="6"/>
        <v>111</v>
      </c>
      <c r="R14" s="693" t="s">
        <v>14</v>
      </c>
      <c r="S14" s="694">
        <f t="shared" si="0"/>
        <v>100</v>
      </c>
      <c r="T14" s="693" t="s">
        <v>14</v>
      </c>
      <c r="U14" s="694">
        <f t="shared" si="1"/>
        <v>100</v>
      </c>
      <c r="V14" s="693" t="s">
        <v>14</v>
      </c>
      <c r="W14" s="694">
        <f t="shared" si="2"/>
        <v>100</v>
      </c>
      <c r="X14" s="695"/>
      <c r="Y14" s="4178"/>
      <c r="Z14" s="52">
        <f t="shared" si="7"/>
        <v>111</v>
      </c>
      <c r="AA14" s="696">
        <f t="shared" si="3"/>
        <v>1</v>
      </c>
      <c r="AB14" s="696">
        <f t="shared" si="4"/>
        <v>1</v>
      </c>
      <c r="AC14" s="696">
        <f t="shared" si="5"/>
        <v>1</v>
      </c>
    </row>
    <row r="15" spans="1:29" ht="69">
      <c r="A15" s="386" t="s">
        <v>1690</v>
      </c>
      <c r="B15" s="61" t="s">
        <v>1777</v>
      </c>
      <c r="C15" s="1871"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5"/>
      <c r="L15" s="2693"/>
      <c r="M15" s="2687"/>
      <c r="N15" s="2687"/>
      <c r="O15" s="2687"/>
      <c r="P15" s="4175" t="s">
        <v>1691</v>
      </c>
      <c r="Q15" s="1339" t="str">
        <f t="shared" si="6"/>
        <v>商业繁华度</v>
      </c>
      <c r="R15" s="697" t="s">
        <v>14</v>
      </c>
      <c r="S15" s="698">
        <f t="shared" si="0"/>
        <v>100</v>
      </c>
      <c r="T15" s="697" t="s">
        <v>14</v>
      </c>
      <c r="U15" s="698">
        <f t="shared" si="1"/>
        <v>100</v>
      </c>
      <c r="V15" s="697" t="s">
        <v>14</v>
      </c>
      <c r="W15" s="698">
        <f t="shared" si="2"/>
        <v>100</v>
      </c>
      <c r="X15" s="1342"/>
      <c r="Y15" s="4168" t="s">
        <v>1691</v>
      </c>
      <c r="Z15" s="1343" t="str">
        <f t="shared" si="7"/>
        <v>商业繁华度</v>
      </c>
      <c r="AA15" s="1340">
        <f t="shared" si="3"/>
        <v>1</v>
      </c>
      <c r="AB15" s="1340">
        <f t="shared" si="4"/>
        <v>1</v>
      </c>
      <c r="AC15" s="1340">
        <f t="shared" si="5"/>
        <v>1</v>
      </c>
    </row>
    <row r="16" spans="1:29" ht="15">
      <c r="A16" s="374"/>
      <c r="B16" s="392"/>
      <c r="C16" s="393"/>
      <c r="D16" s="394"/>
      <c r="E16" s="393"/>
      <c r="F16" s="395"/>
      <c r="G16" s="393"/>
      <c r="H16" s="396"/>
      <c r="I16" s="393"/>
      <c r="J16" s="394"/>
      <c r="K16" s="556"/>
      <c r="L16" s="2693"/>
      <c r="M16" s="2687"/>
      <c r="N16" s="2687"/>
      <c r="O16" s="2687"/>
      <c r="P16" s="4176"/>
      <c r="Q16" s="1339"/>
      <c r="R16" s="697"/>
      <c r="S16" s="698"/>
      <c r="T16" s="697"/>
      <c r="U16" s="698"/>
      <c r="V16" s="697"/>
      <c r="W16" s="698"/>
      <c r="X16" s="1342"/>
      <c r="Y16" s="4169"/>
      <c r="Z16" s="1343"/>
      <c r="AA16" s="1340">
        <v>1</v>
      </c>
      <c r="AB16" s="1340">
        <v>1</v>
      </c>
      <c r="AC16" s="1340">
        <v>1</v>
      </c>
    </row>
    <row r="17" spans="1:29" ht="82.8">
      <c r="A17" s="374"/>
      <c r="B17" s="397" t="s">
        <v>1259</v>
      </c>
      <c r="C17" s="1875"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5"/>
      <c r="L17" s="2693"/>
      <c r="M17" s="2687"/>
      <c r="N17" s="2687"/>
      <c r="O17" s="2687"/>
      <c r="P17" s="4176"/>
      <c r="Q17" s="1339" t="str">
        <f>B17</f>
        <v>交通便捷度</v>
      </c>
      <c r="R17" s="697" t="s">
        <v>14</v>
      </c>
      <c r="S17" s="698">
        <f>F17</f>
        <v>100</v>
      </c>
      <c r="T17" s="697" t="s">
        <v>14</v>
      </c>
      <c r="U17" s="698">
        <f>H17</f>
        <v>100</v>
      </c>
      <c r="V17" s="697" t="s">
        <v>14</v>
      </c>
      <c r="W17" s="698">
        <f>J17</f>
        <v>100</v>
      </c>
      <c r="X17" s="1342"/>
      <c r="Y17" s="4169"/>
      <c r="Z17" s="1343" t="str">
        <f>Q17</f>
        <v>交通便捷度</v>
      </c>
      <c r="AA17" s="1340">
        <f t="shared" si="3"/>
        <v>1</v>
      </c>
      <c r="AB17" s="1340">
        <f t="shared" si="4"/>
        <v>1</v>
      </c>
      <c r="AC17" s="1340">
        <f t="shared" si="5"/>
        <v>1</v>
      </c>
    </row>
    <row r="18" spans="1:29" ht="15">
      <c r="A18" s="374"/>
      <c r="B18" s="402"/>
      <c r="C18" s="1876"/>
      <c r="D18" s="396"/>
      <c r="E18" s="1878"/>
      <c r="F18" s="399"/>
      <c r="G18" s="1877"/>
      <c r="H18" s="394"/>
      <c r="I18" s="1878"/>
      <c r="J18" s="394"/>
      <c r="K18" s="556"/>
      <c r="L18" s="2693"/>
      <c r="M18" s="2687"/>
      <c r="N18" s="2687"/>
      <c r="O18" s="2687"/>
      <c r="P18" s="4176"/>
      <c r="Q18" s="1339"/>
      <c r="R18" s="697"/>
      <c r="S18" s="698"/>
      <c r="T18" s="697"/>
      <c r="U18" s="698"/>
      <c r="V18" s="697"/>
      <c r="W18" s="698"/>
      <c r="X18" s="1342"/>
      <c r="Y18" s="4169"/>
      <c r="Z18" s="1343"/>
      <c r="AA18" s="1340">
        <v>1</v>
      </c>
      <c r="AB18" s="1340">
        <v>1</v>
      </c>
      <c r="AC18" s="1340">
        <v>1</v>
      </c>
    </row>
    <row r="19" spans="1:29" ht="41.4">
      <c r="A19" s="374"/>
      <c r="B19" s="397" t="s">
        <v>1778</v>
      </c>
      <c r="C19" s="1875"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5"/>
      <c r="L19" s="2693"/>
      <c r="M19" s="2687"/>
      <c r="N19" s="2687"/>
      <c r="O19" s="2687"/>
      <c r="P19" s="4176"/>
      <c r="Q19" s="1339" t="str">
        <f>B19</f>
        <v>公共配套设施</v>
      </c>
      <c r="R19" s="697" t="s">
        <v>14</v>
      </c>
      <c r="S19" s="698">
        <f>F19</f>
        <v>100</v>
      </c>
      <c r="T19" s="697" t="s">
        <v>14</v>
      </c>
      <c r="U19" s="698">
        <f>H19</f>
        <v>100</v>
      </c>
      <c r="V19" s="697" t="s">
        <v>14</v>
      </c>
      <c r="W19" s="698">
        <f>J19</f>
        <v>100</v>
      </c>
      <c r="X19" s="1342"/>
      <c r="Y19" s="4169"/>
      <c r="Z19" s="1343" t="str">
        <f>Q19</f>
        <v>公共配套设施</v>
      </c>
      <c r="AA19" s="1340">
        <f t="shared" si="3"/>
        <v>1</v>
      </c>
      <c r="AB19" s="1340">
        <f t="shared" si="4"/>
        <v>1</v>
      </c>
      <c r="AC19" s="1340">
        <f t="shared" si="5"/>
        <v>1</v>
      </c>
    </row>
    <row r="20" spans="1:29" ht="15">
      <c r="A20" s="374"/>
      <c r="B20" s="402"/>
      <c r="C20" s="393"/>
      <c r="D20" s="394"/>
      <c r="E20" s="1873"/>
      <c r="F20" s="395"/>
      <c r="G20" s="1872"/>
      <c r="H20" s="394"/>
      <c r="I20" s="1873"/>
      <c r="J20" s="394"/>
      <c r="K20" s="556"/>
      <c r="L20" s="2693"/>
      <c r="M20" s="2687"/>
      <c r="N20" s="2687"/>
      <c r="O20" s="2687"/>
      <c r="P20" s="4176"/>
      <c r="Q20" s="1339"/>
      <c r="R20" s="697"/>
      <c r="S20" s="698"/>
      <c r="T20" s="697"/>
      <c r="U20" s="698"/>
      <c r="V20" s="697"/>
      <c r="W20" s="698"/>
      <c r="X20" s="1342"/>
      <c r="Y20" s="4169"/>
      <c r="Z20" s="1343"/>
      <c r="AA20" s="1340">
        <v>1</v>
      </c>
      <c r="AB20" s="1340">
        <v>1</v>
      </c>
      <c r="AC20" s="1340">
        <v>1</v>
      </c>
    </row>
    <row r="21" spans="1:29" ht="27.6">
      <c r="A21" s="374"/>
      <c r="B21" s="1119" t="s">
        <v>1779</v>
      </c>
      <c r="C21" s="1875"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5"/>
      <c r="L21" s="2693"/>
      <c r="M21" s="2687"/>
      <c r="N21" s="2687"/>
      <c r="O21" s="2687"/>
      <c r="P21" s="4176"/>
      <c r="Q21" s="1339" t="str">
        <f>B21</f>
        <v>基础设施水平</v>
      </c>
      <c r="R21" s="697" t="s">
        <v>14</v>
      </c>
      <c r="S21" s="698">
        <f>F21</f>
        <v>100</v>
      </c>
      <c r="T21" s="697" t="s">
        <v>14</v>
      </c>
      <c r="U21" s="698">
        <f>H21</f>
        <v>100</v>
      </c>
      <c r="V21" s="697" t="s">
        <v>14</v>
      </c>
      <c r="W21" s="698">
        <f>J21</f>
        <v>100</v>
      </c>
      <c r="X21" s="1342"/>
      <c r="Y21" s="4169"/>
      <c r="Z21" s="1343" t="str">
        <f>Q21</f>
        <v>基础设施水平</v>
      </c>
      <c r="AA21" s="1340">
        <f t="shared" ref="AA21" si="8">D21/F21</f>
        <v>1</v>
      </c>
      <c r="AB21" s="1340">
        <f t="shared" ref="AB21" si="9">D21/H21</f>
        <v>1</v>
      </c>
      <c r="AC21" s="1340">
        <f t="shared" ref="AC21" si="10">D21/J21</f>
        <v>1</v>
      </c>
    </row>
    <row r="22" spans="1:29" ht="15">
      <c r="A22" s="374"/>
      <c r="B22" s="1119"/>
      <c r="C22" s="1876"/>
      <c r="D22" s="394"/>
      <c r="E22" s="393"/>
      <c r="F22" s="395"/>
      <c r="G22" s="393"/>
      <c r="H22" s="394"/>
      <c r="I22" s="393"/>
      <c r="J22" s="394"/>
      <c r="K22" s="1118"/>
      <c r="L22" s="2693"/>
      <c r="M22" s="2687"/>
      <c r="N22" s="2687"/>
      <c r="O22" s="2687"/>
      <c r="P22" s="4176"/>
      <c r="Q22" s="1339"/>
      <c r="R22" s="697"/>
      <c r="S22" s="698"/>
      <c r="T22" s="697"/>
      <c r="U22" s="698"/>
      <c r="V22" s="697"/>
      <c r="W22" s="698"/>
      <c r="X22" s="1342"/>
      <c r="Y22" s="4169"/>
      <c r="Z22" s="1343"/>
      <c r="AA22" s="1340">
        <v>1</v>
      </c>
      <c r="AB22" s="1340">
        <v>1</v>
      </c>
      <c r="AC22" s="1340">
        <v>1</v>
      </c>
    </row>
    <row r="23" spans="1:29" ht="55.2">
      <c r="A23" s="374"/>
      <c r="B23" s="397" t="s">
        <v>1261</v>
      </c>
      <c r="C23" s="1927"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5"/>
      <c r="L23" s="2693"/>
      <c r="M23" s="2687"/>
      <c r="N23" s="2687"/>
      <c r="O23" s="2687"/>
      <c r="P23" s="4176"/>
      <c r="Q23" s="1339" t="str">
        <f>B23</f>
        <v>自然及人文环境</v>
      </c>
      <c r="R23" s="697" t="s">
        <v>14</v>
      </c>
      <c r="S23" s="698">
        <f>F23</f>
        <v>100</v>
      </c>
      <c r="T23" s="697" t="s">
        <v>14</v>
      </c>
      <c r="U23" s="698">
        <f>H23</f>
        <v>100</v>
      </c>
      <c r="V23" s="697" t="s">
        <v>14</v>
      </c>
      <c r="W23" s="698">
        <f>J23</f>
        <v>100</v>
      </c>
      <c r="X23" s="1342"/>
      <c r="Y23" s="4169"/>
      <c r="Z23" s="1343" t="str">
        <f>Q23</f>
        <v>自然及人文环境</v>
      </c>
      <c r="AA23" s="1340">
        <f t="shared" si="3"/>
        <v>1</v>
      </c>
      <c r="AB23" s="1340">
        <f t="shared" si="4"/>
        <v>1</v>
      </c>
      <c r="AC23" s="1340">
        <f t="shared" si="5"/>
        <v>1</v>
      </c>
    </row>
    <row r="24" spans="1:29" ht="15">
      <c r="A24" s="374"/>
      <c r="B24" s="402"/>
      <c r="C24" s="393"/>
      <c r="D24" s="394"/>
      <c r="E24" s="1873"/>
      <c r="F24" s="395"/>
      <c r="G24" s="1872"/>
      <c r="H24" s="394"/>
      <c r="I24" s="1873"/>
      <c r="J24" s="394"/>
      <c r="K24" s="556"/>
      <c r="L24" s="2693"/>
      <c r="M24" s="2687"/>
      <c r="N24" s="2687"/>
      <c r="O24" s="2687"/>
      <c r="P24" s="4176"/>
      <c r="Q24" s="1339"/>
      <c r="R24" s="697"/>
      <c r="S24" s="698"/>
      <c r="T24" s="697"/>
      <c r="U24" s="698"/>
      <c r="V24" s="697"/>
      <c r="W24" s="698"/>
      <c r="X24" s="1342"/>
      <c r="Y24" s="4169"/>
      <c r="Z24" s="1343"/>
      <c r="AA24" s="1340">
        <v>1</v>
      </c>
      <c r="AB24" s="1340">
        <v>1</v>
      </c>
      <c r="AC24" s="1340">
        <v>1</v>
      </c>
    </row>
    <row r="25" spans="1:29" ht="15">
      <c r="A25" s="374"/>
      <c r="B25" s="370" t="s">
        <v>1780</v>
      </c>
      <c r="C25" s="557"/>
      <c r="D25" s="381">
        <v>100</v>
      </c>
      <c r="E25" s="557"/>
      <c r="F25" s="407">
        <f>SUMIF(86:86,E25,87:87)-SUMIF(86:86,C25,87:87)+100</f>
        <v>100</v>
      </c>
      <c r="G25" s="557"/>
      <c r="H25" s="381">
        <f>SUMIF(86:86,G25,87:87)-SUMIF(86:86,C25,87:87)+100</f>
        <v>100</v>
      </c>
      <c r="I25" s="557"/>
      <c r="J25" s="381">
        <f>SUMIF(86:86,I25,87:87)-SUMIF(86:86,C25,87:87)+100</f>
        <v>100</v>
      </c>
      <c r="K25" s="553"/>
      <c r="L25" s="2693"/>
      <c r="M25" s="2687"/>
      <c r="N25" s="2687"/>
      <c r="O25" s="2687"/>
      <c r="P25" s="4176"/>
      <c r="Q25" s="1339" t="str">
        <f t="shared" ref="Q25:Q46" si="11">B25</f>
        <v>临街状况</v>
      </c>
      <c r="R25" s="697" t="s">
        <v>14</v>
      </c>
      <c r="S25" s="698">
        <f>F25</f>
        <v>100</v>
      </c>
      <c r="T25" s="697" t="s">
        <v>14</v>
      </c>
      <c r="U25" s="698">
        <f>H25</f>
        <v>100</v>
      </c>
      <c r="V25" s="697" t="s">
        <v>14</v>
      </c>
      <c r="W25" s="698">
        <f>J25</f>
        <v>100</v>
      </c>
      <c r="X25" s="1342"/>
      <c r="Y25" s="4169"/>
      <c r="Z25" s="1343" t="str">
        <f>Q25</f>
        <v>临街状况</v>
      </c>
      <c r="AA25" s="1340">
        <f t="shared" si="3"/>
        <v>1</v>
      </c>
      <c r="AB25" s="1340">
        <f t="shared" si="4"/>
        <v>1</v>
      </c>
      <c r="AC25" s="1340">
        <f t="shared" si="5"/>
        <v>1</v>
      </c>
    </row>
    <row r="26" spans="1:29" ht="15">
      <c r="A26" s="374"/>
      <c r="B26" s="1121" t="s">
        <v>1781</v>
      </c>
      <c r="C26" s="380"/>
      <c r="D26" s="381">
        <v>100</v>
      </c>
      <c r="E26" s="380"/>
      <c r="F26" s="407">
        <f>SUMIF(88:88,E26,89:89)-SUMIF(88:88,C26,89:89)+100</f>
        <v>100</v>
      </c>
      <c r="G26" s="380"/>
      <c r="H26" s="381">
        <f>SUMIF(88:88,G26,89:89)-SUMIF(88:88,C26,89:89)+100</f>
        <v>100</v>
      </c>
      <c r="I26" s="380"/>
      <c r="J26" s="381">
        <f>SUMIF(88:88,I26,89:89)-SUMIF(88:88,C26,89:89)+100</f>
        <v>100</v>
      </c>
      <c r="K26" s="554"/>
      <c r="L26" s="2693"/>
      <c r="M26" s="2687"/>
      <c r="N26" s="2687"/>
      <c r="O26" s="2687"/>
      <c r="P26" s="4176"/>
      <c r="Q26" s="1339" t="str">
        <f t="shared" si="11"/>
        <v>平面位置/可视性</v>
      </c>
      <c r="R26" s="697" t="s">
        <v>14</v>
      </c>
      <c r="S26" s="698">
        <f>F26</f>
        <v>100</v>
      </c>
      <c r="T26" s="697" t="s">
        <v>14</v>
      </c>
      <c r="U26" s="698">
        <f>H26</f>
        <v>100</v>
      </c>
      <c r="V26" s="697" t="s">
        <v>14</v>
      </c>
      <c r="W26" s="698">
        <f>J26</f>
        <v>100</v>
      </c>
      <c r="X26" s="1342"/>
      <c r="Y26" s="4169"/>
      <c r="Z26" s="1343" t="str">
        <f>Q26</f>
        <v>平面位置/可视性</v>
      </c>
      <c r="AA26" s="1340">
        <f t="shared" si="3"/>
        <v>1</v>
      </c>
      <c r="AB26" s="1340">
        <f t="shared" si="4"/>
        <v>1</v>
      </c>
      <c r="AC26" s="1340">
        <f t="shared" si="5"/>
        <v>1</v>
      </c>
    </row>
    <row r="27" spans="1:29" s="108" customFormat="1" ht="15">
      <c r="A27" s="377"/>
      <c r="B27" s="397" t="s">
        <v>1782</v>
      </c>
      <c r="C27" s="1928"/>
      <c r="D27" s="408">
        <v>100</v>
      </c>
      <c r="E27" s="1928"/>
      <c r="F27" s="410">
        <f>SUMIF(90:90,E27,91:91)-SUMIF(90:90,C27,91:91)+100</f>
        <v>100</v>
      </c>
      <c r="G27" s="1928"/>
      <c r="H27" s="408">
        <f>SUMIF(90:90,G27,91:91)-SUMIF(90:90,C27,91:91)+100</f>
        <v>100</v>
      </c>
      <c r="I27" s="1928"/>
      <c r="J27" s="408">
        <f>SUMIF(90:90,I27,91:91)-SUMIF(90:90,C27,91:91)+100</f>
        <v>100</v>
      </c>
      <c r="K27" s="553"/>
      <c r="L27" s="2688"/>
      <c r="M27" s="2689"/>
      <c r="N27" s="2689"/>
      <c r="O27" s="2689"/>
      <c r="P27" s="4176"/>
      <c r="Q27" s="1330" t="str">
        <f t="shared" si="11"/>
        <v>人流量</v>
      </c>
      <c r="R27" s="693" t="s">
        <v>14</v>
      </c>
      <c r="S27" s="694">
        <f>F27</f>
        <v>100</v>
      </c>
      <c r="T27" s="693" t="s">
        <v>14</v>
      </c>
      <c r="U27" s="694">
        <f>H27</f>
        <v>100</v>
      </c>
      <c r="V27" s="693" t="s">
        <v>14</v>
      </c>
      <c r="W27" s="694">
        <f>J27</f>
        <v>100</v>
      </c>
      <c r="X27" s="695"/>
      <c r="Y27" s="4169"/>
      <c r="Z27" s="52" t="str">
        <f>Q27</f>
        <v>人流量</v>
      </c>
      <c r="AA27" s="1340">
        <f>D27/F27</f>
        <v>1</v>
      </c>
      <c r="AB27" s="1340">
        <f>D27/H27</f>
        <v>1</v>
      </c>
      <c r="AC27" s="1340">
        <f>D27/J27</f>
        <v>1</v>
      </c>
    </row>
    <row r="28" spans="1:29" ht="15">
      <c r="A28" s="374"/>
      <c r="B28" s="370" t="s">
        <v>1783</v>
      </c>
      <c r="C28" s="557"/>
      <c r="D28" s="381">
        <v>100</v>
      </c>
      <c r="E28" s="557"/>
      <c r="F28" s="407">
        <f>SUMIF(92:92,E28,93:93)-SUMIF(92:92,C28,93:93)+100</f>
        <v>100</v>
      </c>
      <c r="G28" s="557"/>
      <c r="H28" s="381">
        <f>SUMIF(92:92,G28,93:93)-SUMIF(92:92,C28,93:93)+100</f>
        <v>100</v>
      </c>
      <c r="I28" s="557"/>
      <c r="J28" s="381">
        <f>SUMIF(92:92,I28,93:93)-SUMIF(92:92,C28,93:93)+100</f>
        <v>100</v>
      </c>
      <c r="K28" s="554"/>
      <c r="L28" s="2693"/>
      <c r="M28" s="2687"/>
      <c r="N28" s="2687"/>
      <c r="O28" s="2687"/>
      <c r="P28" s="4176"/>
      <c r="Q28" s="1339" t="str">
        <f t="shared" si="11"/>
        <v>楼层</v>
      </c>
      <c r="R28" s="697" t="s">
        <v>14</v>
      </c>
      <c r="S28" s="698">
        <f t="shared" ref="S28:S46" si="12">F28</f>
        <v>100</v>
      </c>
      <c r="T28" s="697" t="s">
        <v>14</v>
      </c>
      <c r="U28" s="698">
        <f t="shared" ref="U28:U46" si="13">H28</f>
        <v>100</v>
      </c>
      <c r="V28" s="697" t="s">
        <v>14</v>
      </c>
      <c r="W28" s="698">
        <f t="shared" ref="W28:W46" si="14">J28</f>
        <v>100</v>
      </c>
      <c r="X28" s="1342"/>
      <c r="Y28" s="4169"/>
      <c r="Z28" s="1343" t="str">
        <f t="shared" ref="Z28:Z46" si="15">Q28</f>
        <v>楼层</v>
      </c>
      <c r="AA28" s="1340">
        <f t="shared" si="3"/>
        <v>1</v>
      </c>
      <c r="AB28" s="1340">
        <f t="shared" si="4"/>
        <v>1</v>
      </c>
      <c r="AC28" s="1340">
        <f t="shared" si="5"/>
        <v>1</v>
      </c>
    </row>
    <row r="29" spans="1:29" ht="15">
      <c r="A29" s="374"/>
      <c r="B29" s="1121">
        <v>111</v>
      </c>
      <c r="C29" s="380"/>
      <c r="D29" s="381">
        <v>100</v>
      </c>
      <c r="E29" s="380"/>
      <c r="F29" s="407">
        <f>SUMIF(94:94,E29,95:95)-SUMIF(94:94,C29,95:95)+100</f>
        <v>100</v>
      </c>
      <c r="G29" s="380"/>
      <c r="H29" s="381">
        <f>SUMIF(94:94,G29,95:95)-SUMIF(94:94,C29,95:95)+100</f>
        <v>100</v>
      </c>
      <c r="I29" s="380"/>
      <c r="J29" s="381">
        <f>SUMIF(94:94,I29,95:95)-SUMIF(94:94,C29,95:95)+100</f>
        <v>100</v>
      </c>
      <c r="K29" s="554"/>
      <c r="L29" s="2693"/>
      <c r="M29" s="2687"/>
      <c r="N29" s="2687"/>
      <c r="O29" s="2687"/>
      <c r="P29" s="4176"/>
      <c r="Q29" s="1339">
        <f t="shared" si="11"/>
        <v>111</v>
      </c>
      <c r="R29" s="697" t="s">
        <v>14</v>
      </c>
      <c r="S29" s="698">
        <f t="shared" si="12"/>
        <v>100</v>
      </c>
      <c r="T29" s="697" t="s">
        <v>14</v>
      </c>
      <c r="U29" s="698">
        <f t="shared" si="13"/>
        <v>100</v>
      </c>
      <c r="V29" s="697" t="s">
        <v>14</v>
      </c>
      <c r="W29" s="698">
        <f t="shared" si="14"/>
        <v>100</v>
      </c>
      <c r="X29" s="1342"/>
      <c r="Y29" s="4169"/>
      <c r="Z29" s="1343">
        <f t="shared" si="15"/>
        <v>111</v>
      </c>
      <c r="AA29" s="1340">
        <f t="shared" si="3"/>
        <v>1</v>
      </c>
      <c r="AB29" s="1340">
        <f t="shared" si="4"/>
        <v>1</v>
      </c>
      <c r="AC29" s="1340">
        <f t="shared" si="5"/>
        <v>1</v>
      </c>
    </row>
    <row r="30" spans="1:29" ht="15">
      <c r="A30" s="374"/>
      <c r="B30" s="1121">
        <v>111</v>
      </c>
      <c r="C30" s="380"/>
      <c r="D30" s="381">
        <v>100</v>
      </c>
      <c r="E30" s="380"/>
      <c r="F30" s="407">
        <f>SUMIF(96:96,E30,97:97)-SUMIF(96:96,C30,97:97)+100</f>
        <v>100</v>
      </c>
      <c r="G30" s="380"/>
      <c r="H30" s="381">
        <f>SUMIF(96:96,G30,97:97)-SUMIF(96:96,C30,97:97)+100</f>
        <v>100</v>
      </c>
      <c r="I30" s="380"/>
      <c r="J30" s="381">
        <f>SUMIF(96:96,I30,97:97)-SUMIF(96:96,C30,97:97)+100</f>
        <v>100</v>
      </c>
      <c r="K30" s="554"/>
      <c r="L30" s="2693"/>
      <c r="M30" s="2687"/>
      <c r="N30" s="2687"/>
      <c r="O30" s="2687"/>
      <c r="P30" s="4176"/>
      <c r="Q30" s="1339">
        <f t="shared" si="11"/>
        <v>111</v>
      </c>
      <c r="R30" s="697" t="s">
        <v>14</v>
      </c>
      <c r="S30" s="698">
        <f t="shared" si="12"/>
        <v>100</v>
      </c>
      <c r="T30" s="697" t="s">
        <v>14</v>
      </c>
      <c r="U30" s="698">
        <f t="shared" si="13"/>
        <v>100</v>
      </c>
      <c r="V30" s="697" t="s">
        <v>14</v>
      </c>
      <c r="W30" s="698">
        <f t="shared" si="14"/>
        <v>100</v>
      </c>
      <c r="X30" s="1342"/>
      <c r="Y30" s="4169"/>
      <c r="Z30" s="1343">
        <f t="shared" si="15"/>
        <v>111</v>
      </c>
      <c r="AA30" s="1340">
        <f t="shared" si="3"/>
        <v>1</v>
      </c>
      <c r="AB30" s="1340">
        <f t="shared" si="4"/>
        <v>1</v>
      </c>
      <c r="AC30" s="1340">
        <f t="shared" si="5"/>
        <v>1</v>
      </c>
    </row>
    <row r="31" spans="1:29" ht="15.6" thickBot="1">
      <c r="A31" s="382"/>
      <c r="B31" s="1121">
        <v>111</v>
      </c>
      <c r="C31" s="383"/>
      <c r="D31" s="384">
        <v>100</v>
      </c>
      <c r="E31" s="380"/>
      <c r="F31" s="385">
        <f>SUMIF(98:98,E31,99:99)-SUMIF(98:98,C31,99:99)+100</f>
        <v>100</v>
      </c>
      <c r="G31" s="380"/>
      <c r="H31" s="384">
        <f>SUMIF(98:98,G31,99:99)-SUMIF(98:98,C31,99:99)+100</f>
        <v>100</v>
      </c>
      <c r="I31" s="380"/>
      <c r="J31" s="384">
        <f>SUMIF(98:98,I31,99:99)-SUMIF(98:98,C31,99:99)+100</f>
        <v>100</v>
      </c>
      <c r="K31" s="554"/>
      <c r="L31" s="2693"/>
      <c r="M31" s="2687"/>
      <c r="N31" s="2687"/>
      <c r="O31" s="2687"/>
      <c r="P31" s="4176"/>
      <c r="Q31" s="1339">
        <f t="shared" si="11"/>
        <v>111</v>
      </c>
      <c r="R31" s="697" t="s">
        <v>14</v>
      </c>
      <c r="S31" s="698">
        <f t="shared" si="12"/>
        <v>100</v>
      </c>
      <c r="T31" s="697" t="s">
        <v>14</v>
      </c>
      <c r="U31" s="698">
        <f t="shared" si="13"/>
        <v>100</v>
      </c>
      <c r="V31" s="697" t="s">
        <v>14</v>
      </c>
      <c r="W31" s="698">
        <f t="shared" si="14"/>
        <v>100</v>
      </c>
      <c r="X31" s="1342"/>
      <c r="Y31" s="4169"/>
      <c r="Z31" s="1343">
        <f t="shared" si="15"/>
        <v>111</v>
      </c>
      <c r="AA31" s="1340">
        <f t="shared" si="3"/>
        <v>1</v>
      </c>
      <c r="AB31" s="1340">
        <f t="shared" si="4"/>
        <v>1</v>
      </c>
      <c r="AC31" s="1340">
        <f t="shared" si="5"/>
        <v>1</v>
      </c>
    </row>
    <row r="32" spans="1:29" ht="15">
      <c r="A32" s="386" t="s">
        <v>1694</v>
      </c>
      <c r="B32" s="63" t="s">
        <v>1784</v>
      </c>
      <c r="C32" s="1884"/>
      <c r="D32" s="413">
        <v>100</v>
      </c>
      <c r="E32" s="1884"/>
      <c r="F32" s="407">
        <f>SUMIF(100:100,E32,101:101)-SUMIF(100:100,C32,101:101)+100</f>
        <v>100</v>
      </c>
      <c r="G32" s="1884"/>
      <c r="H32" s="381">
        <f>SUMIF(100:100,G32,101:101)-SUMIF(100:100,C32,101:101)+100</f>
        <v>100</v>
      </c>
      <c r="I32" s="1884"/>
      <c r="J32" s="413">
        <f>SUMIF(100:100,I32,101:101)-SUMIF(100:100,C32,101:101)+100</f>
        <v>100</v>
      </c>
      <c r="K32" s="553"/>
      <c r="L32" s="2693"/>
      <c r="M32" s="2687"/>
      <c r="N32" s="2687"/>
      <c r="O32" s="2687"/>
      <c r="P32" s="4170" t="s">
        <v>1696</v>
      </c>
      <c r="Q32" s="1339" t="str">
        <f t="shared" si="11"/>
        <v>商业类型</v>
      </c>
      <c r="R32" s="697" t="s">
        <v>14</v>
      </c>
      <c r="S32" s="698">
        <f t="shared" si="12"/>
        <v>100</v>
      </c>
      <c r="T32" s="697" t="s">
        <v>14</v>
      </c>
      <c r="U32" s="698">
        <f t="shared" si="13"/>
        <v>100</v>
      </c>
      <c r="V32" s="697" t="s">
        <v>14</v>
      </c>
      <c r="W32" s="698">
        <f t="shared" si="14"/>
        <v>100</v>
      </c>
      <c r="X32" s="1342"/>
      <c r="Y32" s="4173" t="s">
        <v>1696</v>
      </c>
      <c r="Z32" s="1343" t="str">
        <f t="shared" si="15"/>
        <v>商业类型</v>
      </c>
      <c r="AA32" s="1340">
        <f t="shared" si="3"/>
        <v>1</v>
      </c>
      <c r="AB32" s="1340">
        <f t="shared" si="4"/>
        <v>1</v>
      </c>
      <c r="AC32" s="1340">
        <f t="shared" si="5"/>
        <v>1</v>
      </c>
    </row>
    <row r="33" spans="1:29" s="417" customFormat="1" ht="15">
      <c r="A33" s="414"/>
      <c r="B33" s="370" t="s">
        <v>1697</v>
      </c>
      <c r="C33" s="415"/>
      <c r="D33" s="127">
        <v>100</v>
      </c>
      <c r="E33" s="376"/>
      <c r="F33" s="371" t="e">
        <f>LOOKUP(E33,103:103,104:104)-LOOKUP(C33,103:103,104:104)+100</f>
        <v>#N/A</v>
      </c>
      <c r="G33" s="375"/>
      <c r="H33" s="127" t="e">
        <f>LOOKUP(G33,103:103,104:104)-LOOKUP(C33,103:103,104:104)+100</f>
        <v>#N/A</v>
      </c>
      <c r="I33" s="375"/>
      <c r="J33" s="127" t="e">
        <f>LOOKUP(I33,103:103,104:104)-LOOKUP(C33,103:103,104:104)+100</f>
        <v>#N/A</v>
      </c>
      <c r="K33" s="554"/>
      <c r="L33" s="2692"/>
      <c r="M33" s="2694"/>
      <c r="N33" s="2694"/>
      <c r="O33" s="2694"/>
      <c r="P33" s="4171"/>
      <c r="Q33" s="699" t="str">
        <f t="shared" si="11"/>
        <v>项目建筑规模</v>
      </c>
      <c r="R33" s="700" t="s">
        <v>14</v>
      </c>
      <c r="S33" s="701" t="e">
        <f t="shared" si="12"/>
        <v>#N/A</v>
      </c>
      <c r="T33" s="700" t="s">
        <v>14</v>
      </c>
      <c r="U33" s="701" t="e">
        <f t="shared" si="13"/>
        <v>#N/A</v>
      </c>
      <c r="V33" s="700" t="s">
        <v>14</v>
      </c>
      <c r="W33" s="701" t="e">
        <f t="shared" si="14"/>
        <v>#N/A</v>
      </c>
      <c r="X33" s="702"/>
      <c r="Y33" s="4173"/>
      <c r="Z33" s="703" t="str">
        <f t="shared" si="15"/>
        <v>项目建筑规模</v>
      </c>
      <c r="AA33" s="1340" t="e">
        <f t="shared" si="3"/>
        <v>#N/A</v>
      </c>
      <c r="AB33" s="1340" t="e">
        <f t="shared" si="4"/>
        <v>#N/A</v>
      </c>
      <c r="AC33" s="1340" t="e">
        <f t="shared" si="5"/>
        <v>#N/A</v>
      </c>
    </row>
    <row r="34" spans="1:29" ht="15">
      <c r="A34" s="418"/>
      <c r="B34" s="370" t="s">
        <v>1698</v>
      </c>
      <c r="C34" s="1885"/>
      <c r="D34" s="381">
        <v>100</v>
      </c>
      <c r="E34" s="1885"/>
      <c r="F34" s="407">
        <f>SUMIF(105:105,E34,106:106)-SUMIF(105:105,C34,106:106)+100</f>
        <v>100</v>
      </c>
      <c r="G34" s="1885"/>
      <c r="H34" s="381">
        <f>SUMIF(105:105,G34,106:106)-SUMIF(105:105,C34,106:106)+100</f>
        <v>100</v>
      </c>
      <c r="I34" s="1885"/>
      <c r="J34" s="381">
        <f>SUMIF(105:105,I34,106:106)-SUMIF(105:105,C34,106:106)+100</f>
        <v>100</v>
      </c>
      <c r="K34" s="553"/>
      <c r="L34" s="2693"/>
      <c r="M34" s="2687"/>
      <c r="N34" s="2687"/>
      <c r="O34" s="2687"/>
      <c r="P34" s="4171"/>
      <c r="Q34" s="1339" t="str">
        <f t="shared" si="11"/>
        <v>建筑结构</v>
      </c>
      <c r="R34" s="697" t="s">
        <v>14</v>
      </c>
      <c r="S34" s="698">
        <f t="shared" si="12"/>
        <v>100</v>
      </c>
      <c r="T34" s="697" t="s">
        <v>14</v>
      </c>
      <c r="U34" s="698">
        <f t="shared" si="13"/>
        <v>100</v>
      </c>
      <c r="V34" s="697" t="s">
        <v>14</v>
      </c>
      <c r="W34" s="698">
        <f t="shared" si="14"/>
        <v>100</v>
      </c>
      <c r="X34" s="1342"/>
      <c r="Y34" s="4173"/>
      <c r="Z34" s="1343" t="str">
        <f t="shared" si="15"/>
        <v>建筑结构</v>
      </c>
      <c r="AA34" s="1340">
        <f t="shared" si="3"/>
        <v>1</v>
      </c>
      <c r="AB34" s="1340">
        <f t="shared" si="4"/>
        <v>1</v>
      </c>
      <c r="AC34" s="1340">
        <f t="shared" si="5"/>
        <v>1</v>
      </c>
    </row>
    <row r="35" spans="1:29" ht="15">
      <c r="A35" s="418"/>
      <c r="B35" s="370" t="s">
        <v>1785</v>
      </c>
      <c r="C35" s="1881"/>
      <c r="D35" s="381">
        <v>100</v>
      </c>
      <c r="E35" s="1881"/>
      <c r="F35" s="407">
        <f>SUMIF(107:107,E35,108:108)-SUMIF(107:107,C35,108:108)+100</f>
        <v>100</v>
      </c>
      <c r="G35" s="1881"/>
      <c r="H35" s="381">
        <f>SUMIF(107:107,G35,108:108)-SUMIF(107:107,C35,108:108)+100</f>
        <v>100</v>
      </c>
      <c r="I35" s="1881"/>
      <c r="J35" s="381">
        <f>SUMIF(107:107,I35,108:108)-SUMIF(107:107,C35,108:108)+100</f>
        <v>100</v>
      </c>
      <c r="K35" s="553"/>
      <c r="L35" s="2693"/>
      <c r="M35" s="2687"/>
      <c r="N35" s="2687"/>
      <c r="O35" s="2687"/>
      <c r="P35" s="4171"/>
      <c r="Q35" s="1339" t="str">
        <f t="shared" si="11"/>
        <v>公共部分装修</v>
      </c>
      <c r="R35" s="697" t="s">
        <v>14</v>
      </c>
      <c r="S35" s="698">
        <f t="shared" si="12"/>
        <v>100</v>
      </c>
      <c r="T35" s="697" t="s">
        <v>14</v>
      </c>
      <c r="U35" s="698">
        <f t="shared" si="13"/>
        <v>100</v>
      </c>
      <c r="V35" s="697" t="s">
        <v>14</v>
      </c>
      <c r="W35" s="698">
        <f t="shared" si="14"/>
        <v>100</v>
      </c>
      <c r="X35" s="1342"/>
      <c r="Y35" s="4173"/>
      <c r="Z35" s="1343" t="str">
        <f t="shared" si="15"/>
        <v>公共部分装修</v>
      </c>
      <c r="AA35" s="1340">
        <f t="shared" si="3"/>
        <v>1</v>
      </c>
      <c r="AB35" s="1340">
        <f t="shared" si="4"/>
        <v>1</v>
      </c>
      <c r="AC35" s="1340">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3"/>
      <c r="L36" s="2693"/>
      <c r="M36" s="2687"/>
      <c r="N36" s="2687"/>
      <c r="O36" s="2687"/>
      <c r="P36" s="4171"/>
      <c r="Q36" s="1339" t="str">
        <f t="shared" si="11"/>
        <v>成新度</v>
      </c>
      <c r="R36" s="697" t="s">
        <v>14</v>
      </c>
      <c r="S36" s="698" t="e">
        <f t="shared" si="12"/>
        <v>#N/A</v>
      </c>
      <c r="T36" s="697" t="s">
        <v>14</v>
      </c>
      <c r="U36" s="698" t="e">
        <f t="shared" si="13"/>
        <v>#N/A</v>
      </c>
      <c r="V36" s="697" t="s">
        <v>14</v>
      </c>
      <c r="W36" s="698" t="e">
        <f t="shared" si="14"/>
        <v>#N/A</v>
      </c>
      <c r="X36" s="1342"/>
      <c r="Y36" s="4173"/>
      <c r="Z36" s="1343" t="str">
        <f t="shared" si="15"/>
        <v>成新度</v>
      </c>
      <c r="AA36" s="1340" t="e">
        <f t="shared" si="3"/>
        <v>#N/A</v>
      </c>
      <c r="AB36" s="1340" t="e">
        <f t="shared" si="4"/>
        <v>#N/A</v>
      </c>
      <c r="AC36" s="1340" t="e">
        <f t="shared" si="5"/>
        <v>#N/A</v>
      </c>
    </row>
    <row r="37" spans="1:29" s="108" customFormat="1" ht="15">
      <c r="A37" s="419"/>
      <c r="B37" s="370" t="s">
        <v>1787</v>
      </c>
      <c r="C37" s="1881"/>
      <c r="D37" s="127">
        <v>100</v>
      </c>
      <c r="E37" s="1881"/>
      <c r="F37" s="407">
        <f>SUMIF(112:112,E37,113:113)-SUMIF(112:112,C37,113:113)+100</f>
        <v>100</v>
      </c>
      <c r="G37" s="1881"/>
      <c r="H37" s="381">
        <f>SUMIF(112:112,G37,113:113)-SUMIF(112:112,C37,113:113)+100</f>
        <v>100</v>
      </c>
      <c r="I37" s="1881"/>
      <c r="J37" s="381">
        <f>SUMIF(112:112,I37,113:113)-SUMIF(112:112,C37,113:113)+100</f>
        <v>100</v>
      </c>
      <c r="K37" s="553"/>
      <c r="L37" s="2688"/>
      <c r="M37" s="2689"/>
      <c r="N37" s="2689"/>
      <c r="O37" s="2689"/>
      <c r="P37" s="4171"/>
      <c r="Q37" s="1330" t="str">
        <f t="shared" si="11"/>
        <v>市政基础设施</v>
      </c>
      <c r="R37" s="693" t="s">
        <v>14</v>
      </c>
      <c r="S37" s="694">
        <f t="shared" si="12"/>
        <v>100</v>
      </c>
      <c r="T37" s="693" t="s">
        <v>14</v>
      </c>
      <c r="U37" s="694">
        <f t="shared" si="13"/>
        <v>100</v>
      </c>
      <c r="V37" s="693" t="s">
        <v>14</v>
      </c>
      <c r="W37" s="694">
        <f t="shared" si="14"/>
        <v>100</v>
      </c>
      <c r="X37" s="695"/>
      <c r="Y37" s="4173"/>
      <c r="Z37" s="52" t="str">
        <f t="shared" si="15"/>
        <v>市政基础设施</v>
      </c>
      <c r="AA37" s="696">
        <f t="shared" si="3"/>
        <v>1</v>
      </c>
      <c r="AB37" s="696">
        <f t="shared" si="4"/>
        <v>1</v>
      </c>
      <c r="AC37" s="696">
        <f t="shared" si="5"/>
        <v>1</v>
      </c>
    </row>
    <row r="38" spans="1:29" ht="15">
      <c r="A38" s="418"/>
      <c r="B38" s="370" t="s">
        <v>1788</v>
      </c>
      <c r="C38" s="1881"/>
      <c r="D38" s="381">
        <v>100</v>
      </c>
      <c r="E38" s="1881"/>
      <c r="F38" s="407">
        <f>SUMIF(114:114,E38,115:115)-SUMIF(114:114,C38,115:115)+100</f>
        <v>100</v>
      </c>
      <c r="G38" s="1881"/>
      <c r="H38" s="381">
        <f>SUMIF(114:114,G38,115:115)-SUMIF(114:114,C38,115:115)+100</f>
        <v>100</v>
      </c>
      <c r="I38" s="1881"/>
      <c r="J38" s="381">
        <f>SUMIF(114:114,I38,115:115)-SUMIF(114:114,C38,115:115)+100</f>
        <v>100</v>
      </c>
      <c r="K38" s="553"/>
      <c r="L38" s="2693"/>
      <c r="M38" s="2687"/>
      <c r="N38" s="2687"/>
      <c r="O38" s="2687"/>
      <c r="P38" s="4171" t="s">
        <v>1696</v>
      </c>
      <c r="Q38" s="1339" t="str">
        <f t="shared" si="11"/>
        <v>业态</v>
      </c>
      <c r="R38" s="697" t="s">
        <v>14</v>
      </c>
      <c r="S38" s="698">
        <f t="shared" si="12"/>
        <v>100</v>
      </c>
      <c r="T38" s="697" t="s">
        <v>14</v>
      </c>
      <c r="U38" s="698">
        <f t="shared" si="13"/>
        <v>100</v>
      </c>
      <c r="V38" s="697" t="s">
        <v>14</v>
      </c>
      <c r="W38" s="698">
        <f t="shared" si="14"/>
        <v>100</v>
      </c>
      <c r="X38" s="1342"/>
      <c r="Y38" s="4173" t="s">
        <v>1696</v>
      </c>
      <c r="Z38" s="1343" t="str">
        <f t="shared" si="15"/>
        <v>业态</v>
      </c>
      <c r="AA38" s="1340">
        <f t="shared" si="3"/>
        <v>1</v>
      </c>
      <c r="AB38" s="1340">
        <f t="shared" si="4"/>
        <v>1</v>
      </c>
      <c r="AC38" s="1340">
        <f t="shared" si="5"/>
        <v>1</v>
      </c>
    </row>
    <row r="39" spans="1:29" ht="15">
      <c r="A39" s="418"/>
      <c r="B39" s="370" t="s">
        <v>1789</v>
      </c>
      <c r="C39" s="1881"/>
      <c r="D39" s="381">
        <v>100</v>
      </c>
      <c r="E39" s="1881"/>
      <c r="F39" s="407">
        <f>SUMIF(116:116,E39,117:117)-SUMIF(116:116,C39,117:117)+100</f>
        <v>100</v>
      </c>
      <c r="G39" s="1881"/>
      <c r="H39" s="381">
        <f>SUMIF(116:116,G39,117:117)-SUMIF(116:116,C39,117:117)+100</f>
        <v>100</v>
      </c>
      <c r="I39" s="1881"/>
      <c r="J39" s="381">
        <f>SUMIF(116:116,I39,117:117)-SUMIF(116:116,C39,117:117)+100</f>
        <v>100</v>
      </c>
      <c r="K39" s="553"/>
      <c r="L39" s="2693"/>
      <c r="M39" s="2687"/>
      <c r="N39" s="2687"/>
      <c r="O39" s="2687"/>
      <c r="P39" s="4171"/>
      <c r="Q39" s="1339" t="str">
        <f t="shared" si="11"/>
        <v>层高</v>
      </c>
      <c r="R39" s="697" t="s">
        <v>14</v>
      </c>
      <c r="S39" s="698">
        <f t="shared" si="12"/>
        <v>100</v>
      </c>
      <c r="T39" s="697" t="s">
        <v>14</v>
      </c>
      <c r="U39" s="698">
        <f t="shared" si="13"/>
        <v>100</v>
      </c>
      <c r="V39" s="697" t="s">
        <v>14</v>
      </c>
      <c r="W39" s="698">
        <f t="shared" si="14"/>
        <v>100</v>
      </c>
      <c r="X39" s="1342"/>
      <c r="Y39" s="4173"/>
      <c r="Z39" s="1343" t="str">
        <f t="shared" si="15"/>
        <v>层高</v>
      </c>
      <c r="AA39" s="1340">
        <f t="shared" si="3"/>
        <v>1</v>
      </c>
      <c r="AB39" s="1340">
        <f t="shared" si="4"/>
        <v>1</v>
      </c>
      <c r="AC39" s="1340">
        <f t="shared" si="5"/>
        <v>1</v>
      </c>
    </row>
    <row r="40" spans="1:29" ht="15">
      <c r="A40" s="418"/>
      <c r="B40" s="370" t="s">
        <v>1790</v>
      </c>
      <c r="C40" s="558"/>
      <c r="D40" s="381">
        <v>100</v>
      </c>
      <c r="E40" s="559"/>
      <c r="F40" s="407">
        <f>SUMIF(118:118,E40,119:119)-SUMIF(118:118,C40,119:119)+100</f>
        <v>100</v>
      </c>
      <c r="G40" s="559"/>
      <c r="H40" s="381">
        <f>SUMIF(118:118,G40,119:119)-SUMIF(118:118,C40,119:119)+100</f>
        <v>100</v>
      </c>
      <c r="I40" s="559"/>
      <c r="J40" s="381">
        <f>SUMIF(118:118,I40,119:119)-SUMIF(118:118,C40,119:119)+100</f>
        <v>100</v>
      </c>
      <c r="K40" s="554"/>
      <c r="L40" s="2693"/>
      <c r="M40" s="2687"/>
      <c r="N40" s="2687"/>
      <c r="O40" s="2687"/>
      <c r="P40" s="4171"/>
      <c r="Q40" s="1339" t="str">
        <f t="shared" si="11"/>
        <v>单套建筑面积</v>
      </c>
      <c r="R40" s="697" t="s">
        <v>14</v>
      </c>
      <c r="S40" s="698">
        <f t="shared" si="12"/>
        <v>100</v>
      </c>
      <c r="T40" s="697" t="s">
        <v>14</v>
      </c>
      <c r="U40" s="698">
        <f t="shared" si="13"/>
        <v>100</v>
      </c>
      <c r="V40" s="697" t="s">
        <v>14</v>
      </c>
      <c r="W40" s="698">
        <f t="shared" si="14"/>
        <v>100</v>
      </c>
      <c r="X40" s="1342"/>
      <c r="Y40" s="4173"/>
      <c r="Z40" s="1343" t="str">
        <f t="shared" si="15"/>
        <v>单套建筑面积</v>
      </c>
      <c r="AA40" s="1340">
        <f t="shared" si="3"/>
        <v>1</v>
      </c>
      <c r="AB40" s="1340">
        <f t="shared" si="4"/>
        <v>1</v>
      </c>
      <c r="AC40" s="1340">
        <f t="shared" si="5"/>
        <v>1</v>
      </c>
    </row>
    <row r="41" spans="1:29" s="417" customFormat="1" ht="15">
      <c r="A41" s="414"/>
      <c r="B41" s="1341" t="s">
        <v>1791</v>
      </c>
      <c r="C41" s="557"/>
      <c r="D41" s="381">
        <v>100</v>
      </c>
      <c r="E41" s="557"/>
      <c r="F41" s="407">
        <f>SUMIF(120:120,E41,121:121)-SUMIF(120:120,C41,121:121)+100</f>
        <v>100</v>
      </c>
      <c r="G41" s="557"/>
      <c r="H41" s="381">
        <f>SUMIF(120:120,G41,121:121)-SUMIF(120:120,C41,121:121)+100</f>
        <v>100</v>
      </c>
      <c r="I41" s="557"/>
      <c r="J41" s="381">
        <f>SUMIF(120:120,I41,121:121)-SUMIF(120:120,C41,121:121)+100</f>
        <v>100</v>
      </c>
      <c r="K41" s="553"/>
      <c r="L41" s="2692"/>
      <c r="M41" s="2694"/>
      <c r="N41" s="2694"/>
      <c r="O41" s="2694"/>
      <c r="P41" s="4171"/>
      <c r="Q41" s="699" t="str">
        <f t="shared" si="11"/>
        <v>进深比</v>
      </c>
      <c r="R41" s="700" t="s">
        <v>14</v>
      </c>
      <c r="S41" s="701">
        <f t="shared" si="12"/>
        <v>100</v>
      </c>
      <c r="T41" s="700" t="s">
        <v>14</v>
      </c>
      <c r="U41" s="701">
        <f t="shared" si="13"/>
        <v>100</v>
      </c>
      <c r="V41" s="700" t="s">
        <v>14</v>
      </c>
      <c r="W41" s="701">
        <f t="shared" si="14"/>
        <v>100</v>
      </c>
      <c r="X41" s="702"/>
      <c r="Y41" s="4173"/>
      <c r="Z41" s="703" t="str">
        <f t="shared" si="15"/>
        <v>进深比</v>
      </c>
      <c r="AA41" s="1340">
        <f t="shared" si="3"/>
        <v>1</v>
      </c>
      <c r="AB41" s="1340">
        <f t="shared" si="4"/>
        <v>1</v>
      </c>
      <c r="AC41" s="1340">
        <f t="shared" si="5"/>
        <v>1</v>
      </c>
    </row>
    <row r="42" spans="1:29" ht="15">
      <c r="A42" s="418"/>
      <c r="B42" s="370" t="s">
        <v>1792</v>
      </c>
      <c r="C42" s="1881"/>
      <c r="D42" s="381">
        <v>100</v>
      </c>
      <c r="E42" s="1881"/>
      <c r="F42" s="407">
        <f>SUMIF(122:122,E42,123:123)-SUMIF(122:122,C42,123:123)+100</f>
        <v>100</v>
      </c>
      <c r="G42" s="1881"/>
      <c r="H42" s="381">
        <f>SUMIF(122:122,G42,123:123)-SUMIF(122:122,C42,123:123)+100</f>
        <v>100</v>
      </c>
      <c r="I42" s="1881"/>
      <c r="J42" s="381">
        <f>SUMIF(122:122,I42,123:123)-SUMIF(122:122,C42,123:123)+100</f>
        <v>100</v>
      </c>
      <c r="K42" s="553"/>
      <c r="L42" s="2693"/>
      <c r="M42" s="2687"/>
      <c r="N42" s="2687"/>
      <c r="O42" s="2687"/>
      <c r="P42" s="4171"/>
      <c r="Q42" s="1339" t="str">
        <f t="shared" si="11"/>
        <v>内部装修</v>
      </c>
      <c r="R42" s="697" t="s">
        <v>14</v>
      </c>
      <c r="S42" s="698">
        <f t="shared" si="12"/>
        <v>100</v>
      </c>
      <c r="T42" s="697" t="s">
        <v>14</v>
      </c>
      <c r="U42" s="698">
        <f t="shared" si="13"/>
        <v>100</v>
      </c>
      <c r="V42" s="697" t="s">
        <v>14</v>
      </c>
      <c r="W42" s="698">
        <f t="shared" si="14"/>
        <v>100</v>
      </c>
      <c r="X42" s="1342"/>
      <c r="Y42" s="4173"/>
      <c r="Z42" s="1343" t="str">
        <f t="shared" si="15"/>
        <v>内部装修</v>
      </c>
      <c r="AA42" s="1340">
        <f t="shared" si="3"/>
        <v>1</v>
      </c>
      <c r="AB42" s="1340">
        <f t="shared" si="4"/>
        <v>1</v>
      </c>
      <c r="AC42" s="1340">
        <f t="shared" si="5"/>
        <v>1</v>
      </c>
    </row>
    <row r="43" spans="1:29" ht="28.8">
      <c r="A43" s="418"/>
      <c r="B43" s="370" t="s">
        <v>1707</v>
      </c>
      <c r="C43" s="1881"/>
      <c r="D43" s="381">
        <v>100</v>
      </c>
      <c r="E43" s="1881"/>
      <c r="F43" s="407">
        <f>SUMIF(124:124,E43,125:125)-SUMIF(124:124,C43,125:125)+100</f>
        <v>100</v>
      </c>
      <c r="G43" s="1881"/>
      <c r="H43" s="381">
        <f>SUMIF(124:124,G43,125:125)-SUMIF(124:124,C43,125:125)+100</f>
        <v>100</v>
      </c>
      <c r="I43" s="1881"/>
      <c r="J43" s="381">
        <f>SUMIF(124:124,I43,125:125)-SUMIF(124:124,C43,125:125)+100</f>
        <v>100</v>
      </c>
      <c r="K43" s="553"/>
      <c r="L43" s="2693"/>
      <c r="M43" s="2687"/>
      <c r="N43" s="2687"/>
      <c r="O43" s="2687"/>
      <c r="P43" s="4171"/>
      <c r="Q43" s="1339" t="str">
        <f t="shared" si="11"/>
        <v>内部装修维护情况</v>
      </c>
      <c r="R43" s="697" t="s">
        <v>14</v>
      </c>
      <c r="S43" s="698">
        <f t="shared" si="12"/>
        <v>100</v>
      </c>
      <c r="T43" s="697" t="s">
        <v>14</v>
      </c>
      <c r="U43" s="698">
        <f t="shared" si="13"/>
        <v>100</v>
      </c>
      <c r="V43" s="697" t="s">
        <v>14</v>
      </c>
      <c r="W43" s="698">
        <f t="shared" si="14"/>
        <v>100</v>
      </c>
      <c r="X43" s="1342"/>
      <c r="Y43" s="4173"/>
      <c r="Z43" s="1343" t="str">
        <f t="shared" si="15"/>
        <v>内部装修维护情况</v>
      </c>
      <c r="AA43" s="1340">
        <f t="shared" si="3"/>
        <v>1</v>
      </c>
      <c r="AB43" s="1340">
        <f t="shared" si="4"/>
        <v>1</v>
      </c>
      <c r="AC43" s="1340">
        <f t="shared" si="5"/>
        <v>1</v>
      </c>
    </row>
    <row r="44" spans="1:29" s="108" customFormat="1" ht="15">
      <c r="A44" s="419"/>
      <c r="B44" s="1121">
        <v>111</v>
      </c>
      <c r="C44" s="415"/>
      <c r="D44" s="127">
        <v>100</v>
      </c>
      <c r="E44" s="380"/>
      <c r="F44" s="371">
        <f>SUMIF(126:126,E44,127:127)-SUMIF(126:126,C44,127:127)+100</f>
        <v>100</v>
      </c>
      <c r="G44" s="380"/>
      <c r="H44" s="127">
        <f>SUMIF(126:126,G44,127:127)-SUMIF(126:126,C44,127:127)+100</f>
        <v>100</v>
      </c>
      <c r="I44" s="380"/>
      <c r="J44" s="127">
        <f>SUMIF(126:126,I44,127:127)-SUMIF(126:126,C44,127:127)+100</f>
        <v>100</v>
      </c>
      <c r="K44" s="554"/>
      <c r="L44" s="2688"/>
      <c r="M44" s="2689"/>
      <c r="N44" s="2689"/>
      <c r="O44" s="2689"/>
      <c r="P44" s="4171"/>
      <c r="Q44" s="1330">
        <f t="shared" si="11"/>
        <v>111</v>
      </c>
      <c r="R44" s="693" t="s">
        <v>14</v>
      </c>
      <c r="S44" s="694">
        <f t="shared" si="12"/>
        <v>100</v>
      </c>
      <c r="T44" s="693" t="s">
        <v>14</v>
      </c>
      <c r="U44" s="694">
        <f t="shared" si="13"/>
        <v>100</v>
      </c>
      <c r="V44" s="693" t="s">
        <v>14</v>
      </c>
      <c r="W44" s="694">
        <f t="shared" si="14"/>
        <v>100</v>
      </c>
      <c r="X44" s="695"/>
      <c r="Y44" s="4173"/>
      <c r="Z44" s="52">
        <f t="shared" si="15"/>
        <v>111</v>
      </c>
      <c r="AA44" s="696">
        <f t="shared" si="3"/>
        <v>1</v>
      </c>
      <c r="AB44" s="696">
        <f t="shared" si="4"/>
        <v>1</v>
      </c>
      <c r="AC44" s="696">
        <f t="shared" si="5"/>
        <v>1</v>
      </c>
    </row>
    <row r="45" spans="1:29" ht="15">
      <c r="A45" s="418"/>
      <c r="B45" s="1121">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4"/>
      <c r="L45" s="2693"/>
      <c r="M45" s="2687"/>
      <c r="N45" s="2687"/>
      <c r="O45" s="2687"/>
      <c r="P45" s="4171"/>
      <c r="Q45" s="1339">
        <f t="shared" si="11"/>
        <v>111</v>
      </c>
      <c r="R45" s="697" t="s">
        <v>14</v>
      </c>
      <c r="S45" s="698">
        <f t="shared" si="12"/>
        <v>100</v>
      </c>
      <c r="T45" s="697" t="s">
        <v>14</v>
      </c>
      <c r="U45" s="698">
        <f t="shared" si="13"/>
        <v>100</v>
      </c>
      <c r="V45" s="697" t="s">
        <v>14</v>
      </c>
      <c r="W45" s="698">
        <f t="shared" si="14"/>
        <v>100</v>
      </c>
      <c r="X45" s="1342"/>
      <c r="Y45" s="4173"/>
      <c r="Z45" s="1343">
        <f t="shared" si="15"/>
        <v>111</v>
      </c>
      <c r="AA45" s="1340">
        <f t="shared" si="3"/>
        <v>1</v>
      </c>
      <c r="AB45" s="1340">
        <f t="shared" si="4"/>
        <v>1</v>
      </c>
      <c r="AC45" s="1340">
        <f t="shared" si="5"/>
        <v>1</v>
      </c>
    </row>
    <row r="46" spans="1:29" ht="15.6" thickBot="1">
      <c r="A46" s="424"/>
      <c r="B46" s="1870">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4"/>
      <c r="L46" s="2693"/>
      <c r="M46" s="2687"/>
      <c r="N46" s="2687"/>
      <c r="O46" s="2687"/>
      <c r="P46" s="4172"/>
      <c r="Q46" s="1339">
        <f t="shared" si="11"/>
        <v>111</v>
      </c>
      <c r="R46" s="697" t="s">
        <v>14</v>
      </c>
      <c r="S46" s="698">
        <f t="shared" si="12"/>
        <v>100</v>
      </c>
      <c r="T46" s="697" t="s">
        <v>14</v>
      </c>
      <c r="U46" s="698">
        <f t="shared" si="13"/>
        <v>100</v>
      </c>
      <c r="V46" s="697" t="s">
        <v>14</v>
      </c>
      <c r="W46" s="698">
        <f t="shared" si="14"/>
        <v>100</v>
      </c>
      <c r="X46" s="1342"/>
      <c r="Y46" s="4174"/>
      <c r="Z46" s="1343">
        <f t="shared" si="15"/>
        <v>111</v>
      </c>
      <c r="AA46" s="1340">
        <f t="shared" si="3"/>
        <v>1</v>
      </c>
      <c r="AB46" s="1340">
        <f t="shared" si="4"/>
        <v>1</v>
      </c>
      <c r="AC46" s="1340">
        <f t="shared" si="5"/>
        <v>1</v>
      </c>
    </row>
    <row r="47" spans="1:29" ht="14.4">
      <c r="A47" s="425" t="s">
        <v>1708</v>
      </c>
      <c r="B47" s="426"/>
      <c r="C47" s="1142" t="s">
        <v>0</v>
      </c>
      <c r="D47" s="1143"/>
      <c r="E47" s="1144"/>
      <c r="F47" s="1145"/>
      <c r="G47" s="1146"/>
      <c r="H47" s="1147"/>
      <c r="I47" s="1144"/>
      <c r="J47" s="1147"/>
      <c r="K47" s="706"/>
      <c r="L47" s="2695"/>
      <c r="M47" s="2696"/>
      <c r="N47" s="2687"/>
      <c r="O47" s="2696"/>
      <c r="P47" s="4166" t="str">
        <f>A47</f>
        <v>成交单价（元/平方米）</v>
      </c>
      <c r="Q47" s="4166"/>
      <c r="R47" s="4198">
        <f>E47</f>
        <v>0</v>
      </c>
      <c r="S47" s="4198"/>
      <c r="T47" s="4198">
        <f>G47</f>
        <v>0</v>
      </c>
      <c r="U47" s="4198"/>
      <c r="V47" s="4198">
        <f>I47</f>
        <v>0</v>
      </c>
      <c r="W47" s="4198"/>
      <c r="X47" s="682"/>
      <c r="Y47" s="704"/>
      <c r="Z47" s="682"/>
      <c r="AA47" s="682"/>
      <c r="AB47" s="682"/>
      <c r="AC47" s="682"/>
    </row>
    <row r="48" spans="1:29" ht="15" thickBot="1">
      <c r="A48" s="432" t="s">
        <v>1793</v>
      </c>
      <c r="B48" s="433"/>
      <c r="C48" s="1148" t="e">
        <f>R49</f>
        <v>#DIV/0!</v>
      </c>
      <c r="D48" s="2289" t="s">
        <v>2138</v>
      </c>
      <c r="E48" s="1149" t="e">
        <f>R48</f>
        <v>#DIV/0!</v>
      </c>
      <c r="F48" s="2290"/>
      <c r="G48" s="1148" t="e">
        <f>T48</f>
        <v>#DIV/0!</v>
      </c>
      <c r="H48" s="2290"/>
      <c r="I48" s="1149" t="e">
        <f>V48</f>
        <v>#DIV/0!</v>
      </c>
      <c r="J48" s="2290"/>
      <c r="K48" s="2292">
        <f>F48+H48+J48</f>
        <v>0</v>
      </c>
      <c r="L48" s="2695"/>
      <c r="M48" s="2696"/>
      <c r="N48" s="2687"/>
      <c r="O48" s="2696"/>
      <c r="P48" s="4166" t="str">
        <f>A48</f>
        <v>比较价值（元/平方米）</v>
      </c>
      <c r="Q48" s="4166"/>
      <c r="R48" s="4167" t="e">
        <f>IF(F1="售价",ROUND(PRODUCT(R47,AA7:AA46),0),ROUND(PRODUCT(R47,AA7:AA46),1))</f>
        <v>#DIV/0!</v>
      </c>
      <c r="S48" s="4167"/>
      <c r="T48" s="4167" t="e">
        <f>IF(F1="售价",ROUND(PRODUCT(T47,AB7:AB46),0),ROUND(PRODUCT(T47,AB7:AB46),1))</f>
        <v>#DIV/0!</v>
      </c>
      <c r="U48" s="4167"/>
      <c r="V48" s="4167" t="e">
        <f>IF(F1="售价",ROUND(PRODUCT(V47,AC7:AC46),0),ROUND(PRODUCT(V47,AC7:AC46),1))</f>
        <v>#DIV/0!</v>
      </c>
      <c r="W48" s="4167"/>
      <c r="X48" s="682"/>
      <c r="Y48" s="682"/>
      <c r="Z48" s="682"/>
      <c r="AA48" s="682"/>
      <c r="AB48" s="682"/>
      <c r="AC48" s="682"/>
    </row>
    <row r="49" spans="1:29" ht="15" thickBot="1">
      <c r="A49" s="436" t="s">
        <v>1794</v>
      </c>
      <c r="B49" s="437"/>
      <c r="C49" s="1150" t="e">
        <f>R49</f>
        <v>#DIV/0!</v>
      </c>
      <c r="D49" s="1150"/>
      <c r="E49" s="1150"/>
      <c r="F49" s="1150"/>
      <c r="G49" s="1150"/>
      <c r="H49" s="1150"/>
      <c r="I49" s="1150"/>
      <c r="J49" s="1150"/>
      <c r="K49" s="707"/>
      <c r="L49" s="2695"/>
      <c r="M49" s="2696"/>
      <c r="N49" s="2687"/>
      <c r="O49" s="2696"/>
      <c r="P49" s="4163" t="str">
        <f>A49</f>
        <v>估价对象XX用房的比较价值（楼面单价，元/平方米）</v>
      </c>
      <c r="Q49" s="4164"/>
      <c r="R49" s="4165" t="e">
        <f>IF(F1="售价",ROUND(IF(D48="简单平均",AVERAGE(R48:V48),R48*F48+T48*H48+V48*J48),0),ROUND(IF(D48="简单平均",AVERAGE(R48:V48),R48*F48+T48*H48+V48*J48),1))</f>
        <v>#DIV/0!</v>
      </c>
      <c r="S49" s="4165"/>
      <c r="T49" s="4165"/>
      <c r="U49" s="4165"/>
      <c r="V49" s="4165"/>
      <c r="W49" s="4165"/>
      <c r="X49" s="682"/>
      <c r="Y49" s="682"/>
      <c r="Z49" s="682"/>
      <c r="AA49" s="682"/>
      <c r="AB49" s="682"/>
      <c r="AC49" s="682"/>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46" customFormat="1" ht="13.5" customHeight="1">
      <c r="A54" s="2699"/>
      <c r="B54" s="2699"/>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46"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2.2" thickBot="1">
      <c r="A57" s="686" t="s">
        <v>1798</v>
      </c>
      <c r="B57" s="682"/>
      <c r="C57" s="687"/>
      <c r="D57" s="687"/>
      <c r="E57" s="687"/>
      <c r="F57" s="688"/>
      <c r="G57" s="688"/>
      <c r="H57" s="687"/>
      <c r="I57" s="687"/>
      <c r="J57" s="687"/>
      <c r="K57" s="689"/>
      <c r="L57" s="932"/>
      <c r="M57" s="930"/>
      <c r="N57" s="930"/>
      <c r="O57" s="930"/>
      <c r="P57" s="2709"/>
      <c r="Q57" s="2710"/>
      <c r="R57" s="2696"/>
      <c r="S57" s="2696"/>
      <c r="T57" s="2696"/>
      <c r="U57" s="2696"/>
      <c r="V57" s="2696"/>
      <c r="W57" s="2696"/>
      <c r="X57" s="2696"/>
      <c r="Y57" s="2696"/>
      <c r="Z57" s="2696"/>
      <c r="AA57" s="2696"/>
      <c r="AB57" s="2696"/>
      <c r="AC57" s="2696"/>
    </row>
    <row r="58" spans="1:29" s="452" customFormat="1" ht="14.4">
      <c r="A58" s="449" t="s">
        <v>1679</v>
      </c>
      <c r="B58" s="450"/>
      <c r="C58" s="1171" t="str">
        <f>YEAR(C7)&amp;"-"&amp;MONTH(C7)</f>
        <v>2003-10</v>
      </c>
      <c r="D58" s="1172">
        <f>EDATE(C58,-1)</f>
        <v>37865</v>
      </c>
      <c r="E58" s="1172">
        <f t="shared" ref="E58:N58" si="16">EDATE(D58,-1)</f>
        <v>37834</v>
      </c>
      <c r="F58" s="1172">
        <f t="shared" si="16"/>
        <v>37803</v>
      </c>
      <c r="G58" s="1172">
        <f t="shared" si="16"/>
        <v>37773</v>
      </c>
      <c r="H58" s="1172">
        <f t="shared" si="16"/>
        <v>37742</v>
      </c>
      <c r="I58" s="1172">
        <f t="shared" si="16"/>
        <v>37712</v>
      </c>
      <c r="J58" s="1172">
        <f t="shared" si="16"/>
        <v>37681</v>
      </c>
      <c r="K58" s="1172">
        <f t="shared" si="16"/>
        <v>37653</v>
      </c>
      <c r="L58" s="1172">
        <f t="shared" si="16"/>
        <v>37622</v>
      </c>
      <c r="M58" s="1172">
        <f t="shared" si="16"/>
        <v>37591</v>
      </c>
      <c r="N58" s="1172">
        <f t="shared" si="16"/>
        <v>37561</v>
      </c>
      <c r="O58" s="1172">
        <f>EDATE(N58,-1)</f>
        <v>37530</v>
      </c>
      <c r="P58" s="2711"/>
      <c r="Q58" s="2712"/>
      <c r="R58" s="2712"/>
      <c r="S58" s="2712"/>
      <c r="T58" s="2712"/>
      <c r="U58" s="2712"/>
      <c r="V58" s="2712"/>
      <c r="W58" s="2712"/>
      <c r="X58" s="2712"/>
      <c r="Y58" s="2712"/>
      <c r="Z58" s="2712"/>
      <c r="AA58" s="2712"/>
      <c r="AB58" s="2712"/>
      <c r="AC58" s="2712"/>
    </row>
    <row r="59" spans="1:29" s="108" customFormat="1">
      <c r="A59" s="453"/>
      <c r="B59" s="454"/>
      <c r="C59" s="1170">
        <v>100</v>
      </c>
      <c r="D59" s="456"/>
      <c r="E59" s="456"/>
      <c r="F59" s="456"/>
      <c r="G59" s="456"/>
      <c r="H59" s="456"/>
      <c r="I59" s="456"/>
      <c r="J59" s="456"/>
      <c r="K59" s="456"/>
      <c r="L59" s="456"/>
      <c r="M59" s="457"/>
      <c r="N59" s="456"/>
      <c r="O59" s="457"/>
      <c r="P59" s="2713"/>
      <c r="Q59" s="2632"/>
      <c r="R59" s="2632"/>
      <c r="S59" s="2632"/>
      <c r="T59" s="2632"/>
      <c r="U59" s="2632"/>
      <c r="V59" s="2632"/>
      <c r="W59" s="2632"/>
      <c r="X59" s="2632"/>
      <c r="Y59" s="2632"/>
      <c r="Z59" s="2632"/>
      <c r="AA59" s="2632"/>
      <c r="AB59" s="2632"/>
      <c r="AC59" s="2632"/>
    </row>
    <row r="60" spans="1:29" s="108" customFormat="1" ht="15" thickBot="1">
      <c r="A60" s="459" t="s">
        <v>1716</v>
      </c>
      <c r="B60" s="460"/>
      <c r="C60" s="461"/>
      <c r="D60" s="462"/>
      <c r="E60" s="462"/>
      <c r="F60" s="462"/>
      <c r="G60" s="462"/>
      <c r="H60" s="462"/>
      <c r="I60" s="462"/>
      <c r="J60" s="462"/>
      <c r="K60" s="462"/>
      <c r="L60" s="462"/>
      <c r="M60" s="463"/>
      <c r="N60" s="462"/>
      <c r="O60" s="463"/>
      <c r="P60" s="2713"/>
      <c r="Q60" s="2710"/>
      <c r="R60" s="2632"/>
      <c r="S60" s="2632"/>
      <c r="T60" s="2632"/>
      <c r="U60" s="2632"/>
      <c r="V60" s="2632"/>
      <c r="W60" s="2632"/>
      <c r="X60" s="2632"/>
      <c r="Y60" s="2632"/>
      <c r="Z60" s="2632"/>
      <c r="AA60" s="2632"/>
      <c r="AB60" s="2632"/>
      <c r="AC60" s="2632"/>
    </row>
    <row r="61" spans="1:29" s="108" customFormat="1" ht="14.4">
      <c r="A61" s="465" t="s">
        <v>1681</v>
      </c>
      <c r="B61" s="454"/>
      <c r="C61" s="466" t="s">
        <v>1776</v>
      </c>
      <c r="D61" s="467"/>
      <c r="E61" s="467"/>
      <c r="F61" s="467"/>
      <c r="G61" s="467"/>
      <c r="H61" s="467"/>
      <c r="I61" s="467"/>
      <c r="J61" s="467"/>
      <c r="K61" s="467"/>
      <c r="L61" s="468"/>
      <c r="M61" s="469"/>
      <c r="N61" s="2723"/>
      <c r="O61" s="2723"/>
      <c r="P61" s="2714"/>
      <c r="Q61" s="2710"/>
      <c r="R61" s="2632"/>
      <c r="S61" s="2632"/>
      <c r="T61" s="2632"/>
      <c r="U61" s="2632"/>
      <c r="V61" s="2632"/>
      <c r="W61" s="2632"/>
      <c r="X61" s="2632"/>
      <c r="Y61" s="2632"/>
      <c r="Z61" s="2632"/>
      <c r="AA61" s="2632"/>
      <c r="AB61" s="2632"/>
      <c r="AC61" s="2632"/>
    </row>
    <row r="62" spans="1:29" s="108" customFormat="1" ht="14.4" thickBot="1">
      <c r="A62" s="465"/>
      <c r="B62" s="454"/>
      <c r="C62" s="455">
        <v>100</v>
      </c>
      <c r="D62" s="456"/>
      <c r="E62" s="456"/>
      <c r="F62" s="456"/>
      <c r="G62" s="456"/>
      <c r="H62" s="456"/>
      <c r="I62" s="456"/>
      <c r="J62" s="456"/>
      <c r="K62" s="456"/>
      <c r="L62" s="456"/>
      <c r="M62" s="458"/>
      <c r="N62" s="2723"/>
      <c r="O62" s="2723"/>
      <c r="P62" s="2713"/>
      <c r="Q62" s="2710"/>
      <c r="R62" s="2632"/>
      <c r="S62" s="2632"/>
      <c r="T62" s="2632"/>
      <c r="U62" s="2632"/>
      <c r="V62" s="2632"/>
      <c r="W62" s="2632"/>
      <c r="X62" s="2632"/>
      <c r="Y62" s="2632"/>
      <c r="Z62" s="2632"/>
      <c r="AA62" s="2632"/>
      <c r="AB62" s="2632"/>
      <c r="AC62" s="2632"/>
    </row>
    <row r="63" spans="1:29" ht="14.4">
      <c r="A63" s="471" t="s">
        <v>1719</v>
      </c>
      <c r="B63" s="472" t="s">
        <v>1685</v>
      </c>
      <c r="C63" s="473">
        <f>C9</f>
        <v>0</v>
      </c>
      <c r="D63" s="474"/>
      <c r="E63" s="474"/>
      <c r="F63" s="474"/>
      <c r="G63" s="474"/>
      <c r="H63" s="474"/>
      <c r="I63" s="474"/>
      <c r="J63" s="474"/>
      <c r="K63" s="475"/>
      <c r="L63" s="476"/>
      <c r="M63" s="477"/>
      <c r="N63" s="2724"/>
      <c r="O63" s="2724"/>
      <c r="P63" s="2715"/>
      <c r="Q63" s="2710"/>
      <c r="R63" s="2696"/>
      <c r="S63" s="2696"/>
      <c r="T63" s="2696"/>
      <c r="U63" s="2696"/>
      <c r="V63" s="2696"/>
      <c r="W63" s="2696"/>
      <c r="X63" s="2696"/>
      <c r="Y63" s="2696"/>
      <c r="Z63" s="2696"/>
      <c r="AA63" s="2696"/>
      <c r="AB63" s="2696"/>
      <c r="AC63" s="2696"/>
    </row>
    <row r="64" spans="1:29" ht="14.4" thickBot="1">
      <c r="A64" s="478"/>
      <c r="B64" s="479"/>
      <c r="C64" s="480">
        <v>100</v>
      </c>
      <c r="D64" s="480"/>
      <c r="E64" s="480"/>
      <c r="F64" s="480"/>
      <c r="G64" s="480"/>
      <c r="H64" s="480"/>
      <c r="I64" s="480"/>
      <c r="J64" s="480"/>
      <c r="K64" s="480"/>
      <c r="L64" s="480"/>
      <c r="M64" s="481"/>
      <c r="N64" s="2725"/>
      <c r="O64" s="2725"/>
      <c r="P64" s="2715"/>
      <c r="Q64" s="2710"/>
      <c r="R64" s="2696"/>
      <c r="S64" s="2696"/>
      <c r="T64" s="2696"/>
      <c r="U64" s="2696"/>
      <c r="V64" s="2696"/>
      <c r="W64" s="2696"/>
      <c r="X64" s="2696"/>
      <c r="Y64" s="2696"/>
      <c r="Z64" s="2696"/>
      <c r="AA64" s="2696"/>
      <c r="AB64" s="2696"/>
      <c r="AC64" s="2696"/>
    </row>
    <row r="65" spans="1:29" ht="29.4" thickTop="1">
      <c r="A65" s="478"/>
      <c r="B65" s="482" t="s">
        <v>1688</v>
      </c>
      <c r="C65" s="527"/>
      <c r="D65" s="527"/>
      <c r="E65" s="527"/>
      <c r="F65" s="527"/>
      <c r="G65" s="527"/>
      <c r="H65" s="527"/>
      <c r="I65" s="527"/>
      <c r="J65" s="527"/>
      <c r="K65" s="528"/>
      <c r="L65" s="529"/>
      <c r="M65" s="530"/>
      <c r="N65" s="2724"/>
      <c r="O65" s="2724"/>
      <c r="P65" s="2715"/>
      <c r="Q65" s="2710"/>
      <c r="R65" s="2696"/>
      <c r="S65" s="2696"/>
      <c r="T65" s="2696"/>
      <c r="U65" s="2696"/>
      <c r="V65" s="2696"/>
      <c r="W65" s="2696"/>
      <c r="X65" s="2696"/>
      <c r="Y65" s="2696"/>
      <c r="Z65" s="2696"/>
      <c r="AA65" s="2696"/>
      <c r="AB65" s="2696"/>
      <c r="AC65" s="2696"/>
    </row>
    <row r="66" spans="1:29" ht="14.4" thickBot="1">
      <c r="A66" s="478"/>
      <c r="B66" s="487"/>
      <c r="C66" s="480"/>
      <c r="D66" s="480"/>
      <c r="E66" s="480"/>
      <c r="F66" s="480"/>
      <c r="G66" s="480"/>
      <c r="H66" s="480"/>
      <c r="I66" s="480"/>
      <c r="J66" s="480"/>
      <c r="K66" s="480"/>
      <c r="L66" s="480"/>
      <c r="M66" s="481"/>
      <c r="N66" s="2725"/>
      <c r="O66" s="2725"/>
      <c r="P66" s="2715"/>
      <c r="Q66" s="2710"/>
      <c r="R66" s="2696"/>
      <c r="S66" s="2696"/>
      <c r="T66" s="2696"/>
      <c r="U66" s="2696"/>
      <c r="V66" s="2696"/>
      <c r="W66" s="2696"/>
      <c r="X66" s="2696"/>
      <c r="Y66" s="2696"/>
      <c r="Z66" s="2696"/>
      <c r="AA66" s="2696"/>
      <c r="AB66" s="2696"/>
      <c r="AC66" s="2696"/>
    </row>
    <row r="67" spans="1:29" ht="1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25"/>
      <c r="O67" s="2725"/>
      <c r="P67" s="2715"/>
      <c r="Q67" s="2710"/>
      <c r="R67" s="2696"/>
      <c r="S67" s="2696"/>
      <c r="T67" s="2696"/>
      <c r="U67" s="2696"/>
      <c r="V67" s="2696"/>
      <c r="W67" s="2696"/>
      <c r="X67" s="2696"/>
      <c r="Y67" s="2696"/>
      <c r="Z67" s="2696"/>
      <c r="AA67" s="2696"/>
      <c r="AB67" s="2696"/>
      <c r="AC67" s="2696"/>
    </row>
    <row r="68" spans="1:29">
      <c r="A68" s="478"/>
      <c r="B68" s="492"/>
      <c r="C68" s="493"/>
      <c r="D68" s="493"/>
      <c r="E68" s="493"/>
      <c r="F68" s="493"/>
      <c r="G68" s="493"/>
      <c r="H68" s="493"/>
      <c r="I68" s="493"/>
      <c r="J68" s="493"/>
      <c r="K68" s="494"/>
      <c r="L68" s="495"/>
      <c r="M68" s="496"/>
      <c r="N68" s="2724"/>
      <c r="O68" s="2724"/>
      <c r="P68" s="2715"/>
      <c r="Q68" s="2710"/>
      <c r="R68" s="2696"/>
      <c r="S68" s="2696"/>
      <c r="T68" s="2696"/>
      <c r="U68" s="2696"/>
      <c r="V68" s="2696"/>
      <c r="W68" s="2696"/>
      <c r="X68" s="2696"/>
      <c r="Y68" s="2696"/>
      <c r="Z68" s="2696"/>
      <c r="AA68" s="2696"/>
      <c r="AB68" s="2696"/>
      <c r="AC68" s="2696"/>
    </row>
    <row r="69" spans="1:29" ht="14.4"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25"/>
      <c r="O69" s="2725"/>
      <c r="P69" s="2715"/>
      <c r="Q69" s="2710"/>
      <c r="R69" s="2696"/>
      <c r="S69" s="2696"/>
      <c r="T69" s="2696"/>
      <c r="U69" s="2696"/>
      <c r="V69" s="2696"/>
      <c r="W69" s="2696"/>
      <c r="X69" s="2696"/>
      <c r="Y69" s="2696"/>
      <c r="Z69" s="2696"/>
      <c r="AA69" s="2696"/>
      <c r="AB69" s="2696"/>
      <c r="AC69" s="2696"/>
    </row>
    <row r="70" spans="1:29" s="417" customFormat="1" ht="14.4" thickTop="1">
      <c r="A70" s="497"/>
      <c r="B70" s="482">
        <f>B12</f>
        <v>111</v>
      </c>
      <c r="C70" s="498"/>
      <c r="D70" s="498"/>
      <c r="E70" s="498"/>
      <c r="F70" s="498"/>
      <c r="G70" s="498"/>
      <c r="H70" s="499"/>
      <c r="I70" s="499"/>
      <c r="J70" s="499"/>
      <c r="K70" s="499"/>
      <c r="L70" s="500"/>
      <c r="M70" s="501"/>
      <c r="N70" s="2726"/>
      <c r="O70" s="2726"/>
      <c r="P70" s="2716"/>
      <c r="Q70" s="2717"/>
      <c r="R70" s="2718"/>
      <c r="S70" s="2718"/>
      <c r="T70" s="2718"/>
      <c r="U70" s="2718"/>
      <c r="V70" s="2718"/>
      <c r="W70" s="2718"/>
      <c r="X70" s="2718"/>
      <c r="Y70" s="2718"/>
      <c r="Z70" s="2718"/>
      <c r="AA70" s="2718"/>
      <c r="AB70" s="2718"/>
      <c r="AC70" s="2718"/>
    </row>
    <row r="71" spans="1:29" s="417" customFormat="1" ht="14.4" thickBot="1">
      <c r="A71" s="497"/>
      <c r="B71" s="487"/>
      <c r="C71" s="504"/>
      <c r="D71" s="480"/>
      <c r="E71" s="480"/>
      <c r="F71" s="480"/>
      <c r="G71" s="480"/>
      <c r="H71" s="480"/>
      <c r="I71" s="480"/>
      <c r="J71" s="480"/>
      <c r="K71" s="480"/>
      <c r="L71" s="480"/>
      <c r="M71" s="481"/>
      <c r="N71" s="2725"/>
      <c r="O71" s="2725"/>
      <c r="P71" s="2716"/>
      <c r="Q71" s="2717"/>
      <c r="R71" s="2718"/>
      <c r="S71" s="2718"/>
      <c r="T71" s="2718"/>
      <c r="U71" s="2718"/>
      <c r="V71" s="2718"/>
      <c r="W71" s="2718"/>
      <c r="X71" s="2718"/>
      <c r="Y71" s="2718"/>
      <c r="Z71" s="2718"/>
      <c r="AA71" s="2718"/>
      <c r="AB71" s="2718"/>
      <c r="AC71" s="2718"/>
    </row>
    <row r="72" spans="1:29" s="417" customFormat="1" ht="14.4" thickTop="1">
      <c r="A72" s="497"/>
      <c r="B72" s="482">
        <f>B13</f>
        <v>111</v>
      </c>
      <c r="C72" s="498"/>
      <c r="D72" s="498"/>
      <c r="E72" s="498"/>
      <c r="F72" s="498"/>
      <c r="G72" s="498"/>
      <c r="H72" s="499"/>
      <c r="I72" s="499"/>
      <c r="J72" s="499"/>
      <c r="K72" s="499"/>
      <c r="L72" s="500"/>
      <c r="M72" s="501"/>
      <c r="N72" s="2726"/>
      <c r="O72" s="2726"/>
      <c r="P72" s="2719"/>
      <c r="Q72" s="2720"/>
      <c r="R72" s="2718"/>
      <c r="S72" s="2718"/>
      <c r="T72" s="2718"/>
      <c r="U72" s="2718"/>
      <c r="V72" s="2718"/>
      <c r="W72" s="2718"/>
      <c r="X72" s="2718"/>
      <c r="Y72" s="2718"/>
      <c r="Z72" s="2718"/>
      <c r="AA72" s="2718"/>
      <c r="AB72" s="2718"/>
      <c r="AC72" s="2718"/>
    </row>
    <row r="73" spans="1:29" s="417" customFormat="1" ht="14.4" thickBot="1">
      <c r="A73" s="497"/>
      <c r="B73" s="487"/>
      <c r="C73" s="504"/>
      <c r="D73" s="480"/>
      <c r="E73" s="480"/>
      <c r="F73" s="480"/>
      <c r="G73" s="504"/>
      <c r="H73" s="506"/>
      <c r="I73" s="506"/>
      <c r="J73" s="506"/>
      <c r="K73" s="506"/>
      <c r="L73" s="506"/>
      <c r="M73" s="507"/>
      <c r="N73" s="2726"/>
      <c r="O73" s="2726"/>
      <c r="P73" s="2716"/>
      <c r="Q73" s="2717"/>
      <c r="R73" s="2718"/>
      <c r="S73" s="2718"/>
      <c r="T73" s="2718"/>
      <c r="U73" s="2718"/>
      <c r="V73" s="2718"/>
      <c r="W73" s="2718"/>
      <c r="X73" s="2718"/>
      <c r="Y73" s="2718"/>
      <c r="Z73" s="2718"/>
      <c r="AA73" s="2718"/>
      <c r="AB73" s="2718"/>
      <c r="AC73" s="2718"/>
    </row>
    <row r="74" spans="1:29" s="417" customFormat="1" ht="14.4" thickTop="1">
      <c r="A74" s="497"/>
      <c r="B74" s="490">
        <f>B14</f>
        <v>111</v>
      </c>
      <c r="C74" s="498"/>
      <c r="D74" s="498"/>
      <c r="E74" s="498"/>
      <c r="F74" s="498"/>
      <c r="G74" s="467"/>
      <c r="H74" s="508"/>
      <c r="I74" s="508"/>
      <c r="J74" s="508"/>
      <c r="K74" s="508"/>
      <c r="L74" s="509"/>
      <c r="M74" s="510"/>
      <c r="N74" s="2726"/>
      <c r="O74" s="2726"/>
      <c r="P74" s="2721"/>
      <c r="Q74" s="2717"/>
      <c r="R74" s="2718"/>
      <c r="S74" s="2718"/>
      <c r="T74" s="2718"/>
      <c r="U74" s="2718"/>
      <c r="V74" s="2718"/>
      <c r="W74" s="2718"/>
      <c r="X74" s="2718"/>
      <c r="Y74" s="2718"/>
      <c r="Z74" s="2718"/>
      <c r="AA74" s="2718"/>
      <c r="AB74" s="2718"/>
      <c r="AC74" s="2718"/>
    </row>
    <row r="75" spans="1:29" s="417" customFormat="1" ht="14.4" thickBot="1">
      <c r="A75" s="512"/>
      <c r="B75" s="513"/>
      <c r="C75" s="514"/>
      <c r="D75" s="514"/>
      <c r="E75" s="514"/>
      <c r="F75" s="514"/>
      <c r="G75" s="514"/>
      <c r="H75" s="515"/>
      <c r="I75" s="515"/>
      <c r="J75" s="515"/>
      <c r="K75" s="515"/>
      <c r="L75" s="515"/>
      <c r="M75" s="516"/>
      <c r="N75" s="2726"/>
      <c r="O75" s="2726"/>
      <c r="P75" s="2716"/>
      <c r="Q75" s="2717"/>
      <c r="R75" s="2718"/>
      <c r="S75" s="2718"/>
      <c r="T75" s="2718"/>
      <c r="U75" s="2718"/>
      <c r="V75" s="2718"/>
      <c r="W75" s="2718"/>
      <c r="X75" s="2718"/>
      <c r="Y75" s="2718"/>
      <c r="Z75" s="2718"/>
      <c r="AA75" s="2718"/>
      <c r="AB75" s="2718"/>
      <c r="AC75" s="2718"/>
    </row>
    <row r="76" spans="1:29" ht="14.4">
      <c r="A76" s="471" t="s">
        <v>1690</v>
      </c>
      <c r="B76" s="472" t="s">
        <v>1720</v>
      </c>
      <c r="C76" s="517" t="s">
        <v>1721</v>
      </c>
      <c r="D76" s="517" t="s">
        <v>1722</v>
      </c>
      <c r="E76" s="517" t="s">
        <v>1723</v>
      </c>
      <c r="F76" s="517" t="s">
        <v>1724</v>
      </c>
      <c r="G76" s="517" t="s">
        <v>1725</v>
      </c>
      <c r="H76" s="473"/>
      <c r="I76" s="473"/>
      <c r="J76" s="473"/>
      <c r="K76" s="518"/>
      <c r="L76" s="519"/>
      <c r="M76" s="520"/>
      <c r="N76" s="2724"/>
      <c r="O76" s="2724"/>
      <c r="P76" s="2722"/>
      <c r="Q76" s="2710"/>
      <c r="R76" s="2696"/>
      <c r="S76" s="2696"/>
      <c r="T76" s="2696"/>
      <c r="U76" s="2696"/>
      <c r="V76" s="2696"/>
      <c r="W76" s="2696"/>
      <c r="X76" s="2696"/>
      <c r="Y76" s="2696"/>
      <c r="Z76" s="2696"/>
      <c r="AA76" s="2696"/>
      <c r="AB76" s="2696"/>
      <c r="AC76" s="2696"/>
    </row>
    <row r="77" spans="1:29" ht="14.4" thickBot="1">
      <c r="A77" s="478"/>
      <c r="B77" s="487"/>
      <c r="C77" s="488">
        <v>100</v>
      </c>
      <c r="D77" s="488">
        <f>C77-$K15</f>
        <v>100</v>
      </c>
      <c r="E77" s="488">
        <f>D77-$K15</f>
        <v>100</v>
      </c>
      <c r="F77" s="488">
        <f>E77-$K15</f>
        <v>100</v>
      </c>
      <c r="G77" s="488">
        <f>F77-$K15</f>
        <v>100</v>
      </c>
      <c r="H77" s="488"/>
      <c r="I77" s="488"/>
      <c r="J77" s="488"/>
      <c r="K77" s="488"/>
      <c r="L77" s="488"/>
      <c r="M77" s="489"/>
      <c r="N77" s="2725"/>
      <c r="O77" s="2725"/>
      <c r="P77" s="2715"/>
      <c r="Q77" s="2710"/>
      <c r="R77" s="2696"/>
      <c r="S77" s="2696"/>
      <c r="T77" s="2696"/>
      <c r="U77" s="2696"/>
      <c r="V77" s="2696"/>
      <c r="W77" s="2696"/>
      <c r="X77" s="2696"/>
      <c r="Y77" s="2696"/>
      <c r="Z77" s="2696"/>
      <c r="AA77" s="2696"/>
      <c r="AB77" s="2696"/>
      <c r="AC77" s="2696"/>
    </row>
    <row r="78" spans="1:29" ht="15" thickTop="1">
      <c r="A78" s="478"/>
      <c r="B78" s="482" t="s">
        <v>1726</v>
      </c>
      <c r="C78" s="522" t="s">
        <v>1721</v>
      </c>
      <c r="D78" s="522" t="s">
        <v>1722</v>
      </c>
      <c r="E78" s="522" t="s">
        <v>1723</v>
      </c>
      <c r="F78" s="522" t="s">
        <v>1724</v>
      </c>
      <c r="G78" s="522" t="s">
        <v>1725</v>
      </c>
      <c r="H78" s="483"/>
      <c r="I78" s="483"/>
      <c r="J78" s="483"/>
      <c r="K78" s="484"/>
      <c r="L78" s="485"/>
      <c r="M78" s="486"/>
      <c r="N78" s="2724"/>
      <c r="O78" s="2724"/>
      <c r="P78" s="2715"/>
      <c r="Q78" s="2710"/>
      <c r="R78" s="2696"/>
      <c r="S78" s="2696"/>
      <c r="T78" s="2696"/>
      <c r="U78" s="2696"/>
      <c r="V78" s="2696"/>
      <c r="W78" s="2696"/>
      <c r="X78" s="2696"/>
      <c r="Y78" s="2696"/>
      <c r="Z78" s="2696"/>
      <c r="AA78" s="2696"/>
      <c r="AB78" s="2696"/>
      <c r="AC78" s="2696"/>
    </row>
    <row r="79" spans="1:29" ht="14.4" thickBot="1">
      <c r="A79" s="478"/>
      <c r="B79" s="487"/>
      <c r="C79" s="488">
        <v>100</v>
      </c>
      <c r="D79" s="488">
        <f>C79-$K17</f>
        <v>100</v>
      </c>
      <c r="E79" s="488">
        <f>D79-$K17</f>
        <v>100</v>
      </c>
      <c r="F79" s="488">
        <f>E79-$K17</f>
        <v>100</v>
      </c>
      <c r="G79" s="488">
        <f>F79-$K17</f>
        <v>100</v>
      </c>
      <c r="H79" s="488"/>
      <c r="I79" s="488"/>
      <c r="J79" s="488"/>
      <c r="K79" s="488"/>
      <c r="L79" s="488"/>
      <c r="M79" s="489"/>
      <c r="N79" s="2725"/>
      <c r="O79" s="2725"/>
      <c r="P79" s="2715"/>
      <c r="Q79" s="2710"/>
      <c r="R79" s="2696"/>
      <c r="S79" s="2696"/>
      <c r="T79" s="2696"/>
      <c r="U79" s="2696"/>
      <c r="V79" s="2696"/>
      <c r="W79" s="2696"/>
      <c r="X79" s="2696"/>
      <c r="Y79" s="2696"/>
      <c r="Z79" s="2696"/>
      <c r="AA79" s="2696"/>
      <c r="AB79" s="2696"/>
      <c r="AC79" s="2696"/>
    </row>
    <row r="80" spans="1:29" ht="15" thickTop="1">
      <c r="A80" s="478"/>
      <c r="B80" s="482" t="s">
        <v>1727</v>
      </c>
      <c r="C80" s="522" t="s">
        <v>1721</v>
      </c>
      <c r="D80" s="522" t="s">
        <v>1722</v>
      </c>
      <c r="E80" s="522" t="s">
        <v>1723</v>
      </c>
      <c r="F80" s="522" t="s">
        <v>1724</v>
      </c>
      <c r="G80" s="522" t="s">
        <v>1725</v>
      </c>
      <c r="H80" s="483"/>
      <c r="I80" s="483"/>
      <c r="J80" s="483"/>
      <c r="K80" s="484"/>
      <c r="L80" s="485"/>
      <c r="M80" s="486"/>
      <c r="N80" s="2724"/>
      <c r="O80" s="2724"/>
      <c r="P80" s="2715"/>
      <c r="Q80" s="2710"/>
      <c r="R80" s="2696"/>
      <c r="S80" s="2696"/>
      <c r="T80" s="2696"/>
      <c r="U80" s="2696"/>
      <c r="V80" s="2696"/>
      <c r="W80" s="2696"/>
      <c r="X80" s="2696"/>
      <c r="Y80" s="2696"/>
      <c r="Z80" s="2696"/>
      <c r="AA80" s="2696"/>
      <c r="AB80" s="2696"/>
      <c r="AC80" s="2696"/>
    </row>
    <row r="81" spans="1:29" ht="14.4" thickBot="1">
      <c r="A81" s="478"/>
      <c r="B81" s="487"/>
      <c r="C81" s="488">
        <v>100</v>
      </c>
      <c r="D81" s="488">
        <f>C81-$K19</f>
        <v>100</v>
      </c>
      <c r="E81" s="488">
        <f>D81-$K19</f>
        <v>100</v>
      </c>
      <c r="F81" s="488">
        <f>E81-$K19</f>
        <v>100</v>
      </c>
      <c r="G81" s="488">
        <f>F81-$K19</f>
        <v>100</v>
      </c>
      <c r="H81" s="488"/>
      <c r="I81" s="488"/>
      <c r="J81" s="488"/>
      <c r="K81" s="488"/>
      <c r="L81" s="488"/>
      <c r="M81" s="489"/>
      <c r="N81" s="2725"/>
      <c r="O81" s="2725"/>
      <c r="P81" s="2715"/>
      <c r="Q81" s="2710"/>
      <c r="R81" s="2696"/>
      <c r="S81" s="2696"/>
      <c r="T81" s="2696"/>
      <c r="U81" s="2696"/>
      <c r="V81" s="2696"/>
      <c r="W81" s="2696"/>
      <c r="X81" s="2696"/>
      <c r="Y81" s="2696"/>
      <c r="Z81" s="2696"/>
      <c r="AA81" s="2696"/>
      <c r="AB81" s="2696"/>
      <c r="AC81" s="2696"/>
    </row>
    <row r="82" spans="1:29" ht="15" thickTop="1">
      <c r="A82" s="478"/>
      <c r="B82" s="490" t="s">
        <v>1779</v>
      </c>
      <c r="C82" s="600" t="s">
        <v>1799</v>
      </c>
      <c r="D82" s="600" t="s">
        <v>1800</v>
      </c>
      <c r="E82" s="600" t="s">
        <v>1801</v>
      </c>
      <c r="F82" s="600" t="s">
        <v>1802</v>
      </c>
      <c r="G82" s="600" t="s">
        <v>1803</v>
      </c>
      <c r="H82" s="483"/>
      <c r="I82" s="483"/>
      <c r="J82" s="483"/>
      <c r="K82" s="483"/>
      <c r="L82" s="483"/>
      <c r="M82" s="1117"/>
      <c r="N82" s="2725"/>
      <c r="O82" s="2725"/>
      <c r="P82" s="2715"/>
      <c r="Q82" s="2710"/>
      <c r="R82" s="2696"/>
      <c r="S82" s="2696"/>
      <c r="T82" s="2696"/>
      <c r="U82" s="2696"/>
      <c r="V82" s="2696"/>
      <c r="W82" s="2696"/>
      <c r="X82" s="2696"/>
      <c r="Y82" s="2696"/>
      <c r="Z82" s="2696"/>
      <c r="AA82" s="2696"/>
      <c r="AB82" s="2696"/>
      <c r="AC82" s="2696"/>
    </row>
    <row r="83" spans="1:29" ht="14.4" thickBot="1">
      <c r="A83" s="478"/>
      <c r="B83" s="490"/>
      <c r="C83" s="488">
        <v>100</v>
      </c>
      <c r="D83" s="488">
        <f>C83-$K21</f>
        <v>100</v>
      </c>
      <c r="E83" s="488">
        <f t="shared" ref="E83:G83" si="19">D83-$K21</f>
        <v>100</v>
      </c>
      <c r="F83" s="488">
        <f t="shared" si="19"/>
        <v>100</v>
      </c>
      <c r="G83" s="488">
        <f t="shared" si="19"/>
        <v>100</v>
      </c>
      <c r="H83" s="600"/>
      <c r="I83" s="600"/>
      <c r="J83" s="600"/>
      <c r="K83" s="600"/>
      <c r="L83" s="600"/>
      <c r="M83" s="396"/>
      <c r="N83" s="2725"/>
      <c r="O83" s="2725"/>
      <c r="P83" s="2715"/>
      <c r="Q83" s="2710"/>
      <c r="R83" s="2696"/>
      <c r="S83" s="2696"/>
      <c r="T83" s="2696"/>
      <c r="U83" s="2696"/>
      <c r="V83" s="2696"/>
      <c r="W83" s="2696"/>
      <c r="X83" s="2696"/>
      <c r="Y83" s="2696"/>
      <c r="Z83" s="2696"/>
      <c r="AA83" s="2696"/>
      <c r="AB83" s="2696"/>
      <c r="AC83" s="2696"/>
    </row>
    <row r="84" spans="1:29" ht="15" thickTop="1">
      <c r="A84" s="478"/>
      <c r="B84" s="482" t="s">
        <v>1733</v>
      </c>
      <c r="C84" s="522" t="s">
        <v>1721</v>
      </c>
      <c r="D84" s="522" t="s">
        <v>1722</v>
      </c>
      <c r="E84" s="522" t="s">
        <v>1723</v>
      </c>
      <c r="F84" s="522" t="s">
        <v>1724</v>
      </c>
      <c r="G84" s="522" t="s">
        <v>1725</v>
      </c>
      <c r="H84" s="483"/>
      <c r="I84" s="483"/>
      <c r="J84" s="483"/>
      <c r="K84" s="484"/>
      <c r="L84" s="485"/>
      <c r="M84" s="486"/>
      <c r="N84" s="2724"/>
      <c r="O84" s="2724"/>
      <c r="P84" s="2715"/>
      <c r="Q84" s="2710"/>
      <c r="R84" s="2696"/>
      <c r="S84" s="2696"/>
      <c r="T84" s="2696"/>
      <c r="U84" s="2696"/>
      <c r="V84" s="2696"/>
      <c r="W84" s="2696"/>
      <c r="X84" s="2696"/>
      <c r="Y84" s="2696"/>
      <c r="Z84" s="2696"/>
      <c r="AA84" s="2696"/>
      <c r="AB84" s="2696"/>
      <c r="AC84" s="2696"/>
    </row>
    <row r="85" spans="1:29" ht="14.4" thickBot="1">
      <c r="A85" s="478"/>
      <c r="B85" s="487"/>
      <c r="C85" s="488">
        <v>100</v>
      </c>
      <c r="D85" s="488">
        <f>C85-$K23</f>
        <v>100</v>
      </c>
      <c r="E85" s="488">
        <f>D85-$K23</f>
        <v>100</v>
      </c>
      <c r="F85" s="488">
        <f>E85-$K23</f>
        <v>100</v>
      </c>
      <c r="G85" s="488">
        <f>F85-$K23</f>
        <v>100</v>
      </c>
      <c r="H85" s="488"/>
      <c r="I85" s="488"/>
      <c r="J85" s="488"/>
      <c r="K85" s="488"/>
      <c r="L85" s="488"/>
      <c r="M85" s="489"/>
      <c r="N85" s="2725"/>
      <c r="O85" s="2725"/>
      <c r="P85" s="2715"/>
      <c r="Q85" s="2710"/>
      <c r="R85" s="2696"/>
      <c r="S85" s="2696"/>
      <c r="T85" s="2696"/>
      <c r="U85" s="2696"/>
      <c r="V85" s="2696"/>
      <c r="W85" s="2696"/>
      <c r="X85" s="2696"/>
      <c r="Y85" s="2696"/>
      <c r="Z85" s="2696"/>
      <c r="AA85" s="2696"/>
      <c r="AB85" s="2696"/>
      <c r="AC85" s="2696"/>
    </row>
    <row r="86" spans="1:29" s="108" customFormat="1" ht="15" thickTop="1">
      <c r="A86" s="523"/>
      <c r="B86" s="482" t="s">
        <v>1804</v>
      </c>
      <c r="C86" s="498"/>
      <c r="D86" s="498"/>
      <c r="E86" s="498"/>
      <c r="F86" s="498"/>
      <c r="G86" s="498"/>
      <c r="H86" s="498"/>
      <c r="I86" s="498"/>
      <c r="J86" s="498"/>
      <c r="K86" s="498"/>
      <c r="L86" s="524"/>
      <c r="M86" s="525"/>
      <c r="N86" s="2723"/>
      <c r="O86" s="2723"/>
      <c r="P86" s="2715"/>
      <c r="Q86" s="2710"/>
      <c r="R86" s="2632"/>
      <c r="S86" s="2632"/>
      <c r="T86" s="2632"/>
      <c r="U86" s="2632"/>
      <c r="V86" s="2632"/>
      <c r="W86" s="2632"/>
      <c r="X86" s="2632"/>
      <c r="Y86" s="2632"/>
      <c r="Z86" s="2632"/>
      <c r="AA86" s="2632"/>
      <c r="AB86" s="2632"/>
      <c r="AC86" s="2632"/>
    </row>
    <row r="87" spans="1:29" s="108" customFormat="1" ht="14.4"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25"/>
      <c r="O87" s="2725"/>
      <c r="P87" s="2715"/>
      <c r="Q87" s="2710"/>
      <c r="R87" s="2632"/>
      <c r="S87" s="2632"/>
      <c r="T87" s="2632"/>
      <c r="U87" s="2632"/>
      <c r="V87" s="2632"/>
      <c r="W87" s="2632"/>
      <c r="X87" s="2632"/>
      <c r="Y87" s="2632"/>
      <c r="Z87" s="2632"/>
      <c r="AA87" s="2632"/>
      <c r="AB87" s="2632"/>
      <c r="AC87" s="2632"/>
    </row>
    <row r="88" spans="1:29" s="108" customFormat="1" ht="14.4" thickTop="1">
      <c r="A88" s="523"/>
      <c r="B88" s="482" t="str">
        <f>B26</f>
        <v>平面位置/可视性</v>
      </c>
      <c r="C88" s="498"/>
      <c r="D88" s="498"/>
      <c r="E88" s="498"/>
      <c r="F88" s="1899"/>
      <c r="G88" s="498"/>
      <c r="H88" s="498"/>
      <c r="I88" s="498"/>
      <c r="J88" s="498"/>
      <c r="K88" s="498"/>
      <c r="L88" s="498"/>
      <c r="M88" s="525"/>
      <c r="N88" s="2723"/>
      <c r="O88" s="2723"/>
      <c r="P88" s="2715"/>
      <c r="Q88" s="2710"/>
      <c r="R88" s="2632"/>
      <c r="S88" s="2632"/>
      <c r="T88" s="2632"/>
      <c r="U88" s="2632"/>
      <c r="V88" s="2632"/>
      <c r="W88" s="2632"/>
      <c r="X88" s="2632"/>
      <c r="Y88" s="2632"/>
      <c r="Z88" s="2632"/>
      <c r="AA88" s="2632"/>
      <c r="AB88" s="2632"/>
      <c r="AC88" s="2632"/>
    </row>
    <row r="89" spans="1:29" s="108" customFormat="1" ht="14.4" thickBot="1">
      <c r="A89" s="523"/>
      <c r="B89" s="487"/>
      <c r="C89" s="504"/>
      <c r="D89" s="480"/>
      <c r="E89" s="480"/>
      <c r="F89" s="480"/>
      <c r="G89" s="480"/>
      <c r="H89" s="480"/>
      <c r="I89" s="480"/>
      <c r="J89" s="480"/>
      <c r="K89" s="480"/>
      <c r="L89" s="480"/>
      <c r="M89" s="480"/>
      <c r="N89" s="2725"/>
      <c r="O89" s="2725"/>
      <c r="P89" s="2715"/>
      <c r="Q89" s="2710"/>
      <c r="R89" s="2632"/>
      <c r="S89" s="2632"/>
      <c r="T89" s="2632"/>
      <c r="U89" s="2632"/>
      <c r="V89" s="2632"/>
      <c r="W89" s="2632"/>
      <c r="X89" s="2632"/>
      <c r="Y89" s="2632"/>
      <c r="Z89" s="2632"/>
      <c r="AA89" s="2632"/>
      <c r="AB89" s="2632"/>
      <c r="AC89" s="2632"/>
    </row>
    <row r="90" spans="1:29" s="417" customFormat="1" ht="14.4" thickTop="1">
      <c r="A90" s="497"/>
      <c r="B90" s="482" t="str">
        <f>B27</f>
        <v>人流量</v>
      </c>
      <c r="C90" s="498"/>
      <c r="D90" s="498"/>
      <c r="E90" s="498"/>
      <c r="F90" s="498"/>
      <c r="G90" s="498"/>
      <c r="H90" s="499"/>
      <c r="I90" s="499"/>
      <c r="J90" s="499"/>
      <c r="K90" s="499"/>
      <c r="L90" s="500"/>
      <c r="M90" s="501"/>
      <c r="N90" s="2726"/>
      <c r="O90" s="2726"/>
      <c r="P90" s="2716"/>
      <c r="Q90" s="2717"/>
      <c r="R90" s="2718"/>
      <c r="S90" s="2718"/>
      <c r="T90" s="2718"/>
      <c r="U90" s="2718"/>
      <c r="V90" s="2718"/>
      <c r="W90" s="2718"/>
      <c r="X90" s="2718"/>
      <c r="Y90" s="2718"/>
      <c r="Z90" s="2718"/>
      <c r="AA90" s="2718"/>
      <c r="AB90" s="2718"/>
      <c r="AC90" s="2718"/>
    </row>
    <row r="91" spans="1:29" s="417" customFormat="1" ht="14.4"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26"/>
      <c r="O91" s="2726"/>
      <c r="P91" s="2716"/>
      <c r="Q91" s="2717"/>
      <c r="R91" s="2718"/>
      <c r="S91" s="2718"/>
      <c r="T91" s="2718"/>
      <c r="U91" s="2718"/>
      <c r="V91" s="2718"/>
      <c r="W91" s="2718"/>
      <c r="X91" s="2718"/>
      <c r="Y91" s="2718"/>
      <c r="Z91" s="2718"/>
      <c r="AA91" s="2718"/>
      <c r="AB91" s="2718"/>
      <c r="AC91" s="2718"/>
    </row>
    <row r="92" spans="1:29" ht="14.4" thickTop="1">
      <c r="A92" s="478"/>
      <c r="B92" s="482" t="str">
        <f>B28</f>
        <v>楼层</v>
      </c>
      <c r="C92" s="498"/>
      <c r="D92" s="498"/>
      <c r="E92" s="498"/>
      <c r="F92" s="498"/>
      <c r="G92" s="498"/>
      <c r="H92" s="498"/>
      <c r="I92" s="498"/>
      <c r="J92" s="498"/>
      <c r="K92" s="498"/>
      <c r="L92" s="524"/>
      <c r="M92" s="525"/>
      <c r="N92" s="2724"/>
      <c r="O92" s="2724"/>
      <c r="P92" s="2715"/>
      <c r="Q92" s="2710"/>
      <c r="R92" s="2696"/>
      <c r="S92" s="2696"/>
      <c r="T92" s="2696"/>
      <c r="U92" s="2696"/>
      <c r="V92" s="2696"/>
      <c r="W92" s="2696"/>
      <c r="X92" s="2696"/>
      <c r="Y92" s="2696"/>
      <c r="Z92" s="2696"/>
      <c r="AA92" s="2696"/>
      <c r="AB92" s="2696"/>
      <c r="AC92" s="2696"/>
    </row>
    <row r="93" spans="1:29" ht="14.4" thickBot="1">
      <c r="A93" s="478"/>
      <c r="B93" s="487"/>
      <c r="C93" s="480"/>
      <c r="D93" s="480"/>
      <c r="E93" s="480"/>
      <c r="F93" s="480"/>
      <c r="G93" s="480"/>
      <c r="H93" s="480"/>
      <c r="I93" s="480"/>
      <c r="J93" s="480"/>
      <c r="K93" s="480"/>
      <c r="L93" s="480"/>
      <c r="M93" s="481"/>
      <c r="N93" s="2725"/>
      <c r="O93" s="2725"/>
      <c r="P93" s="2715"/>
      <c r="Q93" s="2710"/>
      <c r="R93" s="2696"/>
      <c r="S93" s="2696"/>
      <c r="T93" s="2696"/>
      <c r="U93" s="2696"/>
      <c r="V93" s="2696"/>
      <c r="W93" s="2696"/>
      <c r="X93" s="2696"/>
      <c r="Y93" s="2696"/>
      <c r="Z93" s="2696"/>
      <c r="AA93" s="2696"/>
      <c r="AB93" s="2696"/>
      <c r="AC93" s="2696"/>
    </row>
    <row r="94" spans="1:29" ht="14.4" thickTop="1">
      <c r="A94" s="478"/>
      <c r="B94" s="482">
        <f>B29</f>
        <v>111</v>
      </c>
      <c r="C94" s="498"/>
      <c r="D94" s="498"/>
      <c r="E94" s="498"/>
      <c r="F94" s="498"/>
      <c r="G94" s="527"/>
      <c r="H94" s="527"/>
      <c r="I94" s="527"/>
      <c r="J94" s="527"/>
      <c r="K94" s="528"/>
      <c r="L94" s="529"/>
      <c r="M94" s="530"/>
      <c r="N94" s="2724"/>
      <c r="O94" s="2724"/>
      <c r="P94" s="2715"/>
      <c r="Q94" s="2710"/>
      <c r="R94" s="2696"/>
      <c r="S94" s="2696"/>
      <c r="T94" s="2696"/>
      <c r="U94" s="2696"/>
      <c r="V94" s="2696"/>
      <c r="W94" s="2696"/>
      <c r="X94" s="2696"/>
      <c r="Y94" s="2696"/>
      <c r="Z94" s="2696"/>
      <c r="AA94" s="2696"/>
      <c r="AB94" s="2696"/>
      <c r="AC94" s="2696"/>
    </row>
    <row r="95" spans="1:29" ht="14.4" thickBot="1">
      <c r="A95" s="478"/>
      <c r="B95" s="487"/>
      <c r="C95" s="504"/>
      <c r="D95" s="480"/>
      <c r="E95" s="480"/>
      <c r="F95" s="480"/>
      <c r="G95" s="480"/>
      <c r="H95" s="480"/>
      <c r="I95" s="480"/>
      <c r="J95" s="480"/>
      <c r="K95" s="480"/>
      <c r="L95" s="480"/>
      <c r="M95" s="481"/>
      <c r="N95" s="2725"/>
      <c r="O95" s="2725"/>
      <c r="P95" s="2715"/>
      <c r="Q95" s="2710"/>
      <c r="R95" s="2696"/>
      <c r="S95" s="2696"/>
      <c r="T95" s="2696"/>
      <c r="U95" s="2696"/>
      <c r="V95" s="2696"/>
      <c r="W95" s="2696"/>
      <c r="X95" s="2696"/>
      <c r="Y95" s="2696"/>
      <c r="Z95" s="2696"/>
      <c r="AA95" s="2696"/>
      <c r="AB95" s="2696"/>
      <c r="AC95" s="2696"/>
    </row>
    <row r="96" spans="1:29" ht="14.4" thickTop="1">
      <c r="A96" s="478"/>
      <c r="B96" s="482">
        <f>B30</f>
        <v>111</v>
      </c>
      <c r="C96" s="498"/>
      <c r="D96" s="498"/>
      <c r="E96" s="498"/>
      <c r="F96" s="498"/>
      <c r="G96" s="527"/>
      <c r="H96" s="527"/>
      <c r="I96" s="527"/>
      <c r="J96" s="527"/>
      <c r="K96" s="528"/>
      <c r="L96" s="529"/>
      <c r="M96" s="530"/>
      <c r="N96" s="2724"/>
      <c r="O96" s="2724"/>
      <c r="P96" s="2715"/>
      <c r="Q96" s="2710"/>
      <c r="R96" s="2696"/>
      <c r="S96" s="2696"/>
      <c r="T96" s="2696"/>
      <c r="U96" s="2696"/>
      <c r="V96" s="2696"/>
      <c r="W96" s="2696"/>
      <c r="X96" s="2696"/>
      <c r="Y96" s="2696"/>
      <c r="Z96" s="2696"/>
      <c r="AA96" s="2696"/>
      <c r="AB96" s="2696"/>
      <c r="AC96" s="2696"/>
    </row>
    <row r="97" spans="1:29" ht="14.4" thickBot="1">
      <c r="A97" s="478"/>
      <c r="B97" s="487"/>
      <c r="C97" s="504"/>
      <c r="D97" s="480"/>
      <c r="E97" s="480"/>
      <c r="F97" s="480"/>
      <c r="G97" s="480"/>
      <c r="H97" s="480"/>
      <c r="I97" s="480"/>
      <c r="J97" s="480"/>
      <c r="K97" s="480"/>
      <c r="L97" s="480"/>
      <c r="M97" s="481"/>
      <c r="N97" s="2725"/>
      <c r="O97" s="2725"/>
      <c r="P97" s="2715"/>
      <c r="Q97" s="2710"/>
      <c r="R97" s="2696"/>
      <c r="S97" s="2696"/>
      <c r="T97" s="2696"/>
      <c r="U97" s="2696"/>
      <c r="V97" s="2696"/>
      <c r="W97" s="2696"/>
      <c r="X97" s="2696"/>
      <c r="Y97" s="2696"/>
      <c r="Z97" s="2696"/>
      <c r="AA97" s="2696"/>
      <c r="AB97" s="2696"/>
      <c r="AC97" s="2696"/>
    </row>
    <row r="98" spans="1:29" ht="14.4" thickTop="1">
      <c r="A98" s="478"/>
      <c r="B98" s="490">
        <f>B31</f>
        <v>111</v>
      </c>
      <c r="C98" s="498"/>
      <c r="D98" s="498"/>
      <c r="E98" s="498"/>
      <c r="F98" s="498"/>
      <c r="G98" s="531"/>
      <c r="H98" s="531"/>
      <c r="I98" s="531"/>
      <c r="J98" s="531"/>
      <c r="K98" s="532"/>
      <c r="L98" s="533"/>
      <c r="M98" s="534"/>
      <c r="N98" s="2724"/>
      <c r="O98" s="2724"/>
      <c r="P98" s="2715"/>
      <c r="Q98" s="2710"/>
      <c r="R98" s="2696"/>
      <c r="S98" s="2696"/>
      <c r="T98" s="2696"/>
      <c r="U98" s="2696"/>
      <c r="V98" s="2696"/>
      <c r="W98" s="2696"/>
      <c r="X98" s="2696"/>
      <c r="Y98" s="2696"/>
      <c r="Z98" s="2696"/>
      <c r="AA98" s="2696"/>
      <c r="AB98" s="2696"/>
      <c r="AC98" s="2696"/>
    </row>
    <row r="99" spans="1:29" ht="14.4" thickBot="1">
      <c r="A99" s="1900"/>
      <c r="B99" s="513"/>
      <c r="C99" s="514"/>
      <c r="D99" s="514"/>
      <c r="E99" s="514"/>
      <c r="F99" s="514"/>
      <c r="G99" s="535"/>
      <c r="H99" s="535"/>
      <c r="I99" s="535"/>
      <c r="J99" s="535"/>
      <c r="K99" s="535"/>
      <c r="L99" s="535"/>
      <c r="M99" s="536"/>
      <c r="N99" s="2725"/>
      <c r="O99" s="2725"/>
      <c r="P99" s="2715"/>
      <c r="Q99" s="2710"/>
      <c r="R99" s="2696"/>
      <c r="S99" s="2696"/>
      <c r="T99" s="2696"/>
      <c r="U99" s="2696"/>
      <c r="V99" s="2696"/>
      <c r="W99" s="2696"/>
      <c r="X99" s="2696"/>
      <c r="Y99" s="2696"/>
      <c r="Z99" s="2696"/>
      <c r="AA99" s="2696"/>
      <c r="AB99" s="2696"/>
      <c r="AC99" s="2696"/>
    </row>
    <row r="100" spans="1:29" ht="14.4">
      <c r="A100" s="471" t="s">
        <v>1694</v>
      </c>
      <c r="B100" s="472" t="s">
        <v>1805</v>
      </c>
      <c r="C100" s="474"/>
      <c r="D100" s="474"/>
      <c r="E100" s="474"/>
      <c r="F100" s="474"/>
      <c r="G100" s="474"/>
      <c r="H100" s="474"/>
      <c r="I100" s="474"/>
      <c r="J100" s="474"/>
      <c r="K100" s="475"/>
      <c r="L100" s="476"/>
      <c r="M100" s="477"/>
      <c r="N100" s="2724"/>
      <c r="O100" s="2724"/>
      <c r="P100" s="2715"/>
      <c r="Q100" s="2710"/>
      <c r="R100" s="2696"/>
      <c r="S100" s="2696"/>
      <c r="T100" s="2696"/>
      <c r="U100" s="2696"/>
      <c r="V100" s="2696"/>
      <c r="W100" s="2696"/>
      <c r="X100" s="2696"/>
      <c r="Y100" s="2696"/>
      <c r="Z100" s="2696"/>
      <c r="AA100" s="2696"/>
      <c r="AB100" s="2696"/>
      <c r="AC100" s="2696"/>
    </row>
    <row r="101" spans="1:29" ht="14.4"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25"/>
      <c r="O101" s="2725"/>
      <c r="P101" s="2715"/>
      <c r="Q101" s="2710"/>
      <c r="R101" s="2696"/>
      <c r="S101" s="2696"/>
      <c r="T101" s="2696"/>
      <c r="U101" s="2696"/>
      <c r="V101" s="2696"/>
      <c r="W101" s="2696"/>
      <c r="X101" s="2696"/>
      <c r="Y101" s="2696"/>
      <c r="Z101" s="2696"/>
      <c r="AA101" s="2696"/>
      <c r="AB101" s="2696"/>
      <c r="AC101" s="2696"/>
    </row>
    <row r="102" spans="1:29" ht="1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2"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17" customFormat="1">
      <c r="A103" s="537"/>
      <c r="B103" s="538"/>
      <c r="C103" s="539"/>
      <c r="D103" s="539"/>
      <c r="E103" s="539"/>
      <c r="F103" s="539"/>
      <c r="G103" s="539"/>
      <c r="H103" s="539"/>
      <c r="I103" s="539"/>
      <c r="J103" s="540"/>
      <c r="K103" s="540"/>
      <c r="L103" s="541"/>
      <c r="M103" s="542"/>
      <c r="N103" s="2726"/>
      <c r="O103" s="2726"/>
      <c r="P103" s="2716"/>
      <c r="Q103" s="2717"/>
      <c r="R103" s="2718"/>
      <c r="S103" s="2718"/>
      <c r="T103" s="2718"/>
      <c r="U103" s="2718"/>
      <c r="V103" s="2718"/>
      <c r="W103" s="2718"/>
      <c r="X103" s="2718"/>
      <c r="Y103" s="2718"/>
      <c r="Z103" s="2718"/>
      <c r="AA103" s="2718"/>
      <c r="AB103" s="2718"/>
      <c r="AC103" s="2718"/>
    </row>
    <row r="104" spans="1:29" s="417" customFormat="1" ht="14.4" thickBot="1">
      <c r="A104" s="497"/>
      <c r="B104" s="487"/>
      <c r="C104" s="504"/>
      <c r="D104" s="480"/>
      <c r="E104" s="480"/>
      <c r="F104" s="480"/>
      <c r="G104" s="480"/>
      <c r="H104" s="480"/>
      <c r="I104" s="480"/>
      <c r="J104" s="480"/>
      <c r="K104" s="480"/>
      <c r="L104" s="480"/>
      <c r="M104" s="481"/>
      <c r="N104" s="2725"/>
      <c r="O104" s="2725"/>
      <c r="P104" s="2716"/>
      <c r="Q104" s="2717"/>
      <c r="R104" s="2718"/>
      <c r="S104" s="2718"/>
      <c r="T104" s="2718"/>
      <c r="U104" s="2718"/>
      <c r="V104" s="2718"/>
      <c r="W104" s="2718"/>
      <c r="X104" s="2718"/>
      <c r="Y104" s="2718"/>
      <c r="Z104" s="2718"/>
      <c r="AA104" s="2718"/>
      <c r="AB104" s="2718"/>
      <c r="AC104" s="2718"/>
    </row>
    <row r="105" spans="1:29" ht="15" thickTop="1">
      <c r="A105" s="543"/>
      <c r="B105" s="482" t="s">
        <v>1738</v>
      </c>
      <c r="C105" s="498"/>
      <c r="D105" s="498"/>
      <c r="E105" s="527"/>
      <c r="F105" s="527"/>
      <c r="G105" s="527"/>
      <c r="H105" s="527"/>
      <c r="I105" s="527"/>
      <c r="J105" s="527"/>
      <c r="K105" s="528"/>
      <c r="L105" s="529"/>
      <c r="M105" s="530"/>
      <c r="N105" s="2724"/>
      <c r="O105" s="2724"/>
      <c r="P105" s="2715"/>
      <c r="Q105" s="2710"/>
      <c r="R105" s="2696"/>
      <c r="S105" s="2696"/>
      <c r="T105" s="2696"/>
      <c r="U105" s="2696"/>
      <c r="V105" s="2696"/>
      <c r="W105" s="2696"/>
      <c r="X105" s="2696"/>
      <c r="Y105" s="2696"/>
      <c r="Z105" s="2696"/>
      <c r="AA105" s="2696"/>
      <c r="AB105" s="2696"/>
      <c r="AC105" s="2696"/>
    </row>
    <row r="106" spans="1:29" ht="14.4"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3"/>
      <c r="B107" s="482" t="s">
        <v>1740</v>
      </c>
      <c r="C107" s="498"/>
      <c r="D107" s="498"/>
      <c r="E107" s="498"/>
      <c r="F107" s="527"/>
      <c r="G107" s="527"/>
      <c r="H107" s="527"/>
      <c r="I107" s="527"/>
      <c r="J107" s="527"/>
      <c r="K107" s="528"/>
      <c r="L107" s="529"/>
      <c r="M107" s="530"/>
      <c r="N107" s="2724"/>
      <c r="O107" s="2724"/>
      <c r="P107" s="2715"/>
      <c r="Q107" s="2710"/>
      <c r="R107" s="2696"/>
      <c r="S107" s="2696"/>
      <c r="T107" s="2696"/>
      <c r="U107" s="2696"/>
      <c r="V107" s="2696"/>
      <c r="W107" s="2696"/>
      <c r="X107" s="2696"/>
      <c r="Y107" s="2696"/>
      <c r="Z107" s="2696"/>
      <c r="AA107" s="2696"/>
      <c r="AB107" s="2696"/>
      <c r="AC107" s="2696"/>
    </row>
    <row r="108" spans="1:29" ht="14.4"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24"/>
      <c r="O109" s="2724"/>
      <c r="P109" s="2715"/>
      <c r="Q109" s="2710"/>
      <c r="R109" s="2696"/>
      <c r="S109" s="2696"/>
      <c r="T109" s="2696"/>
      <c r="U109" s="2696"/>
      <c r="V109" s="2696"/>
      <c r="W109" s="2696"/>
      <c r="X109" s="2696"/>
      <c r="Y109" s="2696"/>
      <c r="Z109" s="2696"/>
      <c r="AA109" s="2696"/>
      <c r="AB109" s="2696"/>
      <c r="AC109" s="2696"/>
    </row>
    <row r="110" spans="1:29">
      <c r="A110" s="543"/>
      <c r="B110" s="490"/>
      <c r="C110" s="547">
        <v>0.5</v>
      </c>
      <c r="D110" s="547">
        <v>0.6</v>
      </c>
      <c r="E110" s="547">
        <v>0.7</v>
      </c>
      <c r="F110" s="547">
        <v>0.8</v>
      </c>
      <c r="G110" s="547">
        <v>0.9</v>
      </c>
      <c r="H110" s="547">
        <v>1.0001</v>
      </c>
      <c r="I110" s="563"/>
      <c r="J110" s="563"/>
      <c r="K110" s="564"/>
      <c r="L110" s="565"/>
      <c r="M110" s="566"/>
      <c r="N110" s="2724"/>
      <c r="O110" s="2724"/>
      <c r="P110" s="2715"/>
      <c r="Q110" s="2710"/>
      <c r="R110" s="2696"/>
      <c r="S110" s="2696"/>
      <c r="T110" s="2696"/>
      <c r="U110" s="2696"/>
      <c r="V110" s="2696"/>
      <c r="W110" s="2696"/>
      <c r="X110" s="2696"/>
      <c r="Y110" s="2696"/>
      <c r="Z110" s="2696"/>
      <c r="AA110" s="2696"/>
      <c r="AB110" s="2696"/>
      <c r="AC110" s="2696"/>
    </row>
    <row r="111" spans="1:29" ht="14.4"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25"/>
      <c r="O111" s="2725"/>
      <c r="P111" s="2715"/>
      <c r="Q111" s="2710"/>
      <c r="R111" s="2696"/>
      <c r="S111" s="2696"/>
      <c r="T111" s="2696"/>
      <c r="U111" s="2696"/>
      <c r="V111" s="2696"/>
      <c r="W111" s="2696"/>
      <c r="X111" s="2696"/>
      <c r="Y111" s="2696"/>
      <c r="Z111" s="2696"/>
      <c r="AA111" s="2696"/>
      <c r="AB111" s="2696"/>
      <c r="AC111" s="2696"/>
    </row>
    <row r="112" spans="1:29" s="417" customFormat="1" ht="15" thickTop="1">
      <c r="A112" s="537"/>
      <c r="B112" s="482" t="s">
        <v>1742</v>
      </c>
      <c r="C112" s="498"/>
      <c r="D112" s="498"/>
      <c r="E112" s="498"/>
      <c r="F112" s="498"/>
      <c r="G112" s="498"/>
      <c r="H112" s="527"/>
      <c r="I112" s="527"/>
      <c r="J112" s="527"/>
      <c r="K112" s="528"/>
      <c r="L112" s="529"/>
      <c r="M112" s="530"/>
      <c r="N112" s="2726"/>
      <c r="O112" s="2726"/>
      <c r="P112" s="2716"/>
      <c r="Q112" s="2717"/>
      <c r="R112" s="2718"/>
      <c r="S112" s="2718"/>
      <c r="T112" s="2718"/>
      <c r="U112" s="2718"/>
      <c r="V112" s="2718"/>
      <c r="W112" s="2718"/>
      <c r="X112" s="2718"/>
      <c r="Y112" s="2718"/>
      <c r="Z112" s="2718"/>
      <c r="AA112" s="2718"/>
      <c r="AB112" s="2718"/>
      <c r="AC112" s="2718"/>
    </row>
    <row r="113" spans="1:29" s="417" customFormat="1" ht="14.4"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3"/>
      <c r="B114" s="482" t="s">
        <v>1806</v>
      </c>
      <c r="C114" s="498"/>
      <c r="D114" s="498"/>
      <c r="E114" s="527"/>
      <c r="F114" s="527"/>
      <c r="G114" s="527"/>
      <c r="H114" s="527"/>
      <c r="I114" s="527"/>
      <c r="J114" s="527"/>
      <c r="K114" s="528"/>
      <c r="L114" s="529"/>
      <c r="M114" s="530"/>
      <c r="N114" s="2724"/>
      <c r="O114" s="2724"/>
      <c r="P114" s="2715"/>
      <c r="Q114" s="2710"/>
      <c r="R114" s="2696"/>
      <c r="S114" s="2696"/>
      <c r="T114" s="2696"/>
      <c r="U114" s="2696"/>
      <c r="V114" s="2696"/>
      <c r="W114" s="2696"/>
      <c r="X114" s="2696"/>
      <c r="Y114" s="2696"/>
      <c r="Z114" s="2696"/>
      <c r="AA114" s="2696"/>
      <c r="AB114" s="2696"/>
      <c r="AC114" s="2696"/>
    </row>
    <row r="115" spans="1:29" ht="14.4"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3"/>
      <c r="B116" s="482" t="s">
        <v>1807</v>
      </c>
      <c r="C116" s="498"/>
      <c r="D116" s="498"/>
      <c r="E116" s="498"/>
      <c r="F116" s="498"/>
      <c r="G116" s="498"/>
      <c r="H116" s="527"/>
      <c r="I116" s="527"/>
      <c r="J116" s="527"/>
      <c r="K116" s="528"/>
      <c r="L116" s="529"/>
      <c r="M116" s="530"/>
      <c r="N116" s="2724"/>
      <c r="O116" s="2724"/>
      <c r="P116" s="2715"/>
      <c r="Q116" s="2710"/>
      <c r="R116" s="2696"/>
      <c r="S116" s="2696"/>
      <c r="T116" s="2696"/>
      <c r="U116" s="2696"/>
      <c r="V116" s="2696"/>
      <c r="W116" s="2696"/>
      <c r="X116" s="2696"/>
      <c r="Y116" s="2696"/>
      <c r="Z116" s="2696"/>
      <c r="AA116" s="2696"/>
      <c r="AB116" s="2696"/>
      <c r="AC116" s="2696"/>
    </row>
    <row r="117" spans="1:29" ht="14.4" thickBot="1">
      <c r="A117" s="478"/>
      <c r="B117" s="487"/>
      <c r="C117" s="488">
        <v>100</v>
      </c>
      <c r="D117" s="488">
        <f>C117-$K39</f>
        <v>100</v>
      </c>
      <c r="E117" s="488">
        <f>D117-$K39</f>
        <v>100</v>
      </c>
      <c r="F117" s="488">
        <f>E117-$K39</f>
        <v>100</v>
      </c>
      <c r="G117" s="488">
        <f>F117-$K39</f>
        <v>100</v>
      </c>
      <c r="H117" s="488"/>
      <c r="I117" s="488"/>
      <c r="J117" s="488"/>
      <c r="K117" s="488"/>
      <c r="L117" s="488"/>
      <c r="M117" s="489"/>
      <c r="N117" s="2725"/>
      <c r="O117" s="2725"/>
      <c r="P117" s="2715"/>
      <c r="Q117" s="2710"/>
      <c r="R117" s="2696"/>
      <c r="S117" s="2696"/>
      <c r="T117" s="2696"/>
      <c r="U117" s="2696"/>
      <c r="V117" s="2696"/>
      <c r="W117" s="2696"/>
      <c r="X117" s="2696"/>
      <c r="Y117" s="2696"/>
      <c r="Z117" s="2696"/>
      <c r="AA117" s="2696"/>
      <c r="AB117" s="2696"/>
      <c r="AC117" s="2696"/>
    </row>
    <row r="118" spans="1:29" ht="15" thickTop="1">
      <c r="A118" s="543"/>
      <c r="B118" s="482" t="s">
        <v>1808</v>
      </c>
      <c r="C118" s="567"/>
      <c r="D118" s="567"/>
      <c r="E118" s="567"/>
      <c r="F118" s="567"/>
      <c r="G118" s="567"/>
      <c r="H118" s="499"/>
      <c r="I118" s="499"/>
      <c r="J118" s="499"/>
      <c r="K118" s="499"/>
      <c r="L118" s="500"/>
      <c r="M118" s="501"/>
      <c r="N118" s="2724"/>
      <c r="O118" s="2724"/>
      <c r="P118" s="2715"/>
      <c r="Q118" s="2710"/>
      <c r="R118" s="2696"/>
      <c r="S118" s="2696"/>
      <c r="T118" s="2696"/>
      <c r="U118" s="2696"/>
      <c r="V118" s="2696"/>
      <c r="W118" s="2696"/>
      <c r="X118" s="2696"/>
      <c r="Y118" s="2696"/>
      <c r="Z118" s="2696"/>
      <c r="AA118" s="2696"/>
      <c r="AB118" s="2696"/>
      <c r="AC118" s="2696"/>
    </row>
    <row r="119" spans="1:29" ht="14.4" thickBot="1">
      <c r="A119" s="478"/>
      <c r="B119" s="487"/>
      <c r="C119" s="504"/>
      <c r="D119" s="480"/>
      <c r="E119" s="480"/>
      <c r="F119" s="480"/>
      <c r="G119" s="480"/>
      <c r="H119" s="480"/>
      <c r="I119" s="480"/>
      <c r="J119" s="480"/>
      <c r="K119" s="480"/>
      <c r="L119" s="480"/>
      <c r="M119" s="481"/>
      <c r="N119" s="2725"/>
      <c r="O119" s="2725"/>
      <c r="P119" s="2715"/>
      <c r="Q119" s="2710"/>
      <c r="R119" s="2696"/>
      <c r="S119" s="2696"/>
      <c r="T119" s="2696"/>
      <c r="U119" s="2696"/>
      <c r="V119" s="2696"/>
      <c r="W119" s="2696"/>
      <c r="X119" s="2696"/>
      <c r="Y119" s="2696"/>
      <c r="Z119" s="2696"/>
      <c r="AA119" s="2696"/>
      <c r="AB119" s="2696"/>
      <c r="AC119" s="2696"/>
    </row>
    <row r="120" spans="1:29" s="417" customFormat="1" ht="15" thickTop="1">
      <c r="A120" s="537"/>
      <c r="B120" s="482" t="s">
        <v>1809</v>
      </c>
      <c r="C120" s="527"/>
      <c r="D120" s="527"/>
      <c r="E120" s="527"/>
      <c r="F120" s="527"/>
      <c r="G120" s="499"/>
      <c r="H120" s="499"/>
      <c r="I120" s="499"/>
      <c r="J120" s="499"/>
      <c r="K120" s="499"/>
      <c r="L120" s="500"/>
      <c r="M120" s="501"/>
      <c r="N120" s="2726"/>
      <c r="O120" s="2726"/>
      <c r="P120" s="2716"/>
      <c r="Q120" s="2717"/>
      <c r="R120" s="2718"/>
      <c r="S120" s="2718"/>
      <c r="T120" s="2718"/>
      <c r="U120" s="2718"/>
      <c r="V120" s="2718"/>
      <c r="W120" s="2718"/>
      <c r="X120" s="2718"/>
      <c r="Y120" s="2718"/>
      <c r="Z120" s="2718"/>
      <c r="AA120" s="2718"/>
      <c r="AB120" s="2718"/>
      <c r="AC120" s="2718"/>
    </row>
    <row r="121" spans="1:29" s="417" customFormat="1" ht="14.4"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3"/>
      <c r="B122" s="482" t="s">
        <v>1744</v>
      </c>
      <c r="C122" s="498"/>
      <c r="D122" s="498"/>
      <c r="E122" s="498"/>
      <c r="F122" s="527"/>
      <c r="G122" s="527"/>
      <c r="H122" s="527"/>
      <c r="I122" s="527"/>
      <c r="J122" s="527"/>
      <c r="K122" s="528"/>
      <c r="L122" s="529"/>
      <c r="M122" s="530"/>
      <c r="N122" s="2724"/>
      <c r="O122" s="2724"/>
      <c r="P122" s="2715"/>
      <c r="Q122" s="2710"/>
      <c r="R122" s="2696"/>
      <c r="S122" s="2696"/>
      <c r="T122" s="2696"/>
      <c r="U122" s="2696"/>
      <c r="V122" s="2696"/>
      <c r="W122" s="2696"/>
      <c r="X122" s="2696"/>
      <c r="Y122" s="2696"/>
      <c r="Z122" s="2696"/>
      <c r="AA122" s="2696"/>
      <c r="AB122" s="2696"/>
      <c r="AC122" s="2696"/>
    </row>
    <row r="123" spans="1:29" ht="14.4"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25"/>
      <c r="O123" s="2725"/>
      <c r="P123" s="2715"/>
      <c r="Q123" s="2710"/>
      <c r="R123" s="2696"/>
      <c r="S123" s="2696"/>
      <c r="T123" s="2696"/>
      <c r="U123" s="2696"/>
      <c r="V123" s="2696"/>
      <c r="W123" s="2696"/>
      <c r="X123" s="2696"/>
      <c r="Y123" s="2696"/>
      <c r="Z123" s="2696"/>
      <c r="AA123" s="2696"/>
      <c r="AB123" s="2696"/>
      <c r="AC123" s="2696"/>
    </row>
    <row r="124" spans="1:29" ht="29.4" thickTop="1">
      <c r="A124" s="543"/>
      <c r="B124" s="482" t="s">
        <v>1745</v>
      </c>
      <c r="C124" s="522" t="s">
        <v>1721</v>
      </c>
      <c r="D124" s="522" t="s">
        <v>1722</v>
      </c>
      <c r="E124" s="522" t="s">
        <v>1723</v>
      </c>
      <c r="F124" s="522" t="s">
        <v>1724</v>
      </c>
      <c r="G124" s="522" t="s">
        <v>1725</v>
      </c>
      <c r="H124" s="483"/>
      <c r="I124" s="483"/>
      <c r="J124" s="483"/>
      <c r="K124" s="484"/>
      <c r="L124" s="485"/>
      <c r="M124" s="486"/>
      <c r="N124" s="2724"/>
      <c r="O124" s="2724"/>
      <c r="P124" s="2716"/>
      <c r="Q124" s="2710"/>
      <c r="R124" s="2696"/>
      <c r="S124" s="2696"/>
      <c r="T124" s="2696"/>
      <c r="U124" s="2696"/>
      <c r="V124" s="2696"/>
      <c r="W124" s="2696"/>
      <c r="X124" s="2696"/>
      <c r="Y124" s="2696"/>
      <c r="Z124" s="2696"/>
      <c r="AA124" s="2696"/>
      <c r="AB124" s="2696"/>
      <c r="AC124" s="2696"/>
    </row>
    <row r="125" spans="1:29" ht="14.4" thickBot="1">
      <c r="A125" s="478"/>
      <c r="B125" s="487"/>
      <c r="C125" s="488">
        <v>100</v>
      </c>
      <c r="D125" s="488">
        <f>C125-$K43</f>
        <v>100</v>
      </c>
      <c r="E125" s="488">
        <f>D125-$K43</f>
        <v>100</v>
      </c>
      <c r="F125" s="488">
        <f>E125-$K43</f>
        <v>100</v>
      </c>
      <c r="G125" s="488">
        <f>F125-$K43</f>
        <v>100</v>
      </c>
      <c r="H125" s="488"/>
      <c r="I125" s="488"/>
      <c r="J125" s="488"/>
      <c r="K125" s="488"/>
      <c r="L125" s="488"/>
      <c r="M125" s="489"/>
      <c r="N125" s="2725"/>
      <c r="O125" s="2725"/>
      <c r="P125" s="2715"/>
      <c r="Q125" s="2710"/>
      <c r="R125" s="2696"/>
      <c r="S125" s="2696"/>
      <c r="T125" s="2696"/>
      <c r="U125" s="2696"/>
      <c r="V125" s="2696"/>
      <c r="W125" s="2696"/>
      <c r="X125" s="2696"/>
      <c r="Y125" s="2696"/>
      <c r="Z125" s="2696"/>
      <c r="AA125" s="2696"/>
      <c r="AB125" s="2696"/>
      <c r="AC125" s="2696"/>
    </row>
    <row r="126" spans="1:29" s="417" customFormat="1" ht="14.4" thickTop="1">
      <c r="A126" s="537"/>
      <c r="B126" s="482">
        <f>B44</f>
        <v>111</v>
      </c>
      <c r="C126" s="498"/>
      <c r="D126" s="498"/>
      <c r="E126" s="498"/>
      <c r="F126" s="498"/>
      <c r="G126" s="498"/>
      <c r="H126" s="499"/>
      <c r="I126" s="499"/>
      <c r="J126" s="499"/>
      <c r="K126" s="499"/>
      <c r="L126" s="500"/>
      <c r="M126" s="501"/>
      <c r="N126" s="2726"/>
      <c r="O126" s="2726"/>
      <c r="P126" s="2716"/>
      <c r="Q126" s="2717"/>
      <c r="R126" s="2718"/>
      <c r="S126" s="2718"/>
      <c r="T126" s="2718"/>
      <c r="U126" s="2718"/>
      <c r="V126" s="2718"/>
      <c r="W126" s="2718"/>
      <c r="X126" s="2718"/>
      <c r="Y126" s="2718"/>
      <c r="Z126" s="2718"/>
      <c r="AA126" s="2718"/>
      <c r="AB126" s="2718"/>
      <c r="AC126" s="2718"/>
    </row>
    <row r="127" spans="1:29" s="417" customFormat="1" ht="14.4" thickBot="1">
      <c r="A127" s="497"/>
      <c r="B127" s="487"/>
      <c r="C127" s="504"/>
      <c r="D127" s="480"/>
      <c r="E127" s="480"/>
      <c r="F127" s="480"/>
      <c r="G127" s="504"/>
      <c r="H127" s="506"/>
      <c r="I127" s="506"/>
      <c r="J127" s="506"/>
      <c r="K127" s="506"/>
      <c r="L127" s="506"/>
      <c r="M127" s="507"/>
      <c r="N127" s="2726"/>
      <c r="O127" s="2726"/>
      <c r="P127" s="2716"/>
      <c r="Q127" s="2717"/>
      <c r="R127" s="2718"/>
      <c r="S127" s="2718"/>
      <c r="T127" s="2718"/>
      <c r="U127" s="2718"/>
      <c r="V127" s="2718"/>
      <c r="W127" s="2718"/>
      <c r="X127" s="2718"/>
      <c r="Y127" s="2718"/>
      <c r="Z127" s="2718"/>
      <c r="AA127" s="2718"/>
      <c r="AB127" s="2718"/>
      <c r="AC127" s="2718"/>
    </row>
    <row r="128" spans="1:29" ht="14.4" thickTop="1">
      <c r="A128" s="543"/>
      <c r="B128" s="482">
        <f>B45</f>
        <v>111</v>
      </c>
      <c r="C128" s="498"/>
      <c r="D128" s="498"/>
      <c r="E128" s="498"/>
      <c r="F128" s="498"/>
      <c r="G128" s="527"/>
      <c r="H128" s="527"/>
      <c r="I128" s="527"/>
      <c r="J128" s="527"/>
      <c r="K128" s="528"/>
      <c r="L128" s="529"/>
      <c r="M128" s="530"/>
      <c r="N128" s="2724"/>
      <c r="O128" s="2724"/>
      <c r="P128" s="2715"/>
      <c r="Q128" s="2710"/>
      <c r="R128" s="2696"/>
      <c r="S128" s="2696"/>
      <c r="T128" s="2696"/>
      <c r="U128" s="2696"/>
      <c r="V128" s="2696"/>
      <c r="W128" s="2696"/>
      <c r="X128" s="2696"/>
      <c r="Y128" s="2696"/>
      <c r="Z128" s="2696"/>
      <c r="AA128" s="2696"/>
      <c r="AB128" s="2696"/>
      <c r="AC128" s="2696"/>
    </row>
    <row r="129" spans="1:29" ht="14.4" thickBot="1">
      <c r="A129" s="478"/>
      <c r="B129" s="487"/>
      <c r="C129" s="504"/>
      <c r="D129" s="480"/>
      <c r="E129" s="480"/>
      <c r="F129" s="480"/>
      <c r="G129" s="480"/>
      <c r="H129" s="480"/>
      <c r="I129" s="480"/>
      <c r="J129" s="480"/>
      <c r="K129" s="480"/>
      <c r="L129" s="480"/>
      <c r="M129" s="481"/>
      <c r="N129" s="2725"/>
      <c r="O129" s="2725"/>
      <c r="P129" s="2715"/>
      <c r="Q129" s="2710"/>
      <c r="R129" s="2696"/>
      <c r="S129" s="2696"/>
      <c r="T129" s="2696"/>
      <c r="U129" s="2696"/>
      <c r="V129" s="2696"/>
      <c r="W129" s="2696"/>
      <c r="X129" s="2696"/>
      <c r="Y129" s="2696"/>
      <c r="Z129" s="2696"/>
      <c r="AA129" s="2696"/>
      <c r="AB129" s="2696"/>
      <c r="AC129" s="2696"/>
    </row>
    <row r="130" spans="1:29" ht="14.4" thickTop="1">
      <c r="A130" s="543"/>
      <c r="B130" s="490">
        <f>B46</f>
        <v>111</v>
      </c>
      <c r="C130" s="498"/>
      <c r="D130" s="498"/>
      <c r="E130" s="498"/>
      <c r="F130" s="498"/>
      <c r="G130" s="531"/>
      <c r="H130" s="531"/>
      <c r="I130" s="531"/>
      <c r="J130" s="531"/>
      <c r="K130" s="467"/>
      <c r="L130" s="468"/>
      <c r="M130" s="534"/>
      <c r="N130" s="2724"/>
      <c r="O130" s="2724"/>
      <c r="P130" s="2715"/>
      <c r="Q130" s="2710"/>
      <c r="R130" s="2696"/>
      <c r="S130" s="2696"/>
      <c r="T130" s="2696"/>
      <c r="U130" s="2696"/>
      <c r="V130" s="2696"/>
      <c r="W130" s="2696"/>
      <c r="X130" s="2696"/>
      <c r="Y130" s="2696"/>
      <c r="Z130" s="2696"/>
      <c r="AA130" s="2696"/>
      <c r="AB130" s="2696"/>
      <c r="AC130" s="2696"/>
    </row>
    <row r="131" spans="1:29" ht="14.4" thickBot="1">
      <c r="A131" s="1900"/>
      <c r="B131" s="513"/>
      <c r="C131" s="514"/>
      <c r="D131" s="514"/>
      <c r="E131" s="514"/>
      <c r="F131" s="514"/>
      <c r="G131" s="535"/>
      <c r="H131" s="535"/>
      <c r="I131" s="535"/>
      <c r="J131" s="535"/>
      <c r="K131" s="535"/>
      <c r="L131" s="535"/>
      <c r="M131" s="536"/>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4" customWidth="1"/>
    <col min="2" max="16384" width="9" style="1464"/>
  </cols>
  <sheetData>
    <row r="1" spans="1:1" ht="22.8">
      <c r="A1" s="1463" t="s">
        <v>898</v>
      </c>
    </row>
    <row r="2" spans="1:1">
      <c r="A2" s="1465"/>
    </row>
    <row r="3" spans="1:1" ht="17.399999999999999">
      <c r="A3" s="1466" t="str">
        <f>项目基本情况!B5&amp;"："</f>
        <v>：</v>
      </c>
    </row>
    <row r="4" spans="1:1" ht="17.399999999999999">
      <c r="A4" s="1467" t="str">
        <f>"受贵公司委托，我公司对"&amp;项目基本情况!S1&amp;"进行了预评估。"</f>
        <v>受贵公司委托，我公司对北京市房地产市场价值进行了预评估。</v>
      </c>
    </row>
    <row r="5" spans="1:1" ht="17.399999999999999">
      <c r="A5" s="1468" t="s">
        <v>899</v>
      </c>
    </row>
    <row r="6" spans="1:1" ht="17.399999999999999">
      <c r="A6" s="1469" t="s">
        <v>900</v>
      </c>
    </row>
    <row r="7" spans="1:1" ht="52.2">
      <c r="A7" s="1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估价对象为北京市房地产，为所有。根据《国有土地使用证》[]，估价对象（分摊）出让国有建设用地使用权面积为0平方米，建筑面积为88.78平方米。</v>
      </c>
    </row>
    <row r="8" spans="1:1" ht="54.6">
      <c r="A8" s="1470" t="s">
        <v>901</v>
      </c>
    </row>
    <row r="9" spans="1:1" ht="17.399999999999999">
      <c r="A9" s="1469" t="s">
        <v>902</v>
      </c>
    </row>
    <row r="10" spans="1:1" ht="52.2">
      <c r="A10" s="1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估价对象为北京市房地产,属开发建设的，该项目尚在开发建设中。根据《国有土地使用证》[]，估价对象（分摊）出让国有建设用地使用权面积为0平方米，规划建筑面积为88.78平方米。</v>
      </c>
    </row>
    <row r="11" spans="1:1" ht="72">
      <c r="A11" s="1470" t="s">
        <v>903</v>
      </c>
    </row>
    <row r="12" spans="1:1" ht="17.399999999999999">
      <c r="A12" s="1468" t="s">
        <v>904</v>
      </c>
    </row>
    <row r="13" spans="1:1" ht="38.25" customHeight="1">
      <c r="A13" s="1471" t="str">
        <f>IF(项目基本情况!B8="抵押",IF(项目基本情况!B5=项目基本情况!B6,定义!C51,定义!B51),定义!D51)</f>
        <v>为估价委托人了解估价对象房地产市场价值提供参考依据。</v>
      </c>
    </row>
    <row r="14" spans="1:1" ht="17.399999999999999">
      <c r="A14" s="1472" t="s">
        <v>905</v>
      </c>
    </row>
    <row r="15" spans="1:1" ht="17.399999999999999">
      <c r="A15" s="1473" t="str">
        <f>TEXT(项目基本情况!D3,"yyyy年m月d日;;")&amp;IF(项目基本情况!D3=项目基本情况!B3,"（评估专业人员实地查勘之日）","")</f>
        <v>2003年10月23日</v>
      </c>
    </row>
    <row r="16" spans="1:1" ht="17.399999999999999">
      <c r="A16" s="1472" t="s">
        <v>906</v>
      </c>
    </row>
    <row r="17" spans="1:1" ht="69.599999999999994">
      <c r="A17" s="1467" t="s">
        <v>907</v>
      </c>
    </row>
    <row r="18" spans="1:1" ht="69.599999999999994">
      <c r="A18" s="14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23日，估价对象规划用途为，土地取得方式为出让，出让国有建设用地使用权剩余土地使用年限为，假定未设立法定优先受偿款下的房地产市场价值。</v>
      </c>
    </row>
    <row r="19" spans="1:1" ht="157.5" customHeight="1">
      <c r="A19" s="14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67" t="str">
        <f>IF(项目基本情况!B9="房地产市场价值","——",IF(项目基本情况!E8="房地产抵押价值",定义!C54,IF(项目基本情况!E8="已注销",定义!C55,定义!C56)))</f>
        <v>——</v>
      </c>
    </row>
    <row r="21" spans="1:1" ht="17.399999999999999">
      <c r="A21" s="1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67" t="str">
        <f>IF(项目基本情况!B9="房地产市场价值","——",IF(项目基本情况!E9="——","",定义!C57))</f>
        <v>——</v>
      </c>
    </row>
    <row r="23" spans="1:1" ht="17.399999999999999">
      <c r="A23" s="1472" t="s">
        <v>896</v>
      </c>
    </row>
    <row r="24" spans="1:1" ht="17.399999999999999">
      <c r="A24" s="1474" t="str">
        <f>"本次评估采用的主估价方法为"&amp;结果表!K4&amp;"和"&amp;结果表!L4&amp;"。"</f>
        <v>本次评估采用的主估价方法为成本法和比较法。</v>
      </c>
    </row>
    <row r="25" spans="1:1" ht="17.399999999999999">
      <c r="A25" s="1474"/>
    </row>
    <row r="26" spans="1:1" ht="17.399999999999999">
      <c r="A26" s="1475" t="s">
        <v>897</v>
      </c>
    </row>
    <row r="27" spans="1:1">
      <c r="A27" s="1476"/>
    </row>
    <row r="28" spans="1:1">
      <c r="A28" s="1476"/>
    </row>
    <row r="29" spans="1:1">
      <c r="A29" s="1476"/>
    </row>
    <row r="30" spans="1:1">
      <c r="A30" s="1476"/>
    </row>
    <row r="31" spans="1:1">
      <c r="A31" s="1476"/>
    </row>
    <row r="32" spans="1:1">
      <c r="A32" s="1476"/>
    </row>
    <row r="33" spans="1:1">
      <c r="A33" s="1476"/>
    </row>
    <row r="34" spans="1:1">
      <c r="A34" s="1476"/>
    </row>
    <row r="35" spans="1:1">
      <c r="A35" s="1476"/>
    </row>
    <row r="36" spans="1:1">
      <c r="A36" s="1476"/>
    </row>
    <row r="37" spans="1:1">
      <c r="A37" s="1476"/>
    </row>
    <row r="38" spans="1:1">
      <c r="A38" s="1476"/>
    </row>
    <row r="39" spans="1:1">
      <c r="A39" s="1476"/>
    </row>
    <row r="40" spans="1:1">
      <c r="A40" s="1476"/>
    </row>
    <row r="41" spans="1:1">
      <c r="A41" s="1476"/>
    </row>
    <row r="42" spans="1:1">
      <c r="A42" s="1476"/>
    </row>
    <row r="43" spans="1:1">
      <c r="A43" s="1476"/>
    </row>
    <row r="44" spans="1:1">
      <c r="A44" s="1476"/>
    </row>
    <row r="45" spans="1:1">
      <c r="A45" s="1476"/>
    </row>
    <row r="46" spans="1:1">
      <c r="A46" s="1476"/>
    </row>
    <row r="47" spans="1:1">
      <c r="A47" s="1476"/>
    </row>
    <row r="48" spans="1:1">
      <c r="A48" s="1476"/>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66406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896"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929" t="s">
        <v>1810</v>
      </c>
      <c r="C1" s="1211" t="s">
        <v>1662</v>
      </c>
      <c r="D1" s="1212"/>
      <c r="E1" s="3404"/>
      <c r="F1" s="1856"/>
      <c r="G1" s="1222" t="s">
        <v>1767</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IF(E1="项目模式",IF(C2="——",ROUND(C50*D3/10000,0),ROUND(C50*D3/10000,0)-D2),IF(E1="单套模式",IF(C2="——",ROUND(C50*D3/10000,4),ROUND(C50*D3/10000,4)-D2)))</f>
        <v>0</v>
      </c>
      <c r="C2" s="1858"/>
      <c r="D2" s="1105" t="e">
        <f ca="1">IF(E1="项目模式",SUMIF(INDIRECT("'"&amp;F2&amp;"'"&amp;"!A:A"),"承租人权益价值",INDIRECT("'"&amp;F2&amp;"'"&amp;"!c:c")),SUMIF(INDIRECT("'"&amp;F2&amp;"'"&amp;"!A:A"),"承租人权益价值（单套）",INDIRECT("'"&amp;F2&amp;"'"&amp;"!c:c")))</f>
        <v>#REF!</v>
      </c>
      <c r="E2" s="1859" t="s">
        <v>1463</v>
      </c>
      <c r="F2" s="1860"/>
      <c r="G2" s="898"/>
      <c r="H2" s="898"/>
      <c r="I2" s="898"/>
      <c r="J2" s="898"/>
      <c r="K2" s="898"/>
      <c r="L2" s="2705"/>
      <c r="M2" s="2706"/>
      <c r="N2" s="2706"/>
      <c r="O2" s="2706"/>
      <c r="P2" s="691"/>
      <c r="Q2" s="691"/>
      <c r="R2" s="691"/>
      <c r="S2" s="691"/>
      <c r="T2" s="691"/>
      <c r="U2" s="691"/>
      <c r="V2" s="691"/>
      <c r="W2" s="691"/>
      <c r="X2" s="691"/>
      <c r="Y2" s="691"/>
      <c r="Z2" s="691"/>
      <c r="AA2" s="691"/>
      <c r="AB2" s="691"/>
      <c r="AC2" s="692"/>
    </row>
    <row r="3" spans="1:29" s="347" customFormat="1" ht="28.5" customHeight="1" thickBot="1">
      <c r="A3" s="198" t="s">
        <v>1464</v>
      </c>
      <c r="B3" s="550">
        <f>IF(C2="——",C50,ROUND(B2*10000/D3,0))</f>
        <v>0</v>
      </c>
      <c r="C3" s="349" t="s">
        <v>1768</v>
      </c>
      <c r="D3" s="348">
        <f>IF(D1="",'数据-汇总表'!E3,SUMIF('数据-汇总表'!$C19:$C33,D1,'数据-汇总表'!$E19:$E33))</f>
        <v>88.78</v>
      </c>
      <c r="E3" s="1926"/>
      <c r="F3" s="899"/>
      <c r="G3" s="898"/>
      <c r="H3" s="898"/>
      <c r="I3" s="898"/>
      <c r="J3" s="898"/>
      <c r="K3" s="900"/>
      <c r="L3" s="2705"/>
      <c r="M3" s="2706"/>
      <c r="N3" s="2706"/>
      <c r="O3" s="2706"/>
      <c r="P3" s="691"/>
      <c r="Q3" s="691"/>
      <c r="R3" s="691"/>
      <c r="S3" s="691"/>
      <c r="T3" s="691"/>
      <c r="U3" s="691"/>
      <c r="V3" s="691"/>
      <c r="W3" s="691"/>
      <c r="X3" s="691"/>
      <c r="Y3" s="691"/>
      <c r="Z3" s="691"/>
      <c r="AA3" s="691"/>
      <c r="AB3" s="691"/>
      <c r="AC3" s="692"/>
    </row>
    <row r="4" spans="1:29" ht="14.4">
      <c r="A4" s="350" t="s">
        <v>1769</v>
      </c>
      <c r="B4" s="351"/>
      <c r="C4" s="4213" t="s">
        <v>1770</v>
      </c>
      <c r="D4" s="4214"/>
      <c r="E4" s="4215" t="s">
        <v>1771</v>
      </c>
      <c r="F4" s="4216"/>
      <c r="G4" s="4213" t="s">
        <v>1772</v>
      </c>
      <c r="H4" s="4214"/>
      <c r="I4" s="4213" t="s">
        <v>1773</v>
      </c>
      <c r="J4" s="4214"/>
      <c r="K4" s="551" t="s">
        <v>1774</v>
      </c>
      <c r="L4" s="2686"/>
      <c r="M4" s="2687"/>
      <c r="N4" s="2687"/>
      <c r="O4" s="2687"/>
      <c r="P4" s="4231" t="s">
        <v>1775</v>
      </c>
      <c r="Q4" s="4232"/>
      <c r="R4" s="4235" t="s">
        <v>1771</v>
      </c>
      <c r="S4" s="4236"/>
      <c r="T4" s="4235" t="s">
        <v>1772</v>
      </c>
      <c r="U4" s="4236"/>
      <c r="V4" s="4237" t="s">
        <v>1773</v>
      </c>
      <c r="W4" s="4237"/>
      <c r="X4" s="1930"/>
      <c r="Y4" s="4235" t="s">
        <v>1775</v>
      </c>
      <c r="Z4" s="4236"/>
      <c r="AA4" s="4239" t="s">
        <v>1771</v>
      </c>
      <c r="AB4" s="4239" t="s">
        <v>1772</v>
      </c>
      <c r="AC4" s="4228" t="s">
        <v>1773</v>
      </c>
    </row>
    <row r="5" spans="1:29">
      <c r="A5" s="353"/>
      <c r="B5" s="354"/>
      <c r="C5" s="4219" t="s">
        <v>1673</v>
      </c>
      <c r="D5" s="4220"/>
      <c r="E5" s="4223" t="s">
        <v>1674</v>
      </c>
      <c r="F5" s="4224"/>
      <c r="G5" s="4219" t="s">
        <v>1675</v>
      </c>
      <c r="H5" s="4220"/>
      <c r="I5" s="4219" t="s">
        <v>1676</v>
      </c>
      <c r="J5" s="4220"/>
      <c r="K5" s="551"/>
      <c r="L5" s="2686"/>
      <c r="M5" s="2687"/>
      <c r="N5" s="2687"/>
      <c r="O5" s="2687"/>
      <c r="P5" s="4233"/>
      <c r="Q5" s="4189"/>
      <c r="R5" s="4194"/>
      <c r="S5" s="4195"/>
      <c r="T5" s="4194"/>
      <c r="U5" s="4195"/>
      <c r="V5" s="4198"/>
      <c r="W5" s="4198"/>
      <c r="X5" s="1342"/>
      <c r="Y5" s="4194"/>
      <c r="Z5" s="4195"/>
      <c r="AA5" s="4180"/>
      <c r="AB5" s="4180"/>
      <c r="AC5" s="4229"/>
    </row>
    <row r="6" spans="1:29" ht="15" thickBot="1">
      <c r="A6" s="355"/>
      <c r="B6" s="356"/>
      <c r="C6" s="4217" t="s">
        <v>1677</v>
      </c>
      <c r="D6" s="4218"/>
      <c r="E6" s="4221" t="s">
        <v>1677</v>
      </c>
      <c r="F6" s="4222"/>
      <c r="G6" s="4217" t="s">
        <v>1677</v>
      </c>
      <c r="H6" s="4218"/>
      <c r="I6" s="4217" t="s">
        <v>1677</v>
      </c>
      <c r="J6" s="4218"/>
      <c r="K6" s="551" t="s">
        <v>1678</v>
      </c>
      <c r="L6" s="2686"/>
      <c r="M6" s="2687"/>
      <c r="N6" s="2687"/>
      <c r="O6" s="2687"/>
      <c r="P6" s="4234"/>
      <c r="Q6" s="4191"/>
      <c r="R6" s="4194"/>
      <c r="S6" s="4195"/>
      <c r="T6" s="4196"/>
      <c r="U6" s="4197"/>
      <c r="V6" s="4198"/>
      <c r="W6" s="4198"/>
      <c r="X6" s="1342"/>
      <c r="Y6" s="4196"/>
      <c r="Z6" s="4197"/>
      <c r="AA6" s="4181"/>
      <c r="AB6" s="4181"/>
      <c r="AC6" s="4230"/>
    </row>
    <row r="7" spans="1:29" s="108" customFormat="1" ht="15" thickBot="1">
      <c r="A7" s="357" t="s">
        <v>1679</v>
      </c>
      <c r="B7" s="358"/>
      <c r="C7" s="359">
        <f>'数据-取费表'!B2</f>
        <v>37917</v>
      </c>
      <c r="D7" s="360">
        <v>100</v>
      </c>
      <c r="E7" s="361"/>
      <c r="F7" s="362">
        <f>SUMIF(59:59,YEAR(E7)&amp;"-"&amp;MONTH(E7),60:60)</f>
        <v>0</v>
      </c>
      <c r="G7" s="361"/>
      <c r="H7" s="360">
        <f>SUMIF(59:59,YEAR(G7)&amp;"-"&amp;MONTH(G7),60:60)</f>
        <v>0</v>
      </c>
      <c r="I7" s="361"/>
      <c r="J7" s="360">
        <f>SUMIF(59:59,YEAR(I7)&amp;"-"&amp;MONTH(I7),60:60)</f>
        <v>0</v>
      </c>
      <c r="K7" s="552"/>
      <c r="L7" s="2688"/>
      <c r="M7" s="2689"/>
      <c r="N7" s="2689"/>
      <c r="O7" s="2689"/>
      <c r="P7" s="4238" t="s">
        <v>1680</v>
      </c>
      <c r="Q7" s="4205"/>
      <c r="R7" s="693" t="s">
        <v>14</v>
      </c>
      <c r="S7" s="694">
        <f t="shared" ref="S7:S15" si="0">F7</f>
        <v>0</v>
      </c>
      <c r="T7" s="693" t="s">
        <v>14</v>
      </c>
      <c r="U7" s="694">
        <f t="shared" ref="U7:U15" si="1">H7</f>
        <v>0</v>
      </c>
      <c r="V7" s="693" t="s">
        <v>14</v>
      </c>
      <c r="W7" s="694">
        <f t="shared" ref="W7:W15" si="2">J7</f>
        <v>0</v>
      </c>
      <c r="X7" s="695"/>
      <c r="Y7" s="4203" t="s">
        <v>1680</v>
      </c>
      <c r="Z7" s="4204"/>
      <c r="AA7" s="696" t="e">
        <f>D7/F7</f>
        <v>#DIV/0!</v>
      </c>
      <c r="AB7" s="696" t="e">
        <f>D7/H7</f>
        <v>#DIV/0!</v>
      </c>
      <c r="AC7" s="1931" t="e">
        <f>D7/J7</f>
        <v>#DIV/0!</v>
      </c>
    </row>
    <row r="8" spans="1:29" s="108" customFormat="1" ht="1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2"/>
      <c r="L8" s="2688"/>
      <c r="M8" s="2689"/>
      <c r="N8" s="2689"/>
      <c r="O8" s="2689"/>
      <c r="P8" s="4238" t="s">
        <v>1683</v>
      </c>
      <c r="Q8" s="4204"/>
      <c r="R8" s="693" t="s">
        <v>14</v>
      </c>
      <c r="S8" s="694">
        <f t="shared" si="0"/>
        <v>100</v>
      </c>
      <c r="T8" s="693" t="s">
        <v>14</v>
      </c>
      <c r="U8" s="694">
        <f t="shared" si="1"/>
        <v>100</v>
      </c>
      <c r="V8" s="693" t="s">
        <v>14</v>
      </c>
      <c r="W8" s="694">
        <f t="shared" si="2"/>
        <v>100</v>
      </c>
      <c r="X8" s="695"/>
      <c r="Y8" s="4203" t="s">
        <v>1683</v>
      </c>
      <c r="Z8" s="4204"/>
      <c r="AA8" s="696">
        <f t="shared" ref="AA8:AA47" si="3">D8/F8</f>
        <v>1</v>
      </c>
      <c r="AB8" s="696">
        <f t="shared" ref="AB8:AB47" si="4">D8/H8</f>
        <v>1</v>
      </c>
      <c r="AC8" s="1931">
        <f t="shared" ref="AC8:AC47" si="5">D8/J8</f>
        <v>1</v>
      </c>
    </row>
    <row r="9" spans="1:29" s="108" customFormat="1" ht="14.4">
      <c r="A9" s="364" t="s">
        <v>1684</v>
      </c>
      <c r="B9" s="63" t="s">
        <v>1685</v>
      </c>
      <c r="C9" s="365"/>
      <c r="D9" s="126">
        <v>100</v>
      </c>
      <c r="E9" s="368"/>
      <c r="F9" s="126">
        <f>SUMIF(64:64,E9,65:65)-SUMIF(64:64,C9,65:65)+100</f>
        <v>100</v>
      </c>
      <c r="G9" s="366"/>
      <c r="H9" s="126">
        <f>SUMIF(64:64,G9,65:65)-SUMIF(64:64,C9,65:65)+100</f>
        <v>100</v>
      </c>
      <c r="I9" s="366"/>
      <c r="J9" s="126">
        <f>SUMIF(64:64,I9,65:65)-SUMIF(64:64,C9,65:65)+100</f>
        <v>100</v>
      </c>
      <c r="K9" s="552"/>
      <c r="L9" s="2688"/>
      <c r="M9" s="2689"/>
      <c r="N9" s="2689"/>
      <c r="O9" s="2689"/>
      <c r="P9" s="4177" t="s">
        <v>1686</v>
      </c>
      <c r="Q9" s="1330" t="str">
        <f t="shared" ref="Q9:Q15" si="6">B9</f>
        <v>用途</v>
      </c>
      <c r="R9" s="693" t="s">
        <v>14</v>
      </c>
      <c r="S9" s="694">
        <f t="shared" si="0"/>
        <v>100</v>
      </c>
      <c r="T9" s="693" t="s">
        <v>14</v>
      </c>
      <c r="U9" s="694">
        <f t="shared" si="1"/>
        <v>100</v>
      </c>
      <c r="V9" s="693" t="s">
        <v>14</v>
      </c>
      <c r="W9" s="694">
        <f t="shared" si="2"/>
        <v>100</v>
      </c>
      <c r="X9" s="695"/>
      <c r="Y9" s="4178" t="s">
        <v>1687</v>
      </c>
      <c r="Z9" s="52" t="str">
        <f t="shared" ref="Z9:Z15" si="7">Q9</f>
        <v>用途</v>
      </c>
      <c r="AA9" s="696">
        <f t="shared" si="3"/>
        <v>1</v>
      </c>
      <c r="AB9" s="696">
        <f t="shared" si="4"/>
        <v>1</v>
      </c>
      <c r="AC9" s="1931">
        <f t="shared" si="5"/>
        <v>1</v>
      </c>
    </row>
    <row r="10" spans="1:29" s="373" customFormat="1" ht="28.8">
      <c r="A10" s="369"/>
      <c r="B10" s="370" t="s">
        <v>1688</v>
      </c>
      <c r="C10" s="3405"/>
      <c r="D10" s="127">
        <v>100</v>
      </c>
      <c r="E10" s="3405"/>
      <c r="F10" s="127">
        <f>SUMIF(66:66,E10,67:67)-SUMIF(66:66,C10,67:67)+100</f>
        <v>100</v>
      </c>
      <c r="G10" s="3406"/>
      <c r="H10" s="127">
        <f>SUMIF(66:66,G10,67:67)-SUMIF(66:66,C10,67:67)+100</f>
        <v>100</v>
      </c>
      <c r="I10" s="3405"/>
      <c r="J10" s="127">
        <f>SUMIF(66:66,I10,67:67)-SUMIF(66:66,C10,67:67)+100</f>
        <v>100</v>
      </c>
      <c r="K10" s="552"/>
      <c r="L10" s="2690"/>
      <c r="M10" s="2691"/>
      <c r="N10" s="2691"/>
      <c r="O10" s="2691"/>
      <c r="P10" s="4177"/>
      <c r="Q10" s="1330" t="str">
        <f t="shared" si="6"/>
        <v>土地使用年限（年）</v>
      </c>
      <c r="R10" s="693" t="s">
        <v>14</v>
      </c>
      <c r="S10" s="694">
        <f t="shared" si="0"/>
        <v>100</v>
      </c>
      <c r="T10" s="693" t="s">
        <v>14</v>
      </c>
      <c r="U10" s="694">
        <f t="shared" si="1"/>
        <v>100</v>
      </c>
      <c r="V10" s="693" t="s">
        <v>14</v>
      </c>
      <c r="W10" s="694">
        <f t="shared" si="2"/>
        <v>100</v>
      </c>
      <c r="X10" s="695"/>
      <c r="Y10" s="4178"/>
      <c r="Z10" s="52" t="str">
        <f t="shared" si="7"/>
        <v>土地使用年限（年）</v>
      </c>
      <c r="AA10" s="696">
        <f t="shared" si="3"/>
        <v>1</v>
      </c>
      <c r="AB10" s="696">
        <f t="shared" si="4"/>
        <v>1</v>
      </c>
      <c r="AC10" s="1931">
        <f t="shared" si="5"/>
        <v>1</v>
      </c>
    </row>
    <row r="11" spans="1:29" ht="15">
      <c r="A11" s="374"/>
      <c r="B11" s="370" t="s">
        <v>1689</v>
      </c>
      <c r="C11" s="375"/>
      <c r="D11" s="127">
        <v>100</v>
      </c>
      <c r="E11" s="375"/>
      <c r="F11" s="127">
        <f>LOOKUP(E11,69:69,70:70)-LOOKUP(C11,69:69,70:70)+100</f>
        <v>100</v>
      </c>
      <c r="G11" s="376"/>
      <c r="H11" s="127">
        <f>LOOKUP(G11,69:69,70:70)-LOOKUP(C11,69:69,70:70)+100</f>
        <v>100</v>
      </c>
      <c r="I11" s="375"/>
      <c r="J11" s="127">
        <f>LOOKUP(I11,69:69,70:70)-LOOKUP(C11,69:69,70:70)+100</f>
        <v>100</v>
      </c>
      <c r="K11" s="553"/>
      <c r="L11" s="2692"/>
      <c r="M11" s="2687"/>
      <c r="N11" s="2687"/>
      <c r="O11" s="2687"/>
      <c r="P11" s="4177"/>
      <c r="Q11" s="1330" t="str">
        <f t="shared" si="6"/>
        <v>容积率</v>
      </c>
      <c r="R11" s="693" t="s">
        <v>14</v>
      </c>
      <c r="S11" s="694">
        <f t="shared" si="0"/>
        <v>100</v>
      </c>
      <c r="T11" s="693" t="s">
        <v>14</v>
      </c>
      <c r="U11" s="694">
        <f t="shared" si="1"/>
        <v>100</v>
      </c>
      <c r="V11" s="693" t="s">
        <v>14</v>
      </c>
      <c r="W11" s="694">
        <f t="shared" si="2"/>
        <v>100</v>
      </c>
      <c r="X11" s="695"/>
      <c r="Y11" s="4178"/>
      <c r="Z11" s="52" t="str">
        <f t="shared" si="7"/>
        <v>容积率</v>
      </c>
      <c r="AA11" s="696">
        <f t="shared" si="3"/>
        <v>1</v>
      </c>
      <c r="AB11" s="696">
        <f t="shared" si="4"/>
        <v>1</v>
      </c>
      <c r="AC11" s="1931">
        <f t="shared" si="5"/>
        <v>1</v>
      </c>
    </row>
    <row r="12" spans="1:29" s="108" customFormat="1" ht="15">
      <c r="A12" s="377"/>
      <c r="B12" s="1868">
        <v>111</v>
      </c>
      <c r="C12" s="378"/>
      <c r="D12" s="379">
        <v>100</v>
      </c>
      <c r="E12" s="378"/>
      <c r="F12" s="127">
        <f>SUMIF(71:71,E12,72:72)-SUMIF(71:71,C12,72:72)+100</f>
        <v>100</v>
      </c>
      <c r="G12" s="1932"/>
      <c r="H12" s="127">
        <f>SUMIF(71:71,G12,72:72)-SUMIF(71:71,C12,72:72)+100</f>
        <v>100</v>
      </c>
      <c r="I12" s="378"/>
      <c r="J12" s="127">
        <f>SUMIF(71:71,I12,72:72)-SUMIF(71:71,C12,72:72)+100</f>
        <v>100</v>
      </c>
      <c r="K12" s="554"/>
      <c r="L12" s="2688"/>
      <c r="M12" s="2689"/>
      <c r="N12" s="2689"/>
      <c r="O12" s="2689"/>
      <c r="P12" s="4177"/>
      <c r="Q12" s="1330">
        <f t="shared" si="6"/>
        <v>111</v>
      </c>
      <c r="R12" s="693" t="s">
        <v>14</v>
      </c>
      <c r="S12" s="694">
        <f t="shared" si="0"/>
        <v>100</v>
      </c>
      <c r="T12" s="693" t="s">
        <v>14</v>
      </c>
      <c r="U12" s="694">
        <f t="shared" si="1"/>
        <v>100</v>
      </c>
      <c r="V12" s="693" t="s">
        <v>14</v>
      </c>
      <c r="W12" s="694">
        <f t="shared" si="2"/>
        <v>100</v>
      </c>
      <c r="X12" s="695"/>
      <c r="Y12" s="4178"/>
      <c r="Z12" s="52">
        <f t="shared" si="7"/>
        <v>111</v>
      </c>
      <c r="AA12" s="696">
        <f>D12/F12</f>
        <v>1</v>
      </c>
      <c r="AB12" s="696">
        <f>D12/H12</f>
        <v>1</v>
      </c>
      <c r="AC12" s="1931">
        <f>D12/J12</f>
        <v>1</v>
      </c>
    </row>
    <row r="13" spans="1:29" ht="15">
      <c r="A13" s="374"/>
      <c r="B13" s="1868">
        <v>111</v>
      </c>
      <c r="C13" s="380"/>
      <c r="D13" s="381">
        <v>100</v>
      </c>
      <c r="E13" s="378"/>
      <c r="F13" s="127">
        <f>SUMIF(73:73,E13,74:74)-SUMIF(73:73,C13,74:74)+100</f>
        <v>100</v>
      </c>
      <c r="G13" s="1932"/>
      <c r="H13" s="381">
        <f>SUMIF(73:73,G13,74:74)-SUMIF(73:73,C13,74:74)+100</f>
        <v>100</v>
      </c>
      <c r="I13" s="378"/>
      <c r="J13" s="381">
        <f>SUMIF(73:73,I13,74:74)-SUMIF(73:73,C13,74:74)+100</f>
        <v>100</v>
      </c>
      <c r="K13" s="554"/>
      <c r="L13" s="2693"/>
      <c r="M13" s="2687"/>
      <c r="N13" s="2687"/>
      <c r="O13" s="2687"/>
      <c r="P13" s="4177"/>
      <c r="Q13" s="1330">
        <f t="shared" si="6"/>
        <v>111</v>
      </c>
      <c r="R13" s="693" t="s">
        <v>14</v>
      </c>
      <c r="S13" s="694">
        <f t="shared" si="0"/>
        <v>100</v>
      </c>
      <c r="T13" s="693" t="s">
        <v>14</v>
      </c>
      <c r="U13" s="694">
        <f t="shared" si="1"/>
        <v>100</v>
      </c>
      <c r="V13" s="693" t="s">
        <v>14</v>
      </c>
      <c r="W13" s="694">
        <f t="shared" si="2"/>
        <v>100</v>
      </c>
      <c r="X13" s="695"/>
      <c r="Y13" s="4178"/>
      <c r="Z13" s="52">
        <f t="shared" si="7"/>
        <v>111</v>
      </c>
      <c r="AA13" s="696">
        <f t="shared" si="3"/>
        <v>1</v>
      </c>
      <c r="AB13" s="696">
        <f t="shared" si="4"/>
        <v>1</v>
      </c>
      <c r="AC13" s="1931">
        <f t="shared" si="5"/>
        <v>1</v>
      </c>
    </row>
    <row r="14" spans="1:29" ht="15.6" thickBot="1">
      <c r="A14" s="382"/>
      <c r="B14" s="1870">
        <v>111</v>
      </c>
      <c r="C14" s="383"/>
      <c r="D14" s="384">
        <v>100</v>
      </c>
      <c r="E14" s="568"/>
      <c r="F14" s="384">
        <f>SUMIF(75:75,E14,76:76)-SUMIF(75:75,C14,76:76)+100</f>
        <v>100</v>
      </c>
      <c r="G14" s="1932"/>
      <c r="H14" s="384">
        <f>SUMIF(75:75,G14,76:76)-SUMIF(75:75,C14,76:76)+100</f>
        <v>100</v>
      </c>
      <c r="I14" s="378"/>
      <c r="J14" s="384">
        <f>SUMIF(75:75,I14,76:76)-SUMIF(75:75,C14,76:76)+100</f>
        <v>100</v>
      </c>
      <c r="K14" s="554"/>
      <c r="L14" s="2693"/>
      <c r="M14" s="2687"/>
      <c r="N14" s="2687"/>
      <c r="O14" s="2687"/>
      <c r="P14" s="4177"/>
      <c r="Q14" s="1330">
        <f t="shared" si="6"/>
        <v>111</v>
      </c>
      <c r="R14" s="693" t="s">
        <v>14</v>
      </c>
      <c r="S14" s="694">
        <f t="shared" si="0"/>
        <v>100</v>
      </c>
      <c r="T14" s="693" t="s">
        <v>14</v>
      </c>
      <c r="U14" s="694">
        <f t="shared" si="1"/>
        <v>100</v>
      </c>
      <c r="V14" s="693" t="s">
        <v>14</v>
      </c>
      <c r="W14" s="694">
        <f t="shared" si="2"/>
        <v>100</v>
      </c>
      <c r="X14" s="695"/>
      <c r="Y14" s="4178"/>
      <c r="Z14" s="52">
        <f t="shared" si="7"/>
        <v>111</v>
      </c>
      <c r="AA14" s="696">
        <f t="shared" si="3"/>
        <v>1</v>
      </c>
      <c r="AB14" s="696">
        <f t="shared" si="4"/>
        <v>1</v>
      </c>
      <c r="AC14" s="1931">
        <f t="shared" si="5"/>
        <v>1</v>
      </c>
    </row>
    <row r="15" spans="1:29" ht="69">
      <c r="A15" s="386" t="s">
        <v>1690</v>
      </c>
      <c r="B15" s="569" t="s">
        <v>1811</v>
      </c>
      <c r="C15" s="1933"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5"/>
      <c r="L15" s="2693"/>
      <c r="M15" s="2687"/>
      <c r="N15" s="2687"/>
      <c r="O15" s="2687"/>
      <c r="P15" s="4175" t="s">
        <v>1691</v>
      </c>
      <c r="Q15" s="1339" t="str">
        <f t="shared" si="6"/>
        <v>办公集聚程度</v>
      </c>
      <c r="R15" s="697" t="s">
        <v>14</v>
      </c>
      <c r="S15" s="698">
        <f t="shared" si="0"/>
        <v>100</v>
      </c>
      <c r="T15" s="697" t="s">
        <v>14</v>
      </c>
      <c r="U15" s="698">
        <f t="shared" si="1"/>
        <v>100</v>
      </c>
      <c r="V15" s="697" t="s">
        <v>14</v>
      </c>
      <c r="W15" s="698">
        <f t="shared" si="2"/>
        <v>100</v>
      </c>
      <c r="X15" s="1342"/>
      <c r="Y15" s="4168" t="s">
        <v>1691</v>
      </c>
      <c r="Z15" s="1343" t="str">
        <f t="shared" si="7"/>
        <v>办公集聚程度</v>
      </c>
      <c r="AA15" s="1340">
        <f t="shared" si="3"/>
        <v>1</v>
      </c>
      <c r="AB15" s="1340">
        <f t="shared" si="4"/>
        <v>1</v>
      </c>
      <c r="AC15" s="1934">
        <f t="shared" si="5"/>
        <v>1</v>
      </c>
    </row>
    <row r="16" spans="1:29" ht="15">
      <c r="A16" s="374"/>
      <c r="B16" s="570"/>
      <c r="C16" s="1879"/>
      <c r="D16" s="394"/>
      <c r="E16" s="393"/>
      <c r="F16" s="394"/>
      <c r="G16" s="1879"/>
      <c r="H16" s="396"/>
      <c r="I16" s="393"/>
      <c r="J16" s="394"/>
      <c r="K16" s="556"/>
      <c r="L16" s="2693"/>
      <c r="M16" s="2687"/>
      <c r="N16" s="2687"/>
      <c r="O16" s="2687"/>
      <c r="P16" s="4176"/>
      <c r="Q16" s="1339"/>
      <c r="R16" s="697"/>
      <c r="S16" s="698"/>
      <c r="T16" s="697"/>
      <c r="U16" s="698"/>
      <c r="V16" s="697"/>
      <c r="W16" s="698"/>
      <c r="X16" s="1342"/>
      <c r="Y16" s="4169"/>
      <c r="Z16" s="1343"/>
      <c r="AA16" s="1340">
        <v>1</v>
      </c>
      <c r="AB16" s="1340">
        <v>1</v>
      </c>
      <c r="AC16" s="1934">
        <v>1</v>
      </c>
    </row>
    <row r="17" spans="1:29" ht="82.8">
      <c r="A17" s="374"/>
      <c r="B17" s="571" t="s">
        <v>1259</v>
      </c>
      <c r="C17" s="1935"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5"/>
      <c r="L17" s="2693"/>
      <c r="M17" s="2687"/>
      <c r="N17" s="2687"/>
      <c r="O17" s="2687"/>
      <c r="P17" s="4176"/>
      <c r="Q17" s="1339" t="str">
        <f>B17</f>
        <v>交通便捷度</v>
      </c>
      <c r="R17" s="697" t="s">
        <v>14</v>
      </c>
      <c r="S17" s="698">
        <f>F17</f>
        <v>100</v>
      </c>
      <c r="T17" s="697" t="s">
        <v>14</v>
      </c>
      <c r="U17" s="698">
        <f>H17</f>
        <v>100</v>
      </c>
      <c r="V17" s="697" t="s">
        <v>14</v>
      </c>
      <c r="W17" s="698">
        <f>J17</f>
        <v>100</v>
      </c>
      <c r="X17" s="1342"/>
      <c r="Y17" s="4169"/>
      <c r="Z17" s="1343" t="str">
        <f>Q17</f>
        <v>交通便捷度</v>
      </c>
      <c r="AA17" s="1340">
        <f t="shared" si="3"/>
        <v>1</v>
      </c>
      <c r="AB17" s="1340">
        <f t="shared" si="4"/>
        <v>1</v>
      </c>
      <c r="AC17" s="1934">
        <f t="shared" si="5"/>
        <v>1</v>
      </c>
    </row>
    <row r="18" spans="1:29" ht="15">
      <c r="A18" s="374"/>
      <c r="B18" s="572"/>
      <c r="C18" s="1936"/>
      <c r="D18" s="396"/>
      <c r="E18" s="1877"/>
      <c r="F18" s="396"/>
      <c r="G18" s="1878"/>
      <c r="H18" s="394"/>
      <c r="I18" s="1878"/>
      <c r="J18" s="394"/>
      <c r="K18" s="556"/>
      <c r="L18" s="2693"/>
      <c r="M18" s="2687"/>
      <c r="N18" s="2687"/>
      <c r="O18" s="2687"/>
      <c r="P18" s="4176"/>
      <c r="Q18" s="1339"/>
      <c r="R18" s="697"/>
      <c r="S18" s="698"/>
      <c r="T18" s="697"/>
      <c r="U18" s="698"/>
      <c r="V18" s="697"/>
      <c r="W18" s="698"/>
      <c r="X18" s="1342"/>
      <c r="Y18" s="4169"/>
      <c r="Z18" s="1343"/>
      <c r="AA18" s="1340">
        <v>1</v>
      </c>
      <c r="AB18" s="1340">
        <v>1</v>
      </c>
      <c r="AC18" s="1934">
        <v>1</v>
      </c>
    </row>
    <row r="19" spans="1:29" ht="41.4">
      <c r="A19" s="374"/>
      <c r="B19" s="571" t="s">
        <v>1812</v>
      </c>
      <c r="C19" s="1935"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5"/>
      <c r="L19" s="2693"/>
      <c r="M19" s="2687"/>
      <c r="N19" s="2687"/>
      <c r="O19" s="2687"/>
      <c r="P19" s="4176"/>
      <c r="Q19" s="1339" t="str">
        <f>B19</f>
        <v>公共配套设施</v>
      </c>
      <c r="R19" s="697" t="s">
        <v>14</v>
      </c>
      <c r="S19" s="698">
        <f>F19</f>
        <v>100</v>
      </c>
      <c r="T19" s="697" t="s">
        <v>14</v>
      </c>
      <c r="U19" s="698">
        <f>H19</f>
        <v>100</v>
      </c>
      <c r="V19" s="697" t="s">
        <v>14</v>
      </c>
      <c r="W19" s="698">
        <f>J19</f>
        <v>100</v>
      </c>
      <c r="X19" s="1342"/>
      <c r="Y19" s="4169"/>
      <c r="Z19" s="1343" t="str">
        <f>Q19</f>
        <v>公共配套设施</v>
      </c>
      <c r="AA19" s="1340">
        <f t="shared" si="3"/>
        <v>1</v>
      </c>
      <c r="AB19" s="1340">
        <f t="shared" si="4"/>
        <v>1</v>
      </c>
      <c r="AC19" s="1934">
        <f t="shared" si="5"/>
        <v>1</v>
      </c>
    </row>
    <row r="20" spans="1:29" ht="15">
      <c r="A20" s="374"/>
      <c r="B20" s="572"/>
      <c r="C20" s="1879"/>
      <c r="D20" s="394"/>
      <c r="E20" s="1872"/>
      <c r="F20" s="394"/>
      <c r="G20" s="1873"/>
      <c r="H20" s="394"/>
      <c r="I20" s="1873"/>
      <c r="J20" s="394"/>
      <c r="K20" s="556"/>
      <c r="L20" s="2693"/>
      <c r="M20" s="2687"/>
      <c r="N20" s="2687"/>
      <c r="O20" s="2687"/>
      <c r="P20" s="4176"/>
      <c r="Q20" s="1339"/>
      <c r="R20" s="697"/>
      <c r="S20" s="698"/>
      <c r="T20" s="697"/>
      <c r="U20" s="698"/>
      <c r="V20" s="697"/>
      <c r="W20" s="698"/>
      <c r="X20" s="1342"/>
      <c r="Y20" s="4169"/>
      <c r="Z20" s="1343"/>
      <c r="AA20" s="1340">
        <v>1</v>
      </c>
      <c r="AB20" s="1340">
        <v>1</v>
      </c>
      <c r="AC20" s="1934">
        <v>1</v>
      </c>
    </row>
    <row r="21" spans="1:29" ht="27.6">
      <c r="A21" s="374"/>
      <c r="B21" s="573" t="s">
        <v>1813</v>
      </c>
      <c r="C21" s="1935"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5"/>
      <c r="L21" s="2693"/>
      <c r="M21" s="2687"/>
      <c r="N21" s="2687"/>
      <c r="O21" s="2687"/>
      <c r="P21" s="4176"/>
      <c r="Q21" s="1339" t="str">
        <f>B21</f>
        <v>基础设施水平</v>
      </c>
      <c r="R21" s="697" t="s">
        <v>14</v>
      </c>
      <c r="S21" s="698">
        <f>F21</f>
        <v>100</v>
      </c>
      <c r="T21" s="697" t="s">
        <v>14</v>
      </c>
      <c r="U21" s="698">
        <f>H21</f>
        <v>100</v>
      </c>
      <c r="V21" s="697" t="s">
        <v>14</v>
      </c>
      <c r="W21" s="698">
        <f>J21</f>
        <v>100</v>
      </c>
      <c r="X21" s="1342"/>
      <c r="Y21" s="4169"/>
      <c r="Z21" s="1343" t="str">
        <f>Q21</f>
        <v>基础设施水平</v>
      </c>
      <c r="AA21" s="1340">
        <f t="shared" ref="AA21" si="8">D21/F21</f>
        <v>1</v>
      </c>
      <c r="AB21" s="1340">
        <f t="shared" ref="AB21" si="9">D21/H21</f>
        <v>1</v>
      </c>
      <c r="AC21" s="1934">
        <f t="shared" ref="AC21" si="10">D21/J21</f>
        <v>1</v>
      </c>
    </row>
    <row r="22" spans="1:29" ht="15">
      <c r="A22" s="374"/>
      <c r="B22" s="573"/>
      <c r="C22" s="1936"/>
      <c r="D22" s="394"/>
      <c r="E22" s="393"/>
      <c r="F22" s="394"/>
      <c r="G22" s="1879"/>
      <c r="H22" s="394"/>
      <c r="I22" s="1879"/>
      <c r="J22" s="394"/>
      <c r="K22" s="1118"/>
      <c r="L22" s="2693"/>
      <c r="M22" s="2687"/>
      <c r="N22" s="2687"/>
      <c r="O22" s="2687"/>
      <c r="P22" s="4176"/>
      <c r="Q22" s="1339"/>
      <c r="R22" s="697"/>
      <c r="S22" s="698"/>
      <c r="T22" s="697"/>
      <c r="U22" s="698"/>
      <c r="V22" s="697"/>
      <c r="W22" s="698"/>
      <c r="X22" s="1342"/>
      <c r="Y22" s="4169"/>
      <c r="Z22" s="1343"/>
      <c r="AA22" s="1340">
        <v>1</v>
      </c>
      <c r="AB22" s="1340">
        <v>1</v>
      </c>
      <c r="AC22" s="1934">
        <v>1</v>
      </c>
    </row>
    <row r="23" spans="1:29" ht="55.2">
      <c r="A23" s="374"/>
      <c r="B23" s="571" t="s">
        <v>1814</v>
      </c>
      <c r="C23" s="1935"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5"/>
      <c r="L23" s="2693"/>
      <c r="M23" s="2687"/>
      <c r="N23" s="2687"/>
      <c r="O23" s="2687"/>
      <c r="P23" s="4176"/>
      <c r="Q23" s="1339" t="str">
        <f>B23</f>
        <v>环境质量</v>
      </c>
      <c r="R23" s="697" t="s">
        <v>14</v>
      </c>
      <c r="S23" s="698">
        <f>F23</f>
        <v>100</v>
      </c>
      <c r="T23" s="697" t="s">
        <v>14</v>
      </c>
      <c r="U23" s="698">
        <f>H23</f>
        <v>100</v>
      </c>
      <c r="V23" s="697" t="s">
        <v>14</v>
      </c>
      <c r="W23" s="698">
        <f>J23</f>
        <v>100</v>
      </c>
      <c r="X23" s="1342"/>
      <c r="Y23" s="4169"/>
      <c r="Z23" s="1343" t="str">
        <f>Q23</f>
        <v>环境质量</v>
      </c>
      <c r="AA23" s="1340">
        <f t="shared" si="3"/>
        <v>1</v>
      </c>
      <c r="AB23" s="1340">
        <f t="shared" si="4"/>
        <v>1</v>
      </c>
      <c r="AC23" s="1934">
        <f t="shared" si="5"/>
        <v>1</v>
      </c>
    </row>
    <row r="24" spans="1:29" ht="15">
      <c r="A24" s="374"/>
      <c r="B24" s="573"/>
      <c r="C24" s="1879"/>
      <c r="D24" s="394"/>
      <c r="E24" s="1872"/>
      <c r="F24" s="394"/>
      <c r="G24" s="1873"/>
      <c r="H24" s="394"/>
      <c r="I24" s="1873"/>
      <c r="J24" s="394"/>
      <c r="K24" s="556"/>
      <c r="L24" s="2693"/>
      <c r="M24" s="2687"/>
      <c r="N24" s="2687"/>
      <c r="O24" s="2687"/>
      <c r="P24" s="4176"/>
      <c r="Q24" s="1339"/>
      <c r="R24" s="697"/>
      <c r="S24" s="698"/>
      <c r="T24" s="697"/>
      <c r="U24" s="698"/>
      <c r="V24" s="697"/>
      <c r="W24" s="698"/>
      <c r="X24" s="1342"/>
      <c r="Y24" s="4169"/>
      <c r="Z24" s="1343"/>
      <c r="AA24" s="1340">
        <v>1</v>
      </c>
      <c r="AB24" s="1340">
        <v>1</v>
      </c>
      <c r="AC24" s="1934">
        <v>1</v>
      </c>
    </row>
    <row r="25" spans="1:29" ht="28.8">
      <c r="A25" s="353"/>
      <c r="B25" s="571" t="s">
        <v>1815</v>
      </c>
      <c r="C25" s="1882"/>
      <c r="D25" s="381">
        <v>100</v>
      </c>
      <c r="E25" s="380"/>
      <c r="F25" s="381">
        <f>SUMIF(87:87,E26,88:88)-SUMIF(87:87,C26,88:88)+100</f>
        <v>100</v>
      </c>
      <c r="G25" s="1882"/>
      <c r="H25" s="381">
        <f>SUMIF(87:87,G26,88:88)-SUMIF(87:87,C26,88:88)+100</f>
        <v>100</v>
      </c>
      <c r="I25" s="380"/>
      <c r="J25" s="381">
        <f>SUMIF(87:87,I26,88:88)-SUMIF(87:87,C26,88:88)+100</f>
        <v>100</v>
      </c>
      <c r="K25" s="555"/>
      <c r="L25" s="2693"/>
      <c r="M25" s="2687"/>
      <c r="N25" s="2687"/>
      <c r="O25" s="2687"/>
      <c r="P25" s="4176"/>
      <c r="Q25" s="1339" t="str">
        <f>B25</f>
        <v>毗邻道路的类型与等级</v>
      </c>
      <c r="R25" s="697" t="s">
        <v>14</v>
      </c>
      <c r="S25" s="698">
        <f>F25</f>
        <v>100</v>
      </c>
      <c r="T25" s="697" t="s">
        <v>14</v>
      </c>
      <c r="U25" s="698">
        <f>H25</f>
        <v>100</v>
      </c>
      <c r="V25" s="697" t="s">
        <v>14</v>
      </c>
      <c r="W25" s="698">
        <f>J25</f>
        <v>100</v>
      </c>
      <c r="X25" s="1342"/>
      <c r="Y25" s="4169"/>
      <c r="Z25" s="1343" t="str">
        <f>Q25</f>
        <v>毗邻道路的类型与等级</v>
      </c>
      <c r="AA25" s="1340">
        <f t="shared" si="3"/>
        <v>1</v>
      </c>
      <c r="AB25" s="1340">
        <f t="shared" si="4"/>
        <v>1</v>
      </c>
      <c r="AC25" s="1934">
        <f t="shared" si="5"/>
        <v>1</v>
      </c>
    </row>
    <row r="26" spans="1:29" ht="15">
      <c r="A26" s="353"/>
      <c r="B26" s="572"/>
      <c r="C26" s="574"/>
      <c r="D26" s="381"/>
      <c r="E26" s="557"/>
      <c r="F26" s="381"/>
      <c r="G26" s="574"/>
      <c r="H26" s="381"/>
      <c r="I26" s="557"/>
      <c r="J26" s="381"/>
      <c r="K26" s="556"/>
      <c r="L26" s="2693"/>
      <c r="M26" s="2687"/>
      <c r="N26" s="2687"/>
      <c r="O26" s="2687"/>
      <c r="P26" s="4176"/>
      <c r="Q26" s="1339"/>
      <c r="R26" s="697"/>
      <c r="S26" s="698"/>
      <c r="T26" s="697"/>
      <c r="U26" s="698"/>
      <c r="V26" s="697"/>
      <c r="W26" s="698"/>
      <c r="X26" s="1342"/>
      <c r="Y26" s="4169"/>
      <c r="Z26" s="1343"/>
      <c r="AA26" s="1340">
        <v>1</v>
      </c>
      <c r="AB26" s="1340">
        <v>1</v>
      </c>
      <c r="AC26" s="1934">
        <v>1</v>
      </c>
    </row>
    <row r="27" spans="1:29" ht="15">
      <c r="A27" s="374"/>
      <c r="B27" s="572" t="s">
        <v>1783</v>
      </c>
      <c r="C27" s="574"/>
      <c r="D27" s="381">
        <v>100</v>
      </c>
      <c r="E27" s="557"/>
      <c r="F27" s="381">
        <f>SUMIF(89:89,E27,90:90)-SUMIF(89:89,C27,90:90)+100</f>
        <v>100</v>
      </c>
      <c r="G27" s="574"/>
      <c r="H27" s="381">
        <f>SUMIF(89:89,G27,90:90)-SUMIF(89:89,C27,90:90)+100</f>
        <v>100</v>
      </c>
      <c r="I27" s="557"/>
      <c r="J27" s="381">
        <f>SUMIF(89:89,I27,90:90)-SUMIF(89:89,C27,90:90)+100</f>
        <v>100</v>
      </c>
      <c r="K27" s="553"/>
      <c r="L27" s="2693"/>
      <c r="M27" s="2687"/>
      <c r="N27" s="2687"/>
      <c r="O27" s="2687"/>
      <c r="P27" s="4176"/>
      <c r="Q27" s="1339" t="str">
        <f t="shared" ref="Q27:Q47" si="11">B27</f>
        <v>楼层</v>
      </c>
      <c r="R27" s="697" t="s">
        <v>14</v>
      </c>
      <c r="S27" s="698">
        <f>F27</f>
        <v>100</v>
      </c>
      <c r="T27" s="697" t="s">
        <v>14</v>
      </c>
      <c r="U27" s="698">
        <f>H27</f>
        <v>100</v>
      </c>
      <c r="V27" s="697" t="s">
        <v>14</v>
      </c>
      <c r="W27" s="698">
        <f>J27</f>
        <v>100</v>
      </c>
      <c r="X27" s="1342"/>
      <c r="Y27" s="4169"/>
      <c r="Z27" s="1343" t="str">
        <f>Q27</f>
        <v>楼层</v>
      </c>
      <c r="AA27" s="1340">
        <f t="shared" si="3"/>
        <v>1</v>
      </c>
      <c r="AB27" s="1340">
        <f t="shared" si="4"/>
        <v>1</v>
      </c>
      <c r="AC27" s="1934">
        <f t="shared" si="5"/>
        <v>1</v>
      </c>
    </row>
    <row r="28" spans="1:29" s="108" customFormat="1" ht="15">
      <c r="A28" s="377"/>
      <c r="B28" s="571" t="s">
        <v>1816</v>
      </c>
      <c r="C28" s="1937"/>
      <c r="D28" s="408">
        <v>100</v>
      </c>
      <c r="E28" s="1928"/>
      <c r="F28" s="408">
        <f>SUMIF(91:91,E28,92:92)-SUMIF(91:91,C28,92:92)+100</f>
        <v>100</v>
      </c>
      <c r="G28" s="1937"/>
      <c r="H28" s="408">
        <f>SUMIF(91:91,G28,92:92)-SUMIF(91:91,C28,92:92)+100</f>
        <v>100</v>
      </c>
      <c r="I28" s="1928"/>
      <c r="J28" s="408">
        <f>SUMIF(91:91,I28,92:92)-SUMIF(91:91,C28,92:92)+100</f>
        <v>100</v>
      </c>
      <c r="K28" s="553"/>
      <c r="L28" s="2688"/>
      <c r="M28" s="2689"/>
      <c r="N28" s="2689"/>
      <c r="O28" s="2689"/>
      <c r="P28" s="4176"/>
      <c r="Q28" s="1330" t="str">
        <f t="shared" si="11"/>
        <v>朝向</v>
      </c>
      <c r="R28" s="693" t="s">
        <v>14</v>
      </c>
      <c r="S28" s="694">
        <f>F28</f>
        <v>100</v>
      </c>
      <c r="T28" s="693" t="s">
        <v>14</v>
      </c>
      <c r="U28" s="694">
        <f>H28</f>
        <v>100</v>
      </c>
      <c r="V28" s="693" t="s">
        <v>14</v>
      </c>
      <c r="W28" s="694">
        <f>J28</f>
        <v>100</v>
      </c>
      <c r="X28" s="695"/>
      <c r="Y28" s="4169"/>
      <c r="Z28" s="52" t="str">
        <f>Q28</f>
        <v>朝向</v>
      </c>
      <c r="AA28" s="1340">
        <f>D28/F28</f>
        <v>1</v>
      </c>
      <c r="AB28" s="1340">
        <f>D28/H28</f>
        <v>1</v>
      </c>
      <c r="AC28" s="1934">
        <f>D28/J28</f>
        <v>1</v>
      </c>
    </row>
    <row r="29" spans="1:29" ht="15">
      <c r="A29" s="374"/>
      <c r="B29" s="1938">
        <v>111</v>
      </c>
      <c r="C29" s="1882"/>
      <c r="D29" s="381">
        <v>100</v>
      </c>
      <c r="E29" s="378"/>
      <c r="F29" s="381">
        <f>SUMIF(93:93,E29,94:94)-SUMIF(93:93,C29,94:94)+100</f>
        <v>100</v>
      </c>
      <c r="G29" s="1932"/>
      <c r="H29" s="381">
        <f>SUMIF(93:93,G29,94:94)-SUMIF(93:93,C29,94:94)+100</f>
        <v>100</v>
      </c>
      <c r="I29" s="378"/>
      <c r="J29" s="381">
        <f>SUMIF(93:93,I29,94:94)-SUMIF(93:93,C29,94:94)+100</f>
        <v>100</v>
      </c>
      <c r="K29" s="554"/>
      <c r="L29" s="2693"/>
      <c r="M29" s="2687"/>
      <c r="N29" s="2687"/>
      <c r="O29" s="2687"/>
      <c r="P29" s="4176"/>
      <c r="Q29" s="1339">
        <f t="shared" si="11"/>
        <v>111</v>
      </c>
      <c r="R29" s="697" t="s">
        <v>14</v>
      </c>
      <c r="S29" s="698">
        <f t="shared" ref="S29:S47" si="12">F29</f>
        <v>100</v>
      </c>
      <c r="T29" s="697" t="s">
        <v>14</v>
      </c>
      <c r="U29" s="698">
        <f t="shared" ref="U29:U47" si="13">H29</f>
        <v>100</v>
      </c>
      <c r="V29" s="697" t="s">
        <v>14</v>
      </c>
      <c r="W29" s="698">
        <f t="shared" ref="W29:W47" si="14">J29</f>
        <v>100</v>
      </c>
      <c r="X29" s="1342"/>
      <c r="Y29" s="4169"/>
      <c r="Z29" s="1343">
        <f t="shared" ref="Z29:Z47" si="15">Q29</f>
        <v>111</v>
      </c>
      <c r="AA29" s="1340">
        <f t="shared" si="3"/>
        <v>1</v>
      </c>
      <c r="AB29" s="1340">
        <f t="shared" si="4"/>
        <v>1</v>
      </c>
      <c r="AC29" s="1934">
        <f t="shared" si="5"/>
        <v>1</v>
      </c>
    </row>
    <row r="30" spans="1:29" ht="15">
      <c r="A30" s="374"/>
      <c r="B30" s="1938">
        <v>111</v>
      </c>
      <c r="C30" s="1882"/>
      <c r="D30" s="381">
        <v>100</v>
      </c>
      <c r="E30" s="378"/>
      <c r="F30" s="381">
        <f>SUMIF(95:95,E30,96:96)-SUMIF(95:95,C30,96:96)+100</f>
        <v>100</v>
      </c>
      <c r="G30" s="1932"/>
      <c r="H30" s="381">
        <f>SUMIF(95:95,G30,96:96)-SUMIF(95:95,C30,96:96)+100</f>
        <v>100</v>
      </c>
      <c r="I30" s="378"/>
      <c r="J30" s="381">
        <f>SUMIF(95:95,I30,96:96)-SUMIF(95:95,C30,96:96)+100</f>
        <v>100</v>
      </c>
      <c r="K30" s="554"/>
      <c r="L30" s="2693"/>
      <c r="M30" s="2687"/>
      <c r="N30" s="2687"/>
      <c r="O30" s="2687"/>
      <c r="P30" s="4176"/>
      <c r="Q30" s="1339">
        <f t="shared" si="11"/>
        <v>111</v>
      </c>
      <c r="R30" s="697" t="s">
        <v>14</v>
      </c>
      <c r="S30" s="698">
        <f t="shared" si="12"/>
        <v>100</v>
      </c>
      <c r="T30" s="697" t="s">
        <v>14</v>
      </c>
      <c r="U30" s="698">
        <f t="shared" si="13"/>
        <v>100</v>
      </c>
      <c r="V30" s="697" t="s">
        <v>14</v>
      </c>
      <c r="W30" s="698">
        <f t="shared" si="14"/>
        <v>100</v>
      </c>
      <c r="X30" s="1342"/>
      <c r="Y30" s="4169"/>
      <c r="Z30" s="1343">
        <f t="shared" si="15"/>
        <v>111</v>
      </c>
      <c r="AA30" s="1340">
        <f t="shared" si="3"/>
        <v>1</v>
      </c>
      <c r="AB30" s="1340">
        <f t="shared" si="4"/>
        <v>1</v>
      </c>
      <c r="AC30" s="1934">
        <f t="shared" si="5"/>
        <v>1</v>
      </c>
    </row>
    <row r="31" spans="1:29" ht="15">
      <c r="A31" s="374"/>
      <c r="B31" s="1938">
        <v>111</v>
      </c>
      <c r="C31" s="1882"/>
      <c r="D31" s="381">
        <v>100</v>
      </c>
      <c r="E31" s="378"/>
      <c r="F31" s="381">
        <f>SUMIF(97:97,E31,98:98)-SUMIF(97:97,C31,98:98)+100</f>
        <v>100</v>
      </c>
      <c r="G31" s="1932"/>
      <c r="H31" s="381">
        <f>SUMIF(97:97,G31,98:98)-SUMIF(97:97,C31,98:98)+100</f>
        <v>100</v>
      </c>
      <c r="I31" s="378"/>
      <c r="J31" s="381">
        <f>SUMIF(97:97,I31,98:98)-SUMIF(97:97,C31,98:98)+100</f>
        <v>100</v>
      </c>
      <c r="K31" s="554"/>
      <c r="L31" s="2693"/>
      <c r="M31" s="2687"/>
      <c r="N31" s="2687"/>
      <c r="O31" s="2687"/>
      <c r="P31" s="4176"/>
      <c r="Q31" s="1339">
        <f t="shared" si="11"/>
        <v>111</v>
      </c>
      <c r="R31" s="697" t="s">
        <v>14</v>
      </c>
      <c r="S31" s="698">
        <f t="shared" si="12"/>
        <v>100</v>
      </c>
      <c r="T31" s="697" t="s">
        <v>14</v>
      </c>
      <c r="U31" s="698">
        <f t="shared" si="13"/>
        <v>100</v>
      </c>
      <c r="V31" s="697" t="s">
        <v>14</v>
      </c>
      <c r="W31" s="698">
        <f t="shared" si="14"/>
        <v>100</v>
      </c>
      <c r="X31" s="1342"/>
      <c r="Y31" s="4169"/>
      <c r="Z31" s="1343">
        <f t="shared" si="15"/>
        <v>111</v>
      </c>
      <c r="AA31" s="1340">
        <f t="shared" si="3"/>
        <v>1</v>
      </c>
      <c r="AB31" s="1340">
        <f t="shared" si="4"/>
        <v>1</v>
      </c>
      <c r="AC31" s="1934">
        <f t="shared" si="5"/>
        <v>1</v>
      </c>
    </row>
    <row r="32" spans="1:29" ht="15.6" thickBot="1">
      <c r="A32" s="382"/>
      <c r="B32" s="575">
        <v>111</v>
      </c>
      <c r="C32" s="1883"/>
      <c r="D32" s="384">
        <v>100</v>
      </c>
      <c r="E32" s="568"/>
      <c r="F32" s="384">
        <f>SUMIF(99:99,E32,100:100)-SUMIF(99:99,C32,100:100)+100</f>
        <v>100</v>
      </c>
      <c r="G32" s="1932"/>
      <c r="H32" s="384">
        <f>SUMIF(99:99,G32,100:100)-SUMIF(99:99,C32,100:100)+100</f>
        <v>100</v>
      </c>
      <c r="I32" s="378"/>
      <c r="J32" s="384">
        <f>SUMIF(99:99,I32,100:100)-SUMIF(99:99,C32,100:100)+100</f>
        <v>100</v>
      </c>
      <c r="K32" s="554"/>
      <c r="L32" s="2693"/>
      <c r="M32" s="2687"/>
      <c r="N32" s="2687"/>
      <c r="O32" s="2687"/>
      <c r="P32" s="4176"/>
      <c r="Q32" s="1339">
        <f t="shared" si="11"/>
        <v>111</v>
      </c>
      <c r="R32" s="697" t="s">
        <v>14</v>
      </c>
      <c r="S32" s="698">
        <f t="shared" si="12"/>
        <v>100</v>
      </c>
      <c r="T32" s="697" t="s">
        <v>14</v>
      </c>
      <c r="U32" s="698">
        <f t="shared" si="13"/>
        <v>100</v>
      </c>
      <c r="V32" s="697" t="s">
        <v>14</v>
      </c>
      <c r="W32" s="698">
        <f t="shared" si="14"/>
        <v>100</v>
      </c>
      <c r="X32" s="1342"/>
      <c r="Y32" s="4169"/>
      <c r="Z32" s="1343">
        <f t="shared" si="15"/>
        <v>111</v>
      </c>
      <c r="AA32" s="1340">
        <f t="shared" si="3"/>
        <v>1</v>
      </c>
      <c r="AB32" s="1340">
        <f t="shared" si="4"/>
        <v>1</v>
      </c>
      <c r="AC32" s="1934">
        <f t="shared" si="5"/>
        <v>1</v>
      </c>
    </row>
    <row r="33" spans="1:29" ht="15">
      <c r="A33" s="386" t="s">
        <v>1694</v>
      </c>
      <c r="B33" s="63" t="s">
        <v>1817</v>
      </c>
      <c r="C33" s="1939"/>
      <c r="D33" s="413">
        <v>100</v>
      </c>
      <c r="E33" s="1939"/>
      <c r="F33" s="407">
        <f>SUMIF(101:101,E33,102:102)-SUMIF(101:101,C33,102:102)+100</f>
        <v>100</v>
      </c>
      <c r="G33" s="1939"/>
      <c r="H33" s="381">
        <f>SUMIF(101:101,G33,102:102)-SUMIF(101:101,C33,102:102)+100</f>
        <v>100</v>
      </c>
      <c r="I33" s="1939"/>
      <c r="J33" s="413">
        <f>SUMIF(101:101,I33,102:102)-SUMIF(101:101,C33,102:102)+100</f>
        <v>100</v>
      </c>
      <c r="K33" s="553"/>
      <c r="L33" s="2693"/>
      <c r="M33" s="2687"/>
      <c r="N33" s="2687"/>
      <c r="O33" s="2687"/>
      <c r="P33" s="4170" t="s">
        <v>1696</v>
      </c>
      <c r="Q33" s="1339" t="str">
        <f t="shared" si="11"/>
        <v>建筑类型</v>
      </c>
      <c r="R33" s="697" t="s">
        <v>14</v>
      </c>
      <c r="S33" s="698">
        <f t="shared" si="12"/>
        <v>100</v>
      </c>
      <c r="T33" s="697" t="s">
        <v>14</v>
      </c>
      <c r="U33" s="698">
        <f t="shared" si="13"/>
        <v>100</v>
      </c>
      <c r="V33" s="697" t="s">
        <v>14</v>
      </c>
      <c r="W33" s="698">
        <f t="shared" si="14"/>
        <v>100</v>
      </c>
      <c r="X33" s="1342"/>
      <c r="Y33" s="4173" t="s">
        <v>1696</v>
      </c>
      <c r="Z33" s="1343" t="str">
        <f t="shared" si="15"/>
        <v>建筑类型</v>
      </c>
      <c r="AA33" s="1340">
        <f t="shared" si="3"/>
        <v>1</v>
      </c>
      <c r="AB33" s="1340">
        <f t="shared" si="4"/>
        <v>1</v>
      </c>
      <c r="AC33" s="1934">
        <f t="shared" si="5"/>
        <v>1</v>
      </c>
    </row>
    <row r="34" spans="1:29" s="417" customFormat="1" ht="15">
      <c r="A34" s="414"/>
      <c r="B34" s="370" t="s">
        <v>1697</v>
      </c>
      <c r="C34" s="415"/>
      <c r="D34" s="127">
        <v>100</v>
      </c>
      <c r="E34" s="376"/>
      <c r="F34" s="371" t="e">
        <f>LOOKUP(E34,104:104,105:105)-LOOKUP(C34,104:104,105:105)+100</f>
        <v>#N/A</v>
      </c>
      <c r="G34" s="375"/>
      <c r="H34" s="127" t="e">
        <f>LOOKUP(G34,104:104,105:105)-LOOKUP(C34,104:104,105:105)+100</f>
        <v>#N/A</v>
      </c>
      <c r="I34" s="375"/>
      <c r="J34" s="127" t="e">
        <f>LOOKUP(I34,104:104,105:105)-LOOKUP(C34,104:104,105:105)+100</f>
        <v>#N/A</v>
      </c>
      <c r="K34" s="554"/>
      <c r="L34" s="2692"/>
      <c r="M34" s="2694"/>
      <c r="N34" s="2694"/>
      <c r="O34" s="2694"/>
      <c r="P34" s="4171"/>
      <c r="Q34" s="699" t="str">
        <f t="shared" si="11"/>
        <v>项目建筑规模</v>
      </c>
      <c r="R34" s="700" t="s">
        <v>14</v>
      </c>
      <c r="S34" s="701" t="e">
        <f t="shared" si="12"/>
        <v>#N/A</v>
      </c>
      <c r="T34" s="700" t="s">
        <v>14</v>
      </c>
      <c r="U34" s="701" t="e">
        <f t="shared" si="13"/>
        <v>#N/A</v>
      </c>
      <c r="V34" s="700" t="s">
        <v>14</v>
      </c>
      <c r="W34" s="701" t="e">
        <f t="shared" si="14"/>
        <v>#N/A</v>
      </c>
      <c r="X34" s="702"/>
      <c r="Y34" s="4173"/>
      <c r="Z34" s="703" t="str">
        <f t="shared" si="15"/>
        <v>项目建筑规模</v>
      </c>
      <c r="AA34" s="1340" t="e">
        <f t="shared" si="3"/>
        <v>#N/A</v>
      </c>
      <c r="AB34" s="1340" t="e">
        <f t="shared" si="4"/>
        <v>#N/A</v>
      </c>
      <c r="AC34" s="1934"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3"/>
      <c r="L35" s="2693"/>
      <c r="M35" s="2687"/>
      <c r="N35" s="2687"/>
      <c r="O35" s="2687"/>
      <c r="P35" s="4171"/>
      <c r="Q35" s="1339" t="str">
        <f t="shared" si="11"/>
        <v>建筑结构</v>
      </c>
      <c r="R35" s="697" t="s">
        <v>14</v>
      </c>
      <c r="S35" s="698">
        <f t="shared" si="12"/>
        <v>100</v>
      </c>
      <c r="T35" s="697" t="s">
        <v>14</v>
      </c>
      <c r="U35" s="698">
        <f t="shared" si="13"/>
        <v>100</v>
      </c>
      <c r="V35" s="697" t="s">
        <v>14</v>
      </c>
      <c r="W35" s="698">
        <f t="shared" si="14"/>
        <v>100</v>
      </c>
      <c r="X35" s="1342"/>
      <c r="Y35" s="4173"/>
      <c r="Z35" s="1343" t="str">
        <f t="shared" si="15"/>
        <v>建筑结构</v>
      </c>
      <c r="AA35" s="1340">
        <f t="shared" si="3"/>
        <v>1</v>
      </c>
      <c r="AB35" s="1340">
        <f t="shared" si="4"/>
        <v>1</v>
      </c>
      <c r="AC35" s="1934">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3"/>
      <c r="L36" s="2693"/>
      <c r="M36" s="2687"/>
      <c r="N36" s="2687"/>
      <c r="O36" s="2687"/>
      <c r="P36" s="4171"/>
      <c r="Q36" s="1339" t="str">
        <f t="shared" si="11"/>
        <v>公共部分装修</v>
      </c>
      <c r="R36" s="697" t="s">
        <v>14</v>
      </c>
      <c r="S36" s="698">
        <f t="shared" si="12"/>
        <v>100</v>
      </c>
      <c r="T36" s="697" t="s">
        <v>14</v>
      </c>
      <c r="U36" s="698">
        <f t="shared" si="13"/>
        <v>100</v>
      </c>
      <c r="V36" s="697" t="s">
        <v>14</v>
      </c>
      <c r="W36" s="698">
        <f t="shared" si="14"/>
        <v>100</v>
      </c>
      <c r="X36" s="1342"/>
      <c r="Y36" s="4173"/>
      <c r="Z36" s="1343" t="str">
        <f t="shared" si="15"/>
        <v>公共部分装修</v>
      </c>
      <c r="AA36" s="1340">
        <f t="shared" si="3"/>
        <v>1</v>
      </c>
      <c r="AB36" s="1340">
        <f t="shared" si="4"/>
        <v>1</v>
      </c>
      <c r="AC36" s="1934">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3"/>
      <c r="L37" s="2693"/>
      <c r="M37" s="2687"/>
      <c r="N37" s="2687"/>
      <c r="O37" s="2687"/>
      <c r="P37" s="4171"/>
      <c r="Q37" s="1339" t="str">
        <f t="shared" si="11"/>
        <v>成新度</v>
      </c>
      <c r="R37" s="697" t="s">
        <v>14</v>
      </c>
      <c r="S37" s="698" t="e">
        <f t="shared" si="12"/>
        <v>#N/A</v>
      </c>
      <c r="T37" s="697" t="s">
        <v>14</v>
      </c>
      <c r="U37" s="698" t="e">
        <f t="shared" si="13"/>
        <v>#N/A</v>
      </c>
      <c r="V37" s="697" t="s">
        <v>14</v>
      </c>
      <c r="W37" s="698" t="e">
        <f t="shared" si="14"/>
        <v>#N/A</v>
      </c>
      <c r="X37" s="1342"/>
      <c r="Y37" s="4173"/>
      <c r="Z37" s="1343" t="str">
        <f t="shared" si="15"/>
        <v>成新度</v>
      </c>
      <c r="AA37" s="1340" t="e">
        <f t="shared" si="3"/>
        <v>#N/A</v>
      </c>
      <c r="AB37" s="1340" t="e">
        <f t="shared" si="4"/>
        <v>#N/A</v>
      </c>
      <c r="AC37" s="1934" t="e">
        <f t="shared" si="5"/>
        <v>#N/A</v>
      </c>
    </row>
    <row r="38" spans="1:29" s="108" customFormat="1" ht="15">
      <c r="A38" s="419"/>
      <c r="B38" s="370" t="s">
        <v>1818</v>
      </c>
      <c r="C38" s="406"/>
      <c r="D38" s="127">
        <v>100</v>
      </c>
      <c r="E38" s="406"/>
      <c r="F38" s="407">
        <f>SUMIF(113:113,E38,114:114)-SUMIF(113:113,C38,114:114)+100</f>
        <v>100</v>
      </c>
      <c r="G38" s="406"/>
      <c r="H38" s="381">
        <f>SUMIF(113:113,G38,114:114)-SUMIF(113:113,C38,114:114)+100</f>
        <v>100</v>
      </c>
      <c r="I38" s="406"/>
      <c r="J38" s="381">
        <f>SUMIF(113:113,I38,114:114)-SUMIF(113:113,C38,114:114)+100</f>
        <v>100</v>
      </c>
      <c r="K38" s="553"/>
      <c r="L38" s="2688"/>
      <c r="M38" s="2689"/>
      <c r="N38" s="2689"/>
      <c r="O38" s="2689"/>
      <c r="P38" s="4171"/>
      <c r="Q38" s="1330" t="str">
        <f t="shared" si="11"/>
        <v>写字楼等级</v>
      </c>
      <c r="R38" s="693" t="s">
        <v>14</v>
      </c>
      <c r="S38" s="694">
        <f t="shared" si="12"/>
        <v>100</v>
      </c>
      <c r="T38" s="693" t="s">
        <v>14</v>
      </c>
      <c r="U38" s="694">
        <f t="shared" si="13"/>
        <v>100</v>
      </c>
      <c r="V38" s="693" t="s">
        <v>14</v>
      </c>
      <c r="W38" s="694">
        <f t="shared" si="14"/>
        <v>100</v>
      </c>
      <c r="X38" s="695"/>
      <c r="Y38" s="4173"/>
      <c r="Z38" s="52" t="str">
        <f t="shared" si="15"/>
        <v>写字楼等级</v>
      </c>
      <c r="AA38" s="696">
        <f t="shared" si="3"/>
        <v>1</v>
      </c>
      <c r="AB38" s="696">
        <f t="shared" si="4"/>
        <v>1</v>
      </c>
      <c r="AC38" s="1931">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3"/>
      <c r="L39" s="2693"/>
      <c r="M39" s="2687"/>
      <c r="N39" s="2687"/>
      <c r="O39" s="2687"/>
      <c r="P39" s="4171" t="s">
        <v>1696</v>
      </c>
      <c r="Q39" s="1339" t="str">
        <f t="shared" si="11"/>
        <v>物业管理</v>
      </c>
      <c r="R39" s="697" t="s">
        <v>14</v>
      </c>
      <c r="S39" s="698">
        <f t="shared" si="12"/>
        <v>100</v>
      </c>
      <c r="T39" s="697" t="s">
        <v>14</v>
      </c>
      <c r="U39" s="698">
        <f t="shared" si="13"/>
        <v>100</v>
      </c>
      <c r="V39" s="697" t="s">
        <v>14</v>
      </c>
      <c r="W39" s="698">
        <f t="shared" si="14"/>
        <v>100</v>
      </c>
      <c r="X39" s="1342"/>
      <c r="Y39" s="4173" t="s">
        <v>1696</v>
      </c>
      <c r="Z39" s="1343" t="str">
        <f t="shared" si="15"/>
        <v>物业管理</v>
      </c>
      <c r="AA39" s="1340">
        <f t="shared" si="3"/>
        <v>1</v>
      </c>
      <c r="AB39" s="1340">
        <f t="shared" si="4"/>
        <v>1</v>
      </c>
      <c r="AC39" s="1934">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3"/>
      <c r="L40" s="2693"/>
      <c r="M40" s="2687"/>
      <c r="N40" s="2687"/>
      <c r="O40" s="2687"/>
      <c r="P40" s="4171"/>
      <c r="Q40" s="1339" t="str">
        <f t="shared" si="11"/>
        <v>市政基础设施</v>
      </c>
      <c r="R40" s="697" t="s">
        <v>14</v>
      </c>
      <c r="S40" s="698">
        <f t="shared" si="12"/>
        <v>100</v>
      </c>
      <c r="T40" s="697" t="s">
        <v>14</v>
      </c>
      <c r="U40" s="698">
        <f t="shared" si="13"/>
        <v>100</v>
      </c>
      <c r="V40" s="697" t="s">
        <v>14</v>
      </c>
      <c r="W40" s="698">
        <f t="shared" si="14"/>
        <v>100</v>
      </c>
      <c r="X40" s="1342"/>
      <c r="Y40" s="4173"/>
      <c r="Z40" s="1343" t="str">
        <f t="shared" si="15"/>
        <v>市政基础设施</v>
      </c>
      <c r="AA40" s="1340">
        <f t="shared" si="3"/>
        <v>1</v>
      </c>
      <c r="AB40" s="1340">
        <f t="shared" si="4"/>
        <v>1</v>
      </c>
      <c r="AC40" s="1934">
        <f t="shared" si="5"/>
        <v>1</v>
      </c>
    </row>
    <row r="41" spans="1:29" ht="15">
      <c r="A41" s="418"/>
      <c r="B41" s="370" t="s">
        <v>1789</v>
      </c>
      <c r="C41" s="557"/>
      <c r="D41" s="381">
        <v>100</v>
      </c>
      <c r="E41" s="557"/>
      <c r="F41" s="407">
        <f>SUMIF(119:119,E41,120:120)-SUMIF(119:119,C41,120:120)+100</f>
        <v>100</v>
      </c>
      <c r="G41" s="557"/>
      <c r="H41" s="381">
        <f>SUMIF(119:119,G41,120:120)-SUMIF(119:119,C41,120:120)+100</f>
        <v>100</v>
      </c>
      <c r="I41" s="557"/>
      <c r="J41" s="381">
        <f>SUMIF(119:119,I41,120:120)-SUMIF(119:119,C41,120:120)+100</f>
        <v>100</v>
      </c>
      <c r="K41" s="553"/>
      <c r="L41" s="2693"/>
      <c r="M41" s="2687"/>
      <c r="N41" s="2687"/>
      <c r="O41" s="2687"/>
      <c r="P41" s="4171"/>
      <c r="Q41" s="1339" t="str">
        <f t="shared" si="11"/>
        <v>层高</v>
      </c>
      <c r="R41" s="697" t="s">
        <v>14</v>
      </c>
      <c r="S41" s="698">
        <f t="shared" si="12"/>
        <v>100</v>
      </c>
      <c r="T41" s="697" t="s">
        <v>14</v>
      </c>
      <c r="U41" s="698">
        <f t="shared" si="13"/>
        <v>100</v>
      </c>
      <c r="V41" s="697" t="s">
        <v>14</v>
      </c>
      <c r="W41" s="698">
        <f t="shared" si="14"/>
        <v>100</v>
      </c>
      <c r="X41" s="1342"/>
      <c r="Y41" s="4173"/>
      <c r="Z41" s="1343" t="str">
        <f t="shared" si="15"/>
        <v>层高</v>
      </c>
      <c r="AA41" s="1340">
        <f t="shared" si="3"/>
        <v>1</v>
      </c>
      <c r="AB41" s="1340">
        <f t="shared" si="4"/>
        <v>1</v>
      </c>
      <c r="AC41" s="1934">
        <f t="shared" si="5"/>
        <v>1</v>
      </c>
    </row>
    <row r="42" spans="1:29" s="417" customFormat="1" ht="15">
      <c r="A42" s="414"/>
      <c r="B42" s="1341"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4"/>
      <c r="L42" s="2692"/>
      <c r="M42" s="2694"/>
      <c r="N42" s="2694"/>
      <c r="O42" s="2694"/>
      <c r="P42" s="4171"/>
      <c r="Q42" s="699" t="str">
        <f t="shared" si="11"/>
        <v>单套建筑面积</v>
      </c>
      <c r="R42" s="700" t="s">
        <v>14</v>
      </c>
      <c r="S42" s="701">
        <f t="shared" si="12"/>
        <v>100</v>
      </c>
      <c r="T42" s="700" t="s">
        <v>14</v>
      </c>
      <c r="U42" s="701">
        <f t="shared" si="13"/>
        <v>100</v>
      </c>
      <c r="V42" s="700" t="s">
        <v>14</v>
      </c>
      <c r="W42" s="701">
        <f t="shared" si="14"/>
        <v>100</v>
      </c>
      <c r="X42" s="702"/>
      <c r="Y42" s="4173"/>
      <c r="Z42" s="703" t="str">
        <f t="shared" si="15"/>
        <v>单套建筑面积</v>
      </c>
      <c r="AA42" s="1340">
        <f t="shared" si="3"/>
        <v>1</v>
      </c>
      <c r="AB42" s="1340">
        <f t="shared" si="4"/>
        <v>1</v>
      </c>
      <c r="AC42" s="1934">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3"/>
      <c r="L43" s="2693"/>
      <c r="M43" s="2687"/>
      <c r="N43" s="2687"/>
      <c r="O43" s="2687"/>
      <c r="P43" s="4171"/>
      <c r="Q43" s="1339" t="str">
        <f t="shared" si="11"/>
        <v>内部装修</v>
      </c>
      <c r="R43" s="697" t="s">
        <v>14</v>
      </c>
      <c r="S43" s="698">
        <f t="shared" si="12"/>
        <v>100</v>
      </c>
      <c r="T43" s="697" t="s">
        <v>14</v>
      </c>
      <c r="U43" s="698">
        <f t="shared" si="13"/>
        <v>100</v>
      </c>
      <c r="V43" s="697" t="s">
        <v>14</v>
      </c>
      <c r="W43" s="698">
        <f t="shared" si="14"/>
        <v>100</v>
      </c>
      <c r="X43" s="1342"/>
      <c r="Y43" s="4173"/>
      <c r="Z43" s="1343" t="str">
        <f t="shared" si="15"/>
        <v>内部装修</v>
      </c>
      <c r="AA43" s="1340">
        <f t="shared" si="3"/>
        <v>1</v>
      </c>
      <c r="AB43" s="1340">
        <f t="shared" si="4"/>
        <v>1</v>
      </c>
      <c r="AC43" s="1934">
        <f t="shared" si="5"/>
        <v>1</v>
      </c>
    </row>
    <row r="44" spans="1:29" ht="28.8">
      <c r="A44" s="418"/>
      <c r="B44" s="370" t="s">
        <v>1707</v>
      </c>
      <c r="C44" s="406"/>
      <c r="D44" s="381">
        <v>100</v>
      </c>
      <c r="E44" s="1881"/>
      <c r="F44" s="407">
        <f>SUMIF(125:125,E44,126:126)-SUMIF(125:125,C44,126:126)+100</f>
        <v>100</v>
      </c>
      <c r="G44" s="1881"/>
      <c r="H44" s="381">
        <f>SUMIF(125:125,G44,126:126)-SUMIF(125:125,C44,126:126)+100</f>
        <v>100</v>
      </c>
      <c r="I44" s="1881"/>
      <c r="J44" s="381">
        <f>SUMIF(125:125,I44,126:126)-SUMIF(125:125,C44,126:126)+100</f>
        <v>100</v>
      </c>
      <c r="K44" s="553"/>
      <c r="L44" s="2693"/>
      <c r="M44" s="2687"/>
      <c r="N44" s="2687"/>
      <c r="O44" s="2687"/>
      <c r="P44" s="4171"/>
      <c r="Q44" s="1339" t="str">
        <f t="shared" si="11"/>
        <v>内部装修维护情况</v>
      </c>
      <c r="R44" s="697" t="s">
        <v>14</v>
      </c>
      <c r="S44" s="698">
        <f t="shared" si="12"/>
        <v>100</v>
      </c>
      <c r="T44" s="697" t="s">
        <v>14</v>
      </c>
      <c r="U44" s="698">
        <f t="shared" si="13"/>
        <v>100</v>
      </c>
      <c r="V44" s="697" t="s">
        <v>14</v>
      </c>
      <c r="W44" s="698">
        <f t="shared" si="14"/>
        <v>100</v>
      </c>
      <c r="X44" s="1342"/>
      <c r="Y44" s="4173"/>
      <c r="Z44" s="1343" t="str">
        <f t="shared" si="15"/>
        <v>内部装修维护情况</v>
      </c>
      <c r="AA44" s="1340">
        <f t="shared" si="3"/>
        <v>1</v>
      </c>
      <c r="AB44" s="1340">
        <f t="shared" si="4"/>
        <v>1</v>
      </c>
      <c r="AC44" s="1934">
        <f t="shared" si="5"/>
        <v>1</v>
      </c>
    </row>
    <row r="45" spans="1:29" s="108" customFormat="1" ht="15">
      <c r="A45" s="419"/>
      <c r="B45" s="1121">
        <v>111</v>
      </c>
      <c r="C45" s="415"/>
      <c r="D45" s="127">
        <v>100</v>
      </c>
      <c r="E45" s="378"/>
      <c r="F45" s="371">
        <f>SUMIF(127:127,E45,128:128)-SUMIF(127:127,C45,128:128)+100</f>
        <v>100</v>
      </c>
      <c r="G45" s="378"/>
      <c r="H45" s="127">
        <f>SUMIF(127:127,G45,128:128)-SUMIF(127:127,C45,128:128)+100</f>
        <v>100</v>
      </c>
      <c r="I45" s="378"/>
      <c r="J45" s="127">
        <f>SUMIF(127:127,I45,128:128)-SUMIF(127:127,C45,128:128)+100</f>
        <v>100</v>
      </c>
      <c r="K45" s="554"/>
      <c r="L45" s="2688"/>
      <c r="M45" s="2689"/>
      <c r="N45" s="2689"/>
      <c r="O45" s="2689"/>
      <c r="P45" s="4171"/>
      <c r="Q45" s="1330">
        <f t="shared" si="11"/>
        <v>111</v>
      </c>
      <c r="R45" s="693" t="s">
        <v>14</v>
      </c>
      <c r="S45" s="694">
        <f t="shared" si="12"/>
        <v>100</v>
      </c>
      <c r="T45" s="693" t="s">
        <v>14</v>
      </c>
      <c r="U45" s="694">
        <f t="shared" si="13"/>
        <v>100</v>
      </c>
      <c r="V45" s="693" t="s">
        <v>14</v>
      </c>
      <c r="W45" s="694">
        <f t="shared" si="14"/>
        <v>100</v>
      </c>
      <c r="X45" s="695"/>
      <c r="Y45" s="4173"/>
      <c r="Z45" s="52">
        <f t="shared" si="15"/>
        <v>111</v>
      </c>
      <c r="AA45" s="696">
        <f t="shared" si="3"/>
        <v>1</v>
      </c>
      <c r="AB45" s="696">
        <f t="shared" si="4"/>
        <v>1</v>
      </c>
      <c r="AC45" s="1931">
        <f t="shared" si="5"/>
        <v>1</v>
      </c>
    </row>
    <row r="46" spans="1:29" ht="15">
      <c r="A46" s="418"/>
      <c r="B46" s="1121">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4"/>
      <c r="L46" s="2693"/>
      <c r="M46" s="2687"/>
      <c r="N46" s="2687"/>
      <c r="O46" s="2687"/>
      <c r="P46" s="4171"/>
      <c r="Q46" s="1339">
        <f t="shared" si="11"/>
        <v>111</v>
      </c>
      <c r="R46" s="697" t="s">
        <v>14</v>
      </c>
      <c r="S46" s="698">
        <f t="shared" si="12"/>
        <v>100</v>
      </c>
      <c r="T46" s="697" t="s">
        <v>14</v>
      </c>
      <c r="U46" s="698">
        <f t="shared" si="13"/>
        <v>100</v>
      </c>
      <c r="V46" s="697" t="s">
        <v>14</v>
      </c>
      <c r="W46" s="698">
        <f t="shared" si="14"/>
        <v>100</v>
      </c>
      <c r="X46" s="1342"/>
      <c r="Y46" s="4173"/>
      <c r="Z46" s="1343">
        <f t="shared" si="15"/>
        <v>111</v>
      </c>
      <c r="AA46" s="1340">
        <f t="shared" si="3"/>
        <v>1</v>
      </c>
      <c r="AB46" s="1340">
        <f t="shared" si="4"/>
        <v>1</v>
      </c>
      <c r="AC46" s="1934">
        <f t="shared" si="5"/>
        <v>1</v>
      </c>
    </row>
    <row r="47" spans="1:29" ht="15.6" thickBot="1">
      <c r="A47" s="424"/>
      <c r="B47" s="1870">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4"/>
      <c r="L47" s="2693"/>
      <c r="M47" s="2687"/>
      <c r="N47" s="2687"/>
      <c r="O47" s="2687"/>
      <c r="P47" s="4172"/>
      <c r="Q47" s="1339">
        <f t="shared" si="11"/>
        <v>111</v>
      </c>
      <c r="R47" s="697" t="s">
        <v>14</v>
      </c>
      <c r="S47" s="698">
        <f t="shared" si="12"/>
        <v>100</v>
      </c>
      <c r="T47" s="697" t="s">
        <v>14</v>
      </c>
      <c r="U47" s="698">
        <f t="shared" si="13"/>
        <v>100</v>
      </c>
      <c r="V47" s="697" t="s">
        <v>14</v>
      </c>
      <c r="W47" s="698">
        <f t="shared" si="14"/>
        <v>100</v>
      </c>
      <c r="X47" s="1342"/>
      <c r="Y47" s="4174"/>
      <c r="Z47" s="1343">
        <f t="shared" si="15"/>
        <v>111</v>
      </c>
      <c r="AA47" s="1340">
        <f t="shared" si="3"/>
        <v>1</v>
      </c>
      <c r="AB47" s="1340">
        <f t="shared" si="4"/>
        <v>1</v>
      </c>
      <c r="AC47" s="1934">
        <f t="shared" si="5"/>
        <v>1</v>
      </c>
    </row>
    <row r="48" spans="1:29" ht="14.4">
      <c r="A48" s="425" t="s">
        <v>1708</v>
      </c>
      <c r="B48" s="426"/>
      <c r="C48" s="1142" t="s">
        <v>0</v>
      </c>
      <c r="D48" s="1143"/>
      <c r="E48" s="1144"/>
      <c r="F48" s="1145"/>
      <c r="G48" s="1146"/>
      <c r="H48" s="1147"/>
      <c r="I48" s="1144"/>
      <c r="J48" s="431"/>
      <c r="K48" s="706"/>
      <c r="L48" s="2695"/>
      <c r="M48" s="2687"/>
      <c r="N48" s="2687"/>
      <c r="O48" s="2687"/>
      <c r="P48" s="4177" t="str">
        <f>A48</f>
        <v>成交单价（元/平方米）</v>
      </c>
      <c r="Q48" s="4166"/>
      <c r="R48" s="4167">
        <f>E48</f>
        <v>0</v>
      </c>
      <c r="S48" s="4167"/>
      <c r="T48" s="4167">
        <f>G48</f>
        <v>0</v>
      </c>
      <c r="U48" s="4167"/>
      <c r="V48" s="4167">
        <f>I48</f>
        <v>0</v>
      </c>
      <c r="W48" s="4167"/>
      <c r="X48" s="392"/>
      <c r="Y48" s="704"/>
      <c r="Z48" s="392"/>
      <c r="AA48" s="392"/>
      <c r="AB48" s="392"/>
      <c r="AC48" s="570"/>
    </row>
    <row r="49" spans="1:29" ht="15" thickBot="1">
      <c r="A49" s="432" t="s">
        <v>1793</v>
      </c>
      <c r="B49" s="433"/>
      <c r="C49" s="1148" t="e">
        <f>R50</f>
        <v>#DIV/0!</v>
      </c>
      <c r="D49" s="2289" t="s">
        <v>2138</v>
      </c>
      <c r="E49" s="1149" t="e">
        <f>R49</f>
        <v>#DIV/0!</v>
      </c>
      <c r="F49" s="2290"/>
      <c r="G49" s="1148" t="e">
        <f>T49</f>
        <v>#DIV/0!</v>
      </c>
      <c r="H49" s="2290"/>
      <c r="I49" s="1149" t="e">
        <f>V49</f>
        <v>#DIV/0!</v>
      </c>
      <c r="J49" s="2290"/>
      <c r="K49" s="2292">
        <f>F49+H49+J49</f>
        <v>0</v>
      </c>
      <c r="L49" s="2695"/>
      <c r="M49" s="2687"/>
      <c r="N49" s="2687"/>
      <c r="O49" s="2687"/>
      <c r="P49" s="4177" t="str">
        <f>A49</f>
        <v>比较价值（元/平方米）</v>
      </c>
      <c r="Q49" s="4166"/>
      <c r="R49" s="4167" t="e">
        <f>IF(F1="售价",ROUND(PRODUCT(R48,AA7:AA47),0),ROUND(PRODUCT(R48,AA7:AA47),1))</f>
        <v>#DIV/0!</v>
      </c>
      <c r="S49" s="4167"/>
      <c r="T49" s="4167" t="e">
        <f>IF(F1="售价",ROUND(PRODUCT(T48,AB7:AB47),0),ROUND(PRODUCT(T48,AB7:AB47),1))</f>
        <v>#DIV/0!</v>
      </c>
      <c r="U49" s="4167"/>
      <c r="V49" s="4167" t="e">
        <f>IF(F1="售价",ROUND(PRODUCT(V48,AC7:AC47),0),ROUND(PRODUCT(V48,AC7:AC47),1))</f>
        <v>#DIV/0!</v>
      </c>
      <c r="W49" s="4167"/>
      <c r="X49" s="392"/>
      <c r="Y49" s="392"/>
      <c r="Z49" s="392"/>
      <c r="AA49" s="392"/>
      <c r="AB49" s="392"/>
      <c r="AC49" s="570"/>
    </row>
    <row r="50" spans="1:29" ht="15" thickBot="1">
      <c r="A50" s="436" t="s">
        <v>1794</v>
      </c>
      <c r="B50" s="437"/>
      <c r="C50" s="1150" t="e">
        <f>R50</f>
        <v>#DIV/0!</v>
      </c>
      <c r="D50" s="1150"/>
      <c r="E50" s="1150"/>
      <c r="F50" s="1150"/>
      <c r="G50" s="1150"/>
      <c r="H50" s="1150"/>
      <c r="I50" s="1150"/>
      <c r="J50" s="438"/>
      <c r="K50" s="707"/>
      <c r="L50" s="2695"/>
      <c r="M50" s="2687"/>
      <c r="N50" s="2687"/>
      <c r="O50" s="2687"/>
      <c r="P50" s="4225" t="str">
        <f>A50</f>
        <v>估价对象XX用房的比较价值（楼面单价，元/平方米）</v>
      </c>
      <c r="Q50" s="4226"/>
      <c r="R50" s="4227" t="e">
        <f>IF(F1="售价",ROUND(IF(D49="简单平均",AVERAGE(R49:V49),R49*F49+T49*H49+V49*J49),0),ROUND(IF(D49="简单平均",AVERAGE(R49:V49),R49*F49+T49*H49+V49*J49),1))</f>
        <v>#DIV/0!</v>
      </c>
      <c r="S50" s="4227"/>
      <c r="T50" s="4227"/>
      <c r="U50" s="4227"/>
      <c r="V50" s="4227"/>
      <c r="W50" s="4227"/>
      <c r="X50" s="1918"/>
      <c r="Y50" s="1918"/>
      <c r="Z50" s="1918"/>
      <c r="AA50" s="1918"/>
      <c r="AB50" s="1918"/>
      <c r="AC50" s="1919"/>
    </row>
    <row r="51" spans="1:29">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29">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29" ht="13.5" customHeight="1">
      <c r="A53" s="2696"/>
      <c r="B53" s="2696"/>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01"/>
      <c r="L53" s="2697"/>
      <c r="M53" s="2696"/>
      <c r="N53" s="2696"/>
      <c r="O53" s="2696"/>
      <c r="P53" s="2727"/>
      <c r="Q53" s="2696"/>
      <c r="R53" s="2696"/>
      <c r="S53" s="2696"/>
      <c r="T53" s="2696"/>
      <c r="U53" s="2696"/>
      <c r="V53" s="2696"/>
      <c r="W53" s="2696"/>
      <c r="X53" s="2696"/>
      <c r="Y53" s="2696"/>
      <c r="Z53" s="2696"/>
      <c r="AA53" s="2696"/>
      <c r="AB53" s="2696"/>
      <c r="AC53" s="2696"/>
    </row>
    <row r="54" spans="1:29" ht="13.5" customHeight="1">
      <c r="A54" s="2696"/>
      <c r="B54" s="2696"/>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01"/>
      <c r="L54" s="2697"/>
      <c r="M54" s="2696"/>
      <c r="N54" s="2696"/>
      <c r="O54" s="2696"/>
      <c r="P54" s="2727"/>
      <c r="Q54" s="2696"/>
      <c r="R54" s="2696"/>
      <c r="S54" s="2696"/>
      <c r="T54" s="2696"/>
      <c r="U54" s="2696"/>
      <c r="V54" s="2696"/>
      <c r="W54" s="2696"/>
      <c r="X54" s="2696"/>
      <c r="Y54" s="2696"/>
      <c r="Z54" s="2696"/>
      <c r="AA54" s="2696"/>
      <c r="AB54" s="2696"/>
      <c r="AC54" s="2696"/>
    </row>
    <row r="55" spans="1:29" s="446" customFormat="1" ht="13.5" customHeight="1">
      <c r="A55" s="2699"/>
      <c r="B55" s="2699"/>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04"/>
      <c r="L55" s="2698"/>
      <c r="M55" s="2699"/>
      <c r="N55" s="2699"/>
      <c r="O55" s="2699"/>
      <c r="P55" s="2728"/>
      <c r="Q55" s="2699"/>
      <c r="R55" s="2699"/>
      <c r="S55" s="2699"/>
      <c r="T55" s="2699"/>
      <c r="U55" s="2699"/>
      <c r="V55" s="2699"/>
      <c r="W55" s="2699"/>
      <c r="X55" s="2699"/>
      <c r="Y55" s="2699"/>
      <c r="Z55" s="2699"/>
      <c r="AA55" s="2699"/>
      <c r="AB55" s="2699"/>
      <c r="AC55" s="2699"/>
    </row>
    <row r="56" spans="1:29" s="446"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29">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29" ht="22.2" thickBot="1">
      <c r="A58" s="686" t="s">
        <v>1798</v>
      </c>
      <c r="B58" s="682"/>
      <c r="C58" s="687"/>
      <c r="D58" s="687"/>
      <c r="E58" s="687"/>
      <c r="F58" s="688"/>
      <c r="G58" s="688"/>
      <c r="H58" s="687"/>
      <c r="I58" s="687"/>
      <c r="J58" s="687"/>
      <c r="K58" s="689"/>
      <c r="L58" s="932"/>
      <c r="M58" s="930"/>
      <c r="N58" s="2740"/>
      <c r="O58" s="2740"/>
      <c r="P58" s="2729"/>
      <c r="Q58" s="2710"/>
      <c r="R58" s="2696"/>
      <c r="S58" s="2696"/>
      <c r="T58" s="2696"/>
      <c r="U58" s="2696"/>
      <c r="V58" s="2696"/>
      <c r="W58" s="2696"/>
      <c r="X58" s="2696"/>
      <c r="Y58" s="2696"/>
      <c r="Z58" s="2696"/>
      <c r="AA58" s="2696"/>
      <c r="AB58" s="2696"/>
      <c r="AC58" s="2696"/>
    </row>
    <row r="59" spans="1:29" s="452" customFormat="1" ht="14.4">
      <c r="A59" s="449" t="s">
        <v>1679</v>
      </c>
      <c r="B59" s="450"/>
      <c r="C59" s="1171" t="str">
        <f>YEAR(C7)&amp;"-"&amp;MONTH(C7)</f>
        <v>2003-10</v>
      </c>
      <c r="D59" s="1172">
        <f>EDATE(C59,-1)</f>
        <v>37865</v>
      </c>
      <c r="E59" s="1172">
        <f>EDATE(D59,-1)</f>
        <v>37834</v>
      </c>
      <c r="F59" s="1172">
        <f t="shared" ref="F59:O59" si="16">EDATE(E59,-1)</f>
        <v>37803</v>
      </c>
      <c r="G59" s="1172">
        <f t="shared" si="16"/>
        <v>37773</v>
      </c>
      <c r="H59" s="1172">
        <f t="shared" si="16"/>
        <v>37742</v>
      </c>
      <c r="I59" s="1172">
        <f t="shared" si="16"/>
        <v>37712</v>
      </c>
      <c r="J59" s="1172">
        <f t="shared" si="16"/>
        <v>37681</v>
      </c>
      <c r="K59" s="1172">
        <f t="shared" si="16"/>
        <v>37653</v>
      </c>
      <c r="L59" s="1172">
        <f t="shared" si="16"/>
        <v>37622</v>
      </c>
      <c r="M59" s="1172">
        <f t="shared" si="16"/>
        <v>37591</v>
      </c>
      <c r="N59" s="1172">
        <f t="shared" si="16"/>
        <v>37561</v>
      </c>
      <c r="O59" s="1172">
        <f t="shared" si="16"/>
        <v>37530</v>
      </c>
      <c r="P59" s="2730"/>
      <c r="Q59" s="2712"/>
      <c r="R59" s="2712"/>
      <c r="S59" s="2712"/>
      <c r="T59" s="2712"/>
      <c r="U59" s="2712"/>
      <c r="V59" s="2712"/>
      <c r="W59" s="2712"/>
      <c r="X59" s="2712"/>
      <c r="Y59" s="2712"/>
      <c r="Z59" s="2712"/>
      <c r="AA59" s="2712"/>
      <c r="AB59" s="2712"/>
      <c r="AC59" s="2712"/>
    </row>
    <row r="60" spans="1:29" s="108" customFormat="1">
      <c r="A60" s="453"/>
      <c r="B60" s="454"/>
      <c r="C60" s="1170">
        <v>100</v>
      </c>
      <c r="D60" s="456"/>
      <c r="E60" s="456"/>
      <c r="F60" s="456"/>
      <c r="G60" s="456"/>
      <c r="H60" s="456"/>
      <c r="I60" s="456"/>
      <c r="J60" s="456"/>
      <c r="K60" s="456"/>
      <c r="L60" s="456"/>
      <c r="M60" s="457"/>
      <c r="N60" s="456"/>
      <c r="O60" s="457"/>
      <c r="P60" s="2731"/>
      <c r="Q60" s="2632"/>
      <c r="R60" s="2632"/>
      <c r="S60" s="2632"/>
      <c r="T60" s="2632"/>
      <c r="U60" s="2632"/>
      <c r="V60" s="2632"/>
      <c r="W60" s="2632"/>
      <c r="X60" s="2632"/>
      <c r="Y60" s="2632"/>
      <c r="Z60" s="2632"/>
      <c r="AA60" s="2632"/>
      <c r="AB60" s="2632"/>
      <c r="AC60" s="2632"/>
    </row>
    <row r="61" spans="1:29" s="108" customFormat="1" ht="15" thickBot="1">
      <c r="A61" s="459" t="s">
        <v>1716</v>
      </c>
      <c r="B61" s="460"/>
      <c r="C61" s="461"/>
      <c r="D61" s="462"/>
      <c r="E61" s="462"/>
      <c r="F61" s="462"/>
      <c r="G61" s="462"/>
      <c r="H61" s="462"/>
      <c r="I61" s="462"/>
      <c r="J61" s="462"/>
      <c r="K61" s="462"/>
      <c r="L61" s="462"/>
      <c r="M61" s="463"/>
      <c r="N61" s="462"/>
      <c r="O61" s="463"/>
      <c r="P61" s="2731"/>
      <c r="Q61" s="2710"/>
      <c r="R61" s="2632"/>
      <c r="S61" s="2632"/>
      <c r="T61" s="2632"/>
      <c r="U61" s="2632"/>
      <c r="V61" s="2632"/>
      <c r="W61" s="2632"/>
      <c r="X61" s="2632"/>
      <c r="Y61" s="2632"/>
      <c r="Z61" s="2632"/>
      <c r="AA61" s="2632"/>
      <c r="AB61" s="2632"/>
      <c r="AC61" s="2632"/>
    </row>
    <row r="62" spans="1:29" s="108" customFormat="1" ht="14.4">
      <c r="A62" s="465" t="s">
        <v>1681</v>
      </c>
      <c r="B62" s="454"/>
      <c r="C62" s="466" t="s">
        <v>1776</v>
      </c>
      <c r="D62" s="467"/>
      <c r="E62" s="467"/>
      <c r="F62" s="467"/>
      <c r="G62" s="467"/>
      <c r="H62" s="467"/>
      <c r="I62" s="467"/>
      <c r="J62" s="467"/>
      <c r="K62" s="467"/>
      <c r="L62" s="468"/>
      <c r="M62" s="469"/>
      <c r="N62" s="2723"/>
      <c r="O62" s="2723"/>
      <c r="P62" s="2732"/>
      <c r="Q62" s="2710"/>
      <c r="R62" s="2632"/>
      <c r="S62" s="2632"/>
      <c r="T62" s="2632"/>
      <c r="U62" s="2632"/>
      <c r="V62" s="2632"/>
      <c r="W62" s="2632"/>
      <c r="X62" s="2632"/>
      <c r="Y62" s="2632"/>
      <c r="Z62" s="2632"/>
      <c r="AA62" s="2632"/>
      <c r="AB62" s="2632"/>
      <c r="AC62" s="2632"/>
    </row>
    <row r="63" spans="1:29" s="108" customFormat="1" ht="14.4" thickBot="1">
      <c r="A63" s="465"/>
      <c r="B63" s="454"/>
      <c r="C63" s="455">
        <v>100</v>
      </c>
      <c r="D63" s="456"/>
      <c r="E63" s="456"/>
      <c r="F63" s="456"/>
      <c r="G63" s="456"/>
      <c r="H63" s="456"/>
      <c r="I63" s="456"/>
      <c r="J63" s="456"/>
      <c r="K63" s="456"/>
      <c r="L63" s="456"/>
      <c r="M63" s="458"/>
      <c r="N63" s="2723"/>
      <c r="O63" s="2723"/>
      <c r="P63" s="2731"/>
      <c r="Q63" s="2710"/>
      <c r="R63" s="2632"/>
      <c r="S63" s="2632"/>
      <c r="T63" s="2632"/>
      <c r="U63" s="2632"/>
      <c r="V63" s="2632"/>
      <c r="W63" s="2632"/>
      <c r="X63" s="2632"/>
      <c r="Y63" s="2632"/>
      <c r="Z63" s="2632"/>
      <c r="AA63" s="2632"/>
      <c r="AB63" s="2632"/>
      <c r="AC63" s="2632"/>
    </row>
    <row r="64" spans="1:29" ht="14.4">
      <c r="A64" s="471" t="s">
        <v>1719</v>
      </c>
      <c r="B64" s="472" t="s">
        <v>1685</v>
      </c>
      <c r="C64" s="473">
        <f>C9</f>
        <v>0</v>
      </c>
      <c r="D64" s="474"/>
      <c r="E64" s="474"/>
      <c r="F64" s="474"/>
      <c r="G64" s="474"/>
      <c r="H64" s="474"/>
      <c r="I64" s="474"/>
      <c r="J64" s="474"/>
      <c r="K64" s="475"/>
      <c r="L64" s="476"/>
      <c r="M64" s="477"/>
      <c r="N64" s="2724"/>
      <c r="O64" s="2724"/>
      <c r="P64" s="2733"/>
      <c r="Q64" s="2710"/>
      <c r="R64" s="2696"/>
      <c r="S64" s="2696"/>
      <c r="T64" s="2696"/>
      <c r="U64" s="2696"/>
      <c r="V64" s="2696"/>
      <c r="W64" s="2696"/>
      <c r="X64" s="2696"/>
      <c r="Y64" s="2696"/>
      <c r="Z64" s="2696"/>
      <c r="AA64" s="2696"/>
      <c r="AB64" s="2696"/>
      <c r="AC64" s="2696"/>
    </row>
    <row r="65" spans="1:29" ht="14.4" thickBot="1">
      <c r="A65" s="478"/>
      <c r="B65" s="479"/>
      <c r="C65" s="480">
        <v>100</v>
      </c>
      <c r="D65" s="480"/>
      <c r="E65" s="480"/>
      <c r="F65" s="480"/>
      <c r="G65" s="480"/>
      <c r="H65" s="480"/>
      <c r="I65" s="480"/>
      <c r="J65" s="480"/>
      <c r="K65" s="480"/>
      <c r="L65" s="480"/>
      <c r="M65" s="481"/>
      <c r="N65" s="2725"/>
      <c r="O65" s="2725"/>
      <c r="P65" s="2733"/>
      <c r="Q65" s="2710"/>
      <c r="R65" s="2696"/>
      <c r="S65" s="2696"/>
      <c r="T65" s="2696"/>
      <c r="U65" s="2696"/>
      <c r="V65" s="2696"/>
      <c r="W65" s="2696"/>
      <c r="X65" s="2696"/>
      <c r="Y65" s="2696"/>
      <c r="Z65" s="2696"/>
      <c r="AA65" s="2696"/>
      <c r="AB65" s="2696"/>
      <c r="AC65" s="2696"/>
    </row>
    <row r="66" spans="1:29" ht="29.4" thickTop="1">
      <c r="A66" s="478"/>
      <c r="B66" s="482" t="s">
        <v>1688</v>
      </c>
      <c r="C66" s="527"/>
      <c r="D66" s="527"/>
      <c r="E66" s="527"/>
      <c r="F66" s="527"/>
      <c r="G66" s="527"/>
      <c r="H66" s="527"/>
      <c r="I66" s="527"/>
      <c r="J66" s="527"/>
      <c r="K66" s="528"/>
      <c r="L66" s="529"/>
      <c r="M66" s="530"/>
      <c r="N66" s="2724"/>
      <c r="O66" s="2724"/>
      <c r="P66" s="2733"/>
      <c r="Q66" s="2710"/>
      <c r="R66" s="2696"/>
      <c r="S66" s="2696"/>
      <c r="T66" s="2696"/>
      <c r="U66" s="2696"/>
      <c r="V66" s="2696"/>
      <c r="W66" s="2696"/>
      <c r="X66" s="2696"/>
      <c r="Y66" s="2696"/>
      <c r="Z66" s="2696"/>
      <c r="AA66" s="2696"/>
      <c r="AB66" s="2696"/>
      <c r="AC66" s="2696"/>
    </row>
    <row r="67" spans="1:29" ht="14.4" thickBot="1">
      <c r="A67" s="478"/>
      <c r="B67" s="487"/>
      <c r="C67" s="480"/>
      <c r="D67" s="480"/>
      <c r="E67" s="480"/>
      <c r="F67" s="480"/>
      <c r="G67" s="480"/>
      <c r="H67" s="480"/>
      <c r="I67" s="480"/>
      <c r="J67" s="480"/>
      <c r="K67" s="480"/>
      <c r="L67" s="480"/>
      <c r="M67" s="481"/>
      <c r="N67" s="2725"/>
      <c r="O67" s="2725"/>
      <c r="P67" s="2733"/>
      <c r="Q67" s="2710"/>
      <c r="R67" s="2696"/>
      <c r="S67" s="2696"/>
      <c r="T67" s="2696"/>
      <c r="U67" s="2696"/>
      <c r="V67" s="2696"/>
      <c r="W67" s="2696"/>
      <c r="X67" s="2696"/>
      <c r="Y67" s="2696"/>
      <c r="Z67" s="2696"/>
      <c r="AA67" s="2696"/>
      <c r="AB67" s="2696"/>
      <c r="AC67" s="2696"/>
    </row>
    <row r="68" spans="1:29" ht="1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25"/>
      <c r="O68" s="2725"/>
      <c r="P68" s="2733"/>
      <c r="Q68" s="2710"/>
      <c r="R68" s="2696"/>
      <c r="S68" s="2696"/>
      <c r="T68" s="2696"/>
      <c r="U68" s="2696"/>
      <c r="V68" s="2696"/>
      <c r="W68" s="2696"/>
      <c r="X68" s="2696"/>
      <c r="Y68" s="2696"/>
      <c r="Z68" s="2696"/>
      <c r="AA68" s="2696"/>
      <c r="AB68" s="2696"/>
      <c r="AC68" s="2696"/>
    </row>
    <row r="69" spans="1:29">
      <c r="A69" s="478"/>
      <c r="B69" s="492"/>
      <c r="C69" s="493">
        <v>0</v>
      </c>
      <c r="D69" s="493">
        <v>3</v>
      </c>
      <c r="E69" s="493"/>
      <c r="F69" s="493"/>
      <c r="G69" s="493"/>
      <c r="H69" s="493"/>
      <c r="I69" s="493"/>
      <c r="J69" s="493"/>
      <c r="K69" s="494"/>
      <c r="L69" s="495"/>
      <c r="M69" s="496"/>
      <c r="N69" s="2724"/>
      <c r="O69" s="2724"/>
      <c r="P69" s="2733"/>
      <c r="Q69" s="2710"/>
      <c r="R69" s="2696"/>
      <c r="S69" s="2696"/>
      <c r="T69" s="2696"/>
      <c r="U69" s="2696"/>
      <c r="V69" s="2696"/>
      <c r="W69" s="2696"/>
      <c r="X69" s="2696"/>
      <c r="Y69" s="2696"/>
      <c r="Z69" s="2696"/>
      <c r="AA69" s="2696"/>
      <c r="AB69" s="2696"/>
      <c r="AC69" s="2696"/>
    </row>
    <row r="70" spans="1:29" ht="14.4"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25"/>
      <c r="O70" s="2725"/>
      <c r="P70" s="2733"/>
      <c r="Q70" s="2710"/>
      <c r="R70" s="2696"/>
      <c r="S70" s="2696"/>
      <c r="T70" s="2696"/>
      <c r="U70" s="2696"/>
      <c r="V70" s="2696"/>
      <c r="W70" s="2696"/>
      <c r="X70" s="2696"/>
      <c r="Y70" s="2696"/>
      <c r="Z70" s="2696"/>
      <c r="AA70" s="2696"/>
      <c r="AB70" s="2696"/>
      <c r="AC70" s="2696"/>
    </row>
    <row r="71" spans="1:29" s="417" customFormat="1" ht="14.4" thickTop="1">
      <c r="A71" s="497"/>
      <c r="B71" s="482">
        <f>B12</f>
        <v>111</v>
      </c>
      <c r="C71" s="498"/>
      <c r="D71" s="498"/>
      <c r="E71" s="498"/>
      <c r="F71" s="498"/>
      <c r="G71" s="498"/>
      <c r="H71" s="499"/>
      <c r="I71" s="499"/>
      <c r="J71" s="499"/>
      <c r="K71" s="499"/>
      <c r="L71" s="500"/>
      <c r="M71" s="501"/>
      <c r="N71" s="2726"/>
      <c r="O71" s="2726"/>
      <c r="P71" s="2734"/>
      <c r="Q71" s="2717"/>
      <c r="R71" s="2718"/>
      <c r="S71" s="2718"/>
      <c r="T71" s="2718"/>
      <c r="U71" s="2718"/>
      <c r="V71" s="2718"/>
      <c r="W71" s="2718"/>
      <c r="X71" s="2718"/>
      <c r="Y71" s="2718"/>
      <c r="Z71" s="2718"/>
      <c r="AA71" s="2718"/>
      <c r="AB71" s="2718"/>
      <c r="AC71" s="2718"/>
    </row>
    <row r="72" spans="1:29" s="417" customFormat="1" ht="14.4" thickBot="1">
      <c r="A72" s="497"/>
      <c r="B72" s="487"/>
      <c r="C72" s="504"/>
      <c r="D72" s="480"/>
      <c r="E72" s="480"/>
      <c r="F72" s="480"/>
      <c r="G72" s="480"/>
      <c r="H72" s="480"/>
      <c r="I72" s="480"/>
      <c r="J72" s="480"/>
      <c r="K72" s="480"/>
      <c r="L72" s="480"/>
      <c r="M72" s="481"/>
      <c r="N72" s="2725"/>
      <c r="O72" s="2725"/>
      <c r="P72" s="2734"/>
      <c r="Q72" s="2717"/>
      <c r="R72" s="2718"/>
      <c r="S72" s="2718"/>
      <c r="T72" s="2718"/>
      <c r="U72" s="2718"/>
      <c r="V72" s="2718"/>
      <c r="W72" s="2718"/>
      <c r="X72" s="2718"/>
      <c r="Y72" s="2718"/>
      <c r="Z72" s="2718"/>
      <c r="AA72" s="2718"/>
      <c r="AB72" s="2718"/>
      <c r="AC72" s="2718"/>
    </row>
    <row r="73" spans="1:29" s="417" customFormat="1" ht="14.4" thickTop="1">
      <c r="A73" s="497"/>
      <c r="B73" s="482">
        <f>B13</f>
        <v>111</v>
      </c>
      <c r="C73" s="498"/>
      <c r="D73" s="498"/>
      <c r="E73" s="498"/>
      <c r="F73" s="498"/>
      <c r="G73" s="498"/>
      <c r="H73" s="499"/>
      <c r="I73" s="499"/>
      <c r="J73" s="499"/>
      <c r="K73" s="499"/>
      <c r="L73" s="500"/>
      <c r="M73" s="501"/>
      <c r="N73" s="2726"/>
      <c r="O73" s="2726"/>
      <c r="P73" s="2735"/>
      <c r="Q73" s="2720"/>
      <c r="R73" s="2718"/>
      <c r="S73" s="2718"/>
      <c r="T73" s="2718"/>
      <c r="U73" s="2718"/>
      <c r="V73" s="2718"/>
      <c r="W73" s="2718"/>
      <c r="X73" s="2718"/>
      <c r="Y73" s="2718"/>
      <c r="Z73" s="2718"/>
      <c r="AA73" s="2718"/>
      <c r="AB73" s="2718"/>
      <c r="AC73" s="2718"/>
    </row>
    <row r="74" spans="1:29" s="417" customFormat="1" ht="14.4" thickBot="1">
      <c r="A74" s="497"/>
      <c r="B74" s="487"/>
      <c r="C74" s="504"/>
      <c r="D74" s="504"/>
      <c r="E74" s="504"/>
      <c r="F74" s="504"/>
      <c r="G74" s="504"/>
      <c r="H74" s="506"/>
      <c r="I74" s="506"/>
      <c r="J74" s="506"/>
      <c r="K74" s="506"/>
      <c r="L74" s="506"/>
      <c r="M74" s="507"/>
      <c r="N74" s="2726"/>
      <c r="O74" s="2726"/>
      <c r="P74" s="2734"/>
      <c r="Q74" s="2717"/>
      <c r="R74" s="2718"/>
      <c r="S74" s="2718"/>
      <c r="T74" s="2718"/>
      <c r="U74" s="2718"/>
      <c r="V74" s="2718"/>
      <c r="W74" s="2718"/>
      <c r="X74" s="2718"/>
      <c r="Y74" s="2718"/>
      <c r="Z74" s="2718"/>
      <c r="AA74" s="2718"/>
      <c r="AB74" s="2718"/>
      <c r="AC74" s="2718"/>
    </row>
    <row r="75" spans="1:29" s="417" customFormat="1" ht="14.4" thickTop="1">
      <c r="A75" s="497"/>
      <c r="B75" s="490">
        <f>B14</f>
        <v>111</v>
      </c>
      <c r="C75" s="467"/>
      <c r="D75" s="467"/>
      <c r="E75" s="467"/>
      <c r="F75" s="467"/>
      <c r="G75" s="467"/>
      <c r="H75" s="508"/>
      <c r="I75" s="508"/>
      <c r="J75" s="508"/>
      <c r="K75" s="508"/>
      <c r="L75" s="509"/>
      <c r="M75" s="510"/>
      <c r="N75" s="2726"/>
      <c r="O75" s="2726"/>
      <c r="P75" s="2736"/>
      <c r="Q75" s="2717"/>
      <c r="R75" s="2718"/>
      <c r="S75" s="2718"/>
      <c r="T75" s="2718"/>
      <c r="U75" s="2718"/>
      <c r="V75" s="2718"/>
      <c r="W75" s="2718"/>
      <c r="X75" s="2718"/>
      <c r="Y75" s="2718"/>
      <c r="Z75" s="2718"/>
      <c r="AA75" s="2718"/>
      <c r="AB75" s="2718"/>
      <c r="AC75" s="2718"/>
    </row>
    <row r="76" spans="1:29" s="417" customFormat="1" ht="14.4" thickBot="1">
      <c r="A76" s="512"/>
      <c r="B76" s="513"/>
      <c r="C76" s="514"/>
      <c r="D76" s="514"/>
      <c r="E76" s="514"/>
      <c r="F76" s="514"/>
      <c r="G76" s="514"/>
      <c r="H76" s="515"/>
      <c r="I76" s="515"/>
      <c r="J76" s="515"/>
      <c r="K76" s="515"/>
      <c r="L76" s="515"/>
      <c r="M76" s="516"/>
      <c r="N76" s="2726"/>
      <c r="O76" s="2726"/>
      <c r="P76" s="2734"/>
      <c r="Q76" s="2717"/>
      <c r="R76" s="2718"/>
      <c r="S76" s="2718"/>
      <c r="T76" s="2718"/>
      <c r="U76" s="2718"/>
      <c r="V76" s="2718"/>
      <c r="W76" s="2718"/>
      <c r="X76" s="2718"/>
      <c r="Y76" s="2718"/>
      <c r="Z76" s="2718"/>
      <c r="AA76" s="2718"/>
      <c r="AB76" s="2718"/>
      <c r="AC76" s="2718"/>
    </row>
    <row r="77" spans="1:29" ht="14.4">
      <c r="A77" s="471" t="s">
        <v>1690</v>
      </c>
      <c r="B77" s="472" t="s">
        <v>1821</v>
      </c>
      <c r="C77" s="517" t="s">
        <v>1721</v>
      </c>
      <c r="D77" s="517" t="s">
        <v>1722</v>
      </c>
      <c r="E77" s="517" t="s">
        <v>1723</v>
      </c>
      <c r="F77" s="517" t="s">
        <v>1724</v>
      </c>
      <c r="G77" s="517" t="s">
        <v>1725</v>
      </c>
      <c r="H77" s="473"/>
      <c r="I77" s="473"/>
      <c r="J77" s="473"/>
      <c r="K77" s="518"/>
      <c r="L77" s="519"/>
      <c r="M77" s="520"/>
      <c r="N77" s="2724"/>
      <c r="O77" s="2724"/>
      <c r="P77" s="2737"/>
      <c r="Q77" s="2710"/>
      <c r="R77" s="2696"/>
      <c r="S77" s="2696"/>
      <c r="T77" s="2696"/>
      <c r="U77" s="2696"/>
      <c r="V77" s="2696"/>
      <c r="W77" s="2696"/>
      <c r="X77" s="2696"/>
      <c r="Y77" s="2696"/>
      <c r="Z77" s="2696"/>
      <c r="AA77" s="2696"/>
      <c r="AB77" s="2696"/>
      <c r="AC77" s="2696"/>
    </row>
    <row r="78" spans="1:29" ht="14.4" thickBot="1">
      <c r="A78" s="478"/>
      <c r="B78" s="487"/>
      <c r="C78" s="488">
        <v>100</v>
      </c>
      <c r="D78" s="488">
        <f>C78-$K15</f>
        <v>100</v>
      </c>
      <c r="E78" s="488">
        <f>D78-$K15</f>
        <v>100</v>
      </c>
      <c r="F78" s="488">
        <f>E78-$K15</f>
        <v>100</v>
      </c>
      <c r="G78" s="488">
        <f>F78-$K15</f>
        <v>100</v>
      </c>
      <c r="H78" s="488"/>
      <c r="I78" s="488"/>
      <c r="J78" s="488"/>
      <c r="K78" s="488"/>
      <c r="L78" s="488"/>
      <c r="M78" s="489"/>
      <c r="N78" s="2725"/>
      <c r="O78" s="2725"/>
      <c r="P78" s="2733"/>
      <c r="Q78" s="2710"/>
      <c r="R78" s="2696"/>
      <c r="S78" s="2696"/>
      <c r="T78" s="2696"/>
      <c r="U78" s="2696"/>
      <c r="V78" s="2696"/>
      <c r="W78" s="2696"/>
      <c r="X78" s="2696"/>
      <c r="Y78" s="2696"/>
      <c r="Z78" s="2696"/>
      <c r="AA78" s="2696"/>
      <c r="AB78" s="2696"/>
      <c r="AC78" s="2696"/>
    </row>
    <row r="79" spans="1:29" ht="15" thickTop="1">
      <c r="A79" s="478"/>
      <c r="B79" s="482" t="s">
        <v>1726</v>
      </c>
      <c r="C79" s="522" t="s">
        <v>1721</v>
      </c>
      <c r="D79" s="522" t="s">
        <v>1722</v>
      </c>
      <c r="E79" s="522" t="s">
        <v>1723</v>
      </c>
      <c r="F79" s="522" t="s">
        <v>1724</v>
      </c>
      <c r="G79" s="522" t="s">
        <v>1725</v>
      </c>
      <c r="H79" s="483"/>
      <c r="I79" s="483"/>
      <c r="J79" s="483"/>
      <c r="K79" s="484"/>
      <c r="L79" s="485"/>
      <c r="M79" s="486"/>
      <c r="N79" s="2724"/>
      <c r="O79" s="2724"/>
      <c r="P79" s="2733"/>
      <c r="Q79" s="2710"/>
      <c r="R79" s="2696"/>
      <c r="S79" s="2696"/>
      <c r="T79" s="2696"/>
      <c r="U79" s="2696"/>
      <c r="V79" s="2696"/>
      <c r="W79" s="2696"/>
      <c r="X79" s="2696"/>
      <c r="Y79" s="2696"/>
      <c r="Z79" s="2696"/>
      <c r="AA79" s="2696"/>
      <c r="AB79" s="2696"/>
      <c r="AC79" s="2696"/>
    </row>
    <row r="80" spans="1:29" ht="14.4" thickBot="1">
      <c r="A80" s="478"/>
      <c r="B80" s="487"/>
      <c r="C80" s="488">
        <v>100</v>
      </c>
      <c r="D80" s="488">
        <f>C80-$K17</f>
        <v>100</v>
      </c>
      <c r="E80" s="488">
        <f>D80-$K17</f>
        <v>100</v>
      </c>
      <c r="F80" s="488">
        <f>E80-$K17</f>
        <v>100</v>
      </c>
      <c r="G80" s="488">
        <f>F80-$K17</f>
        <v>100</v>
      </c>
      <c r="H80" s="488"/>
      <c r="I80" s="488"/>
      <c r="J80" s="488"/>
      <c r="K80" s="488"/>
      <c r="L80" s="488"/>
      <c r="M80" s="489"/>
      <c r="N80" s="2725"/>
      <c r="O80" s="2725"/>
      <c r="P80" s="2733"/>
      <c r="Q80" s="2710"/>
      <c r="R80" s="2696"/>
      <c r="S80" s="2696"/>
      <c r="T80" s="2696"/>
      <c r="U80" s="2696"/>
      <c r="V80" s="2696"/>
      <c r="W80" s="2696"/>
      <c r="X80" s="2696"/>
      <c r="Y80" s="2696"/>
      <c r="Z80" s="2696"/>
      <c r="AA80" s="2696"/>
      <c r="AB80" s="2696"/>
      <c r="AC80" s="2696"/>
    </row>
    <row r="81" spans="1:29" ht="15" thickTop="1">
      <c r="A81" s="478"/>
      <c r="B81" s="482" t="s">
        <v>1727</v>
      </c>
      <c r="C81" s="522" t="s">
        <v>1721</v>
      </c>
      <c r="D81" s="522" t="s">
        <v>1722</v>
      </c>
      <c r="E81" s="522" t="s">
        <v>1723</v>
      </c>
      <c r="F81" s="522" t="s">
        <v>1724</v>
      </c>
      <c r="G81" s="522" t="s">
        <v>1725</v>
      </c>
      <c r="H81" s="483"/>
      <c r="I81" s="483"/>
      <c r="J81" s="483"/>
      <c r="K81" s="484"/>
      <c r="L81" s="485"/>
      <c r="M81" s="486"/>
      <c r="N81" s="2724"/>
      <c r="O81" s="2724"/>
      <c r="P81" s="2733"/>
      <c r="Q81" s="2710"/>
      <c r="R81" s="2696"/>
      <c r="S81" s="2696"/>
      <c r="T81" s="2696"/>
      <c r="U81" s="2696"/>
      <c r="V81" s="2696"/>
      <c r="W81" s="2696"/>
      <c r="X81" s="2696"/>
      <c r="Y81" s="2696"/>
      <c r="Z81" s="2696"/>
      <c r="AA81" s="2696"/>
      <c r="AB81" s="2696"/>
      <c r="AC81" s="2696"/>
    </row>
    <row r="82" spans="1:29" ht="14.4" thickBot="1">
      <c r="A82" s="478"/>
      <c r="B82" s="487"/>
      <c r="C82" s="488">
        <v>100</v>
      </c>
      <c r="D82" s="488">
        <f>C82-$K19</f>
        <v>100</v>
      </c>
      <c r="E82" s="488">
        <f>D82-$K19</f>
        <v>100</v>
      </c>
      <c r="F82" s="488">
        <f>E82-$K19</f>
        <v>100</v>
      </c>
      <c r="G82" s="488">
        <f>F82-$K19</f>
        <v>100</v>
      </c>
      <c r="H82" s="488"/>
      <c r="I82" s="488"/>
      <c r="J82" s="488"/>
      <c r="K82" s="488"/>
      <c r="L82" s="488"/>
      <c r="M82" s="489"/>
      <c r="N82" s="2725"/>
      <c r="O82" s="2725"/>
      <c r="P82" s="2733"/>
      <c r="Q82" s="2710"/>
      <c r="R82" s="2696"/>
      <c r="S82" s="2696"/>
      <c r="T82" s="2696"/>
      <c r="U82" s="2696"/>
      <c r="V82" s="2696"/>
      <c r="W82" s="2696"/>
      <c r="X82" s="2696"/>
      <c r="Y82" s="2696"/>
      <c r="Z82" s="2696"/>
      <c r="AA82" s="2696"/>
      <c r="AB82" s="2696"/>
      <c r="AC82" s="2696"/>
    </row>
    <row r="83" spans="1:29" ht="15" thickTop="1">
      <c r="A83" s="478"/>
      <c r="B83" s="490" t="s">
        <v>1813</v>
      </c>
      <c r="C83" s="600" t="s">
        <v>1799</v>
      </c>
      <c r="D83" s="600" t="s">
        <v>1800</v>
      </c>
      <c r="E83" s="600" t="s">
        <v>1801</v>
      </c>
      <c r="F83" s="600" t="s">
        <v>1802</v>
      </c>
      <c r="G83" s="600" t="s">
        <v>1803</v>
      </c>
      <c r="H83" s="483"/>
      <c r="I83" s="483"/>
      <c r="J83" s="483"/>
      <c r="K83" s="483"/>
      <c r="L83" s="483"/>
      <c r="M83" s="1117"/>
      <c r="N83" s="2725"/>
      <c r="O83" s="2725"/>
      <c r="P83" s="2733"/>
      <c r="Q83" s="2710"/>
      <c r="R83" s="2696"/>
      <c r="S83" s="2696"/>
      <c r="T83" s="2696"/>
      <c r="U83" s="2696"/>
      <c r="V83" s="2696"/>
      <c r="W83" s="2696"/>
      <c r="X83" s="2696"/>
      <c r="Y83" s="2696"/>
      <c r="Z83" s="2696"/>
      <c r="AA83" s="2696"/>
      <c r="AB83" s="2696"/>
      <c r="AC83" s="2696"/>
    </row>
    <row r="84" spans="1:29" ht="14.4" thickBot="1">
      <c r="A84" s="478"/>
      <c r="B84" s="490"/>
      <c r="C84" s="488">
        <v>100</v>
      </c>
      <c r="D84" s="488">
        <f>C84-$K21</f>
        <v>100</v>
      </c>
      <c r="E84" s="488">
        <f>D84-$K21</f>
        <v>100</v>
      </c>
      <c r="F84" s="488">
        <f>E84-$K21</f>
        <v>100</v>
      </c>
      <c r="G84" s="488">
        <f>F84-$K21</f>
        <v>100</v>
      </c>
      <c r="H84" s="600"/>
      <c r="I84" s="600"/>
      <c r="J84" s="600"/>
      <c r="K84" s="600"/>
      <c r="L84" s="600"/>
      <c r="M84" s="396"/>
      <c r="N84" s="2725"/>
      <c r="O84" s="2725"/>
      <c r="P84" s="2733"/>
      <c r="Q84" s="2710"/>
      <c r="R84" s="2696"/>
      <c r="S84" s="2696"/>
      <c r="T84" s="2696"/>
      <c r="U84" s="2696"/>
      <c r="V84" s="2696"/>
      <c r="W84" s="2696"/>
      <c r="X84" s="2696"/>
      <c r="Y84" s="2696"/>
      <c r="Z84" s="2696"/>
      <c r="AA84" s="2696"/>
      <c r="AB84" s="2696"/>
      <c r="AC84" s="2696"/>
    </row>
    <row r="85" spans="1:29" ht="15" thickTop="1">
      <c r="A85" s="478"/>
      <c r="B85" s="482" t="s">
        <v>1822</v>
      </c>
      <c r="C85" s="522" t="s">
        <v>1721</v>
      </c>
      <c r="D85" s="522" t="s">
        <v>1722</v>
      </c>
      <c r="E85" s="522" t="s">
        <v>1723</v>
      </c>
      <c r="F85" s="522" t="s">
        <v>1724</v>
      </c>
      <c r="G85" s="522" t="s">
        <v>1725</v>
      </c>
      <c r="H85" s="483"/>
      <c r="I85" s="483"/>
      <c r="J85" s="483"/>
      <c r="K85" s="484"/>
      <c r="L85" s="485"/>
      <c r="M85" s="486"/>
      <c r="N85" s="2724"/>
      <c r="O85" s="2724"/>
      <c r="P85" s="2733"/>
      <c r="Q85" s="2710"/>
      <c r="R85" s="2696"/>
      <c r="S85" s="2696"/>
      <c r="T85" s="2696"/>
      <c r="U85" s="2696"/>
      <c r="V85" s="2696"/>
      <c r="W85" s="2696"/>
      <c r="X85" s="2696"/>
      <c r="Y85" s="2696"/>
      <c r="Z85" s="2696"/>
      <c r="AA85" s="2696"/>
      <c r="AB85" s="2696"/>
      <c r="AC85" s="2696"/>
    </row>
    <row r="86" spans="1:29" ht="14.4" thickBot="1">
      <c r="A86" s="478"/>
      <c r="B86" s="487"/>
      <c r="C86" s="488">
        <v>100</v>
      </c>
      <c r="D86" s="488">
        <f>C86-$K23</f>
        <v>100</v>
      </c>
      <c r="E86" s="488">
        <f>D86-$K23</f>
        <v>100</v>
      </c>
      <c r="F86" s="488">
        <f>E86-$K23</f>
        <v>100</v>
      </c>
      <c r="G86" s="488">
        <f>F86-$K23</f>
        <v>100</v>
      </c>
      <c r="H86" s="488"/>
      <c r="I86" s="488"/>
      <c r="J86" s="488"/>
      <c r="K86" s="488"/>
      <c r="L86" s="488"/>
      <c r="M86" s="489"/>
      <c r="N86" s="2725"/>
      <c r="O86" s="2725"/>
      <c r="P86" s="2733"/>
      <c r="Q86" s="2710"/>
      <c r="R86" s="2696"/>
      <c r="S86" s="2696"/>
      <c r="T86" s="2696"/>
      <c r="U86" s="2696"/>
      <c r="V86" s="2696"/>
      <c r="W86" s="2696"/>
      <c r="X86" s="2696"/>
      <c r="Y86" s="2696"/>
      <c r="Z86" s="2696"/>
      <c r="AA86" s="2696"/>
      <c r="AB86" s="2696"/>
      <c r="AC86" s="2696"/>
    </row>
    <row r="87" spans="1:29" s="108" customFormat="1" ht="29.4" thickTop="1">
      <c r="A87" s="523"/>
      <c r="B87" s="482" t="s">
        <v>1823</v>
      </c>
      <c r="C87" s="498"/>
      <c r="D87" s="498"/>
      <c r="E87" s="498"/>
      <c r="F87" s="498"/>
      <c r="G87" s="498"/>
      <c r="H87" s="498"/>
      <c r="I87" s="498"/>
      <c r="J87" s="498"/>
      <c r="K87" s="498"/>
      <c r="L87" s="524"/>
      <c r="M87" s="525"/>
      <c r="N87" s="2723"/>
      <c r="O87" s="2723"/>
      <c r="P87" s="2733"/>
      <c r="Q87" s="2710"/>
      <c r="R87" s="2632"/>
      <c r="S87" s="2632"/>
      <c r="T87" s="2632"/>
      <c r="U87" s="2632"/>
      <c r="V87" s="2632"/>
      <c r="W87" s="2632"/>
      <c r="X87" s="2632"/>
      <c r="Y87" s="2632"/>
      <c r="Z87" s="2632"/>
      <c r="AA87" s="2632"/>
      <c r="AB87" s="2632"/>
      <c r="AC87" s="2632"/>
    </row>
    <row r="88" spans="1:29" s="108" customFormat="1" ht="14.4"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25"/>
      <c r="O88" s="2725"/>
      <c r="P88" s="2733"/>
      <c r="Q88" s="2710"/>
      <c r="R88" s="2632"/>
      <c r="S88" s="2632"/>
      <c r="T88" s="2632"/>
      <c r="U88" s="2632"/>
      <c r="V88" s="2632"/>
      <c r="W88" s="2632"/>
      <c r="X88" s="2632"/>
      <c r="Y88" s="2632"/>
      <c r="Z88" s="2632"/>
      <c r="AA88" s="2632"/>
      <c r="AB88" s="2632"/>
      <c r="AC88" s="2632"/>
    </row>
    <row r="89" spans="1:29" s="108" customFormat="1" ht="14.4" thickTop="1">
      <c r="A89" s="523"/>
      <c r="B89" s="482" t="str">
        <f>B27</f>
        <v>楼层</v>
      </c>
      <c r="C89" s="498"/>
      <c r="D89" s="498"/>
      <c r="E89" s="498"/>
      <c r="F89" s="1899"/>
      <c r="G89" s="498"/>
      <c r="H89" s="498"/>
      <c r="I89" s="498"/>
      <c r="J89" s="498"/>
      <c r="K89" s="498"/>
      <c r="L89" s="498"/>
      <c r="M89" s="525"/>
      <c r="N89" s="2723"/>
      <c r="O89" s="2723"/>
      <c r="P89" s="2733"/>
      <c r="Q89" s="2710"/>
      <c r="R89" s="2632"/>
      <c r="S89" s="2632"/>
      <c r="T89" s="2632"/>
      <c r="U89" s="2632"/>
      <c r="V89" s="2632"/>
      <c r="W89" s="2632"/>
      <c r="X89" s="2632"/>
      <c r="Y89" s="2632"/>
      <c r="Z89" s="2632"/>
      <c r="AA89" s="2632"/>
      <c r="AB89" s="2632"/>
      <c r="AC89" s="2632"/>
    </row>
    <row r="90" spans="1:29" s="108" customFormat="1" ht="14.4"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25"/>
      <c r="O90" s="2725"/>
      <c r="P90" s="2733"/>
      <c r="Q90" s="2710"/>
      <c r="R90" s="2632"/>
      <c r="S90" s="2632"/>
      <c r="T90" s="2632"/>
      <c r="U90" s="2632"/>
      <c r="V90" s="2632"/>
      <c r="W90" s="2632"/>
      <c r="X90" s="2632"/>
      <c r="Y90" s="2632"/>
      <c r="Z90" s="2632"/>
      <c r="AA90" s="2632"/>
      <c r="AB90" s="2632"/>
      <c r="AC90" s="2632"/>
    </row>
    <row r="91" spans="1:29" s="417" customFormat="1" ht="14.4" thickTop="1">
      <c r="A91" s="497"/>
      <c r="B91" s="482" t="str">
        <f>B28</f>
        <v>朝向</v>
      </c>
      <c r="C91" s="498"/>
      <c r="D91" s="498"/>
      <c r="E91" s="498"/>
      <c r="F91" s="498"/>
      <c r="G91" s="498"/>
      <c r="H91" s="499"/>
      <c r="I91" s="499"/>
      <c r="J91" s="499"/>
      <c r="K91" s="499"/>
      <c r="L91" s="500"/>
      <c r="M91" s="501"/>
      <c r="N91" s="2726"/>
      <c r="O91" s="2726"/>
      <c r="P91" s="2734"/>
      <c r="Q91" s="2717"/>
      <c r="R91" s="2718"/>
      <c r="S91" s="2718"/>
      <c r="T91" s="2718"/>
      <c r="U91" s="2718"/>
      <c r="V91" s="2718"/>
      <c r="W91" s="2718"/>
      <c r="X91" s="2718"/>
      <c r="Y91" s="2718"/>
      <c r="Z91" s="2718"/>
      <c r="AA91" s="2718"/>
      <c r="AB91" s="2718"/>
      <c r="AC91" s="2718"/>
    </row>
    <row r="92" spans="1:29" s="417" customFormat="1" ht="14.4"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26"/>
      <c r="O92" s="2726"/>
      <c r="P92" s="2734"/>
      <c r="Q92" s="2717"/>
      <c r="R92" s="2718"/>
      <c r="S92" s="2718"/>
      <c r="T92" s="2718"/>
      <c r="U92" s="2718"/>
      <c r="V92" s="2718"/>
      <c r="W92" s="2718"/>
      <c r="X92" s="2718"/>
      <c r="Y92" s="2718"/>
      <c r="Z92" s="2718"/>
      <c r="AA92" s="2718"/>
      <c r="AB92" s="2718"/>
      <c r="AC92" s="2718"/>
    </row>
    <row r="93" spans="1:29" ht="14.4" thickTop="1">
      <c r="A93" s="478"/>
      <c r="B93" s="482">
        <f>B29</f>
        <v>111</v>
      </c>
      <c r="C93" s="498"/>
      <c r="D93" s="498"/>
      <c r="E93" s="498"/>
      <c r="F93" s="498"/>
      <c r="G93" s="498"/>
      <c r="H93" s="498"/>
      <c r="I93" s="498"/>
      <c r="J93" s="498"/>
      <c r="K93" s="498"/>
      <c r="L93" s="524"/>
      <c r="M93" s="525"/>
      <c r="N93" s="2724"/>
      <c r="O93" s="2724"/>
      <c r="P93" s="2733"/>
      <c r="Q93" s="2710"/>
      <c r="R93" s="2696"/>
      <c r="S93" s="2696"/>
      <c r="T93" s="2696"/>
      <c r="U93" s="2696"/>
      <c r="V93" s="2696"/>
      <c r="W93" s="2696"/>
      <c r="X93" s="2696"/>
      <c r="Y93" s="2696"/>
      <c r="Z93" s="2696"/>
      <c r="AA93" s="2696"/>
      <c r="AB93" s="2696"/>
      <c r="AC93" s="2696"/>
    </row>
    <row r="94" spans="1:29" ht="14.4" thickBot="1">
      <c r="A94" s="478"/>
      <c r="B94" s="487"/>
      <c r="C94" s="504"/>
      <c r="D94" s="480"/>
      <c r="E94" s="480"/>
      <c r="F94" s="480"/>
      <c r="G94" s="480"/>
      <c r="H94" s="480"/>
      <c r="I94" s="480"/>
      <c r="J94" s="480"/>
      <c r="K94" s="480"/>
      <c r="L94" s="480"/>
      <c r="M94" s="481"/>
      <c r="N94" s="2725"/>
      <c r="O94" s="2725"/>
      <c r="P94" s="2733"/>
      <c r="Q94" s="2710"/>
      <c r="R94" s="2696"/>
      <c r="S94" s="2696"/>
      <c r="T94" s="2696"/>
      <c r="U94" s="2696"/>
      <c r="V94" s="2696"/>
      <c r="W94" s="2696"/>
      <c r="X94" s="2696"/>
      <c r="Y94" s="2696"/>
      <c r="Z94" s="2696"/>
      <c r="AA94" s="2696"/>
      <c r="AB94" s="2696"/>
      <c r="AC94" s="2696"/>
    </row>
    <row r="95" spans="1:29" ht="14.4" thickTop="1">
      <c r="A95" s="478"/>
      <c r="B95" s="482">
        <f>B30</f>
        <v>111</v>
      </c>
      <c r="C95" s="498"/>
      <c r="D95" s="498"/>
      <c r="E95" s="498"/>
      <c r="F95" s="498"/>
      <c r="G95" s="527"/>
      <c r="H95" s="527"/>
      <c r="I95" s="527"/>
      <c r="J95" s="527"/>
      <c r="K95" s="528"/>
      <c r="L95" s="529"/>
      <c r="M95" s="530"/>
      <c r="N95" s="2724"/>
      <c r="O95" s="2724"/>
      <c r="P95" s="2733"/>
      <c r="Q95" s="2710"/>
      <c r="R95" s="2696"/>
      <c r="S95" s="2696"/>
      <c r="T95" s="2696"/>
      <c r="U95" s="2696"/>
      <c r="V95" s="2696"/>
      <c r="W95" s="2696"/>
      <c r="X95" s="2696"/>
      <c r="Y95" s="2696"/>
      <c r="Z95" s="2696"/>
      <c r="AA95" s="2696"/>
      <c r="AB95" s="2696"/>
      <c r="AC95" s="2696"/>
    </row>
    <row r="96" spans="1:29" ht="14.4" thickBot="1">
      <c r="A96" s="478"/>
      <c r="B96" s="487"/>
      <c r="C96" s="504"/>
      <c r="D96" s="504"/>
      <c r="E96" s="504"/>
      <c r="F96" s="504"/>
      <c r="G96" s="480"/>
      <c r="H96" s="480"/>
      <c r="I96" s="480"/>
      <c r="J96" s="480"/>
      <c r="K96" s="480"/>
      <c r="L96" s="480"/>
      <c r="M96" s="481"/>
      <c r="N96" s="2725"/>
      <c r="O96" s="2725"/>
      <c r="P96" s="2733"/>
      <c r="Q96" s="2710"/>
      <c r="R96" s="2696"/>
      <c r="S96" s="2696"/>
      <c r="T96" s="2696"/>
      <c r="U96" s="2696"/>
      <c r="V96" s="2696"/>
      <c r="W96" s="2696"/>
      <c r="X96" s="2696"/>
      <c r="Y96" s="2696"/>
      <c r="Z96" s="2696"/>
      <c r="AA96" s="2696"/>
      <c r="AB96" s="2696"/>
      <c r="AC96" s="2696"/>
    </row>
    <row r="97" spans="1:29" ht="14.4" thickTop="1">
      <c r="A97" s="478"/>
      <c r="B97" s="482">
        <f>B31</f>
        <v>111</v>
      </c>
      <c r="C97" s="498"/>
      <c r="D97" s="498"/>
      <c r="E97" s="498"/>
      <c r="F97" s="498"/>
      <c r="G97" s="527"/>
      <c r="H97" s="527"/>
      <c r="I97" s="527"/>
      <c r="J97" s="527"/>
      <c r="K97" s="528"/>
      <c r="L97" s="529"/>
      <c r="M97" s="530"/>
      <c r="N97" s="2724"/>
      <c r="O97" s="2724"/>
      <c r="P97" s="2733"/>
      <c r="Q97" s="2710"/>
      <c r="R97" s="2696"/>
      <c r="S97" s="2696"/>
      <c r="T97" s="2696"/>
      <c r="U97" s="2696"/>
      <c r="V97" s="2696"/>
      <c r="W97" s="2696"/>
      <c r="X97" s="2696"/>
      <c r="Y97" s="2696"/>
      <c r="Z97" s="2696"/>
      <c r="AA97" s="2696"/>
      <c r="AB97" s="2696"/>
      <c r="AC97" s="2696"/>
    </row>
    <row r="98" spans="1:29" ht="14.4" thickBot="1">
      <c r="A98" s="478"/>
      <c r="B98" s="487"/>
      <c r="C98" s="504"/>
      <c r="D98" s="480"/>
      <c r="E98" s="480"/>
      <c r="F98" s="480"/>
      <c r="G98" s="480"/>
      <c r="H98" s="480"/>
      <c r="I98" s="480"/>
      <c r="J98" s="480"/>
      <c r="K98" s="480"/>
      <c r="L98" s="480"/>
      <c r="M98" s="481"/>
      <c r="N98" s="2725"/>
      <c r="O98" s="2725"/>
      <c r="P98" s="2733"/>
      <c r="Q98" s="2710"/>
      <c r="R98" s="2696"/>
      <c r="S98" s="2696"/>
      <c r="T98" s="2696"/>
      <c r="U98" s="2696"/>
      <c r="V98" s="2696"/>
      <c r="W98" s="2696"/>
      <c r="X98" s="2696"/>
      <c r="Y98" s="2696"/>
      <c r="Z98" s="2696"/>
      <c r="AA98" s="2696"/>
      <c r="AB98" s="2696"/>
      <c r="AC98" s="2696"/>
    </row>
    <row r="99" spans="1:29" ht="14.4" thickTop="1">
      <c r="A99" s="478"/>
      <c r="B99" s="490">
        <f>B32</f>
        <v>111</v>
      </c>
      <c r="C99" s="467"/>
      <c r="D99" s="467"/>
      <c r="E99" s="467"/>
      <c r="F99" s="467"/>
      <c r="G99" s="531"/>
      <c r="H99" s="531"/>
      <c r="I99" s="531"/>
      <c r="J99" s="531"/>
      <c r="K99" s="532"/>
      <c r="L99" s="533"/>
      <c r="M99" s="534"/>
      <c r="N99" s="2724"/>
      <c r="O99" s="2724"/>
      <c r="P99" s="2733"/>
      <c r="Q99" s="2710"/>
      <c r="R99" s="2696"/>
      <c r="S99" s="2696"/>
      <c r="T99" s="2696"/>
      <c r="U99" s="2696"/>
      <c r="V99" s="2696"/>
      <c r="W99" s="2696"/>
      <c r="X99" s="2696"/>
      <c r="Y99" s="2696"/>
      <c r="Z99" s="2696"/>
      <c r="AA99" s="2696"/>
      <c r="AB99" s="2696"/>
      <c r="AC99" s="2696"/>
    </row>
    <row r="100" spans="1:29" ht="14.4" thickBot="1">
      <c r="A100" s="1900"/>
      <c r="B100" s="513"/>
      <c r="C100" s="514"/>
      <c r="D100" s="514"/>
      <c r="E100" s="514"/>
      <c r="F100" s="514"/>
      <c r="G100" s="535"/>
      <c r="H100" s="535"/>
      <c r="I100" s="535"/>
      <c r="J100" s="535"/>
      <c r="K100" s="535"/>
      <c r="L100" s="535"/>
      <c r="M100" s="536"/>
      <c r="N100" s="2725"/>
      <c r="O100" s="2725"/>
      <c r="P100" s="2733"/>
      <c r="Q100" s="2710"/>
      <c r="R100" s="2696"/>
      <c r="S100" s="2696"/>
      <c r="T100" s="2696"/>
      <c r="U100" s="2696"/>
      <c r="V100" s="2696"/>
      <c r="W100" s="2696"/>
      <c r="X100" s="2696"/>
      <c r="Y100" s="2696"/>
      <c r="Z100" s="2696"/>
      <c r="AA100" s="2696"/>
      <c r="AB100" s="2696"/>
      <c r="AC100" s="2696"/>
    </row>
    <row r="101" spans="1:29" ht="14.4">
      <c r="A101" s="471" t="s">
        <v>1694</v>
      </c>
      <c r="B101" s="472" t="s">
        <v>1736</v>
      </c>
      <c r="C101" s="474"/>
      <c r="D101" s="474"/>
      <c r="E101" s="474"/>
      <c r="F101" s="474"/>
      <c r="G101" s="474"/>
      <c r="H101" s="474"/>
      <c r="I101" s="474"/>
      <c r="J101" s="474"/>
      <c r="K101" s="475"/>
      <c r="L101" s="476"/>
      <c r="M101" s="477"/>
      <c r="N101" s="2724"/>
      <c r="O101" s="2724"/>
      <c r="P101" s="2733"/>
      <c r="Q101" s="2710"/>
      <c r="R101" s="2696"/>
      <c r="S101" s="2696"/>
      <c r="T101" s="2696"/>
      <c r="U101" s="2696"/>
      <c r="V101" s="2696"/>
      <c r="W101" s="2696"/>
      <c r="X101" s="2696"/>
      <c r="Y101" s="2696"/>
      <c r="Z101" s="2696"/>
      <c r="AA101" s="2696"/>
      <c r="AB101" s="2696"/>
      <c r="AC101" s="2696"/>
    </row>
    <row r="102" spans="1:29" ht="14.4"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25"/>
      <c r="O102" s="2725"/>
      <c r="P102" s="2733"/>
      <c r="Q102" s="2710"/>
      <c r="R102" s="2696"/>
      <c r="S102" s="2696"/>
      <c r="T102" s="2696"/>
      <c r="U102" s="2696"/>
      <c r="V102" s="2696"/>
      <c r="W102" s="2696"/>
      <c r="X102" s="2696"/>
      <c r="Y102" s="2696"/>
      <c r="Z102" s="2696"/>
      <c r="AA102" s="2696"/>
      <c r="AB102" s="2696"/>
      <c r="AC102" s="2696"/>
    </row>
    <row r="103" spans="1:29" ht="1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2"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17" customFormat="1">
      <c r="A104" s="537"/>
      <c r="B104" s="538"/>
      <c r="C104" s="539"/>
      <c r="D104" s="539"/>
      <c r="E104" s="539"/>
      <c r="F104" s="539"/>
      <c r="G104" s="539"/>
      <c r="H104" s="539"/>
      <c r="I104" s="539"/>
      <c r="J104" s="540"/>
      <c r="K104" s="540"/>
      <c r="L104" s="541"/>
      <c r="M104" s="542"/>
      <c r="N104" s="2726"/>
      <c r="O104" s="2726"/>
      <c r="P104" s="2734"/>
      <c r="Q104" s="2717"/>
      <c r="R104" s="2718"/>
      <c r="S104" s="2718"/>
      <c r="T104" s="2718"/>
      <c r="U104" s="2718"/>
      <c r="V104" s="2718"/>
      <c r="W104" s="2718"/>
      <c r="X104" s="2718"/>
      <c r="Y104" s="2718"/>
      <c r="Z104" s="2718"/>
      <c r="AA104" s="2718"/>
      <c r="AB104" s="2718"/>
      <c r="AC104" s="2718"/>
    </row>
    <row r="105" spans="1:29" s="417" customFormat="1" ht="14.4" thickBot="1">
      <c r="A105" s="497"/>
      <c r="B105" s="487"/>
      <c r="C105" s="504"/>
      <c r="D105" s="480"/>
      <c r="E105" s="480"/>
      <c r="F105" s="480"/>
      <c r="G105" s="480"/>
      <c r="H105" s="480"/>
      <c r="I105" s="480"/>
      <c r="J105" s="480"/>
      <c r="K105" s="480"/>
      <c r="L105" s="480"/>
      <c r="M105" s="481"/>
      <c r="N105" s="2725"/>
      <c r="O105" s="2725"/>
      <c r="P105" s="2734"/>
      <c r="Q105" s="2717"/>
      <c r="R105" s="2718"/>
      <c r="S105" s="2718"/>
      <c r="T105" s="2718"/>
      <c r="U105" s="2718"/>
      <c r="V105" s="2718"/>
      <c r="W105" s="2718"/>
      <c r="X105" s="2718"/>
      <c r="Y105" s="2718"/>
      <c r="Z105" s="2718"/>
      <c r="AA105" s="2718"/>
      <c r="AB105" s="2718"/>
      <c r="AC105" s="2718"/>
    </row>
    <row r="106" spans="1:29" ht="15" thickTop="1">
      <c r="A106" s="543"/>
      <c r="B106" s="482" t="s">
        <v>1738</v>
      </c>
      <c r="C106" s="498"/>
      <c r="D106" s="498"/>
      <c r="E106" s="527"/>
      <c r="F106" s="527"/>
      <c r="G106" s="527"/>
      <c r="H106" s="527"/>
      <c r="I106" s="527"/>
      <c r="J106" s="527"/>
      <c r="K106" s="528"/>
      <c r="L106" s="529"/>
      <c r="M106" s="530"/>
      <c r="N106" s="2724"/>
      <c r="O106" s="2724"/>
      <c r="P106" s="2733"/>
      <c r="Q106" s="2710"/>
      <c r="R106" s="2696"/>
      <c r="S106" s="2696"/>
      <c r="T106" s="2696"/>
      <c r="U106" s="2696"/>
      <c r="V106" s="2696"/>
      <c r="W106" s="2696"/>
      <c r="X106" s="2696"/>
      <c r="Y106" s="2696"/>
      <c r="Z106" s="2696"/>
      <c r="AA106" s="2696"/>
      <c r="AB106" s="2696"/>
      <c r="AC106" s="2696"/>
    </row>
    <row r="107" spans="1:29" ht="14.4"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3"/>
      <c r="B108" s="482" t="s">
        <v>1740</v>
      </c>
      <c r="C108" s="498"/>
      <c r="D108" s="498"/>
      <c r="E108" s="498"/>
      <c r="F108" s="527"/>
      <c r="G108" s="527"/>
      <c r="H108" s="527"/>
      <c r="I108" s="527"/>
      <c r="J108" s="527"/>
      <c r="K108" s="528"/>
      <c r="L108" s="529"/>
      <c r="M108" s="530"/>
      <c r="N108" s="2724"/>
      <c r="O108" s="2724"/>
      <c r="P108" s="2733"/>
      <c r="Q108" s="2710"/>
      <c r="R108" s="2696"/>
      <c r="S108" s="2696"/>
      <c r="T108" s="2696"/>
      <c r="U108" s="2696"/>
      <c r="V108" s="2696"/>
      <c r="W108" s="2696"/>
      <c r="X108" s="2696"/>
      <c r="Y108" s="2696"/>
      <c r="Z108" s="2696"/>
      <c r="AA108" s="2696"/>
      <c r="AB108" s="2696"/>
      <c r="AC108" s="2696"/>
    </row>
    <row r="109" spans="1:29" ht="14.4"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24"/>
      <c r="O110" s="2724"/>
      <c r="P110" s="2733"/>
      <c r="Q110" s="2710"/>
      <c r="R110" s="2696"/>
      <c r="S110" s="2696"/>
      <c r="T110" s="2696"/>
      <c r="U110" s="2696"/>
      <c r="V110" s="2696"/>
      <c r="W110" s="2696"/>
      <c r="X110" s="2696"/>
      <c r="Y110" s="2696"/>
      <c r="Z110" s="2696"/>
      <c r="AA110" s="2696"/>
      <c r="AB110" s="2696"/>
      <c r="AC110" s="2696"/>
    </row>
    <row r="111" spans="1:29">
      <c r="A111" s="543"/>
      <c r="B111" s="490"/>
      <c r="C111" s="547">
        <v>0.5</v>
      </c>
      <c r="D111" s="547">
        <v>0.6</v>
      </c>
      <c r="E111" s="547">
        <v>0.7</v>
      </c>
      <c r="F111" s="547">
        <v>0.8</v>
      </c>
      <c r="G111" s="547">
        <v>0.9</v>
      </c>
      <c r="H111" s="547">
        <v>1.0001</v>
      </c>
      <c r="I111" s="563"/>
      <c r="J111" s="563"/>
      <c r="K111" s="564"/>
      <c r="L111" s="565"/>
      <c r="M111" s="566"/>
      <c r="N111" s="2724"/>
      <c r="O111" s="2724"/>
      <c r="P111" s="2733"/>
      <c r="Q111" s="2710"/>
      <c r="R111" s="2696"/>
      <c r="S111" s="2696"/>
      <c r="T111" s="2696"/>
      <c r="U111" s="2696"/>
      <c r="V111" s="2696"/>
      <c r="W111" s="2696"/>
      <c r="X111" s="2696"/>
      <c r="Y111" s="2696"/>
      <c r="Z111" s="2696"/>
      <c r="AA111" s="2696"/>
      <c r="AB111" s="2696"/>
      <c r="AC111" s="2696"/>
    </row>
    <row r="112" spans="1:29" ht="14.4"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25"/>
      <c r="O112" s="2725"/>
      <c r="P112" s="2733"/>
      <c r="Q112" s="2710"/>
      <c r="R112" s="2696"/>
      <c r="S112" s="2696"/>
      <c r="T112" s="2696"/>
      <c r="U112" s="2696"/>
      <c r="V112" s="2696"/>
      <c r="W112" s="2696"/>
      <c r="X112" s="2696"/>
      <c r="Y112" s="2696"/>
      <c r="Z112" s="2696"/>
      <c r="AA112" s="2696"/>
      <c r="AB112" s="2696"/>
      <c r="AC112" s="2696"/>
    </row>
    <row r="113" spans="1:29" s="417" customFormat="1" ht="15" thickTop="1">
      <c r="A113" s="537"/>
      <c r="B113" s="482" t="s">
        <v>1824</v>
      </c>
      <c r="C113" s="498"/>
      <c r="D113" s="498"/>
      <c r="E113" s="498"/>
      <c r="F113" s="498"/>
      <c r="G113" s="498"/>
      <c r="H113" s="527"/>
      <c r="I113" s="527"/>
      <c r="J113" s="527"/>
      <c r="K113" s="528"/>
      <c r="L113" s="529"/>
      <c r="M113" s="530"/>
      <c r="N113" s="2726"/>
      <c r="O113" s="2726"/>
      <c r="P113" s="2734"/>
      <c r="Q113" s="2717"/>
      <c r="R113" s="2718"/>
      <c r="S113" s="2718"/>
      <c r="T113" s="2718"/>
      <c r="U113" s="2718"/>
      <c r="V113" s="2718"/>
      <c r="W113" s="2718"/>
      <c r="X113" s="2718"/>
      <c r="Y113" s="2718"/>
      <c r="Z113" s="2718"/>
      <c r="AA113" s="2718"/>
      <c r="AB113" s="2718"/>
      <c r="AC113" s="2718"/>
    </row>
    <row r="114" spans="1:29" s="417" customFormat="1" ht="14.4"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3"/>
      <c r="B115" s="482" t="s">
        <v>1741</v>
      </c>
      <c r="C115" s="498"/>
      <c r="D115" s="498"/>
      <c r="E115" s="527"/>
      <c r="F115" s="527"/>
      <c r="G115" s="527"/>
      <c r="H115" s="527"/>
      <c r="I115" s="527"/>
      <c r="J115" s="527"/>
      <c r="K115" s="528"/>
      <c r="L115" s="529"/>
      <c r="M115" s="530"/>
      <c r="N115" s="2724"/>
      <c r="O115" s="2724"/>
      <c r="P115" s="2733"/>
      <c r="Q115" s="2710"/>
      <c r="R115" s="2696"/>
      <c r="S115" s="2696"/>
      <c r="T115" s="2696"/>
      <c r="U115" s="2696"/>
      <c r="V115" s="2696"/>
      <c r="W115" s="2696"/>
      <c r="X115" s="2696"/>
      <c r="Y115" s="2696"/>
      <c r="Z115" s="2696"/>
      <c r="AA115" s="2696"/>
      <c r="AB115" s="2696"/>
      <c r="AC115" s="2696"/>
    </row>
    <row r="116" spans="1:29" ht="14.4"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3"/>
      <c r="B117" s="482" t="s">
        <v>1742</v>
      </c>
      <c r="C117" s="498"/>
      <c r="D117" s="498"/>
      <c r="E117" s="498"/>
      <c r="F117" s="498"/>
      <c r="G117" s="498"/>
      <c r="H117" s="527"/>
      <c r="I117" s="527"/>
      <c r="J117" s="527"/>
      <c r="K117" s="528"/>
      <c r="L117" s="529"/>
      <c r="M117" s="530"/>
      <c r="N117" s="2724"/>
      <c r="O117" s="2724"/>
      <c r="P117" s="2733"/>
      <c r="Q117" s="2710"/>
      <c r="R117" s="2696"/>
      <c r="S117" s="2696"/>
      <c r="T117" s="2696"/>
      <c r="U117" s="2696"/>
      <c r="V117" s="2696"/>
      <c r="W117" s="2696"/>
      <c r="X117" s="2696"/>
      <c r="Y117" s="2696"/>
      <c r="Z117" s="2696"/>
      <c r="AA117" s="2696"/>
      <c r="AB117" s="2696"/>
      <c r="AC117" s="2696"/>
    </row>
    <row r="118" spans="1:29" ht="14.4" thickBot="1">
      <c r="A118" s="478"/>
      <c r="B118" s="487"/>
      <c r="C118" s="488">
        <v>100</v>
      </c>
      <c r="D118" s="488">
        <f>C118-$K40</f>
        <v>100</v>
      </c>
      <c r="E118" s="488">
        <f>D118-$K40</f>
        <v>100</v>
      </c>
      <c r="F118" s="488">
        <f>E118-$K40</f>
        <v>100</v>
      </c>
      <c r="G118" s="488">
        <f>F118-$K40</f>
        <v>100</v>
      </c>
      <c r="H118" s="488"/>
      <c r="I118" s="488"/>
      <c r="J118" s="488"/>
      <c r="K118" s="488"/>
      <c r="L118" s="488"/>
      <c r="M118" s="489"/>
      <c r="N118" s="2725"/>
      <c r="O118" s="2725"/>
      <c r="P118" s="2733"/>
      <c r="Q118" s="2710"/>
      <c r="R118" s="2696"/>
      <c r="S118" s="2696"/>
      <c r="T118" s="2696"/>
      <c r="U118" s="2696"/>
      <c r="V118" s="2696"/>
      <c r="W118" s="2696"/>
      <c r="X118" s="2696"/>
      <c r="Y118" s="2696"/>
      <c r="Z118" s="2696"/>
      <c r="AA118" s="2696"/>
      <c r="AB118" s="2696"/>
      <c r="AC118" s="2696"/>
    </row>
    <row r="119" spans="1:29" ht="15" thickTop="1">
      <c r="A119" s="543"/>
      <c r="B119" s="576" t="s">
        <v>1825</v>
      </c>
      <c r="C119" s="527"/>
      <c r="D119" s="527"/>
      <c r="E119" s="527"/>
      <c r="F119" s="527"/>
      <c r="G119" s="527"/>
      <c r="H119" s="527"/>
      <c r="I119" s="527"/>
      <c r="J119" s="527"/>
      <c r="K119" s="527"/>
      <c r="L119" s="1940"/>
      <c r="M119" s="1941"/>
      <c r="N119" s="2725"/>
      <c r="O119" s="2725"/>
      <c r="P119" s="2738"/>
      <c r="Q119" s="2739"/>
      <c r="R119" s="2696"/>
      <c r="S119" s="2696"/>
      <c r="T119" s="2696"/>
      <c r="U119" s="2696"/>
      <c r="V119" s="2696"/>
      <c r="W119" s="2696"/>
      <c r="X119" s="2696"/>
      <c r="Y119" s="2696"/>
      <c r="Z119" s="2696"/>
      <c r="AA119" s="2696"/>
      <c r="AB119" s="2696"/>
      <c r="AC119" s="2696"/>
    </row>
    <row r="120" spans="1:29" ht="14.4"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25"/>
      <c r="O120" s="2725"/>
      <c r="P120" s="2733"/>
      <c r="Q120" s="2710"/>
      <c r="R120" s="2696"/>
      <c r="S120" s="2696"/>
      <c r="T120" s="2696"/>
      <c r="U120" s="2696"/>
      <c r="V120" s="2696"/>
      <c r="W120" s="2696"/>
      <c r="X120" s="2696"/>
      <c r="Y120" s="2696"/>
      <c r="Z120" s="2696"/>
      <c r="AA120" s="2696"/>
      <c r="AB120" s="2696"/>
      <c r="AC120" s="2696"/>
    </row>
    <row r="121" spans="1:29" s="417" customFormat="1" ht="15" thickTop="1">
      <c r="A121" s="537"/>
      <c r="B121" s="482" t="s">
        <v>1808</v>
      </c>
      <c r="C121" s="498"/>
      <c r="D121" s="498"/>
      <c r="E121" s="498"/>
      <c r="F121" s="527"/>
      <c r="G121" s="499"/>
      <c r="H121" s="499"/>
      <c r="I121" s="499"/>
      <c r="J121" s="499"/>
      <c r="K121" s="499"/>
      <c r="L121" s="500"/>
      <c r="M121" s="501"/>
      <c r="N121" s="2726"/>
      <c r="O121" s="2726"/>
      <c r="P121" s="2734"/>
      <c r="Q121" s="2717"/>
      <c r="R121" s="2718"/>
      <c r="S121" s="2718"/>
      <c r="T121" s="2718"/>
      <c r="U121" s="2718"/>
      <c r="V121" s="2718"/>
      <c r="W121" s="2718"/>
      <c r="X121" s="2718"/>
      <c r="Y121" s="2718"/>
      <c r="Z121" s="2718"/>
      <c r="AA121" s="2718"/>
      <c r="AB121" s="2718"/>
      <c r="AC121" s="2718"/>
    </row>
    <row r="122" spans="1:29" s="417" customFormat="1" ht="14.4" thickBot="1">
      <c r="A122" s="497"/>
      <c r="B122" s="479"/>
      <c r="C122" s="504"/>
      <c r="D122" s="504"/>
      <c r="E122" s="504"/>
      <c r="F122" s="504"/>
      <c r="G122" s="504"/>
      <c r="H122" s="504"/>
      <c r="I122" s="504"/>
      <c r="J122" s="504"/>
      <c r="K122" s="504"/>
      <c r="L122" s="504"/>
      <c r="M122" s="504"/>
      <c r="N122" s="2726"/>
      <c r="O122" s="2726"/>
      <c r="P122" s="2734"/>
      <c r="Q122" s="2717"/>
      <c r="R122" s="2718"/>
      <c r="S122" s="2718"/>
      <c r="T122" s="2718"/>
      <c r="U122" s="2718"/>
      <c r="V122" s="2718"/>
      <c r="W122" s="2718"/>
      <c r="X122" s="2718"/>
      <c r="Y122" s="2718"/>
      <c r="Z122" s="2718"/>
      <c r="AA122" s="2718"/>
      <c r="AB122" s="2718"/>
      <c r="AC122" s="2718"/>
    </row>
    <row r="123" spans="1:29" ht="15" thickTop="1">
      <c r="A123" s="543"/>
      <c r="B123" s="482" t="s">
        <v>1744</v>
      </c>
      <c r="C123" s="498"/>
      <c r="D123" s="498"/>
      <c r="E123" s="498"/>
      <c r="F123" s="527"/>
      <c r="G123" s="527"/>
      <c r="H123" s="527"/>
      <c r="I123" s="527"/>
      <c r="J123" s="527"/>
      <c r="K123" s="528"/>
      <c r="L123" s="529"/>
      <c r="M123" s="530"/>
      <c r="N123" s="2724"/>
      <c r="O123" s="2724"/>
      <c r="P123" s="2733"/>
      <c r="Q123" s="2710"/>
      <c r="R123" s="2696"/>
      <c r="S123" s="2696"/>
      <c r="T123" s="2696"/>
      <c r="U123" s="2696"/>
      <c r="V123" s="2696"/>
      <c r="W123" s="2696"/>
      <c r="X123" s="2696"/>
      <c r="Y123" s="2696"/>
      <c r="Z123" s="2696"/>
      <c r="AA123" s="2696"/>
      <c r="AB123" s="2696"/>
      <c r="AC123" s="2696"/>
    </row>
    <row r="124" spans="1:29" ht="14.4"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25"/>
      <c r="O124" s="2725"/>
      <c r="P124" s="2733"/>
      <c r="Q124" s="2710"/>
      <c r="R124" s="2696"/>
      <c r="S124" s="2696"/>
      <c r="T124" s="2696"/>
      <c r="U124" s="2696"/>
      <c r="V124" s="2696"/>
      <c r="W124" s="2696"/>
      <c r="X124" s="2696"/>
      <c r="Y124" s="2696"/>
      <c r="Z124" s="2696"/>
      <c r="AA124" s="2696"/>
      <c r="AB124" s="2696"/>
      <c r="AC124" s="2696"/>
    </row>
    <row r="125" spans="1:29" ht="29.4" thickTop="1">
      <c r="A125" s="543"/>
      <c r="B125" s="482" t="s">
        <v>1745</v>
      </c>
      <c r="C125" s="522" t="s">
        <v>1721</v>
      </c>
      <c r="D125" s="522" t="s">
        <v>1722</v>
      </c>
      <c r="E125" s="522" t="s">
        <v>1723</v>
      </c>
      <c r="F125" s="522" t="s">
        <v>1724</v>
      </c>
      <c r="G125" s="522" t="s">
        <v>1725</v>
      </c>
      <c r="H125" s="483"/>
      <c r="I125" s="483"/>
      <c r="J125" s="483"/>
      <c r="K125" s="484"/>
      <c r="L125" s="485"/>
      <c r="M125" s="486"/>
      <c r="N125" s="2724"/>
      <c r="O125" s="2724"/>
      <c r="P125" s="2734"/>
      <c r="Q125" s="2710"/>
      <c r="R125" s="2696"/>
      <c r="S125" s="2696"/>
      <c r="T125" s="2696"/>
      <c r="U125" s="2696"/>
      <c r="V125" s="2696"/>
      <c r="W125" s="2696"/>
      <c r="X125" s="2696"/>
      <c r="Y125" s="2696"/>
      <c r="Z125" s="2696"/>
      <c r="AA125" s="2696"/>
      <c r="AB125" s="2696"/>
      <c r="AC125" s="2696"/>
    </row>
    <row r="126" spans="1:29" ht="14.4" thickBot="1">
      <c r="A126" s="478"/>
      <c r="B126" s="487"/>
      <c r="C126" s="488">
        <v>100</v>
      </c>
      <c r="D126" s="488">
        <f>C126-$K44</f>
        <v>100</v>
      </c>
      <c r="E126" s="488">
        <f>D126-$K44</f>
        <v>100</v>
      </c>
      <c r="F126" s="488">
        <f>E126-$K44</f>
        <v>100</v>
      </c>
      <c r="G126" s="488">
        <f>F126-$K44</f>
        <v>100</v>
      </c>
      <c r="H126" s="488"/>
      <c r="I126" s="488"/>
      <c r="J126" s="488"/>
      <c r="K126" s="488"/>
      <c r="L126" s="488"/>
      <c r="M126" s="489"/>
      <c r="N126" s="2725"/>
      <c r="O126" s="2725"/>
      <c r="P126" s="2733"/>
      <c r="Q126" s="2710"/>
      <c r="R126" s="2696"/>
      <c r="S126" s="2696"/>
      <c r="T126" s="2696"/>
      <c r="U126" s="2696"/>
      <c r="V126" s="2696"/>
      <c r="W126" s="2696"/>
      <c r="X126" s="2696"/>
      <c r="Y126" s="2696"/>
      <c r="Z126" s="2696"/>
      <c r="AA126" s="2696"/>
      <c r="AB126" s="2696"/>
      <c r="AC126" s="2696"/>
    </row>
    <row r="127" spans="1:29" s="417" customFormat="1" ht="14.4" thickTop="1">
      <c r="A127" s="537"/>
      <c r="B127" s="482">
        <f>B45</f>
        <v>111</v>
      </c>
      <c r="C127" s="498"/>
      <c r="D127" s="498"/>
      <c r="E127" s="498"/>
      <c r="F127" s="498"/>
      <c r="G127" s="498"/>
      <c r="H127" s="499"/>
      <c r="I127" s="499"/>
      <c r="J127" s="499"/>
      <c r="K127" s="499"/>
      <c r="L127" s="500"/>
      <c r="M127" s="501"/>
      <c r="N127" s="2726"/>
      <c r="O127" s="2726"/>
      <c r="P127" s="2734"/>
      <c r="Q127" s="2717"/>
      <c r="R127" s="2718"/>
      <c r="S127" s="2718"/>
      <c r="T127" s="2718"/>
      <c r="U127" s="2718"/>
      <c r="V127" s="2718"/>
      <c r="W127" s="2718"/>
      <c r="X127" s="2718"/>
      <c r="Y127" s="2718"/>
      <c r="Z127" s="2718"/>
      <c r="AA127" s="2718"/>
      <c r="AB127" s="2718"/>
      <c r="AC127" s="2718"/>
    </row>
    <row r="128" spans="1:29" s="417" customFormat="1" ht="14.4" thickBot="1">
      <c r="A128" s="497"/>
      <c r="B128" s="487"/>
      <c r="C128" s="504"/>
      <c r="D128" s="480"/>
      <c r="E128" s="480"/>
      <c r="F128" s="480"/>
      <c r="G128" s="504"/>
      <c r="H128" s="506"/>
      <c r="I128" s="506"/>
      <c r="J128" s="506"/>
      <c r="K128" s="506"/>
      <c r="L128" s="506"/>
      <c r="M128" s="507"/>
      <c r="N128" s="2726"/>
      <c r="O128" s="2726"/>
      <c r="P128" s="2734"/>
      <c r="Q128" s="2717"/>
      <c r="R128" s="2718"/>
      <c r="S128" s="2718"/>
      <c r="T128" s="2718"/>
      <c r="U128" s="2718"/>
      <c r="V128" s="2718"/>
      <c r="W128" s="2718"/>
      <c r="X128" s="2718"/>
      <c r="Y128" s="2718"/>
      <c r="Z128" s="2718"/>
      <c r="AA128" s="2718"/>
      <c r="AB128" s="2718"/>
      <c r="AC128" s="2718"/>
    </row>
    <row r="129" spans="1:29" ht="14.4" thickTop="1">
      <c r="A129" s="543"/>
      <c r="B129" s="482">
        <f>B46</f>
        <v>111</v>
      </c>
      <c r="C129" s="498"/>
      <c r="D129" s="498"/>
      <c r="E129" s="498"/>
      <c r="F129" s="498"/>
      <c r="G129" s="527"/>
      <c r="H129" s="527"/>
      <c r="I129" s="527"/>
      <c r="J129" s="527"/>
      <c r="K129" s="528"/>
      <c r="L129" s="529"/>
      <c r="M129" s="530"/>
      <c r="N129" s="2724"/>
      <c r="O129" s="2724"/>
      <c r="P129" s="2733"/>
      <c r="Q129" s="2710"/>
      <c r="R129" s="2696"/>
      <c r="S129" s="2696"/>
      <c r="T129" s="2696"/>
      <c r="U129" s="2696"/>
      <c r="V129" s="2696"/>
      <c r="W129" s="2696"/>
      <c r="X129" s="2696"/>
      <c r="Y129" s="2696"/>
      <c r="Z129" s="2696"/>
      <c r="AA129" s="2696"/>
      <c r="AB129" s="2696"/>
      <c r="AC129" s="2696"/>
    </row>
    <row r="130" spans="1:29" ht="14.4" thickBot="1">
      <c r="A130" s="478"/>
      <c r="B130" s="487"/>
      <c r="C130" s="504"/>
      <c r="D130" s="504"/>
      <c r="E130" s="504"/>
      <c r="F130" s="504"/>
      <c r="G130" s="480"/>
      <c r="H130" s="480"/>
      <c r="I130" s="480"/>
      <c r="J130" s="480"/>
      <c r="K130" s="480"/>
      <c r="L130" s="480"/>
      <c r="M130" s="481"/>
      <c r="N130" s="2725"/>
      <c r="O130" s="2725"/>
      <c r="P130" s="2733"/>
      <c r="Q130" s="2710"/>
      <c r="R130" s="2696"/>
      <c r="S130" s="2696"/>
      <c r="T130" s="2696"/>
      <c r="U130" s="2696"/>
      <c r="V130" s="2696"/>
      <c r="W130" s="2696"/>
      <c r="X130" s="2696"/>
      <c r="Y130" s="2696"/>
      <c r="Z130" s="2696"/>
      <c r="AA130" s="2696"/>
      <c r="AB130" s="2696"/>
      <c r="AC130" s="2696"/>
    </row>
    <row r="131" spans="1:29" ht="14.4" thickTop="1">
      <c r="A131" s="543"/>
      <c r="B131" s="490">
        <f>B47</f>
        <v>111</v>
      </c>
      <c r="C131" s="467"/>
      <c r="D131" s="467"/>
      <c r="E131" s="467"/>
      <c r="F131" s="467"/>
      <c r="G131" s="531"/>
      <c r="H131" s="531"/>
      <c r="I131" s="531"/>
      <c r="J131" s="531"/>
      <c r="K131" s="467"/>
      <c r="L131" s="468"/>
      <c r="M131" s="534"/>
      <c r="N131" s="2724"/>
      <c r="O131" s="2724"/>
      <c r="P131" s="2733"/>
      <c r="Q131" s="2710"/>
      <c r="R131" s="2696"/>
      <c r="S131" s="2696"/>
      <c r="T131" s="2696"/>
      <c r="U131" s="2696"/>
      <c r="V131" s="2696"/>
      <c r="W131" s="2696"/>
      <c r="X131" s="2696"/>
      <c r="Y131" s="2696"/>
      <c r="Z131" s="2696"/>
      <c r="AA131" s="2696"/>
      <c r="AB131" s="2696"/>
      <c r="AC131" s="2696"/>
    </row>
    <row r="132" spans="1:29" ht="14.4" thickBot="1">
      <c r="A132" s="1900"/>
      <c r="B132" s="513"/>
      <c r="C132" s="514"/>
      <c r="D132" s="514"/>
      <c r="E132" s="514"/>
      <c r="F132" s="514"/>
      <c r="G132" s="535"/>
      <c r="H132" s="535"/>
      <c r="I132" s="535"/>
      <c r="J132" s="535"/>
      <c r="K132" s="535"/>
      <c r="L132" s="535"/>
      <c r="M132" s="536"/>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929" t="s">
        <v>1826</v>
      </c>
      <c r="C1" s="1211" t="s">
        <v>1662</v>
      </c>
      <c r="D1" s="1212"/>
      <c r="E1" s="3404"/>
      <c r="F1" s="1856"/>
      <c r="G1" s="1222" t="s">
        <v>1767</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IF(E1="项目模式",IF(C2="——",ROUND(C43*D3/10000,0),ROUND(C43*D3/10000,0)-D2),IF(E1="单套模式",IF(C2="——",ROUND(C43*D3/10000,4),ROUND(C43*D3/10000,4)-D2)))</f>
        <v>0</v>
      </c>
      <c r="C2" s="1858"/>
      <c r="D2" s="897" t="e">
        <f ca="1">IF(E1="项目模式",SUMIF(INDIRECT("'"&amp;F2&amp;"'"&amp;"!A:A"),"承租人权益价值",INDIRECT("'"&amp;F2&amp;"'"&amp;"!c:c")),SUMIF(INDIRECT("'"&amp;F2&amp;"'"&amp;"!A:A"),"承租人权益价值（单套）",INDIRECT("'"&amp;F2&amp;"'"&amp;"!c:c")))</f>
        <v>#REF!</v>
      </c>
      <c r="E2" s="1859" t="s">
        <v>1463</v>
      </c>
      <c r="F2" s="1860"/>
      <c r="G2" s="898"/>
      <c r="H2" s="898"/>
      <c r="I2" s="898"/>
      <c r="J2" s="898"/>
      <c r="K2" s="898"/>
      <c r="L2" s="901"/>
      <c r="M2" s="902"/>
      <c r="N2" s="902"/>
      <c r="O2" s="902"/>
      <c r="P2" s="691"/>
      <c r="Q2" s="691"/>
      <c r="R2" s="691"/>
      <c r="S2" s="691"/>
      <c r="T2" s="691"/>
      <c r="U2" s="691"/>
      <c r="V2" s="691"/>
      <c r="W2" s="691"/>
      <c r="X2" s="691"/>
      <c r="Y2" s="691"/>
      <c r="Z2" s="691"/>
      <c r="AA2" s="691"/>
      <c r="AB2" s="691"/>
      <c r="AC2" s="705"/>
    </row>
    <row r="3" spans="1:29" s="347" customFormat="1" ht="28.5" customHeight="1" thickBot="1">
      <c r="A3" s="198" t="s">
        <v>1464</v>
      </c>
      <c r="B3" s="550">
        <f>IF(C2="——",C43,ROUND(B2*10000/D3,0))</f>
        <v>0</v>
      </c>
      <c r="C3" s="349" t="s">
        <v>1768</v>
      </c>
      <c r="D3" s="348">
        <f>IF(D1="",'数据-汇总表'!E3,SUMIF('数据-汇总表'!$C19:$C33,D1,'数据-汇总表'!$E19:$E33))</f>
        <v>88.78</v>
      </c>
      <c r="E3" s="898"/>
      <c r="F3" s="899"/>
      <c r="G3" s="898"/>
      <c r="H3" s="898"/>
      <c r="I3" s="898"/>
      <c r="J3" s="898"/>
      <c r="K3" s="900"/>
      <c r="L3" s="901"/>
      <c r="M3" s="902"/>
      <c r="N3" s="902"/>
      <c r="O3" s="902"/>
      <c r="P3" s="691"/>
      <c r="Q3" s="691"/>
      <c r="R3" s="691"/>
      <c r="S3" s="691"/>
      <c r="T3" s="691"/>
      <c r="U3" s="691"/>
      <c r="V3" s="691"/>
      <c r="W3" s="691"/>
      <c r="X3" s="691"/>
      <c r="Y3" s="691"/>
      <c r="Z3" s="691"/>
      <c r="AA3" s="691"/>
      <c r="AB3" s="708"/>
      <c r="AC3" s="705"/>
    </row>
    <row r="4" spans="1:29" ht="14.4">
      <c r="A4" s="350" t="s">
        <v>1769</v>
      </c>
      <c r="B4" s="351"/>
      <c r="C4" s="4213" t="s">
        <v>1770</v>
      </c>
      <c r="D4" s="4214"/>
      <c r="E4" s="4215" t="s">
        <v>1771</v>
      </c>
      <c r="F4" s="4216"/>
      <c r="G4" s="4213" t="s">
        <v>1772</v>
      </c>
      <c r="H4" s="4214"/>
      <c r="I4" s="4213" t="s">
        <v>1773</v>
      </c>
      <c r="J4" s="4214"/>
      <c r="K4" s="551" t="s">
        <v>1774</v>
      </c>
      <c r="L4" s="903"/>
      <c r="M4" s="904"/>
      <c r="N4" s="904"/>
      <c r="O4" s="904"/>
      <c r="P4" s="4186" t="s">
        <v>1775</v>
      </c>
      <c r="Q4" s="4187"/>
      <c r="R4" s="4192" t="s">
        <v>1771</v>
      </c>
      <c r="S4" s="4193"/>
      <c r="T4" s="4192" t="s">
        <v>1772</v>
      </c>
      <c r="U4" s="4193"/>
      <c r="V4" s="4198" t="s">
        <v>1773</v>
      </c>
      <c r="W4" s="4198"/>
      <c r="X4" s="1342"/>
      <c r="Y4" s="4192" t="s">
        <v>1775</v>
      </c>
      <c r="Z4" s="4193"/>
      <c r="AA4" s="4179" t="s">
        <v>1771</v>
      </c>
      <c r="AB4" s="4180" t="s">
        <v>1772</v>
      </c>
      <c r="AC4" s="4179" t="s">
        <v>1773</v>
      </c>
    </row>
    <row r="5" spans="1:29">
      <c r="A5" s="353"/>
      <c r="B5" s="354"/>
      <c r="C5" s="4219" t="s">
        <v>1673</v>
      </c>
      <c r="D5" s="4220"/>
      <c r="E5" s="4223" t="s">
        <v>1674</v>
      </c>
      <c r="F5" s="4224"/>
      <c r="G5" s="4219" t="s">
        <v>1675</v>
      </c>
      <c r="H5" s="4220"/>
      <c r="I5" s="4219" t="s">
        <v>1676</v>
      </c>
      <c r="J5" s="4220"/>
      <c r="K5" s="551"/>
      <c r="L5" s="903"/>
      <c r="M5" s="904"/>
      <c r="N5" s="904"/>
      <c r="O5" s="904"/>
      <c r="P5" s="4188"/>
      <c r="Q5" s="4189"/>
      <c r="R5" s="4194"/>
      <c r="S5" s="4195"/>
      <c r="T5" s="4194"/>
      <c r="U5" s="4195"/>
      <c r="V5" s="4198"/>
      <c r="W5" s="4198"/>
      <c r="X5" s="1342"/>
      <c r="Y5" s="4194"/>
      <c r="Z5" s="4195"/>
      <c r="AA5" s="4180"/>
      <c r="AB5" s="4180"/>
      <c r="AC5" s="4180"/>
    </row>
    <row r="6" spans="1:29" ht="15" thickBot="1">
      <c r="A6" s="355"/>
      <c r="B6" s="356"/>
      <c r="C6" s="4217" t="s">
        <v>1677</v>
      </c>
      <c r="D6" s="4218"/>
      <c r="E6" s="4221" t="s">
        <v>1677</v>
      </c>
      <c r="F6" s="4222"/>
      <c r="G6" s="4217" t="s">
        <v>1677</v>
      </c>
      <c r="H6" s="4218"/>
      <c r="I6" s="4217" t="s">
        <v>1677</v>
      </c>
      <c r="J6" s="4218"/>
      <c r="K6" s="551" t="s">
        <v>1678</v>
      </c>
      <c r="L6" s="903"/>
      <c r="M6" s="904"/>
      <c r="N6" s="904"/>
      <c r="O6" s="904"/>
      <c r="P6" s="4190"/>
      <c r="Q6" s="4191"/>
      <c r="R6" s="4194"/>
      <c r="S6" s="4195"/>
      <c r="T6" s="4196"/>
      <c r="U6" s="4197"/>
      <c r="V6" s="4198"/>
      <c r="W6" s="4198"/>
      <c r="X6" s="1342"/>
      <c r="Y6" s="4196"/>
      <c r="Z6" s="4197"/>
      <c r="AA6" s="4181"/>
      <c r="AB6" s="4181"/>
      <c r="AC6" s="4181"/>
    </row>
    <row r="7" spans="1:29" s="108" customFormat="1" ht="15" thickBot="1">
      <c r="A7" s="357" t="s">
        <v>1679</v>
      </c>
      <c r="B7" s="358"/>
      <c r="C7" s="359">
        <f>'数据-取费表'!B2</f>
        <v>37917</v>
      </c>
      <c r="D7" s="360">
        <v>100</v>
      </c>
      <c r="E7" s="361"/>
      <c r="F7" s="362">
        <f>SUMIF(52:52,YEAR(E7)&amp;"-"&amp;MONTH(E7),53:53)</f>
        <v>0</v>
      </c>
      <c r="G7" s="361"/>
      <c r="H7" s="360">
        <f>SUMIF(52:52,YEAR(G7)&amp;"-"&amp;MONTH(G7),53:53)</f>
        <v>0</v>
      </c>
      <c r="I7" s="361"/>
      <c r="J7" s="360">
        <f>SUMIF(52:52,YEAR(I7)&amp;"-"&amp;MONTH(I7),53:53)</f>
        <v>0</v>
      </c>
      <c r="K7" s="552"/>
      <c r="L7" s="905"/>
      <c r="M7" s="906"/>
      <c r="N7" s="906"/>
      <c r="O7" s="906"/>
      <c r="P7" s="4203" t="s">
        <v>1680</v>
      </c>
      <c r="Q7" s="4205"/>
      <c r="R7" s="693" t="s">
        <v>14</v>
      </c>
      <c r="S7" s="694">
        <f t="shared" ref="S7:S15" si="0">F7</f>
        <v>0</v>
      </c>
      <c r="T7" s="693" t="s">
        <v>14</v>
      </c>
      <c r="U7" s="694">
        <f t="shared" ref="U7:U15" si="1">H7</f>
        <v>0</v>
      </c>
      <c r="V7" s="693" t="s">
        <v>14</v>
      </c>
      <c r="W7" s="694">
        <f t="shared" ref="W7:W15" si="2">J7</f>
        <v>0</v>
      </c>
      <c r="X7" s="695"/>
      <c r="Y7" s="4203" t="s">
        <v>1680</v>
      </c>
      <c r="Z7" s="4204"/>
      <c r="AA7" s="696" t="e">
        <f>D7/F7</f>
        <v>#DIV/0!</v>
      </c>
      <c r="AB7" s="696" t="e">
        <f>D7/H7</f>
        <v>#DIV/0!</v>
      </c>
      <c r="AC7" s="696" t="e">
        <f>D7/J7</f>
        <v>#DIV/0!</v>
      </c>
    </row>
    <row r="8" spans="1:29" s="108" customFormat="1" ht="15" thickBot="1">
      <c r="A8" s="357" t="s">
        <v>1681</v>
      </c>
      <c r="B8" s="358"/>
      <c r="C8" s="363"/>
      <c r="D8" s="360">
        <v>100</v>
      </c>
      <c r="E8" s="363"/>
      <c r="F8" s="362">
        <f>SUMIF(55:55,E8,56:56)-SUMIF(55:55,C8,56:56)+100</f>
        <v>100</v>
      </c>
      <c r="G8" s="363"/>
      <c r="H8" s="360">
        <f>SUMIF(55:55,G8,56:56)-SUMIF(55:55,C8,56:56)+100</f>
        <v>100</v>
      </c>
      <c r="I8" s="363"/>
      <c r="J8" s="360">
        <f>SUMIF(55:55,I8,56:56)-SUMIF(55:55,C8,56:56)+100</f>
        <v>100</v>
      </c>
      <c r="K8" s="552"/>
      <c r="L8" s="905"/>
      <c r="M8" s="906"/>
      <c r="N8" s="906"/>
      <c r="O8" s="906"/>
      <c r="P8" s="4203" t="s">
        <v>1683</v>
      </c>
      <c r="Q8" s="4204"/>
      <c r="R8" s="693" t="s">
        <v>14</v>
      </c>
      <c r="S8" s="694">
        <f t="shared" si="0"/>
        <v>100</v>
      </c>
      <c r="T8" s="693" t="s">
        <v>14</v>
      </c>
      <c r="U8" s="694">
        <f t="shared" si="1"/>
        <v>100</v>
      </c>
      <c r="V8" s="693" t="s">
        <v>14</v>
      </c>
      <c r="W8" s="694">
        <f t="shared" si="2"/>
        <v>100</v>
      </c>
      <c r="X8" s="695"/>
      <c r="Y8" s="4203" t="s">
        <v>1683</v>
      </c>
      <c r="Z8" s="4204"/>
      <c r="AA8" s="696">
        <f t="shared" ref="AA8:AA40" si="3">D8/F8</f>
        <v>1</v>
      </c>
      <c r="AB8" s="696">
        <f t="shared" ref="AB8:AB40" si="4">D8/H8</f>
        <v>1</v>
      </c>
      <c r="AC8" s="696">
        <f t="shared" ref="AC8:AC40" si="5">D8/J8</f>
        <v>1</v>
      </c>
    </row>
    <row r="9" spans="1:29" s="108" customFormat="1" ht="14.4">
      <c r="A9" s="364" t="s">
        <v>1684</v>
      </c>
      <c r="B9" s="63" t="s">
        <v>1685</v>
      </c>
      <c r="C9" s="365"/>
      <c r="D9" s="126">
        <v>100</v>
      </c>
      <c r="E9" s="368"/>
      <c r="F9" s="126">
        <f>SUMIF(57:57,E9,58:58)-SUMIF(57:57,C9,58:58)+100</f>
        <v>100</v>
      </c>
      <c r="G9" s="366"/>
      <c r="H9" s="126">
        <f>SUMIF(57:57,G9,58:58)-SUMIF(57:57,C9,58:58)+100</f>
        <v>100</v>
      </c>
      <c r="I9" s="366"/>
      <c r="J9" s="126">
        <f>SUMIF(57:57,I9,58:58)-SUMIF(57:57,C9,58:58)+100</f>
        <v>100</v>
      </c>
      <c r="K9" s="552"/>
      <c r="L9" s="905"/>
      <c r="M9" s="906"/>
      <c r="N9" s="906"/>
      <c r="O9" s="907"/>
      <c r="P9" s="4166" t="s">
        <v>1686</v>
      </c>
      <c r="Q9" s="1330" t="str">
        <f t="shared" ref="Q9:Q15" si="6">B9</f>
        <v>用途</v>
      </c>
      <c r="R9" s="693" t="s">
        <v>14</v>
      </c>
      <c r="S9" s="694">
        <f t="shared" si="0"/>
        <v>100</v>
      </c>
      <c r="T9" s="693" t="s">
        <v>14</v>
      </c>
      <c r="U9" s="694">
        <f t="shared" si="1"/>
        <v>100</v>
      </c>
      <c r="V9" s="693" t="s">
        <v>14</v>
      </c>
      <c r="W9" s="694">
        <f t="shared" si="2"/>
        <v>100</v>
      </c>
      <c r="X9" s="695"/>
      <c r="Y9" s="4178" t="s">
        <v>1687</v>
      </c>
      <c r="Z9" s="52" t="str">
        <f t="shared" ref="Z9:Z15" si="7">Q9</f>
        <v>用途</v>
      </c>
      <c r="AA9" s="696">
        <f t="shared" si="3"/>
        <v>1</v>
      </c>
      <c r="AB9" s="696">
        <f t="shared" si="4"/>
        <v>1</v>
      </c>
      <c r="AC9" s="696">
        <f t="shared" si="5"/>
        <v>1</v>
      </c>
    </row>
    <row r="10" spans="1:29" s="373" customFormat="1" ht="28.8">
      <c r="A10" s="369"/>
      <c r="B10" s="370" t="s">
        <v>1688</v>
      </c>
      <c r="C10" s="3405"/>
      <c r="D10" s="127">
        <v>100</v>
      </c>
      <c r="E10" s="3405"/>
      <c r="F10" s="127">
        <f>SUMIF(59:59,E10,60:60)-SUMIF(59:59,C10,60:60)+100</f>
        <v>100</v>
      </c>
      <c r="G10" s="3406"/>
      <c r="H10" s="127">
        <f>SUMIF(59:59,G10,60:60)-SUMIF(59:59,C10,60:60)+100</f>
        <v>100</v>
      </c>
      <c r="I10" s="3405"/>
      <c r="J10" s="127">
        <f>SUMIF(59:59,I10,60:60)-SUMIF(59:59,C10,60:60)+100</f>
        <v>100</v>
      </c>
      <c r="K10" s="552"/>
      <c r="L10" s="908"/>
      <c r="M10" s="909"/>
      <c r="N10" s="909"/>
      <c r="O10" s="910"/>
      <c r="P10" s="4166"/>
      <c r="Q10" s="1330" t="str">
        <f t="shared" si="6"/>
        <v>土地使用年限（年）</v>
      </c>
      <c r="R10" s="693" t="s">
        <v>14</v>
      </c>
      <c r="S10" s="694">
        <f t="shared" si="0"/>
        <v>100</v>
      </c>
      <c r="T10" s="693" t="s">
        <v>14</v>
      </c>
      <c r="U10" s="694">
        <f t="shared" si="1"/>
        <v>100</v>
      </c>
      <c r="V10" s="693" t="s">
        <v>14</v>
      </c>
      <c r="W10" s="694">
        <f t="shared" si="2"/>
        <v>100</v>
      </c>
      <c r="X10" s="695"/>
      <c r="Y10" s="4178"/>
      <c r="Z10" s="52" t="str">
        <f t="shared" si="7"/>
        <v>土地使用年限（年）</v>
      </c>
      <c r="AA10" s="696">
        <f t="shared" si="3"/>
        <v>1</v>
      </c>
      <c r="AB10" s="696">
        <f t="shared" si="4"/>
        <v>1</v>
      </c>
      <c r="AC10" s="696">
        <f t="shared" si="5"/>
        <v>1</v>
      </c>
    </row>
    <row r="11" spans="1:29" ht="15">
      <c r="A11" s="374"/>
      <c r="B11" s="370" t="s">
        <v>1689</v>
      </c>
      <c r="C11" s="375"/>
      <c r="D11" s="127">
        <v>100</v>
      </c>
      <c r="E11" s="375"/>
      <c r="F11" s="127">
        <f>LOOKUP(E11,62:62,63:63)-LOOKUP(C11,62:62,63:63)+100</f>
        <v>100</v>
      </c>
      <c r="G11" s="376"/>
      <c r="H11" s="127">
        <f>LOOKUP(G11,62:62,63:63)-LOOKUP(C11,62:62,63:63)+100</f>
        <v>100</v>
      </c>
      <c r="I11" s="375"/>
      <c r="J11" s="127">
        <f>LOOKUP(I11,62:62,63:63)-LOOKUP(C11,62:62,63:63)+100</f>
        <v>100</v>
      </c>
      <c r="K11" s="553"/>
      <c r="L11" s="911"/>
      <c r="M11" s="904"/>
      <c r="N11" s="904"/>
      <c r="O11" s="912"/>
      <c r="P11" s="4166"/>
      <c r="Q11" s="1330" t="str">
        <f t="shared" si="6"/>
        <v>容积率</v>
      </c>
      <c r="R11" s="693" t="s">
        <v>14</v>
      </c>
      <c r="S11" s="694">
        <f t="shared" si="0"/>
        <v>100</v>
      </c>
      <c r="T11" s="693" t="s">
        <v>14</v>
      </c>
      <c r="U11" s="694">
        <f t="shared" si="1"/>
        <v>100</v>
      </c>
      <c r="V11" s="693" t="s">
        <v>14</v>
      </c>
      <c r="W11" s="694">
        <f t="shared" si="2"/>
        <v>100</v>
      </c>
      <c r="X11" s="695"/>
      <c r="Y11" s="4178"/>
      <c r="Z11" s="52" t="str">
        <f t="shared" si="7"/>
        <v>容积率</v>
      </c>
      <c r="AA11" s="696">
        <f t="shared" si="3"/>
        <v>1</v>
      </c>
      <c r="AB11" s="696">
        <f t="shared" si="4"/>
        <v>1</v>
      </c>
      <c r="AC11" s="696">
        <f t="shared" si="5"/>
        <v>1</v>
      </c>
    </row>
    <row r="12" spans="1:29" s="108" customFormat="1" ht="15">
      <c r="A12" s="377"/>
      <c r="B12" s="1868">
        <v>111</v>
      </c>
      <c r="C12" s="378"/>
      <c r="D12" s="379">
        <v>100</v>
      </c>
      <c r="E12" s="380"/>
      <c r="F12" s="127">
        <f>SUMIF(64:64,E12,65:65)-SUMIF(64:64,C12,65:65)+100</f>
        <v>100</v>
      </c>
      <c r="G12" s="1942"/>
      <c r="H12" s="127">
        <f>SUMIF(64:64,G12,65:65)-SUMIF(64:64,C12,65:65)+100</f>
        <v>100</v>
      </c>
      <c r="I12" s="415"/>
      <c r="J12" s="127">
        <f>SUMIF(64:64,I12,65:65)-SUMIF(64:64,C12,65:65)+100</f>
        <v>100</v>
      </c>
      <c r="K12" s="554"/>
      <c r="L12" s="905"/>
      <c r="M12" s="906"/>
      <c r="N12" s="906"/>
      <c r="O12" s="907"/>
      <c r="P12" s="4166"/>
      <c r="Q12" s="1330">
        <f t="shared" si="6"/>
        <v>111</v>
      </c>
      <c r="R12" s="693" t="s">
        <v>14</v>
      </c>
      <c r="S12" s="694">
        <f t="shared" si="0"/>
        <v>100</v>
      </c>
      <c r="T12" s="693" t="s">
        <v>14</v>
      </c>
      <c r="U12" s="694">
        <f t="shared" si="1"/>
        <v>100</v>
      </c>
      <c r="V12" s="693" t="s">
        <v>14</v>
      </c>
      <c r="W12" s="694">
        <f t="shared" si="2"/>
        <v>100</v>
      </c>
      <c r="X12" s="695"/>
      <c r="Y12" s="4178"/>
      <c r="Z12" s="52">
        <f t="shared" si="7"/>
        <v>111</v>
      </c>
      <c r="AA12" s="696">
        <f>D12/F12</f>
        <v>1</v>
      </c>
      <c r="AB12" s="696">
        <f>D12/H12</f>
        <v>1</v>
      </c>
      <c r="AC12" s="696">
        <f>D12/J12</f>
        <v>1</v>
      </c>
    </row>
    <row r="13" spans="1:29" ht="15">
      <c r="A13" s="374"/>
      <c r="B13" s="1868">
        <v>111</v>
      </c>
      <c r="C13" s="380"/>
      <c r="D13" s="381">
        <v>100</v>
      </c>
      <c r="E13" s="380"/>
      <c r="F13" s="127">
        <f>SUMIF(66:66,E13,67:67)-SUMIF(66:66,C13,67:67)+100</f>
        <v>100</v>
      </c>
      <c r="G13" s="1942"/>
      <c r="H13" s="381">
        <f>SUMIF(66:66,G13,67:67)-SUMIF(66:66,C13,67:67)+100</f>
        <v>100</v>
      </c>
      <c r="I13" s="415"/>
      <c r="J13" s="381">
        <f>SUMIF(66:66,I13,67:67)-SUMIF(66:66,C13,67:67)+100</f>
        <v>100</v>
      </c>
      <c r="K13" s="554"/>
      <c r="L13" s="913"/>
      <c r="M13" s="904"/>
      <c r="N13" s="904"/>
      <c r="O13" s="912"/>
      <c r="P13" s="4166"/>
      <c r="Q13" s="1330">
        <f t="shared" si="6"/>
        <v>111</v>
      </c>
      <c r="R13" s="693" t="s">
        <v>14</v>
      </c>
      <c r="S13" s="694">
        <f t="shared" si="0"/>
        <v>100</v>
      </c>
      <c r="T13" s="693" t="s">
        <v>14</v>
      </c>
      <c r="U13" s="694">
        <f t="shared" si="1"/>
        <v>100</v>
      </c>
      <c r="V13" s="693" t="s">
        <v>14</v>
      </c>
      <c r="W13" s="694">
        <f t="shared" si="2"/>
        <v>100</v>
      </c>
      <c r="X13" s="695"/>
      <c r="Y13" s="4178"/>
      <c r="Z13" s="52">
        <f t="shared" si="7"/>
        <v>111</v>
      </c>
      <c r="AA13" s="696">
        <f t="shared" si="3"/>
        <v>1</v>
      </c>
      <c r="AB13" s="696">
        <f t="shared" si="4"/>
        <v>1</v>
      </c>
      <c r="AC13" s="696">
        <f t="shared" si="5"/>
        <v>1</v>
      </c>
    </row>
    <row r="14" spans="1:29" ht="15.6" thickBot="1">
      <c r="A14" s="382"/>
      <c r="B14" s="1870">
        <v>111</v>
      </c>
      <c r="C14" s="383"/>
      <c r="D14" s="384">
        <v>100</v>
      </c>
      <c r="E14" s="383"/>
      <c r="F14" s="384">
        <f>SUMIF(68:68,E14,69:69)-SUMIF(68:68,C14,69:69)+100</f>
        <v>100</v>
      </c>
      <c r="G14" s="1942"/>
      <c r="H14" s="384">
        <f>SUMIF(68:68,G14,69:69)-SUMIF(68:68,C14,69:69)+100</f>
        <v>100</v>
      </c>
      <c r="I14" s="415"/>
      <c r="J14" s="384">
        <f>SUMIF(68:68,I14,69:69)-SUMIF(68:68,C14,69:69)+100</f>
        <v>100</v>
      </c>
      <c r="K14" s="554"/>
      <c r="L14" s="913"/>
      <c r="M14" s="904"/>
      <c r="N14" s="904"/>
      <c r="O14" s="912"/>
      <c r="P14" s="4166"/>
      <c r="Q14" s="1330">
        <f t="shared" si="6"/>
        <v>111</v>
      </c>
      <c r="R14" s="693" t="s">
        <v>14</v>
      </c>
      <c r="S14" s="694">
        <f t="shared" si="0"/>
        <v>100</v>
      </c>
      <c r="T14" s="693" t="s">
        <v>14</v>
      </c>
      <c r="U14" s="694">
        <f t="shared" si="1"/>
        <v>100</v>
      </c>
      <c r="V14" s="693" t="s">
        <v>14</v>
      </c>
      <c r="W14" s="694">
        <f t="shared" si="2"/>
        <v>100</v>
      </c>
      <c r="X14" s="695"/>
      <c r="Y14" s="4178"/>
      <c r="Z14" s="52">
        <f t="shared" si="7"/>
        <v>111</v>
      </c>
      <c r="AA14" s="696">
        <f t="shared" si="3"/>
        <v>1</v>
      </c>
      <c r="AB14" s="696">
        <f t="shared" si="4"/>
        <v>1</v>
      </c>
      <c r="AC14" s="696">
        <f t="shared" si="5"/>
        <v>1</v>
      </c>
    </row>
    <row r="15" spans="1:29" ht="69">
      <c r="A15" s="386" t="s">
        <v>1690</v>
      </c>
      <c r="B15" s="61" t="s">
        <v>1827</v>
      </c>
      <c r="C15" s="1943"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5"/>
      <c r="L15" s="913"/>
      <c r="M15" s="904"/>
      <c r="N15" s="904"/>
      <c r="O15" s="912"/>
      <c r="P15" s="4168" t="s">
        <v>1691</v>
      </c>
      <c r="Q15" s="1339" t="str">
        <f t="shared" si="6"/>
        <v>产业集聚程度</v>
      </c>
      <c r="R15" s="697" t="s">
        <v>14</v>
      </c>
      <c r="S15" s="698">
        <f t="shared" si="0"/>
        <v>100</v>
      </c>
      <c r="T15" s="697" t="s">
        <v>14</v>
      </c>
      <c r="U15" s="698">
        <f t="shared" si="1"/>
        <v>100</v>
      </c>
      <c r="V15" s="697" t="s">
        <v>14</v>
      </c>
      <c r="W15" s="698">
        <f t="shared" si="2"/>
        <v>100</v>
      </c>
      <c r="X15" s="1342"/>
      <c r="Y15" s="4168" t="s">
        <v>1691</v>
      </c>
      <c r="Z15" s="1343" t="str">
        <f t="shared" si="7"/>
        <v>产业集聚程度</v>
      </c>
      <c r="AA15" s="1340">
        <f t="shared" si="3"/>
        <v>1</v>
      </c>
      <c r="AB15" s="1340">
        <f t="shared" si="4"/>
        <v>1</v>
      </c>
      <c r="AC15" s="1340">
        <f t="shared" si="5"/>
        <v>1</v>
      </c>
    </row>
    <row r="16" spans="1:29" ht="15">
      <c r="A16" s="374"/>
      <c r="B16" s="392"/>
      <c r="C16" s="393"/>
      <c r="D16" s="394"/>
      <c r="E16" s="393"/>
      <c r="F16" s="395"/>
      <c r="G16" s="393"/>
      <c r="H16" s="396"/>
      <c r="I16" s="393"/>
      <c r="J16" s="394"/>
      <c r="K16" s="556"/>
      <c r="L16" s="913"/>
      <c r="M16" s="904"/>
      <c r="N16" s="904"/>
      <c r="O16" s="912"/>
      <c r="P16" s="4169"/>
      <c r="Q16" s="1339"/>
      <c r="R16" s="697"/>
      <c r="S16" s="698"/>
      <c r="T16" s="697"/>
      <c r="U16" s="698"/>
      <c r="V16" s="697"/>
      <c r="W16" s="698"/>
      <c r="X16" s="1342"/>
      <c r="Y16" s="4169"/>
      <c r="Z16" s="1343"/>
      <c r="AA16" s="1340">
        <v>1</v>
      </c>
      <c r="AB16" s="1340">
        <v>1</v>
      </c>
      <c r="AC16" s="1340">
        <v>1</v>
      </c>
    </row>
    <row r="17" spans="1:29" ht="96.6">
      <c r="A17" s="374"/>
      <c r="B17" s="397" t="s">
        <v>1259</v>
      </c>
      <c r="C17" s="1875"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5"/>
      <c r="L17" s="913"/>
      <c r="M17" s="904"/>
      <c r="N17" s="904"/>
      <c r="O17" s="912"/>
      <c r="P17" s="4169"/>
      <c r="Q17" s="1339" t="str">
        <f>B17</f>
        <v>交通便捷度</v>
      </c>
      <c r="R17" s="697" t="s">
        <v>14</v>
      </c>
      <c r="S17" s="698">
        <f>F17</f>
        <v>100</v>
      </c>
      <c r="T17" s="697" t="s">
        <v>14</v>
      </c>
      <c r="U17" s="698">
        <f>H17</f>
        <v>100</v>
      </c>
      <c r="V17" s="697" t="s">
        <v>14</v>
      </c>
      <c r="W17" s="698">
        <f>J17</f>
        <v>100</v>
      </c>
      <c r="X17" s="1342"/>
      <c r="Y17" s="4169"/>
      <c r="Z17" s="1343" t="str">
        <f>Q17</f>
        <v>交通便捷度</v>
      </c>
      <c r="AA17" s="1340">
        <f t="shared" si="3"/>
        <v>1</v>
      </c>
      <c r="AB17" s="1340">
        <f t="shared" si="4"/>
        <v>1</v>
      </c>
      <c r="AC17" s="1340">
        <f t="shared" si="5"/>
        <v>1</v>
      </c>
    </row>
    <row r="18" spans="1:29" ht="15">
      <c r="A18" s="374"/>
      <c r="B18" s="402"/>
      <c r="C18" s="1876"/>
      <c r="D18" s="396"/>
      <c r="E18" s="1878"/>
      <c r="F18" s="399"/>
      <c r="G18" s="1877"/>
      <c r="H18" s="394"/>
      <c r="I18" s="1878"/>
      <c r="J18" s="394"/>
      <c r="K18" s="556"/>
      <c r="L18" s="913"/>
      <c r="M18" s="904"/>
      <c r="N18" s="904"/>
      <c r="O18" s="912"/>
      <c r="P18" s="4169"/>
      <c r="Q18" s="1339"/>
      <c r="R18" s="697"/>
      <c r="S18" s="698"/>
      <c r="T18" s="697"/>
      <c r="U18" s="698"/>
      <c r="V18" s="697"/>
      <c r="W18" s="698"/>
      <c r="X18" s="1342"/>
      <c r="Y18" s="4169"/>
      <c r="Z18" s="1343"/>
      <c r="AA18" s="1340">
        <v>1</v>
      </c>
      <c r="AB18" s="1340">
        <v>1</v>
      </c>
      <c r="AC18" s="1340">
        <v>1</v>
      </c>
    </row>
    <row r="19" spans="1:29" ht="41.4">
      <c r="A19" s="374"/>
      <c r="B19" s="397" t="s">
        <v>1812</v>
      </c>
      <c r="C19" s="1875"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5"/>
      <c r="L19" s="913"/>
      <c r="M19" s="904"/>
      <c r="N19" s="904"/>
      <c r="O19" s="912"/>
      <c r="P19" s="4169"/>
      <c r="Q19" s="1339" t="str">
        <f>B19</f>
        <v>公共配套设施</v>
      </c>
      <c r="R19" s="697" t="s">
        <v>14</v>
      </c>
      <c r="S19" s="698">
        <f>F19</f>
        <v>100</v>
      </c>
      <c r="T19" s="697" t="s">
        <v>14</v>
      </c>
      <c r="U19" s="698">
        <f>H19</f>
        <v>100</v>
      </c>
      <c r="V19" s="697" t="s">
        <v>14</v>
      </c>
      <c r="W19" s="698">
        <f>J19</f>
        <v>100</v>
      </c>
      <c r="X19" s="1342"/>
      <c r="Y19" s="4169"/>
      <c r="Z19" s="1343" t="str">
        <f>Q19</f>
        <v>公共配套设施</v>
      </c>
      <c r="AA19" s="1340">
        <f t="shared" si="3"/>
        <v>1</v>
      </c>
      <c r="AB19" s="1340">
        <f t="shared" si="4"/>
        <v>1</v>
      </c>
      <c r="AC19" s="1340">
        <f t="shared" si="5"/>
        <v>1</v>
      </c>
    </row>
    <row r="20" spans="1:29" ht="15">
      <c r="A20" s="374"/>
      <c r="B20" s="402"/>
      <c r="C20" s="393"/>
      <c r="D20" s="394"/>
      <c r="E20" s="1873"/>
      <c r="F20" s="395"/>
      <c r="G20" s="1872"/>
      <c r="H20" s="394"/>
      <c r="I20" s="1873"/>
      <c r="J20" s="394"/>
      <c r="K20" s="556"/>
      <c r="L20" s="913"/>
      <c r="M20" s="904"/>
      <c r="N20" s="904"/>
      <c r="O20" s="912"/>
      <c r="P20" s="4169"/>
      <c r="Q20" s="1339"/>
      <c r="R20" s="697"/>
      <c r="S20" s="698"/>
      <c r="T20" s="697"/>
      <c r="U20" s="698"/>
      <c r="V20" s="697"/>
      <c r="W20" s="698"/>
      <c r="X20" s="1342"/>
      <c r="Y20" s="4169"/>
      <c r="Z20" s="1343"/>
      <c r="AA20" s="1340">
        <v>1</v>
      </c>
      <c r="AB20" s="1340">
        <v>1</v>
      </c>
      <c r="AC20" s="1340">
        <v>1</v>
      </c>
    </row>
    <row r="21" spans="1:29" ht="41.4">
      <c r="A21" s="374"/>
      <c r="B21" s="1119" t="s">
        <v>1813</v>
      </c>
      <c r="C21" s="1875"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5"/>
      <c r="L21" s="913"/>
      <c r="M21" s="904"/>
      <c r="N21" s="904"/>
      <c r="O21" s="912"/>
      <c r="P21" s="4169"/>
      <c r="Q21" s="1339" t="str">
        <f>B21</f>
        <v>基础设施水平</v>
      </c>
      <c r="R21" s="697" t="s">
        <v>14</v>
      </c>
      <c r="S21" s="698">
        <f>F21</f>
        <v>100</v>
      </c>
      <c r="T21" s="697" t="s">
        <v>14</v>
      </c>
      <c r="U21" s="698">
        <f>H21</f>
        <v>100</v>
      </c>
      <c r="V21" s="697" t="s">
        <v>14</v>
      </c>
      <c r="W21" s="698">
        <f>J21</f>
        <v>100</v>
      </c>
      <c r="X21" s="1342"/>
      <c r="Y21" s="4169"/>
      <c r="Z21" s="1343" t="str">
        <f>Q21</f>
        <v>基础设施水平</v>
      </c>
      <c r="AA21" s="1340">
        <f t="shared" ref="AA21" si="8">D21/F21</f>
        <v>1</v>
      </c>
      <c r="AB21" s="1340">
        <f t="shared" ref="AB21" si="9">D21/H21</f>
        <v>1</v>
      </c>
      <c r="AC21" s="1340">
        <f t="shared" ref="AC21" si="10">D21/J21</f>
        <v>1</v>
      </c>
    </row>
    <row r="22" spans="1:29" ht="15">
      <c r="A22" s="374"/>
      <c r="B22" s="1119"/>
      <c r="C22" s="1876"/>
      <c r="D22" s="394"/>
      <c r="E22" s="393"/>
      <c r="F22" s="395"/>
      <c r="G22" s="393"/>
      <c r="H22" s="394"/>
      <c r="I22" s="393"/>
      <c r="J22" s="394"/>
      <c r="K22" s="1118"/>
      <c r="L22" s="913"/>
      <c r="M22" s="904"/>
      <c r="N22" s="904"/>
      <c r="O22" s="912"/>
      <c r="P22" s="4169"/>
      <c r="Q22" s="1339"/>
      <c r="R22" s="697"/>
      <c r="S22" s="698"/>
      <c r="T22" s="697"/>
      <c r="U22" s="698"/>
      <c r="V22" s="697"/>
      <c r="W22" s="698"/>
      <c r="X22" s="1342"/>
      <c r="Y22" s="4169"/>
      <c r="Z22" s="1343"/>
      <c r="AA22" s="1340">
        <v>1</v>
      </c>
      <c r="AB22" s="1340">
        <v>1</v>
      </c>
      <c r="AC22" s="1340">
        <v>1</v>
      </c>
    </row>
    <row r="23" spans="1:29" ht="82.8">
      <c r="A23" s="374"/>
      <c r="B23" s="397" t="s">
        <v>1814</v>
      </c>
      <c r="C23" s="1875"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5"/>
      <c r="L23" s="913"/>
      <c r="M23" s="904"/>
      <c r="N23" s="904"/>
      <c r="O23" s="912"/>
      <c r="P23" s="4169"/>
      <c r="Q23" s="1339" t="str">
        <f>B23</f>
        <v>环境质量</v>
      </c>
      <c r="R23" s="697" t="s">
        <v>14</v>
      </c>
      <c r="S23" s="698">
        <f>F23</f>
        <v>100</v>
      </c>
      <c r="T23" s="697" t="s">
        <v>14</v>
      </c>
      <c r="U23" s="698">
        <f>H23</f>
        <v>100</v>
      </c>
      <c r="V23" s="697" t="s">
        <v>14</v>
      </c>
      <c r="W23" s="698">
        <f>J23</f>
        <v>100</v>
      </c>
      <c r="X23" s="1342"/>
      <c r="Y23" s="4169"/>
      <c r="Z23" s="1343" t="str">
        <f>Q23</f>
        <v>环境质量</v>
      </c>
      <c r="AA23" s="1340">
        <f t="shared" si="3"/>
        <v>1</v>
      </c>
      <c r="AB23" s="1340">
        <f t="shared" si="4"/>
        <v>1</v>
      </c>
      <c r="AC23" s="1340">
        <f t="shared" si="5"/>
        <v>1</v>
      </c>
    </row>
    <row r="24" spans="1:29" ht="15">
      <c r="A24" s="374"/>
      <c r="B24" s="1119"/>
      <c r="C24" s="393"/>
      <c r="D24" s="394"/>
      <c r="E24" s="1873"/>
      <c r="F24" s="395"/>
      <c r="G24" s="1872"/>
      <c r="H24" s="394"/>
      <c r="I24" s="1873"/>
      <c r="J24" s="394"/>
      <c r="K24" s="556"/>
      <c r="L24" s="913"/>
      <c r="M24" s="904"/>
      <c r="N24" s="904"/>
      <c r="O24" s="912"/>
      <c r="P24" s="4169"/>
      <c r="Q24" s="1339"/>
      <c r="R24" s="697"/>
      <c r="S24" s="698"/>
      <c r="T24" s="697"/>
      <c r="U24" s="698"/>
      <c r="V24" s="697"/>
      <c r="W24" s="698"/>
      <c r="X24" s="1342"/>
      <c r="Y24" s="4169"/>
      <c r="Z24" s="1343"/>
      <c r="AA24" s="1340">
        <v>1</v>
      </c>
      <c r="AB24" s="1340">
        <v>1</v>
      </c>
      <c r="AC24" s="1340">
        <v>1</v>
      </c>
    </row>
    <row r="25" spans="1:29" ht="15">
      <c r="A25" s="353"/>
      <c r="B25" s="1121">
        <v>111</v>
      </c>
      <c r="C25" s="380">
        <v>111</v>
      </c>
      <c r="D25" s="381">
        <v>100</v>
      </c>
      <c r="E25" s="380"/>
      <c r="F25" s="407">
        <f>SUMIF(80:80,E25,81:81)-SUMIF(80:80,C25,81:81)+100</f>
        <v>100</v>
      </c>
      <c r="G25" s="380"/>
      <c r="H25" s="381">
        <f>SUMIF(80:80,G25,81:81)-SUMIF(80:80,C25,81:81)+100</f>
        <v>100</v>
      </c>
      <c r="I25" s="380"/>
      <c r="J25" s="381">
        <f>SUMIF(80:80,I25,81:81)-SUMIF(80:80,C25,81:81)+100</f>
        <v>100</v>
      </c>
      <c r="K25" s="554"/>
      <c r="L25" s="913"/>
      <c r="M25" s="904"/>
      <c r="N25" s="904"/>
      <c r="O25" s="912"/>
      <c r="P25" s="4169"/>
      <c r="Q25" s="1339">
        <f>B25</f>
        <v>111</v>
      </c>
      <c r="R25" s="697" t="s">
        <v>14</v>
      </c>
      <c r="S25" s="698">
        <f>F25</f>
        <v>100</v>
      </c>
      <c r="T25" s="697" t="s">
        <v>14</v>
      </c>
      <c r="U25" s="698">
        <f>H25</f>
        <v>100</v>
      </c>
      <c r="V25" s="697" t="s">
        <v>14</v>
      </c>
      <c r="W25" s="698">
        <f>J25</f>
        <v>100</v>
      </c>
      <c r="X25" s="1342"/>
      <c r="Y25" s="4169"/>
      <c r="Z25" s="1343">
        <f>Q25</f>
        <v>111</v>
      </c>
      <c r="AA25" s="1340">
        <f t="shared" si="3"/>
        <v>1</v>
      </c>
      <c r="AB25" s="1340">
        <f t="shared" si="4"/>
        <v>1</v>
      </c>
      <c r="AC25" s="1340">
        <f t="shared" si="5"/>
        <v>1</v>
      </c>
    </row>
    <row r="26" spans="1:29" ht="15">
      <c r="A26" s="374"/>
      <c r="B26" s="1121">
        <v>111</v>
      </c>
      <c r="C26" s="380">
        <v>111</v>
      </c>
      <c r="D26" s="381">
        <v>100</v>
      </c>
      <c r="E26" s="380"/>
      <c r="F26" s="407">
        <f>SUMIF(82:82,E26,83:83)-SUMIF(82:82,C26,83:83)+100</f>
        <v>100</v>
      </c>
      <c r="G26" s="380"/>
      <c r="H26" s="381">
        <f>SUMIF(82:82,G26,83:83)-SUMIF(82:82,C26,83:83)+100</f>
        <v>100</v>
      </c>
      <c r="I26" s="380"/>
      <c r="J26" s="381">
        <f>SUMIF(82:82,I26,83:83)-SUMIF(82:82,C26,83:83)+100</f>
        <v>100</v>
      </c>
      <c r="K26" s="554"/>
      <c r="L26" s="913"/>
      <c r="M26" s="904"/>
      <c r="N26" s="904"/>
      <c r="O26" s="912"/>
      <c r="P26" s="4169"/>
      <c r="Q26" s="1339">
        <f t="shared" ref="Q26:Q40" si="11">B26</f>
        <v>111</v>
      </c>
      <c r="R26" s="697" t="s">
        <v>14</v>
      </c>
      <c r="S26" s="698">
        <f>F26</f>
        <v>100</v>
      </c>
      <c r="T26" s="697" t="s">
        <v>14</v>
      </c>
      <c r="U26" s="698">
        <f>H26</f>
        <v>100</v>
      </c>
      <c r="V26" s="697" t="s">
        <v>14</v>
      </c>
      <c r="W26" s="698">
        <f>J26</f>
        <v>100</v>
      </c>
      <c r="X26" s="1342"/>
      <c r="Y26" s="4169"/>
      <c r="Z26" s="1343">
        <f>Q26</f>
        <v>111</v>
      </c>
      <c r="AA26" s="1340">
        <f t="shared" si="3"/>
        <v>1</v>
      </c>
      <c r="AB26" s="1340">
        <f t="shared" si="4"/>
        <v>1</v>
      </c>
      <c r="AC26" s="1340">
        <f t="shared" si="5"/>
        <v>1</v>
      </c>
    </row>
    <row r="27" spans="1:29" s="108" customFormat="1" ht="15">
      <c r="A27" s="377"/>
      <c r="B27" s="1121">
        <v>111</v>
      </c>
      <c r="C27" s="380">
        <v>111</v>
      </c>
      <c r="D27" s="408">
        <v>100</v>
      </c>
      <c r="E27" s="380"/>
      <c r="F27" s="410">
        <f>SUMIF(84:84,E27,85:85)-SUMIF(84:84,C27,85:85)+100</f>
        <v>100</v>
      </c>
      <c r="G27" s="380"/>
      <c r="H27" s="408">
        <f>SUMIF(84:84,G27,85:85)-SUMIF(84:84,C27,85:85)+100</f>
        <v>100</v>
      </c>
      <c r="I27" s="380"/>
      <c r="J27" s="408">
        <f>SUMIF(84:84,I27,85:85)-SUMIF(84:84,C27,85:85)+100</f>
        <v>100</v>
      </c>
      <c r="K27" s="554"/>
      <c r="L27" s="905"/>
      <c r="M27" s="906"/>
      <c r="N27" s="906"/>
      <c r="O27" s="907"/>
      <c r="P27" s="4169"/>
      <c r="Q27" s="1330">
        <f t="shared" si="11"/>
        <v>111</v>
      </c>
      <c r="R27" s="693" t="s">
        <v>14</v>
      </c>
      <c r="S27" s="694">
        <f>F27</f>
        <v>100</v>
      </c>
      <c r="T27" s="693" t="s">
        <v>14</v>
      </c>
      <c r="U27" s="694">
        <f>H27</f>
        <v>100</v>
      </c>
      <c r="V27" s="693" t="s">
        <v>14</v>
      </c>
      <c r="W27" s="694">
        <f>J27</f>
        <v>100</v>
      </c>
      <c r="X27" s="695"/>
      <c r="Y27" s="4169"/>
      <c r="Z27" s="52">
        <f>Q27</f>
        <v>111</v>
      </c>
      <c r="AA27" s="1340">
        <f>D27/F27</f>
        <v>1</v>
      </c>
      <c r="AB27" s="1340">
        <f>D27/H27</f>
        <v>1</v>
      </c>
      <c r="AC27" s="1340">
        <f>D27/J27</f>
        <v>1</v>
      </c>
    </row>
    <row r="28" spans="1:29" ht="15.6" thickBot="1">
      <c r="A28" s="382"/>
      <c r="B28" s="1121">
        <v>111</v>
      </c>
      <c r="C28" s="383">
        <v>111</v>
      </c>
      <c r="D28" s="384">
        <v>100</v>
      </c>
      <c r="E28" s="380"/>
      <c r="F28" s="385">
        <f>SUMIF(86:86,E28,87:87)-SUMIF(86:86,C28,87:87)+100</f>
        <v>100</v>
      </c>
      <c r="G28" s="415"/>
      <c r="H28" s="384">
        <f>SUMIF(86:86,G28,87:87)-SUMIF(86:86,C28,87:87)+100</f>
        <v>100</v>
      </c>
      <c r="I28" s="415"/>
      <c r="J28" s="384">
        <f>SUMIF(86:86,I28,87:87)-SUMIF(86:86,C28,87:87)+100</f>
        <v>100</v>
      </c>
      <c r="K28" s="554"/>
      <c r="L28" s="913"/>
      <c r="M28" s="904"/>
      <c r="N28" s="904"/>
      <c r="O28" s="912"/>
      <c r="P28" s="4169"/>
      <c r="Q28" s="1339">
        <f t="shared" si="11"/>
        <v>111</v>
      </c>
      <c r="R28" s="697" t="s">
        <v>14</v>
      </c>
      <c r="S28" s="698">
        <f t="shared" ref="S28:S40" si="12">F28</f>
        <v>100</v>
      </c>
      <c r="T28" s="697" t="s">
        <v>14</v>
      </c>
      <c r="U28" s="698">
        <f t="shared" ref="U28:U40" si="13">H28</f>
        <v>100</v>
      </c>
      <c r="V28" s="697" t="s">
        <v>14</v>
      </c>
      <c r="W28" s="698">
        <f t="shared" ref="W28:W40" si="14">J28</f>
        <v>100</v>
      </c>
      <c r="X28" s="1342"/>
      <c r="Y28" s="4169"/>
      <c r="Z28" s="1343">
        <f t="shared" ref="Z28:Z40" si="15">Q28</f>
        <v>111</v>
      </c>
      <c r="AA28" s="1340">
        <f t="shared" si="3"/>
        <v>1</v>
      </c>
      <c r="AB28" s="1340">
        <f t="shared" si="4"/>
        <v>1</v>
      </c>
      <c r="AC28" s="1340">
        <f t="shared" si="5"/>
        <v>1</v>
      </c>
    </row>
    <row r="29" spans="1:29" ht="30">
      <c r="A29" s="412" t="s">
        <v>1694</v>
      </c>
      <c r="B29" s="63" t="s">
        <v>1817</v>
      </c>
      <c r="C29" s="1939"/>
      <c r="D29" s="413">
        <v>100</v>
      </c>
      <c r="E29" s="1939"/>
      <c r="F29" s="407">
        <f>SUMIF(88:88,E29,89:89)-SUMIF(88:88,C29,89:89)+100</f>
        <v>100</v>
      </c>
      <c r="G29" s="1939"/>
      <c r="H29" s="381">
        <f>SUMIF(88:88,G29,89:89)-SUMIF(88:88,C29,89:89)+100</f>
        <v>100</v>
      </c>
      <c r="I29" s="1939"/>
      <c r="J29" s="413">
        <f>SUMIF(88:88,I29,89:89)-SUMIF(88:88,C29,89:89)+100</f>
        <v>100</v>
      </c>
      <c r="K29" s="553"/>
      <c r="L29" s="913"/>
      <c r="M29" s="904"/>
      <c r="N29" s="904"/>
      <c r="O29" s="912"/>
      <c r="P29" s="4240" t="s">
        <v>1696</v>
      </c>
      <c r="Q29" s="1339" t="str">
        <f t="shared" si="11"/>
        <v>建筑类型</v>
      </c>
      <c r="R29" s="697" t="s">
        <v>14</v>
      </c>
      <c r="S29" s="698">
        <f t="shared" si="12"/>
        <v>100</v>
      </c>
      <c r="T29" s="697" t="s">
        <v>14</v>
      </c>
      <c r="U29" s="698">
        <f t="shared" si="13"/>
        <v>100</v>
      </c>
      <c r="V29" s="697" t="s">
        <v>14</v>
      </c>
      <c r="W29" s="698">
        <f t="shared" si="14"/>
        <v>100</v>
      </c>
      <c r="X29" s="1342"/>
      <c r="Y29" s="4173" t="s">
        <v>1696</v>
      </c>
      <c r="Z29" s="1343" t="str">
        <f t="shared" si="15"/>
        <v>建筑类型</v>
      </c>
      <c r="AA29" s="1340">
        <f t="shared" si="3"/>
        <v>1</v>
      </c>
      <c r="AB29" s="1340">
        <f t="shared" si="4"/>
        <v>1</v>
      </c>
      <c r="AC29" s="1340">
        <f t="shared" si="5"/>
        <v>1</v>
      </c>
    </row>
    <row r="30" spans="1:29" s="417" customFormat="1" ht="15">
      <c r="A30" s="414"/>
      <c r="B30" s="370" t="s">
        <v>1697</v>
      </c>
      <c r="C30" s="415"/>
      <c r="D30" s="127">
        <v>100</v>
      </c>
      <c r="E30" s="376"/>
      <c r="F30" s="371" t="e">
        <f>LOOKUP(E30,91:91,92:92)-LOOKUP(C30,91:91,92:92)+100</f>
        <v>#N/A</v>
      </c>
      <c r="G30" s="375"/>
      <c r="H30" s="127" t="e">
        <f>LOOKUP(G30,91:91,92:92)-LOOKUP(C30,91:91,92:92)+100</f>
        <v>#N/A</v>
      </c>
      <c r="I30" s="375"/>
      <c r="J30" s="127" t="e">
        <f>LOOKUP(I30,91:91,92:92)-LOOKUP(C30,91:91,92:92)+100</f>
        <v>#N/A</v>
      </c>
      <c r="K30" s="554"/>
      <c r="L30" s="911"/>
      <c r="M30" s="914"/>
      <c r="N30" s="914"/>
      <c r="O30" s="915"/>
      <c r="P30" s="4173"/>
      <c r="Q30" s="699" t="str">
        <f t="shared" si="11"/>
        <v>项目建筑规模</v>
      </c>
      <c r="R30" s="700" t="s">
        <v>14</v>
      </c>
      <c r="S30" s="701" t="e">
        <f t="shared" si="12"/>
        <v>#N/A</v>
      </c>
      <c r="T30" s="700" t="s">
        <v>14</v>
      </c>
      <c r="U30" s="701" t="e">
        <f t="shared" si="13"/>
        <v>#N/A</v>
      </c>
      <c r="V30" s="700" t="s">
        <v>14</v>
      </c>
      <c r="W30" s="701" t="e">
        <f t="shared" si="14"/>
        <v>#N/A</v>
      </c>
      <c r="X30" s="702"/>
      <c r="Y30" s="4173"/>
      <c r="Z30" s="703" t="str">
        <f t="shared" si="15"/>
        <v>项目建筑规模</v>
      </c>
      <c r="AA30" s="1340" t="e">
        <f t="shared" si="3"/>
        <v>#N/A</v>
      </c>
      <c r="AB30" s="1340" t="e">
        <f t="shared" si="4"/>
        <v>#N/A</v>
      </c>
      <c r="AC30" s="1340" t="e">
        <f t="shared" si="5"/>
        <v>#N/A</v>
      </c>
    </row>
    <row r="31" spans="1:29" ht="15">
      <c r="A31" s="418"/>
      <c r="B31" s="370" t="s">
        <v>1698</v>
      </c>
      <c r="C31" s="406"/>
      <c r="D31" s="381">
        <v>100</v>
      </c>
      <c r="E31" s="406"/>
      <c r="F31" s="407">
        <f>SUMIF(93:93,E31,94:94)-SUMIF(93:93,C31,94:94)+100</f>
        <v>100</v>
      </c>
      <c r="G31" s="406"/>
      <c r="H31" s="381">
        <f>SUMIF(93:93,G31,94:94)-SUMIF(93:93,C31,94:94)+100</f>
        <v>100</v>
      </c>
      <c r="I31" s="406"/>
      <c r="J31" s="381">
        <f>SUMIF(93:93,I31,94:94)-SUMIF(93:93,C31,94:94)+100</f>
        <v>100</v>
      </c>
      <c r="K31" s="553"/>
      <c r="L31" s="913"/>
      <c r="M31" s="904"/>
      <c r="N31" s="904"/>
      <c r="O31" s="912"/>
      <c r="P31" s="4173"/>
      <c r="Q31" s="1339" t="str">
        <f t="shared" si="11"/>
        <v>建筑结构</v>
      </c>
      <c r="R31" s="697" t="s">
        <v>14</v>
      </c>
      <c r="S31" s="698">
        <f t="shared" si="12"/>
        <v>100</v>
      </c>
      <c r="T31" s="697" t="s">
        <v>14</v>
      </c>
      <c r="U31" s="698">
        <f t="shared" si="13"/>
        <v>100</v>
      </c>
      <c r="V31" s="697" t="s">
        <v>14</v>
      </c>
      <c r="W31" s="698">
        <f t="shared" si="14"/>
        <v>100</v>
      </c>
      <c r="X31" s="1342"/>
      <c r="Y31" s="4173"/>
      <c r="Z31" s="1343" t="str">
        <f t="shared" si="15"/>
        <v>建筑结构</v>
      </c>
      <c r="AA31" s="1340">
        <f t="shared" si="3"/>
        <v>1</v>
      </c>
      <c r="AB31" s="1340">
        <f t="shared" si="4"/>
        <v>1</v>
      </c>
      <c r="AC31" s="1340">
        <f t="shared" si="5"/>
        <v>1</v>
      </c>
    </row>
    <row r="32" spans="1:29" ht="15">
      <c r="A32" s="418"/>
      <c r="B32" s="370" t="s">
        <v>1785</v>
      </c>
      <c r="C32" s="406"/>
      <c r="D32" s="381">
        <v>100</v>
      </c>
      <c r="E32" s="406"/>
      <c r="F32" s="407">
        <f>SUMIF(95:95,E32,96:96)-SUMIF(95:95,C32,96:96)+100</f>
        <v>100</v>
      </c>
      <c r="G32" s="406"/>
      <c r="H32" s="381">
        <f>SUMIF(95:95,G32,96:96)-SUMIF(95:95,C32,96:96)+100</f>
        <v>100</v>
      </c>
      <c r="I32" s="406"/>
      <c r="J32" s="381">
        <f>SUMIF(95:95,I32,96:96)-SUMIF(95:95,C32,96:96)+100</f>
        <v>100</v>
      </c>
      <c r="K32" s="553"/>
      <c r="L32" s="913"/>
      <c r="M32" s="904"/>
      <c r="N32" s="904"/>
      <c r="O32" s="912"/>
      <c r="P32" s="4173"/>
      <c r="Q32" s="1339" t="str">
        <f t="shared" si="11"/>
        <v>公共部分装修</v>
      </c>
      <c r="R32" s="697" t="s">
        <v>14</v>
      </c>
      <c r="S32" s="698">
        <f t="shared" si="12"/>
        <v>100</v>
      </c>
      <c r="T32" s="697" t="s">
        <v>14</v>
      </c>
      <c r="U32" s="698">
        <f t="shared" si="13"/>
        <v>100</v>
      </c>
      <c r="V32" s="697" t="s">
        <v>14</v>
      </c>
      <c r="W32" s="698">
        <f t="shared" si="14"/>
        <v>100</v>
      </c>
      <c r="X32" s="1342"/>
      <c r="Y32" s="4173"/>
      <c r="Z32" s="1343" t="str">
        <f t="shared" si="15"/>
        <v>公共部分装修</v>
      </c>
      <c r="AA32" s="1340">
        <f t="shared" si="3"/>
        <v>1</v>
      </c>
      <c r="AB32" s="1340">
        <f t="shared" si="4"/>
        <v>1</v>
      </c>
      <c r="AC32" s="1340">
        <f t="shared" si="5"/>
        <v>1</v>
      </c>
    </row>
    <row r="33" spans="1:29" ht="15">
      <c r="A33" s="418"/>
      <c r="B33" s="370" t="s">
        <v>1786</v>
      </c>
      <c r="C33" s="415"/>
      <c r="D33" s="381">
        <v>100</v>
      </c>
      <c r="E33" s="420"/>
      <c r="F33" s="407" t="e">
        <f>LOOKUP(E33,98:98,99:99)-LOOKUP(C33,98:98,99:99)+100</f>
        <v>#N/A</v>
      </c>
      <c r="G33" s="420"/>
      <c r="H33" s="407" t="e">
        <f>LOOKUP(G33,98:98,99:99)-LOOKUP(C33,98:98,99:99)+100</f>
        <v>#N/A</v>
      </c>
      <c r="I33" s="420"/>
      <c r="J33" s="381" t="e">
        <f>LOOKUP(I33,98:98,99:99)-LOOKUP(C33,98:98,99:99)+100</f>
        <v>#N/A</v>
      </c>
      <c r="K33" s="553"/>
      <c r="L33" s="913"/>
      <c r="M33" s="904"/>
      <c r="N33" s="904"/>
      <c r="O33" s="912"/>
      <c r="P33" s="4173"/>
      <c r="Q33" s="1339" t="str">
        <f t="shared" si="11"/>
        <v>成新度</v>
      </c>
      <c r="R33" s="697" t="s">
        <v>14</v>
      </c>
      <c r="S33" s="698" t="e">
        <f t="shared" si="12"/>
        <v>#N/A</v>
      </c>
      <c r="T33" s="697" t="s">
        <v>14</v>
      </c>
      <c r="U33" s="698" t="e">
        <f t="shared" si="13"/>
        <v>#N/A</v>
      </c>
      <c r="V33" s="697" t="s">
        <v>14</v>
      </c>
      <c r="W33" s="698" t="e">
        <f t="shared" si="14"/>
        <v>#N/A</v>
      </c>
      <c r="X33" s="1342"/>
      <c r="Y33" s="4173"/>
      <c r="Z33" s="1343" t="str">
        <f t="shared" si="15"/>
        <v>成新度</v>
      </c>
      <c r="AA33" s="1340" t="e">
        <f t="shared" si="3"/>
        <v>#N/A</v>
      </c>
      <c r="AB33" s="1340" t="e">
        <f t="shared" si="4"/>
        <v>#N/A</v>
      </c>
      <c r="AC33" s="1340" t="e">
        <f t="shared" si="5"/>
        <v>#N/A</v>
      </c>
    </row>
    <row r="34" spans="1:29" s="108" customFormat="1" ht="15">
      <c r="A34" s="419"/>
      <c r="B34" s="370" t="s">
        <v>1819</v>
      </c>
      <c r="C34" s="406"/>
      <c r="D34" s="127">
        <v>100</v>
      </c>
      <c r="E34" s="406"/>
      <c r="F34" s="407">
        <f>SUMIF(100:100,E34,101:101)-SUMIF(100:100,C34,101:101)+100</f>
        <v>100</v>
      </c>
      <c r="G34" s="406"/>
      <c r="H34" s="381">
        <f>SUMIF(100:100,G34,101:101)-SUMIF(100:100,C34,101:101)+100</f>
        <v>100</v>
      </c>
      <c r="I34" s="406"/>
      <c r="J34" s="381">
        <f>SUMIF(100:100,I34,101:101)-SUMIF(100:100,C34,101:101)+100</f>
        <v>100</v>
      </c>
      <c r="K34" s="553"/>
      <c r="L34" s="905"/>
      <c r="M34" s="906"/>
      <c r="N34" s="906"/>
      <c r="O34" s="907"/>
      <c r="P34" s="4173"/>
      <c r="Q34" s="1330" t="str">
        <f t="shared" si="11"/>
        <v>物业管理</v>
      </c>
      <c r="R34" s="693" t="s">
        <v>14</v>
      </c>
      <c r="S34" s="694">
        <f t="shared" si="12"/>
        <v>100</v>
      </c>
      <c r="T34" s="693" t="s">
        <v>14</v>
      </c>
      <c r="U34" s="694">
        <f t="shared" si="13"/>
        <v>100</v>
      </c>
      <c r="V34" s="693" t="s">
        <v>14</v>
      </c>
      <c r="W34" s="694">
        <f t="shared" si="14"/>
        <v>100</v>
      </c>
      <c r="X34" s="695"/>
      <c r="Y34" s="4173"/>
      <c r="Z34" s="52" t="str">
        <f t="shared" si="15"/>
        <v>物业管理</v>
      </c>
      <c r="AA34" s="696">
        <f t="shared" si="3"/>
        <v>1</v>
      </c>
      <c r="AB34" s="696">
        <f t="shared" si="4"/>
        <v>1</v>
      </c>
      <c r="AC34" s="696">
        <f t="shared" si="5"/>
        <v>1</v>
      </c>
    </row>
    <row r="35" spans="1:29" ht="15">
      <c r="A35" s="418"/>
      <c r="B35" s="370" t="s">
        <v>1787</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3"/>
      <c r="L35" s="913"/>
      <c r="M35" s="904"/>
      <c r="N35" s="904"/>
      <c r="O35" s="912"/>
      <c r="P35" s="4173" t="s">
        <v>1696</v>
      </c>
      <c r="Q35" s="1339" t="str">
        <f t="shared" si="11"/>
        <v>市政基础设施</v>
      </c>
      <c r="R35" s="697" t="s">
        <v>14</v>
      </c>
      <c r="S35" s="698">
        <f t="shared" si="12"/>
        <v>100</v>
      </c>
      <c r="T35" s="697" t="s">
        <v>14</v>
      </c>
      <c r="U35" s="698">
        <f t="shared" si="13"/>
        <v>100</v>
      </c>
      <c r="V35" s="697" t="s">
        <v>14</v>
      </c>
      <c r="W35" s="698">
        <f t="shared" si="14"/>
        <v>100</v>
      </c>
      <c r="X35" s="1342"/>
      <c r="Y35" s="4173" t="s">
        <v>1696</v>
      </c>
      <c r="Z35" s="1343" t="str">
        <f t="shared" si="15"/>
        <v>市政基础设施</v>
      </c>
      <c r="AA35" s="1340">
        <f t="shared" si="3"/>
        <v>1</v>
      </c>
      <c r="AB35" s="1340">
        <f t="shared" si="4"/>
        <v>1</v>
      </c>
      <c r="AC35" s="1340">
        <f t="shared" si="5"/>
        <v>1</v>
      </c>
    </row>
    <row r="36" spans="1:29" ht="15">
      <c r="A36" s="418"/>
      <c r="B36" s="370" t="s">
        <v>1792</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3"/>
      <c r="L36" s="913"/>
      <c r="M36" s="904"/>
      <c r="N36" s="904"/>
      <c r="O36" s="912"/>
      <c r="P36" s="4173"/>
      <c r="Q36" s="1339" t="str">
        <f t="shared" si="11"/>
        <v>内部装修</v>
      </c>
      <c r="R36" s="697" t="s">
        <v>14</v>
      </c>
      <c r="S36" s="698">
        <f t="shared" si="12"/>
        <v>100</v>
      </c>
      <c r="T36" s="697" t="s">
        <v>14</v>
      </c>
      <c r="U36" s="698">
        <f t="shared" si="13"/>
        <v>100</v>
      </c>
      <c r="V36" s="697" t="s">
        <v>14</v>
      </c>
      <c r="W36" s="698">
        <f t="shared" si="14"/>
        <v>100</v>
      </c>
      <c r="X36" s="1342"/>
      <c r="Y36" s="4173"/>
      <c r="Z36" s="1343" t="str">
        <f t="shared" si="15"/>
        <v>内部装修</v>
      </c>
      <c r="AA36" s="1340">
        <f t="shared" si="3"/>
        <v>1</v>
      </c>
      <c r="AB36" s="1340">
        <f t="shared" si="4"/>
        <v>1</v>
      </c>
      <c r="AC36" s="1340">
        <f t="shared" si="5"/>
        <v>1</v>
      </c>
    </row>
    <row r="37" spans="1:29" ht="15">
      <c r="A37" s="418"/>
      <c r="B37" s="370" t="s">
        <v>1828</v>
      </c>
      <c r="C37" s="557"/>
      <c r="D37" s="381">
        <v>100</v>
      </c>
      <c r="E37" s="557"/>
      <c r="F37" s="407">
        <f>SUMIF(106:106,E37,107:107)-SUMIF(106:106,C37,107:107)+100</f>
        <v>100</v>
      </c>
      <c r="G37" s="557"/>
      <c r="H37" s="381">
        <f>SUMIF(106:106,G37,107:107)-SUMIF(106:106,C37,107:107)+100</f>
        <v>100</v>
      </c>
      <c r="I37" s="557"/>
      <c r="J37" s="381">
        <f>SUMIF(106:106,I37,107:107)-SUMIF(106:106,C37,107:107)+100</f>
        <v>100</v>
      </c>
      <c r="K37" s="553"/>
      <c r="L37" s="913"/>
      <c r="M37" s="904"/>
      <c r="N37" s="904"/>
      <c r="O37" s="912"/>
      <c r="P37" s="4173"/>
      <c r="Q37" s="1339" t="str">
        <f t="shared" si="11"/>
        <v>内部装修状况</v>
      </c>
      <c r="R37" s="697" t="s">
        <v>14</v>
      </c>
      <c r="S37" s="698">
        <f t="shared" si="12"/>
        <v>100</v>
      </c>
      <c r="T37" s="697" t="s">
        <v>14</v>
      </c>
      <c r="U37" s="698">
        <f t="shared" si="13"/>
        <v>100</v>
      </c>
      <c r="V37" s="697" t="s">
        <v>14</v>
      </c>
      <c r="W37" s="698">
        <f t="shared" si="14"/>
        <v>100</v>
      </c>
      <c r="X37" s="1342"/>
      <c r="Y37" s="4173"/>
      <c r="Z37" s="1343" t="str">
        <f t="shared" si="15"/>
        <v>内部装修状况</v>
      </c>
      <c r="AA37" s="1340">
        <f t="shared" si="3"/>
        <v>1</v>
      </c>
      <c r="AB37" s="1340">
        <f t="shared" si="4"/>
        <v>1</v>
      </c>
      <c r="AC37" s="1340">
        <f t="shared" si="5"/>
        <v>1</v>
      </c>
    </row>
    <row r="38" spans="1:29" s="417" customFormat="1" ht="15">
      <c r="A38" s="414"/>
      <c r="B38" s="1121">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4"/>
      <c r="L38" s="911"/>
      <c r="M38" s="914"/>
      <c r="N38" s="914"/>
      <c r="O38" s="915"/>
      <c r="P38" s="4173"/>
      <c r="Q38" s="699">
        <f t="shared" si="11"/>
        <v>111</v>
      </c>
      <c r="R38" s="700" t="s">
        <v>14</v>
      </c>
      <c r="S38" s="701">
        <f t="shared" si="12"/>
        <v>100</v>
      </c>
      <c r="T38" s="700" t="s">
        <v>14</v>
      </c>
      <c r="U38" s="701">
        <f t="shared" si="13"/>
        <v>100</v>
      </c>
      <c r="V38" s="700" t="s">
        <v>14</v>
      </c>
      <c r="W38" s="701">
        <f t="shared" si="14"/>
        <v>100</v>
      </c>
      <c r="X38" s="702"/>
      <c r="Y38" s="4173"/>
      <c r="Z38" s="703">
        <f t="shared" si="15"/>
        <v>111</v>
      </c>
      <c r="AA38" s="1340">
        <f t="shared" si="3"/>
        <v>1</v>
      </c>
      <c r="AB38" s="1340">
        <f t="shared" si="4"/>
        <v>1</v>
      </c>
      <c r="AC38" s="1340">
        <f t="shared" si="5"/>
        <v>1</v>
      </c>
    </row>
    <row r="39" spans="1:29" ht="15">
      <c r="A39" s="418"/>
      <c r="B39" s="1121">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4"/>
      <c r="L39" s="913"/>
      <c r="M39" s="904"/>
      <c r="N39" s="904"/>
      <c r="O39" s="912"/>
      <c r="P39" s="4173"/>
      <c r="Q39" s="1339">
        <f t="shared" si="11"/>
        <v>111</v>
      </c>
      <c r="R39" s="697" t="s">
        <v>14</v>
      </c>
      <c r="S39" s="698">
        <f t="shared" si="12"/>
        <v>100</v>
      </c>
      <c r="T39" s="697" t="s">
        <v>14</v>
      </c>
      <c r="U39" s="698">
        <f t="shared" si="13"/>
        <v>100</v>
      </c>
      <c r="V39" s="697" t="s">
        <v>14</v>
      </c>
      <c r="W39" s="698">
        <f t="shared" si="14"/>
        <v>100</v>
      </c>
      <c r="X39" s="1342"/>
      <c r="Y39" s="4173"/>
      <c r="Z39" s="1343">
        <f t="shared" si="15"/>
        <v>111</v>
      </c>
      <c r="AA39" s="1340">
        <f t="shared" si="3"/>
        <v>1</v>
      </c>
      <c r="AB39" s="1340">
        <f t="shared" si="4"/>
        <v>1</v>
      </c>
      <c r="AC39" s="1340">
        <f t="shared" si="5"/>
        <v>1</v>
      </c>
    </row>
    <row r="40" spans="1:29" ht="15.6" thickBot="1">
      <c r="A40" s="424"/>
      <c r="B40" s="1870">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4"/>
      <c r="L40" s="913"/>
      <c r="M40" s="904"/>
      <c r="N40" s="904"/>
      <c r="O40" s="912"/>
      <c r="P40" s="4174"/>
      <c r="Q40" s="1339">
        <f t="shared" si="11"/>
        <v>111</v>
      </c>
      <c r="R40" s="697" t="s">
        <v>14</v>
      </c>
      <c r="S40" s="698">
        <f t="shared" si="12"/>
        <v>100</v>
      </c>
      <c r="T40" s="697" t="s">
        <v>14</v>
      </c>
      <c r="U40" s="698">
        <f t="shared" si="13"/>
        <v>100</v>
      </c>
      <c r="V40" s="697" t="s">
        <v>14</v>
      </c>
      <c r="W40" s="698">
        <f t="shared" si="14"/>
        <v>100</v>
      </c>
      <c r="X40" s="1342"/>
      <c r="Y40" s="4174"/>
      <c r="Z40" s="1343">
        <f t="shared" si="15"/>
        <v>111</v>
      </c>
      <c r="AA40" s="1340">
        <f t="shared" si="3"/>
        <v>1</v>
      </c>
      <c r="AB40" s="1340">
        <f t="shared" si="4"/>
        <v>1</v>
      </c>
      <c r="AC40" s="1340">
        <f t="shared" si="5"/>
        <v>1</v>
      </c>
    </row>
    <row r="41" spans="1:29" ht="14.4">
      <c r="A41" s="425" t="s">
        <v>1708</v>
      </c>
      <c r="B41" s="426"/>
      <c r="C41" s="1142" t="s">
        <v>0</v>
      </c>
      <c r="D41" s="1143"/>
      <c r="E41" s="1144"/>
      <c r="F41" s="1145"/>
      <c r="G41" s="1146"/>
      <c r="H41" s="1147"/>
      <c r="I41" s="1144"/>
      <c r="J41" s="1147"/>
      <c r="K41" s="706"/>
      <c r="L41" s="916"/>
      <c r="M41" s="917"/>
      <c r="N41" s="904"/>
      <c r="O41" s="917"/>
      <c r="P41" s="4166" t="str">
        <f>A41</f>
        <v>成交单价（元/平方米）</v>
      </c>
      <c r="Q41" s="4166"/>
      <c r="R41" s="4167">
        <f>E41</f>
        <v>0</v>
      </c>
      <c r="S41" s="4167"/>
      <c r="T41" s="4167">
        <f>G41</f>
        <v>0</v>
      </c>
      <c r="U41" s="4167"/>
      <c r="V41" s="4167">
        <f>I41</f>
        <v>0</v>
      </c>
      <c r="W41" s="4167"/>
      <c r="X41" s="682"/>
      <c r="Y41" s="704"/>
      <c r="Z41" s="682"/>
      <c r="AA41" s="682"/>
      <c r="AB41" s="682"/>
      <c r="AC41" s="682"/>
    </row>
    <row r="42" spans="1:29" ht="15" thickBot="1">
      <c r="A42" s="432" t="s">
        <v>1793</v>
      </c>
      <c r="B42" s="433"/>
      <c r="C42" s="1148" t="e">
        <f>R43</f>
        <v>#DIV/0!</v>
      </c>
      <c r="D42" s="2289" t="s">
        <v>2138</v>
      </c>
      <c r="E42" s="1149" t="e">
        <f>R42</f>
        <v>#DIV/0!</v>
      </c>
      <c r="F42" s="2290"/>
      <c r="G42" s="1148" t="e">
        <f>T42</f>
        <v>#DIV/0!</v>
      </c>
      <c r="H42" s="2290"/>
      <c r="I42" s="1149" t="e">
        <f>V42</f>
        <v>#DIV/0!</v>
      </c>
      <c r="J42" s="2290"/>
      <c r="K42" s="2292">
        <f>F42+H42+J42</f>
        <v>0</v>
      </c>
      <c r="L42" s="916"/>
      <c r="M42" s="917"/>
      <c r="N42" s="904"/>
      <c r="O42" s="917"/>
      <c r="P42" s="4166" t="str">
        <f>A42</f>
        <v>比较价值（元/平方米）</v>
      </c>
      <c r="Q42" s="4166"/>
      <c r="R42" s="4167" t="e">
        <f>IF(F1="售价",ROUND(PRODUCT(R41,AA7:AA40),0),ROUND(PRODUCT(R41,AA7:AA40),1))</f>
        <v>#DIV/0!</v>
      </c>
      <c r="S42" s="4167"/>
      <c r="T42" s="4167" t="e">
        <f>IF(F1="售价",ROUND(PRODUCT(T41,AB7:AB40),0),ROUND(PRODUCT(T41,AB7:AB40),1))</f>
        <v>#DIV/0!</v>
      </c>
      <c r="U42" s="4167"/>
      <c r="V42" s="4167" t="e">
        <f>IF(F1="售价",ROUND(PRODUCT(V41,AC7:AC40),0),ROUND(PRODUCT(V41,AC7:AC40),1))</f>
        <v>#DIV/0!</v>
      </c>
      <c r="W42" s="4167"/>
      <c r="X42" s="682"/>
      <c r="Y42" s="682"/>
      <c r="Z42" s="682"/>
      <c r="AA42" s="682"/>
      <c r="AB42" s="682"/>
      <c r="AC42" s="682"/>
    </row>
    <row r="43" spans="1:29" ht="15" thickBot="1">
      <c r="A43" s="436" t="s">
        <v>1794</v>
      </c>
      <c r="B43" s="437"/>
      <c r="C43" s="1150" t="e">
        <f>R43</f>
        <v>#DIV/0!</v>
      </c>
      <c r="D43" s="1150"/>
      <c r="E43" s="1150"/>
      <c r="F43" s="1150"/>
      <c r="G43" s="1150"/>
      <c r="H43" s="1150"/>
      <c r="I43" s="1150"/>
      <c r="J43" s="1150"/>
      <c r="K43" s="707"/>
      <c r="L43" s="916"/>
      <c r="M43" s="917"/>
      <c r="N43" s="917"/>
      <c r="O43" s="917"/>
      <c r="P43" s="4163" t="str">
        <f>A43</f>
        <v>估价对象XX用房的比较价值（楼面单价，元/平方米）</v>
      </c>
      <c r="Q43" s="4164"/>
      <c r="R43" s="4165" t="e">
        <f>IF(F1="售价",ROUND(IF(D42="简单平均",AVERAGE(R42:V42),R42*F42+T42*H42+V42*J42),0),ROUND(IF(D42="简单平均",AVERAGE(R42:V42),R42*F42+T42*H42+V42*J42),1))</f>
        <v>#DIV/0!</v>
      </c>
      <c r="S43" s="4165"/>
      <c r="T43" s="4165"/>
      <c r="U43" s="4165"/>
      <c r="V43" s="4165"/>
      <c r="W43" s="4165"/>
      <c r="X43" s="682"/>
      <c r="Y43" s="682"/>
      <c r="Z43" s="682"/>
      <c r="AA43" s="682"/>
      <c r="AB43" s="682"/>
      <c r="AC43" s="682"/>
    </row>
    <row r="44" spans="1:29">
      <c r="A44" s="2696"/>
      <c r="B44" s="2696"/>
      <c r="C44" s="2696"/>
      <c r="D44" s="2696"/>
      <c r="E44" s="2696"/>
      <c r="F44" s="2696"/>
      <c r="G44" s="2700"/>
      <c r="H44" s="2696"/>
      <c r="I44" s="2696"/>
      <c r="J44" s="2696"/>
      <c r="K44" s="2701"/>
      <c r="L44" s="879"/>
      <c r="M44" s="917"/>
      <c r="N44" s="917"/>
      <c r="O44" s="917"/>
    </row>
    <row r="45" spans="1:29">
      <c r="A45" s="2696"/>
      <c r="B45" s="2696"/>
      <c r="C45" s="2696"/>
      <c r="D45" s="2696"/>
      <c r="E45" s="2696"/>
      <c r="F45" s="2696"/>
      <c r="G45" s="2696"/>
      <c r="H45" s="2696"/>
      <c r="I45" s="2696"/>
      <c r="J45" s="2696"/>
      <c r="K45" s="2701"/>
      <c r="L45" s="879"/>
      <c r="M45" s="917"/>
      <c r="N45" s="917"/>
      <c r="O45" s="917"/>
    </row>
    <row r="46" spans="1:29" ht="13.5" customHeight="1">
      <c r="A46" s="2696"/>
      <c r="B46" s="2696"/>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1"/>
      <c r="L46" s="879"/>
      <c r="M46" s="917"/>
      <c r="N46" s="917"/>
      <c r="O46" s="917"/>
    </row>
    <row r="47" spans="1:29" ht="13.5" customHeight="1">
      <c r="A47" s="2696"/>
      <c r="B47" s="2696"/>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1"/>
      <c r="L47" s="879"/>
      <c r="M47" s="917"/>
      <c r="N47" s="917"/>
      <c r="O47" s="917"/>
    </row>
    <row r="48" spans="1:29" s="446" customFormat="1" ht="13.5" customHeight="1">
      <c r="A48" s="2699"/>
      <c r="B48" s="2699"/>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4"/>
      <c r="L48" s="920"/>
      <c r="M48" s="918"/>
      <c r="N48" s="918"/>
      <c r="O48" s="918"/>
    </row>
    <row r="49" spans="1:17" s="446" customFormat="1">
      <c r="A49" s="2699"/>
      <c r="B49" s="2702"/>
      <c r="C49" s="2703"/>
      <c r="D49" s="2699"/>
      <c r="E49" s="2699"/>
      <c r="F49" s="2699"/>
      <c r="G49" s="2699"/>
      <c r="H49" s="2699"/>
      <c r="I49" s="2699"/>
      <c r="J49" s="2699"/>
      <c r="K49" s="2704"/>
      <c r="L49" s="920"/>
      <c r="M49" s="918"/>
      <c r="N49" s="918"/>
      <c r="O49" s="918"/>
    </row>
    <row r="50" spans="1:17">
      <c r="A50" s="2696"/>
      <c r="B50" s="2702"/>
      <c r="C50" s="2703"/>
      <c r="D50" s="2696"/>
      <c r="E50" s="2696"/>
      <c r="F50" s="2696"/>
      <c r="G50" s="2696"/>
      <c r="H50" s="2696"/>
      <c r="I50" s="2696"/>
      <c r="J50" s="2696"/>
      <c r="K50" s="2701"/>
      <c r="L50" s="879"/>
      <c r="M50" s="917"/>
      <c r="N50" s="917"/>
      <c r="O50" s="917"/>
    </row>
    <row r="51" spans="1:17" ht="22.2" thickBot="1">
      <c r="A51" s="686" t="s">
        <v>1798</v>
      </c>
      <c r="B51" s="682"/>
      <c r="C51" s="687"/>
      <c r="D51" s="687"/>
      <c r="E51" s="687"/>
      <c r="F51" s="688"/>
      <c r="G51" s="688"/>
      <c r="H51" s="687"/>
      <c r="I51" s="687"/>
      <c r="J51" s="687"/>
      <c r="K51" s="931"/>
      <c r="L51" s="932"/>
      <c r="M51" s="930"/>
      <c r="N51" s="930"/>
      <c r="O51" s="930"/>
      <c r="P51" s="447"/>
      <c r="Q51" s="448"/>
    </row>
    <row r="52" spans="1:17" s="452" customFormat="1" ht="14.4">
      <c r="A52" s="449" t="s">
        <v>1679</v>
      </c>
      <c r="B52" s="450"/>
      <c r="C52" s="1171" t="str">
        <f>YEAR(C7)&amp;"-"&amp;MONTH(C7)</f>
        <v>2003-10</v>
      </c>
      <c r="D52" s="1172">
        <f>EDATE(C52,-1)</f>
        <v>37865</v>
      </c>
      <c r="E52" s="1172">
        <f t="shared" ref="E52:O52" si="16">EDATE(D52,-1)</f>
        <v>37834</v>
      </c>
      <c r="F52" s="1172">
        <f t="shared" si="16"/>
        <v>37803</v>
      </c>
      <c r="G52" s="1172">
        <f t="shared" si="16"/>
        <v>37773</v>
      </c>
      <c r="H52" s="1172">
        <f t="shared" si="16"/>
        <v>37742</v>
      </c>
      <c r="I52" s="1172">
        <f t="shared" si="16"/>
        <v>37712</v>
      </c>
      <c r="J52" s="1172">
        <f t="shared" si="16"/>
        <v>37681</v>
      </c>
      <c r="K52" s="1172">
        <f t="shared" si="16"/>
        <v>37653</v>
      </c>
      <c r="L52" s="1172">
        <f t="shared" si="16"/>
        <v>37622</v>
      </c>
      <c r="M52" s="1172">
        <f t="shared" si="16"/>
        <v>37591</v>
      </c>
      <c r="N52" s="1172">
        <f t="shared" si="16"/>
        <v>37561</v>
      </c>
      <c r="O52" s="1172">
        <f t="shared" si="16"/>
        <v>37530</v>
      </c>
      <c r="P52" s="451"/>
    </row>
    <row r="53" spans="1:17" s="108" customFormat="1">
      <c r="A53" s="453"/>
      <c r="B53" s="454"/>
      <c r="C53" s="1170">
        <v>100</v>
      </c>
      <c r="D53" s="456"/>
      <c r="E53" s="456"/>
      <c r="F53" s="456"/>
      <c r="G53" s="456"/>
      <c r="H53" s="456"/>
      <c r="I53" s="456"/>
      <c r="J53" s="456"/>
      <c r="K53" s="456"/>
      <c r="L53" s="456"/>
      <c r="M53" s="457"/>
      <c r="N53" s="456"/>
      <c r="O53" s="458"/>
      <c r="P53" s="448"/>
    </row>
    <row r="54" spans="1:17" s="108" customFormat="1" ht="15" thickBot="1">
      <c r="A54" s="459" t="s">
        <v>1716</v>
      </c>
      <c r="B54" s="460"/>
      <c r="C54" s="461"/>
      <c r="D54" s="462"/>
      <c r="E54" s="462"/>
      <c r="F54" s="462"/>
      <c r="G54" s="462"/>
      <c r="H54" s="462"/>
      <c r="I54" s="462"/>
      <c r="J54" s="462"/>
      <c r="K54" s="462"/>
      <c r="L54" s="462"/>
      <c r="M54" s="463"/>
      <c r="N54" s="2741"/>
      <c r="O54" s="2742"/>
      <c r="P54" s="448"/>
      <c r="Q54" s="448"/>
    </row>
    <row r="55" spans="1:17" s="108" customFormat="1" ht="14.4">
      <c r="A55" s="465" t="s">
        <v>1681</v>
      </c>
      <c r="B55" s="454"/>
      <c r="C55" s="466" t="s">
        <v>1776</v>
      </c>
      <c r="D55" s="467"/>
      <c r="E55" s="467"/>
      <c r="F55" s="467"/>
      <c r="G55" s="467"/>
      <c r="H55" s="467"/>
      <c r="I55" s="467"/>
      <c r="J55" s="467"/>
      <c r="K55" s="467"/>
      <c r="L55" s="468"/>
      <c r="M55" s="469"/>
      <c r="N55" s="922"/>
      <c r="O55" s="922"/>
      <c r="P55" s="470"/>
      <c r="Q55" s="448"/>
    </row>
    <row r="56" spans="1:17" s="108" customFormat="1" ht="14.4" thickBot="1">
      <c r="A56" s="465"/>
      <c r="B56" s="454"/>
      <c r="C56" s="579">
        <v>100</v>
      </c>
      <c r="D56" s="456"/>
      <c r="E56" s="456"/>
      <c r="F56" s="456"/>
      <c r="G56" s="456"/>
      <c r="H56" s="456"/>
      <c r="I56" s="456"/>
      <c r="J56" s="456"/>
      <c r="K56" s="456"/>
      <c r="L56" s="456"/>
      <c r="M56" s="458"/>
      <c r="N56" s="922"/>
      <c r="O56" s="922"/>
      <c r="P56" s="448"/>
      <c r="Q56" s="448"/>
    </row>
    <row r="57" spans="1:17" ht="14.4">
      <c r="A57" s="471" t="s">
        <v>1719</v>
      </c>
      <c r="B57" s="472" t="s">
        <v>1685</v>
      </c>
      <c r="C57" s="473">
        <f>C9</f>
        <v>0</v>
      </c>
      <c r="D57" s="474"/>
      <c r="E57" s="474"/>
      <c r="F57" s="474"/>
      <c r="G57" s="474"/>
      <c r="H57" s="474"/>
      <c r="I57" s="474"/>
      <c r="J57" s="474"/>
      <c r="K57" s="475"/>
      <c r="L57" s="476"/>
      <c r="M57" s="477"/>
      <c r="N57" s="923"/>
      <c r="O57" s="923"/>
      <c r="P57" s="42"/>
      <c r="Q57" s="448"/>
    </row>
    <row r="58" spans="1:17" ht="14.4" thickBot="1">
      <c r="A58" s="478"/>
      <c r="B58" s="479"/>
      <c r="C58" s="480">
        <v>100</v>
      </c>
      <c r="D58" s="480"/>
      <c r="E58" s="480"/>
      <c r="F58" s="480"/>
      <c r="G58" s="480"/>
      <c r="H58" s="480"/>
      <c r="I58" s="480"/>
      <c r="J58" s="480"/>
      <c r="K58" s="480"/>
      <c r="L58" s="480"/>
      <c r="M58" s="481"/>
      <c r="N58" s="924"/>
      <c r="O58" s="924"/>
      <c r="P58" s="42"/>
      <c r="Q58" s="448"/>
    </row>
    <row r="59" spans="1:17" ht="29.4" thickTop="1">
      <c r="A59" s="478"/>
      <c r="B59" s="482" t="s">
        <v>1688</v>
      </c>
      <c r="C59" s="527"/>
      <c r="D59" s="527"/>
      <c r="E59" s="527"/>
      <c r="F59" s="527"/>
      <c r="G59" s="527"/>
      <c r="H59" s="527"/>
      <c r="I59" s="527"/>
      <c r="J59" s="527"/>
      <c r="K59" s="528"/>
      <c r="L59" s="529"/>
      <c r="M59" s="530"/>
      <c r="N59" s="923"/>
      <c r="O59" s="923"/>
      <c r="P59" s="42"/>
      <c r="Q59" s="448"/>
    </row>
    <row r="60" spans="1:17" ht="14.4" thickBot="1">
      <c r="A60" s="478"/>
      <c r="B60" s="487"/>
      <c r="C60" s="480"/>
      <c r="D60" s="480"/>
      <c r="E60" s="480"/>
      <c r="F60" s="480"/>
      <c r="G60" s="480"/>
      <c r="H60" s="480"/>
      <c r="I60" s="480"/>
      <c r="J60" s="480"/>
      <c r="K60" s="480"/>
      <c r="L60" s="480"/>
      <c r="M60" s="481"/>
      <c r="N60" s="924"/>
      <c r="O60" s="924"/>
      <c r="P60" s="42"/>
      <c r="Q60" s="448"/>
    </row>
    <row r="61" spans="1:17" ht="15" thickTop="1">
      <c r="A61" s="478"/>
      <c r="B61" s="490" t="s">
        <v>1689</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4"/>
      <c r="O61" s="924"/>
      <c r="P61" s="42"/>
      <c r="Q61" s="448"/>
    </row>
    <row r="62" spans="1:17">
      <c r="A62" s="478"/>
      <c r="B62" s="492"/>
      <c r="C62" s="493">
        <v>0</v>
      </c>
      <c r="D62" s="493">
        <v>2</v>
      </c>
      <c r="E62" s="493"/>
      <c r="F62" s="493"/>
      <c r="G62" s="493"/>
      <c r="H62" s="493"/>
      <c r="I62" s="493"/>
      <c r="J62" s="493"/>
      <c r="K62" s="494"/>
      <c r="L62" s="495"/>
      <c r="M62" s="496"/>
      <c r="N62" s="923"/>
      <c r="O62" s="923"/>
      <c r="P62" s="42"/>
      <c r="Q62" s="448"/>
    </row>
    <row r="63" spans="1:17" ht="14.4"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4"/>
      <c r="O63" s="924"/>
      <c r="P63" s="42"/>
      <c r="Q63" s="448"/>
    </row>
    <row r="64" spans="1:17" s="417" customFormat="1" ht="14.4" thickTop="1">
      <c r="A64" s="497"/>
      <c r="B64" s="482">
        <f>B12</f>
        <v>111</v>
      </c>
      <c r="C64" s="498"/>
      <c r="D64" s="498"/>
      <c r="E64" s="498"/>
      <c r="F64" s="498"/>
      <c r="G64" s="498"/>
      <c r="H64" s="499"/>
      <c r="I64" s="499"/>
      <c r="J64" s="499"/>
      <c r="K64" s="499"/>
      <c r="L64" s="500"/>
      <c r="M64" s="501"/>
      <c r="N64" s="925"/>
      <c r="O64" s="925"/>
      <c r="P64" s="502"/>
      <c r="Q64" s="503"/>
    </row>
    <row r="65" spans="1:17" s="417" customFormat="1" ht="14.4" thickBot="1">
      <c r="A65" s="497"/>
      <c r="B65" s="487"/>
      <c r="C65" s="504"/>
      <c r="D65" s="480"/>
      <c r="E65" s="480"/>
      <c r="F65" s="480"/>
      <c r="G65" s="480"/>
      <c r="H65" s="480"/>
      <c r="I65" s="480"/>
      <c r="J65" s="480"/>
      <c r="K65" s="480"/>
      <c r="L65" s="480"/>
      <c r="M65" s="481"/>
      <c r="N65" s="924"/>
      <c r="O65" s="924"/>
      <c r="P65" s="502"/>
      <c r="Q65" s="503"/>
    </row>
    <row r="66" spans="1:17" s="417" customFormat="1" ht="14.4" thickTop="1">
      <c r="A66" s="497"/>
      <c r="B66" s="482">
        <f>B13</f>
        <v>111</v>
      </c>
      <c r="C66" s="498"/>
      <c r="D66" s="498"/>
      <c r="E66" s="498"/>
      <c r="F66" s="498"/>
      <c r="G66" s="498"/>
      <c r="H66" s="499"/>
      <c r="I66" s="499"/>
      <c r="J66" s="499"/>
      <c r="K66" s="499"/>
      <c r="L66" s="500"/>
      <c r="M66" s="501"/>
      <c r="N66" s="925"/>
      <c r="O66" s="925"/>
      <c r="P66" s="416"/>
      <c r="Q66" s="505"/>
    </row>
    <row r="67" spans="1:17" s="417" customFormat="1" ht="14.4" thickBot="1">
      <c r="A67" s="497"/>
      <c r="B67" s="487"/>
      <c r="C67" s="504"/>
      <c r="D67" s="480"/>
      <c r="E67" s="480"/>
      <c r="F67" s="480"/>
      <c r="G67" s="504"/>
      <c r="H67" s="506"/>
      <c r="I67" s="506"/>
      <c r="J67" s="506"/>
      <c r="K67" s="506"/>
      <c r="L67" s="506"/>
      <c r="M67" s="507"/>
      <c r="N67" s="925"/>
      <c r="O67" s="925"/>
      <c r="P67" s="502"/>
      <c r="Q67" s="503"/>
    </row>
    <row r="68" spans="1:17" s="417" customFormat="1" ht="14.4" thickTop="1">
      <c r="A68" s="497"/>
      <c r="B68" s="490">
        <f>B14</f>
        <v>111</v>
      </c>
      <c r="C68" s="467"/>
      <c r="D68" s="467"/>
      <c r="E68" s="467"/>
      <c r="F68" s="467"/>
      <c r="G68" s="467"/>
      <c r="H68" s="508"/>
      <c r="I68" s="508"/>
      <c r="J68" s="508"/>
      <c r="K68" s="508"/>
      <c r="L68" s="509"/>
      <c r="M68" s="510"/>
      <c r="N68" s="925"/>
      <c r="O68" s="925"/>
      <c r="P68" s="511"/>
      <c r="Q68" s="503"/>
    </row>
    <row r="69" spans="1:17" s="417" customFormat="1" ht="14.4" thickBot="1">
      <c r="A69" s="512"/>
      <c r="B69" s="513"/>
      <c r="C69" s="514"/>
      <c r="D69" s="514"/>
      <c r="E69" s="514"/>
      <c r="F69" s="514"/>
      <c r="G69" s="514"/>
      <c r="H69" s="515"/>
      <c r="I69" s="515"/>
      <c r="J69" s="515"/>
      <c r="K69" s="515"/>
      <c r="L69" s="515"/>
      <c r="M69" s="516"/>
      <c r="N69" s="925"/>
      <c r="O69" s="925"/>
      <c r="P69" s="502"/>
      <c r="Q69" s="503"/>
    </row>
    <row r="70" spans="1:17" ht="14.4">
      <c r="A70" s="471" t="s">
        <v>1690</v>
      </c>
      <c r="B70" s="472" t="s">
        <v>1829</v>
      </c>
      <c r="C70" s="517" t="s">
        <v>1721</v>
      </c>
      <c r="D70" s="517" t="s">
        <v>1722</v>
      </c>
      <c r="E70" s="517" t="s">
        <v>1723</v>
      </c>
      <c r="F70" s="517" t="s">
        <v>1724</v>
      </c>
      <c r="G70" s="517" t="s">
        <v>1725</v>
      </c>
      <c r="H70" s="473"/>
      <c r="I70" s="473"/>
      <c r="J70" s="473"/>
      <c r="K70" s="518"/>
      <c r="L70" s="519"/>
      <c r="M70" s="520"/>
      <c r="N70" s="923"/>
      <c r="O70" s="923"/>
      <c r="P70" s="521"/>
      <c r="Q70" s="448"/>
    </row>
    <row r="71" spans="1:17" ht="14.4" thickBot="1">
      <c r="A71" s="478"/>
      <c r="B71" s="487"/>
      <c r="C71" s="488">
        <v>100</v>
      </c>
      <c r="D71" s="488">
        <f>C71-$K15</f>
        <v>100</v>
      </c>
      <c r="E71" s="488">
        <f>D71-$K15</f>
        <v>100</v>
      </c>
      <c r="F71" s="488">
        <f>E71-$K15</f>
        <v>100</v>
      </c>
      <c r="G71" s="488">
        <f>F71-$K15</f>
        <v>100</v>
      </c>
      <c r="H71" s="488"/>
      <c r="I71" s="488"/>
      <c r="J71" s="488"/>
      <c r="K71" s="488"/>
      <c r="L71" s="488"/>
      <c r="M71" s="489"/>
      <c r="N71" s="924"/>
      <c r="O71" s="924"/>
      <c r="P71" s="42"/>
      <c r="Q71" s="448"/>
    </row>
    <row r="72" spans="1:17" ht="15" thickTop="1">
      <c r="A72" s="478"/>
      <c r="B72" s="482" t="s">
        <v>1726</v>
      </c>
      <c r="C72" s="522" t="s">
        <v>1721</v>
      </c>
      <c r="D72" s="522" t="s">
        <v>1722</v>
      </c>
      <c r="E72" s="522" t="s">
        <v>1723</v>
      </c>
      <c r="F72" s="522" t="s">
        <v>1724</v>
      </c>
      <c r="G72" s="522" t="s">
        <v>1725</v>
      </c>
      <c r="H72" s="483"/>
      <c r="I72" s="483"/>
      <c r="J72" s="483"/>
      <c r="K72" s="484"/>
      <c r="L72" s="485"/>
      <c r="M72" s="486"/>
      <c r="N72" s="923"/>
      <c r="O72" s="923"/>
      <c r="P72" s="42"/>
      <c r="Q72" s="448"/>
    </row>
    <row r="73" spans="1:17" ht="14.4" thickBot="1">
      <c r="A73" s="478"/>
      <c r="B73" s="487"/>
      <c r="C73" s="488">
        <v>100</v>
      </c>
      <c r="D73" s="488">
        <f>C73-$K17</f>
        <v>100</v>
      </c>
      <c r="E73" s="488">
        <f>D73-$K17</f>
        <v>100</v>
      </c>
      <c r="F73" s="488">
        <f>E73-$K17</f>
        <v>100</v>
      </c>
      <c r="G73" s="488">
        <f>F73-$K17</f>
        <v>100</v>
      </c>
      <c r="H73" s="488"/>
      <c r="I73" s="488"/>
      <c r="J73" s="488"/>
      <c r="K73" s="488"/>
      <c r="L73" s="488"/>
      <c r="M73" s="489"/>
      <c r="N73" s="924"/>
      <c r="O73" s="924"/>
      <c r="P73" s="42"/>
      <c r="Q73" s="448"/>
    </row>
    <row r="74" spans="1:17" ht="15" thickTop="1">
      <c r="A74" s="478"/>
      <c r="B74" s="482" t="s">
        <v>1727</v>
      </c>
      <c r="C74" s="522" t="s">
        <v>1721</v>
      </c>
      <c r="D74" s="522" t="s">
        <v>1722</v>
      </c>
      <c r="E74" s="522" t="s">
        <v>1723</v>
      </c>
      <c r="F74" s="522" t="s">
        <v>1724</v>
      </c>
      <c r="G74" s="522" t="s">
        <v>1725</v>
      </c>
      <c r="H74" s="483"/>
      <c r="I74" s="483"/>
      <c r="J74" s="483"/>
      <c r="K74" s="484"/>
      <c r="L74" s="485"/>
      <c r="M74" s="486"/>
      <c r="N74" s="923"/>
      <c r="O74" s="923"/>
      <c r="P74" s="42"/>
      <c r="Q74" s="448"/>
    </row>
    <row r="75" spans="1:17" ht="14.4" thickBot="1">
      <c r="A75" s="478"/>
      <c r="B75" s="487"/>
      <c r="C75" s="488">
        <v>100</v>
      </c>
      <c r="D75" s="488">
        <f>C75-$K19</f>
        <v>100</v>
      </c>
      <c r="E75" s="488">
        <f>D75-$K19</f>
        <v>100</v>
      </c>
      <c r="F75" s="488">
        <f>E75-$K19</f>
        <v>100</v>
      </c>
      <c r="G75" s="488">
        <f>F75-$K19</f>
        <v>100</v>
      </c>
      <c r="H75" s="488"/>
      <c r="I75" s="488"/>
      <c r="J75" s="488"/>
      <c r="K75" s="488"/>
      <c r="L75" s="488"/>
      <c r="M75" s="489"/>
      <c r="N75" s="924"/>
      <c r="O75" s="924"/>
      <c r="P75" s="42"/>
      <c r="Q75" s="448"/>
    </row>
    <row r="76" spans="1:17" ht="15" thickTop="1">
      <c r="A76" s="478"/>
      <c r="B76" s="490" t="s">
        <v>1813</v>
      </c>
      <c r="C76" s="600" t="s">
        <v>1799</v>
      </c>
      <c r="D76" s="600" t="s">
        <v>1800</v>
      </c>
      <c r="E76" s="600" t="s">
        <v>1801</v>
      </c>
      <c r="F76" s="600" t="s">
        <v>1802</v>
      </c>
      <c r="G76" s="600" t="s">
        <v>1803</v>
      </c>
      <c r="H76" s="483"/>
      <c r="I76" s="483"/>
      <c r="J76" s="483"/>
      <c r="K76" s="483"/>
      <c r="L76" s="483"/>
      <c r="M76" s="1117"/>
      <c r="N76" s="924"/>
      <c r="O76" s="924"/>
      <c r="P76" s="42"/>
      <c r="Q76" s="448"/>
    </row>
    <row r="77" spans="1:17" ht="14.4" thickBot="1">
      <c r="A77" s="478"/>
      <c r="B77" s="490"/>
      <c r="C77" s="488">
        <v>100</v>
      </c>
      <c r="D77" s="488">
        <f>C77-$K21</f>
        <v>100</v>
      </c>
      <c r="E77" s="488">
        <f>D77-$K21</f>
        <v>100</v>
      </c>
      <c r="F77" s="488">
        <f>E77-$K21</f>
        <v>100</v>
      </c>
      <c r="G77" s="488">
        <f>F77-$K21</f>
        <v>100</v>
      </c>
      <c r="H77" s="600"/>
      <c r="I77" s="600"/>
      <c r="J77" s="600"/>
      <c r="K77" s="600"/>
      <c r="L77" s="600"/>
      <c r="M77" s="396"/>
      <c r="N77" s="924"/>
      <c r="O77" s="924"/>
      <c r="P77" s="42"/>
      <c r="Q77" s="448"/>
    </row>
    <row r="78" spans="1:17" ht="15" thickTop="1">
      <c r="A78" s="478"/>
      <c r="B78" s="482" t="s">
        <v>1822</v>
      </c>
      <c r="C78" s="522" t="s">
        <v>1721</v>
      </c>
      <c r="D78" s="522" t="s">
        <v>1722</v>
      </c>
      <c r="E78" s="522" t="s">
        <v>1723</v>
      </c>
      <c r="F78" s="522" t="s">
        <v>1724</v>
      </c>
      <c r="G78" s="522" t="s">
        <v>1725</v>
      </c>
      <c r="H78" s="483"/>
      <c r="I78" s="483"/>
      <c r="J78" s="483"/>
      <c r="K78" s="484"/>
      <c r="L78" s="485"/>
      <c r="M78" s="486"/>
      <c r="N78" s="923"/>
      <c r="O78" s="923"/>
      <c r="P78" s="42"/>
      <c r="Q78" s="448"/>
    </row>
    <row r="79" spans="1:17" ht="14.4" thickBot="1">
      <c r="A79" s="478"/>
      <c r="B79" s="487"/>
      <c r="C79" s="488">
        <v>100</v>
      </c>
      <c r="D79" s="488">
        <f>C79-$K23</f>
        <v>100</v>
      </c>
      <c r="E79" s="488">
        <f>D79-$K23</f>
        <v>100</v>
      </c>
      <c r="F79" s="488">
        <f>E79-$K23</f>
        <v>100</v>
      </c>
      <c r="G79" s="488">
        <f>F79-$K23</f>
        <v>100</v>
      </c>
      <c r="H79" s="488"/>
      <c r="I79" s="488"/>
      <c r="J79" s="488"/>
      <c r="K79" s="488"/>
      <c r="L79" s="488"/>
      <c r="M79" s="489"/>
      <c r="N79" s="924"/>
      <c r="O79" s="924"/>
      <c r="P79" s="42"/>
      <c r="Q79" s="448"/>
    </row>
    <row r="80" spans="1:17" s="108" customFormat="1" ht="14.4" thickTop="1">
      <c r="A80" s="523"/>
      <c r="B80" s="482">
        <f>B25</f>
        <v>111</v>
      </c>
      <c r="C80" s="498"/>
      <c r="D80" s="498"/>
      <c r="E80" s="498"/>
      <c r="F80" s="498"/>
      <c r="G80" s="498"/>
      <c r="H80" s="498"/>
      <c r="I80" s="498"/>
      <c r="J80" s="498"/>
      <c r="K80" s="498"/>
      <c r="L80" s="524"/>
      <c r="M80" s="525"/>
      <c r="N80" s="922"/>
      <c r="O80" s="922"/>
      <c r="P80" s="42"/>
      <c r="Q80" s="448"/>
    </row>
    <row r="81" spans="1:17" s="108" customFormat="1" ht="14.4" thickBot="1">
      <c r="A81" s="523"/>
      <c r="B81" s="487"/>
      <c r="C81" s="504"/>
      <c r="D81" s="480"/>
      <c r="E81" s="480"/>
      <c r="F81" s="480"/>
      <c r="G81" s="480"/>
      <c r="H81" s="480"/>
      <c r="I81" s="480"/>
      <c r="J81" s="480"/>
      <c r="K81" s="480"/>
      <c r="L81" s="480"/>
      <c r="M81" s="481"/>
      <c r="N81" s="924"/>
      <c r="O81" s="924"/>
      <c r="P81" s="42"/>
      <c r="Q81" s="448"/>
    </row>
    <row r="82" spans="1:17" s="108" customFormat="1" ht="14.4" thickTop="1">
      <c r="A82" s="523"/>
      <c r="B82" s="482">
        <f>B26</f>
        <v>111</v>
      </c>
      <c r="C82" s="498"/>
      <c r="D82" s="498"/>
      <c r="E82" s="498"/>
      <c r="F82" s="498"/>
      <c r="G82" s="498"/>
      <c r="H82" s="498"/>
      <c r="I82" s="498"/>
      <c r="J82" s="498"/>
      <c r="K82" s="498"/>
      <c r="L82" s="524"/>
      <c r="M82" s="525"/>
      <c r="N82" s="922"/>
      <c r="O82" s="922"/>
      <c r="P82" s="42"/>
      <c r="Q82" s="448"/>
    </row>
    <row r="83" spans="1:17" s="108" customFormat="1" ht="14.4" thickBot="1">
      <c r="A83" s="523"/>
      <c r="B83" s="487"/>
      <c r="C83" s="504"/>
      <c r="D83" s="480"/>
      <c r="E83" s="480"/>
      <c r="F83" s="480"/>
      <c r="G83" s="480"/>
      <c r="H83" s="480"/>
      <c r="I83" s="480"/>
      <c r="J83" s="480"/>
      <c r="K83" s="480"/>
      <c r="L83" s="480"/>
      <c r="M83" s="481"/>
      <c r="N83" s="924"/>
      <c r="O83" s="924"/>
      <c r="P83" s="42"/>
      <c r="Q83" s="448"/>
    </row>
    <row r="84" spans="1:17" s="417" customFormat="1" ht="14.4" thickTop="1">
      <c r="A84" s="497"/>
      <c r="B84" s="482">
        <f>B27</f>
        <v>111</v>
      </c>
      <c r="C84" s="498"/>
      <c r="D84" s="498"/>
      <c r="E84" s="498"/>
      <c r="F84" s="498"/>
      <c r="G84" s="498"/>
      <c r="H84" s="498"/>
      <c r="I84" s="498"/>
      <c r="J84" s="498"/>
      <c r="K84" s="498"/>
      <c r="L84" s="524"/>
      <c r="M84" s="525"/>
      <c r="N84" s="925"/>
      <c r="O84" s="925"/>
      <c r="P84" s="502"/>
      <c r="Q84" s="503"/>
    </row>
    <row r="85" spans="1:17" s="417" customFormat="1" ht="14.4" thickBot="1">
      <c r="A85" s="497"/>
      <c r="B85" s="487"/>
      <c r="C85" s="504"/>
      <c r="D85" s="480"/>
      <c r="E85" s="480"/>
      <c r="F85" s="480"/>
      <c r="G85" s="480"/>
      <c r="H85" s="480"/>
      <c r="I85" s="480"/>
      <c r="J85" s="480"/>
      <c r="K85" s="480"/>
      <c r="L85" s="480"/>
      <c r="M85" s="481"/>
      <c r="N85" s="925"/>
      <c r="O85" s="925"/>
      <c r="P85" s="502"/>
      <c r="Q85" s="503"/>
    </row>
    <row r="86" spans="1:17" ht="14.4" thickTop="1">
      <c r="A86" s="478"/>
      <c r="B86" s="490">
        <f>B28</f>
        <v>111</v>
      </c>
      <c r="C86" s="467"/>
      <c r="D86" s="467"/>
      <c r="E86" s="467"/>
      <c r="F86" s="467"/>
      <c r="G86" s="531"/>
      <c r="H86" s="531"/>
      <c r="I86" s="531"/>
      <c r="J86" s="531"/>
      <c r="K86" s="532"/>
      <c r="L86" s="533"/>
      <c r="M86" s="534"/>
      <c r="N86" s="923"/>
      <c r="O86" s="923"/>
      <c r="P86" s="42"/>
      <c r="Q86" s="448"/>
    </row>
    <row r="87" spans="1:17" ht="14.4" thickBot="1">
      <c r="A87" s="1900"/>
      <c r="B87" s="513"/>
      <c r="C87" s="514"/>
      <c r="D87" s="514"/>
      <c r="E87" s="514"/>
      <c r="F87" s="514"/>
      <c r="G87" s="535"/>
      <c r="H87" s="535"/>
      <c r="I87" s="535"/>
      <c r="J87" s="535"/>
      <c r="K87" s="535"/>
      <c r="L87" s="535"/>
      <c r="M87" s="536"/>
      <c r="N87" s="924"/>
      <c r="O87" s="924"/>
      <c r="P87" s="42"/>
      <c r="Q87" s="448"/>
    </row>
    <row r="88" spans="1:17" ht="14.4">
      <c r="A88" s="471" t="s">
        <v>1694</v>
      </c>
      <c r="B88" s="472" t="s">
        <v>1736</v>
      </c>
      <c r="C88" s="474"/>
      <c r="D88" s="474"/>
      <c r="E88" s="474"/>
      <c r="F88" s="474"/>
      <c r="G88" s="474"/>
      <c r="H88" s="474"/>
      <c r="I88" s="474"/>
      <c r="J88" s="474"/>
      <c r="K88" s="475"/>
      <c r="L88" s="476"/>
      <c r="M88" s="477"/>
      <c r="N88" s="923"/>
      <c r="O88" s="923"/>
      <c r="P88" s="42"/>
      <c r="Q88" s="448"/>
    </row>
    <row r="89" spans="1:17" ht="14.4"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4"/>
      <c r="O89" s="924"/>
      <c r="P89" s="42"/>
      <c r="Q89" s="448"/>
    </row>
    <row r="90" spans="1:17" ht="15" thickTop="1">
      <c r="A90" s="478"/>
      <c r="B90" s="482" t="s">
        <v>1737</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2" t="str">
        <f>M91&amp;"(含)"&amp;"-"&amp;P91</f>
        <v>(含)-</v>
      </c>
      <c r="N90" s="922"/>
      <c r="O90" s="922"/>
      <c r="P90" s="42"/>
      <c r="Q90" s="448"/>
    </row>
    <row r="91" spans="1:17" s="417" customFormat="1">
      <c r="A91" s="537"/>
      <c r="B91" s="538"/>
      <c r="C91" s="539"/>
      <c r="D91" s="539"/>
      <c r="E91" s="539"/>
      <c r="F91" s="539"/>
      <c r="G91" s="539"/>
      <c r="H91" s="539"/>
      <c r="I91" s="539"/>
      <c r="J91" s="540"/>
      <c r="K91" s="540"/>
      <c r="L91" s="541"/>
      <c r="M91" s="542"/>
      <c r="N91" s="925"/>
      <c r="O91" s="925"/>
      <c r="P91" s="502"/>
      <c r="Q91" s="503"/>
    </row>
    <row r="92" spans="1:17" s="417" customFormat="1" ht="14.4" thickBot="1">
      <c r="A92" s="497"/>
      <c r="B92" s="487"/>
      <c r="C92" s="504"/>
      <c r="D92" s="480"/>
      <c r="E92" s="480"/>
      <c r="F92" s="480"/>
      <c r="G92" s="480"/>
      <c r="H92" s="480"/>
      <c r="I92" s="480"/>
      <c r="J92" s="480"/>
      <c r="K92" s="480"/>
      <c r="L92" s="480"/>
      <c r="M92" s="481"/>
      <c r="N92" s="924"/>
      <c r="O92" s="924"/>
      <c r="P92" s="502"/>
      <c r="Q92" s="503"/>
    </row>
    <row r="93" spans="1:17" ht="15" thickTop="1">
      <c r="A93" s="543"/>
      <c r="B93" s="482" t="s">
        <v>1738</v>
      </c>
      <c r="C93" s="498"/>
      <c r="D93" s="498"/>
      <c r="E93" s="527"/>
      <c r="F93" s="527"/>
      <c r="G93" s="527"/>
      <c r="H93" s="527"/>
      <c r="I93" s="527"/>
      <c r="J93" s="527"/>
      <c r="K93" s="528"/>
      <c r="L93" s="529"/>
      <c r="M93" s="530"/>
      <c r="N93" s="923"/>
      <c r="O93" s="923"/>
      <c r="P93" s="42"/>
      <c r="Q93" s="448"/>
    </row>
    <row r="94" spans="1:17" ht="14.4"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4"/>
      <c r="O94" s="924"/>
      <c r="P94" s="42"/>
      <c r="Q94" s="448"/>
    </row>
    <row r="95" spans="1:17" ht="15" thickTop="1">
      <c r="A95" s="543"/>
      <c r="B95" s="482" t="s">
        <v>1740</v>
      </c>
      <c r="C95" s="498"/>
      <c r="D95" s="498"/>
      <c r="E95" s="498"/>
      <c r="F95" s="527"/>
      <c r="G95" s="527"/>
      <c r="H95" s="527"/>
      <c r="I95" s="527"/>
      <c r="J95" s="527"/>
      <c r="K95" s="528"/>
      <c r="L95" s="529"/>
      <c r="M95" s="530"/>
      <c r="N95" s="923"/>
      <c r="O95" s="923"/>
      <c r="P95" s="42"/>
      <c r="Q95" s="448"/>
    </row>
    <row r="96" spans="1:17" ht="14.4"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4"/>
      <c r="O96" s="924"/>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3"/>
      <c r="O97" s="923"/>
      <c r="P97" s="42"/>
      <c r="Q97" s="448"/>
    </row>
    <row r="98" spans="1:17">
      <c r="A98" s="543"/>
      <c r="B98" s="490"/>
      <c r="C98" s="547">
        <v>0.5</v>
      </c>
      <c r="D98" s="547">
        <v>0.6</v>
      </c>
      <c r="E98" s="547">
        <v>0.7</v>
      </c>
      <c r="F98" s="547">
        <v>0.8</v>
      </c>
      <c r="G98" s="547">
        <v>0.9</v>
      </c>
      <c r="H98" s="547">
        <v>1.0001</v>
      </c>
      <c r="I98" s="563"/>
      <c r="J98" s="563"/>
      <c r="K98" s="564"/>
      <c r="L98" s="565"/>
      <c r="M98" s="566"/>
      <c r="N98" s="923"/>
      <c r="O98" s="923"/>
      <c r="P98" s="42"/>
      <c r="Q98" s="448"/>
    </row>
    <row r="99" spans="1:17" ht="14.4"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4"/>
      <c r="O99" s="924"/>
      <c r="P99" s="42"/>
      <c r="Q99" s="448"/>
    </row>
    <row r="100" spans="1:17" s="417" customFormat="1" ht="15" thickTop="1">
      <c r="A100" s="537"/>
      <c r="B100" s="482" t="s">
        <v>1741</v>
      </c>
      <c r="C100" s="498"/>
      <c r="D100" s="498"/>
      <c r="E100" s="498"/>
      <c r="F100" s="498"/>
      <c r="G100" s="498"/>
      <c r="H100" s="527"/>
      <c r="I100" s="527"/>
      <c r="J100" s="527"/>
      <c r="K100" s="528"/>
      <c r="L100" s="529"/>
      <c r="M100" s="530"/>
      <c r="N100" s="925"/>
      <c r="O100" s="925"/>
      <c r="P100" s="502"/>
      <c r="Q100" s="503"/>
    </row>
    <row r="101" spans="1:17" s="417" customFormat="1" ht="14.4"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5"/>
      <c r="O101" s="925"/>
      <c r="P101" s="502"/>
      <c r="Q101" s="503"/>
    </row>
    <row r="102" spans="1:17" ht="15" thickTop="1">
      <c r="A102" s="543"/>
      <c r="B102" s="482" t="s">
        <v>1742</v>
      </c>
      <c r="C102" s="498"/>
      <c r="D102" s="498"/>
      <c r="E102" s="498"/>
      <c r="F102" s="498"/>
      <c r="G102" s="498"/>
      <c r="H102" s="527"/>
      <c r="I102" s="527"/>
      <c r="J102" s="527"/>
      <c r="K102" s="528"/>
      <c r="L102" s="529"/>
      <c r="M102" s="530"/>
      <c r="N102" s="923"/>
      <c r="O102" s="923"/>
      <c r="P102" s="42"/>
      <c r="Q102" s="448"/>
    </row>
    <row r="103" spans="1:17" ht="14.4"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4"/>
      <c r="O103" s="924"/>
      <c r="P103" s="42"/>
      <c r="Q103" s="448"/>
    </row>
    <row r="104" spans="1:17" ht="15" thickTop="1">
      <c r="A104" s="543"/>
      <c r="B104" s="482" t="s">
        <v>1744</v>
      </c>
      <c r="C104" s="498"/>
      <c r="D104" s="498"/>
      <c r="E104" s="498"/>
      <c r="F104" s="498"/>
      <c r="G104" s="498"/>
      <c r="H104" s="527"/>
      <c r="I104" s="527"/>
      <c r="J104" s="527"/>
      <c r="K104" s="528"/>
      <c r="L104" s="529"/>
      <c r="M104" s="530"/>
      <c r="N104" s="923"/>
      <c r="O104" s="923"/>
      <c r="P104" s="42"/>
      <c r="Q104" s="448"/>
    </row>
    <row r="105" spans="1:17" ht="14.4" thickBot="1">
      <c r="A105" s="478"/>
      <c r="B105" s="487"/>
      <c r="C105" s="488">
        <v>100</v>
      </c>
      <c r="D105" s="488">
        <f>C105-$K36</f>
        <v>100</v>
      </c>
      <c r="E105" s="488">
        <f>D105-$K36</f>
        <v>100</v>
      </c>
      <c r="F105" s="488">
        <f>E105-$K36</f>
        <v>100</v>
      </c>
      <c r="G105" s="488">
        <f>F105-$K36</f>
        <v>100</v>
      </c>
      <c r="H105" s="488"/>
      <c r="I105" s="488"/>
      <c r="J105" s="488"/>
      <c r="K105" s="488"/>
      <c r="L105" s="488"/>
      <c r="M105" s="489"/>
      <c r="N105" s="924"/>
      <c r="O105" s="924"/>
      <c r="P105" s="42"/>
      <c r="Q105" s="448"/>
    </row>
    <row r="106" spans="1:17" ht="29.4" thickTop="1">
      <c r="A106" s="543"/>
      <c r="B106" s="576" t="s">
        <v>1830</v>
      </c>
      <c r="C106" s="522" t="s">
        <v>1721</v>
      </c>
      <c r="D106" s="522" t="s">
        <v>1722</v>
      </c>
      <c r="E106" s="522" t="s">
        <v>1723</v>
      </c>
      <c r="F106" s="522" t="s">
        <v>1724</v>
      </c>
      <c r="G106" s="522" t="s">
        <v>1725</v>
      </c>
      <c r="H106" s="483"/>
      <c r="I106" s="483"/>
      <c r="J106" s="483"/>
      <c r="K106" s="484"/>
      <c r="L106" s="485"/>
      <c r="M106" s="486"/>
      <c r="N106" s="924"/>
      <c r="O106" s="924"/>
      <c r="P106" s="577"/>
      <c r="Q106" s="578"/>
    </row>
    <row r="107" spans="1:17" ht="14.4"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4"/>
      <c r="O107" s="924"/>
      <c r="P107" s="42"/>
      <c r="Q107" s="448"/>
    </row>
    <row r="108" spans="1:17" s="417" customFormat="1" ht="14.4" thickTop="1">
      <c r="A108" s="537"/>
      <c r="B108" s="482">
        <f>B38</f>
        <v>111</v>
      </c>
      <c r="C108" s="498"/>
      <c r="D108" s="498"/>
      <c r="E108" s="498"/>
      <c r="F108" s="498"/>
      <c r="G108" s="498"/>
      <c r="H108" s="499"/>
      <c r="I108" s="499"/>
      <c r="J108" s="499"/>
      <c r="K108" s="499"/>
      <c r="L108" s="500"/>
      <c r="M108" s="501"/>
      <c r="N108" s="925"/>
      <c r="O108" s="925"/>
      <c r="P108" s="502"/>
      <c r="Q108" s="503"/>
    </row>
    <row r="109" spans="1:17" s="417" customFormat="1" ht="14.4" thickBot="1">
      <c r="A109" s="497"/>
      <c r="B109" s="479"/>
      <c r="C109" s="504"/>
      <c r="D109" s="480"/>
      <c r="E109" s="480"/>
      <c r="F109" s="480"/>
      <c r="G109" s="504"/>
      <c r="H109" s="506"/>
      <c r="I109" s="506"/>
      <c r="J109" s="506"/>
      <c r="K109" s="506"/>
      <c r="L109" s="506"/>
      <c r="M109" s="507"/>
      <c r="N109" s="925"/>
      <c r="O109" s="925"/>
      <c r="P109" s="502"/>
      <c r="Q109" s="503"/>
    </row>
    <row r="110" spans="1:17" ht="14.4" thickTop="1">
      <c r="A110" s="543"/>
      <c r="B110" s="482">
        <f>B39</f>
        <v>111</v>
      </c>
      <c r="C110" s="498"/>
      <c r="D110" s="498"/>
      <c r="E110" s="498"/>
      <c r="F110" s="498"/>
      <c r="G110" s="498"/>
      <c r="H110" s="499"/>
      <c r="I110" s="499"/>
      <c r="J110" s="499"/>
      <c r="K110" s="499"/>
      <c r="L110" s="500"/>
      <c r="M110" s="501"/>
      <c r="N110" s="923"/>
      <c r="O110" s="923"/>
      <c r="P110" s="42"/>
      <c r="Q110" s="448"/>
    </row>
    <row r="111" spans="1:17" ht="14.4" thickBot="1">
      <c r="A111" s="478"/>
      <c r="B111" s="487"/>
      <c r="C111" s="504"/>
      <c r="D111" s="480"/>
      <c r="E111" s="480"/>
      <c r="F111" s="480"/>
      <c r="G111" s="504"/>
      <c r="H111" s="506"/>
      <c r="I111" s="506"/>
      <c r="J111" s="506"/>
      <c r="K111" s="506"/>
      <c r="L111" s="506"/>
      <c r="M111" s="507"/>
      <c r="N111" s="924"/>
      <c r="O111" s="924"/>
      <c r="P111" s="42"/>
      <c r="Q111" s="448"/>
    </row>
    <row r="112" spans="1:17" ht="14.4" thickTop="1">
      <c r="A112" s="543"/>
      <c r="B112" s="490">
        <f>B40</f>
        <v>111</v>
      </c>
      <c r="C112" s="467"/>
      <c r="D112" s="467"/>
      <c r="E112" s="467"/>
      <c r="F112" s="467"/>
      <c r="G112" s="531"/>
      <c r="H112" s="531"/>
      <c r="I112" s="531"/>
      <c r="J112" s="531"/>
      <c r="K112" s="467"/>
      <c r="L112" s="468"/>
      <c r="M112" s="534"/>
      <c r="N112" s="923"/>
      <c r="O112" s="923"/>
      <c r="P112" s="42"/>
      <c r="Q112" s="448"/>
    </row>
    <row r="113" spans="1:17" ht="14.4" thickBot="1">
      <c r="A113" s="1900"/>
      <c r="B113" s="513"/>
      <c r="C113" s="514"/>
      <c r="D113" s="514"/>
      <c r="E113" s="514"/>
      <c r="F113" s="514"/>
      <c r="G113" s="535"/>
      <c r="H113" s="535"/>
      <c r="I113" s="535"/>
      <c r="J113" s="535"/>
      <c r="K113" s="535"/>
      <c r="L113" s="535"/>
      <c r="M113" s="536"/>
      <c r="N113" s="924"/>
      <c r="O113" s="924"/>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5.44140625" style="352" customWidth="1"/>
    <col min="10" max="10" width="12.21875" style="352" customWidth="1"/>
    <col min="11" max="11" width="12.21875" style="439" customWidth="1"/>
    <col min="12" max="12" width="12.21875" style="440" customWidth="1"/>
    <col min="13" max="15" width="12.21875" style="352" customWidth="1"/>
    <col min="16" max="16" width="4.77734375" style="896"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1831</v>
      </c>
      <c r="B1" s="1210" t="s">
        <v>3335</v>
      </c>
      <c r="C1" s="1211" t="s">
        <v>1662</v>
      </c>
      <c r="D1" s="1212"/>
      <c r="E1" s="3404"/>
      <c r="F1" s="1856"/>
      <c r="G1" s="1214" t="s">
        <v>1767</v>
      </c>
      <c r="H1" s="1213"/>
      <c r="I1" s="1213"/>
      <c r="J1" s="1213"/>
      <c r="K1" s="1215"/>
      <c r="L1" s="1216"/>
      <c r="M1" s="1217"/>
      <c r="N1" s="1217"/>
      <c r="O1" s="1217"/>
      <c r="P1" s="1218"/>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58"/>
      <c r="D2" s="897" t="e">
        <f ca="1">IF(E1="项目模式",SUMIF(INDIRECT("'"&amp;F2&amp;"'"&amp;"!A:A"),"承租人权益价值",INDIRECT("'"&amp;F2&amp;"'"&amp;"!c:c")),SUMIF(INDIRECT("'"&amp;F2&amp;"'"&amp;"!A:A"),"承租人权益价值（单套）",INDIRECT("'"&amp;F2&amp;"'"&amp;"!c:c")))</f>
        <v>#REF!</v>
      </c>
      <c r="E2" s="1859" t="s">
        <v>1463</v>
      </c>
      <c r="F2" s="1860"/>
      <c r="G2" s="898"/>
      <c r="H2" s="898"/>
      <c r="I2" s="898"/>
      <c r="J2" s="898"/>
      <c r="K2" s="900"/>
      <c r="L2" s="2705"/>
      <c r="M2" s="2706"/>
      <c r="N2" s="2706"/>
      <c r="O2" s="2706"/>
      <c r="P2" s="1152"/>
      <c r="Q2" s="691"/>
      <c r="R2" s="691"/>
      <c r="S2" s="691"/>
      <c r="T2" s="691"/>
      <c r="U2" s="691"/>
      <c r="V2" s="691"/>
      <c r="W2" s="691"/>
      <c r="X2" s="691"/>
      <c r="Y2" s="691"/>
      <c r="Z2" s="691"/>
      <c r="AA2" s="691"/>
      <c r="AB2" s="691"/>
      <c r="AC2" s="692"/>
    </row>
    <row r="3" spans="1:29" s="347" customFormat="1" ht="28.5" customHeight="1" thickBot="1">
      <c r="A3" s="198" t="s">
        <v>1464</v>
      </c>
      <c r="B3" s="550" t="e">
        <f>IF(AND(C2="——",B37="元/平方米"),C39,ROUND(B2*10000/D3,0))</f>
        <v>#DIV/0!</v>
      </c>
      <c r="C3" s="349" t="s">
        <v>1768</v>
      </c>
      <c r="D3" s="348">
        <f>SUMIF('数据-汇总表'!$C19:$C33,D1,'数据-汇总表'!$E19:$E33)</f>
        <v>0</v>
      </c>
      <c r="E3" s="349" t="s">
        <v>1832</v>
      </c>
      <c r="F3" s="348">
        <f>SUMIF('数据-取费表'!A5:A15,D1,'数据-取费表'!AH5:AH15)</f>
        <v>0</v>
      </c>
      <c r="G3" s="898"/>
      <c r="H3" s="898"/>
      <c r="I3" s="898"/>
      <c r="J3" s="898"/>
      <c r="K3" s="900"/>
      <c r="L3" s="2705"/>
      <c r="M3" s="2706" t="e">
        <f ca="1">IF(C2="——",IF(B37="元/平方米",ROUND(C39*D3/10000,0),ROUND(F3*C39/10000,0)),IF(B37="元/平方米",ROUND(C39*D3/10000,0),ROUND(F3*C39/10000,0))-D2)</f>
        <v>#DIV/0!</v>
      </c>
      <c r="N3" s="2706"/>
      <c r="O3" s="2706"/>
      <c r="P3" s="1152"/>
      <c r="Q3" s="691"/>
      <c r="R3" s="691"/>
      <c r="S3" s="691"/>
      <c r="T3" s="691"/>
      <c r="U3" s="691"/>
      <c r="V3" s="691"/>
      <c r="W3" s="691"/>
      <c r="X3" s="691"/>
      <c r="Y3" s="691"/>
      <c r="Z3" s="691"/>
      <c r="AA3" s="691"/>
      <c r="AB3" s="708"/>
      <c r="AC3" s="705"/>
    </row>
    <row r="4" spans="1:29" ht="14.4">
      <c r="A4" s="350" t="s">
        <v>1769</v>
      </c>
      <c r="B4" s="351"/>
      <c r="C4" s="4213" t="s">
        <v>1770</v>
      </c>
      <c r="D4" s="4214"/>
      <c r="E4" s="4215" t="s">
        <v>1771</v>
      </c>
      <c r="F4" s="4216"/>
      <c r="G4" s="4213" t="s">
        <v>1772</v>
      </c>
      <c r="H4" s="4214"/>
      <c r="I4" s="4213" t="s">
        <v>1773</v>
      </c>
      <c r="J4" s="4214"/>
      <c r="K4" s="551" t="s">
        <v>1774</v>
      </c>
      <c r="L4" s="2686"/>
      <c r="M4" s="2687"/>
      <c r="N4" s="2687"/>
      <c r="O4" s="2687"/>
      <c r="P4" s="4186" t="s">
        <v>1775</v>
      </c>
      <c r="Q4" s="4187"/>
      <c r="R4" s="4192" t="s">
        <v>1771</v>
      </c>
      <c r="S4" s="4193"/>
      <c r="T4" s="4192" t="s">
        <v>1772</v>
      </c>
      <c r="U4" s="4193"/>
      <c r="V4" s="4198" t="s">
        <v>1773</v>
      </c>
      <c r="W4" s="4198"/>
      <c r="X4" s="1342"/>
      <c r="Y4" s="4192" t="s">
        <v>1775</v>
      </c>
      <c r="Z4" s="4193"/>
      <c r="AA4" s="4179" t="s">
        <v>1771</v>
      </c>
      <c r="AB4" s="4180" t="s">
        <v>1772</v>
      </c>
      <c r="AC4" s="4179" t="s">
        <v>1773</v>
      </c>
    </row>
    <row r="5" spans="1:29">
      <c r="A5" s="353"/>
      <c r="B5" s="354"/>
      <c r="C5" s="4219" t="s">
        <v>1673</v>
      </c>
      <c r="D5" s="4220"/>
      <c r="E5" s="4223" t="s">
        <v>1674</v>
      </c>
      <c r="F5" s="4224"/>
      <c r="G5" s="4219" t="s">
        <v>1675</v>
      </c>
      <c r="H5" s="4220"/>
      <c r="I5" s="4219" t="s">
        <v>1676</v>
      </c>
      <c r="J5" s="4220"/>
      <c r="K5" s="551"/>
      <c r="L5" s="2686"/>
      <c r="M5" s="2687"/>
      <c r="N5" s="2687"/>
      <c r="O5" s="2687"/>
      <c r="P5" s="4188"/>
      <c r="Q5" s="4189"/>
      <c r="R5" s="4194"/>
      <c r="S5" s="4195"/>
      <c r="T5" s="4194"/>
      <c r="U5" s="4195"/>
      <c r="V5" s="4198"/>
      <c r="W5" s="4198"/>
      <c r="X5" s="1342"/>
      <c r="Y5" s="4194"/>
      <c r="Z5" s="4195"/>
      <c r="AA5" s="4180"/>
      <c r="AB5" s="4180"/>
      <c r="AC5" s="4180"/>
    </row>
    <row r="6" spans="1:29" ht="15" thickBot="1">
      <c r="A6" s="355"/>
      <c r="B6" s="356"/>
      <c r="C6" s="4217" t="s">
        <v>1677</v>
      </c>
      <c r="D6" s="4218"/>
      <c r="E6" s="4221" t="s">
        <v>1677</v>
      </c>
      <c r="F6" s="4222"/>
      <c r="G6" s="4217" t="s">
        <v>1677</v>
      </c>
      <c r="H6" s="4218"/>
      <c r="I6" s="4217" t="s">
        <v>1677</v>
      </c>
      <c r="J6" s="4218"/>
      <c r="K6" s="551" t="s">
        <v>1678</v>
      </c>
      <c r="L6" s="2686"/>
      <c r="M6" s="2687"/>
      <c r="N6" s="2687"/>
      <c r="O6" s="2687"/>
      <c r="P6" s="4190"/>
      <c r="Q6" s="4191"/>
      <c r="R6" s="4194"/>
      <c r="S6" s="4195"/>
      <c r="T6" s="4196"/>
      <c r="U6" s="4197"/>
      <c r="V6" s="4198"/>
      <c r="W6" s="4198"/>
      <c r="X6" s="1342"/>
      <c r="Y6" s="4196"/>
      <c r="Z6" s="4197"/>
      <c r="AA6" s="4181"/>
      <c r="AB6" s="4181"/>
      <c r="AC6" s="4181"/>
    </row>
    <row r="7" spans="1:29" s="108" customFormat="1" ht="15" thickBot="1">
      <c r="A7" s="357" t="s">
        <v>1679</v>
      </c>
      <c r="B7" s="358"/>
      <c r="C7" s="359">
        <f>'数据-取费表'!B2</f>
        <v>37917</v>
      </c>
      <c r="D7" s="360">
        <v>100</v>
      </c>
      <c r="E7" s="361"/>
      <c r="F7" s="362">
        <f>SUMIF(48:48,YEAR(E7)&amp;"-"&amp;MONTH(E7),49:49)</f>
        <v>0</v>
      </c>
      <c r="G7" s="361"/>
      <c r="H7" s="360">
        <f>SUMIF(48:48,YEAR(G7)&amp;"-"&amp;MONTH(G7),49:49)</f>
        <v>0</v>
      </c>
      <c r="I7" s="361"/>
      <c r="J7" s="360">
        <f>SUMIF(48:48,YEAR(I7)&amp;"-"&amp;MONTH(I7),49:49)</f>
        <v>0</v>
      </c>
      <c r="K7" s="552"/>
      <c r="L7" s="2688"/>
      <c r="M7" s="2689"/>
      <c r="N7" s="2689"/>
      <c r="O7" s="2689"/>
      <c r="P7" s="4203" t="s">
        <v>1680</v>
      </c>
      <c r="Q7" s="4205"/>
      <c r="R7" s="693" t="s">
        <v>14</v>
      </c>
      <c r="S7" s="694">
        <f t="shared" ref="S7:S14" si="0">F7</f>
        <v>0</v>
      </c>
      <c r="T7" s="693" t="s">
        <v>14</v>
      </c>
      <c r="U7" s="694">
        <f t="shared" ref="U7:U14" si="1">H7</f>
        <v>0</v>
      </c>
      <c r="V7" s="693" t="s">
        <v>14</v>
      </c>
      <c r="W7" s="694">
        <f t="shared" ref="W7:W14" si="2">J7</f>
        <v>0</v>
      </c>
      <c r="X7" s="695"/>
      <c r="Y7" s="4203" t="s">
        <v>1680</v>
      </c>
      <c r="Z7" s="4204"/>
      <c r="AA7" s="696" t="e">
        <f>D7/F7</f>
        <v>#DIV/0!</v>
      </c>
      <c r="AB7" s="696" t="e">
        <f>D7/H7</f>
        <v>#DIV/0!</v>
      </c>
      <c r="AC7" s="696" t="e">
        <f>D7/J7</f>
        <v>#DIV/0!</v>
      </c>
    </row>
    <row r="8" spans="1:29" s="108" customFormat="1" ht="1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2"/>
      <c r="L8" s="2688"/>
      <c r="M8" s="2689"/>
      <c r="N8" s="2689"/>
      <c r="O8" s="2689"/>
      <c r="P8" s="4203" t="s">
        <v>1683</v>
      </c>
      <c r="Q8" s="4204"/>
      <c r="R8" s="693" t="s">
        <v>14</v>
      </c>
      <c r="S8" s="694">
        <f t="shared" si="0"/>
        <v>100</v>
      </c>
      <c r="T8" s="693" t="s">
        <v>14</v>
      </c>
      <c r="U8" s="694">
        <f t="shared" si="1"/>
        <v>100</v>
      </c>
      <c r="V8" s="693" t="s">
        <v>14</v>
      </c>
      <c r="W8" s="694">
        <f t="shared" si="2"/>
        <v>100</v>
      </c>
      <c r="X8" s="695"/>
      <c r="Y8" s="4203" t="s">
        <v>1683</v>
      </c>
      <c r="Z8" s="4204"/>
      <c r="AA8" s="696">
        <f t="shared" ref="AA8:AA36" si="3">D8/F8</f>
        <v>1</v>
      </c>
      <c r="AB8" s="696">
        <f t="shared" ref="AB8:AB36" si="4">D8/H8</f>
        <v>1</v>
      </c>
      <c r="AC8" s="696">
        <f t="shared" ref="AC8:AC36" si="5">D8/J8</f>
        <v>1</v>
      </c>
    </row>
    <row r="9" spans="1:29" s="108" customFormat="1" ht="14.4">
      <c r="A9" s="60" t="s">
        <v>1684</v>
      </c>
      <c r="B9" s="580" t="s">
        <v>1685</v>
      </c>
      <c r="C9" s="365"/>
      <c r="D9" s="126">
        <v>100</v>
      </c>
      <c r="E9" s="368"/>
      <c r="F9" s="126">
        <f>SUMIF(53:53,E9,54:54)-SUMIF(53:53,C9,54:54)+100</f>
        <v>100</v>
      </c>
      <c r="G9" s="366"/>
      <c r="H9" s="126">
        <f>SUMIF(53:53,G9,54:54)-SUMIF(53:53,C9,54:54)+100</f>
        <v>100</v>
      </c>
      <c r="I9" s="366"/>
      <c r="J9" s="126">
        <f>SUMIF(53:53,I9,54:54)-SUMIF(53:53,C9,54:54)+100</f>
        <v>100</v>
      </c>
      <c r="K9" s="552"/>
      <c r="L9" s="2688"/>
      <c r="M9" s="2689"/>
      <c r="N9" s="2689"/>
      <c r="O9" s="2689"/>
      <c r="P9" s="4166" t="s">
        <v>1686</v>
      </c>
      <c r="Q9" s="1330" t="str">
        <f t="shared" ref="Q9:Q14" si="6">B9</f>
        <v>用途</v>
      </c>
      <c r="R9" s="693" t="s">
        <v>14</v>
      </c>
      <c r="S9" s="694">
        <f t="shared" si="0"/>
        <v>100</v>
      </c>
      <c r="T9" s="693" t="s">
        <v>14</v>
      </c>
      <c r="U9" s="694">
        <f t="shared" si="1"/>
        <v>100</v>
      </c>
      <c r="V9" s="693" t="s">
        <v>14</v>
      </c>
      <c r="W9" s="694">
        <f t="shared" si="2"/>
        <v>100</v>
      </c>
      <c r="X9" s="695"/>
      <c r="Y9" s="4178" t="s">
        <v>1687</v>
      </c>
      <c r="Z9" s="52" t="str">
        <f t="shared" ref="Z9:Z14" si="7">Q9</f>
        <v>用途</v>
      </c>
      <c r="AA9" s="696">
        <f t="shared" si="3"/>
        <v>1</v>
      </c>
      <c r="AB9" s="696">
        <f t="shared" si="4"/>
        <v>1</v>
      </c>
      <c r="AC9" s="696">
        <f t="shared" si="5"/>
        <v>1</v>
      </c>
    </row>
    <row r="10" spans="1:29" s="373" customFormat="1" ht="28.8">
      <c r="A10" s="581"/>
      <c r="B10" s="582" t="s">
        <v>1688</v>
      </c>
      <c r="C10" s="3405"/>
      <c r="D10" s="127">
        <v>100</v>
      </c>
      <c r="E10" s="3405"/>
      <c r="F10" s="127">
        <f>SUMIF(55:55,E10,56:56)-SUMIF(55:55,C10,56:56)+100</f>
        <v>100</v>
      </c>
      <c r="G10" s="3406"/>
      <c r="H10" s="127">
        <f>SUMIF(55:55,G10,56:56)-SUMIF(55:55,C10,56:56)+100</f>
        <v>100</v>
      </c>
      <c r="I10" s="3405"/>
      <c r="J10" s="127">
        <f>SUMIF(55:55,I10,56:56)-SUMIF(55:55,C10,56:56)+100</f>
        <v>100</v>
      </c>
      <c r="K10" s="552"/>
      <c r="L10" s="2690"/>
      <c r="M10" s="2691"/>
      <c r="N10" s="2691"/>
      <c r="O10" s="2691"/>
      <c r="P10" s="4166"/>
      <c r="Q10" s="1330" t="str">
        <f t="shared" si="6"/>
        <v>土地使用年限（年）</v>
      </c>
      <c r="R10" s="693" t="s">
        <v>14</v>
      </c>
      <c r="S10" s="694">
        <f t="shared" si="0"/>
        <v>100</v>
      </c>
      <c r="T10" s="693" t="s">
        <v>14</v>
      </c>
      <c r="U10" s="694">
        <f t="shared" si="1"/>
        <v>100</v>
      </c>
      <c r="V10" s="693" t="s">
        <v>14</v>
      </c>
      <c r="W10" s="694">
        <f t="shared" si="2"/>
        <v>100</v>
      </c>
      <c r="X10" s="695"/>
      <c r="Y10" s="4178"/>
      <c r="Z10" s="52" t="str">
        <f t="shared" si="7"/>
        <v>土地使用年限（年）</v>
      </c>
      <c r="AA10" s="696">
        <f t="shared" si="3"/>
        <v>1</v>
      </c>
      <c r="AB10" s="696">
        <f t="shared" si="4"/>
        <v>1</v>
      </c>
      <c r="AC10" s="696">
        <f t="shared" si="5"/>
        <v>1</v>
      </c>
    </row>
    <row r="11" spans="1:29" ht="15">
      <c r="A11" s="583"/>
      <c r="B11" s="584">
        <v>111</v>
      </c>
      <c r="C11" s="378"/>
      <c r="D11" s="127">
        <v>100</v>
      </c>
      <c r="E11" s="378"/>
      <c r="F11" s="127">
        <f>SUMIF(57:57,E11,58:58)-SUMIF(57:57,C11,58:58)+100</f>
        <v>100</v>
      </c>
      <c r="G11" s="378"/>
      <c r="H11" s="127">
        <f>SUMIF(57:57,G11,58:58)-SUMIF(57:57,C11,58:58)+100</f>
        <v>100</v>
      </c>
      <c r="I11" s="378"/>
      <c r="J11" s="127">
        <f>SUMIF(57:57,I11,58:58)-SUMIF(57:57,C11,58:58)+100</f>
        <v>100</v>
      </c>
      <c r="K11" s="554"/>
      <c r="L11" s="2692"/>
      <c r="M11" s="2687"/>
      <c r="N11" s="2687"/>
      <c r="O11" s="2687"/>
      <c r="P11" s="4166"/>
      <c r="Q11" s="1330">
        <f t="shared" si="6"/>
        <v>111</v>
      </c>
      <c r="R11" s="693" t="s">
        <v>14</v>
      </c>
      <c r="S11" s="694">
        <f t="shared" si="0"/>
        <v>100</v>
      </c>
      <c r="T11" s="693" t="s">
        <v>14</v>
      </c>
      <c r="U11" s="694">
        <f t="shared" si="1"/>
        <v>100</v>
      </c>
      <c r="V11" s="693" t="s">
        <v>14</v>
      </c>
      <c r="W11" s="694">
        <f t="shared" si="2"/>
        <v>100</v>
      </c>
      <c r="X11" s="695"/>
      <c r="Y11" s="4178"/>
      <c r="Z11" s="52">
        <f t="shared" si="7"/>
        <v>111</v>
      </c>
      <c r="AA11" s="696">
        <f t="shared" si="3"/>
        <v>1</v>
      </c>
      <c r="AB11" s="696">
        <f t="shared" si="4"/>
        <v>1</v>
      </c>
      <c r="AC11" s="696">
        <f t="shared" si="5"/>
        <v>1</v>
      </c>
    </row>
    <row r="12" spans="1:29" s="108" customFormat="1" ht="15">
      <c r="A12" s="585"/>
      <c r="B12" s="584">
        <v>111</v>
      </c>
      <c r="C12" s="378"/>
      <c r="D12" s="379">
        <v>100</v>
      </c>
      <c r="E12" s="378"/>
      <c r="F12" s="127">
        <f>SUMIF(59:59,E12,60:60)-SUMIF(59:59,C12,60:60)+100</f>
        <v>100</v>
      </c>
      <c r="G12" s="378"/>
      <c r="H12" s="127">
        <f>SUMIF(59:59,G12,60:60)-SUMIF(59:59,C12,60:60)+100</f>
        <v>100</v>
      </c>
      <c r="I12" s="378"/>
      <c r="J12" s="127">
        <f>SUMIF(59:59,I12,60:60)-SUMIF(59:59,C12,60:60)+100</f>
        <v>100</v>
      </c>
      <c r="K12" s="554"/>
      <c r="L12" s="2688"/>
      <c r="M12" s="2689"/>
      <c r="N12" s="2689"/>
      <c r="O12" s="2689"/>
      <c r="P12" s="4166"/>
      <c r="Q12" s="1330">
        <f t="shared" si="6"/>
        <v>111</v>
      </c>
      <c r="R12" s="693" t="s">
        <v>14</v>
      </c>
      <c r="S12" s="694">
        <f t="shared" si="0"/>
        <v>100</v>
      </c>
      <c r="T12" s="693" t="s">
        <v>14</v>
      </c>
      <c r="U12" s="694">
        <f t="shared" si="1"/>
        <v>100</v>
      </c>
      <c r="V12" s="693" t="s">
        <v>14</v>
      </c>
      <c r="W12" s="694">
        <f t="shared" si="2"/>
        <v>100</v>
      </c>
      <c r="X12" s="695"/>
      <c r="Y12" s="4178"/>
      <c r="Z12" s="52">
        <f t="shared" si="7"/>
        <v>111</v>
      </c>
      <c r="AA12" s="696">
        <f>D12/F12</f>
        <v>1</v>
      </c>
      <c r="AB12" s="696">
        <f>D12/H12</f>
        <v>1</v>
      </c>
      <c r="AC12" s="696">
        <f>D12/J12</f>
        <v>1</v>
      </c>
    </row>
    <row r="13" spans="1:29" ht="15.6" thickBot="1">
      <c r="A13" s="586"/>
      <c r="B13" s="584">
        <v>111</v>
      </c>
      <c r="C13" s="380"/>
      <c r="D13" s="381">
        <v>100</v>
      </c>
      <c r="E13" s="378"/>
      <c r="F13" s="127">
        <f>SUMIF(61:61,E13,62:62)-SUMIF(61:61,C13,62:62)+100</f>
        <v>100</v>
      </c>
      <c r="G13" s="378"/>
      <c r="H13" s="381">
        <f>SUMIF(61:61,G13,62:62)-SUMIF(61:61,C13,62:62)+100</f>
        <v>100</v>
      </c>
      <c r="I13" s="378"/>
      <c r="J13" s="381">
        <f>SUMIF(61:61,I13,62:62)-SUMIF(61:61,C13,62:62)+100</f>
        <v>100</v>
      </c>
      <c r="K13" s="554"/>
      <c r="L13" s="2693"/>
      <c r="M13" s="2687"/>
      <c r="N13" s="2687"/>
      <c r="O13" s="2687"/>
      <c r="P13" s="4166"/>
      <c r="Q13" s="1330">
        <f t="shared" si="6"/>
        <v>111</v>
      </c>
      <c r="R13" s="693" t="s">
        <v>14</v>
      </c>
      <c r="S13" s="694">
        <f t="shared" si="0"/>
        <v>100</v>
      </c>
      <c r="T13" s="693" t="s">
        <v>14</v>
      </c>
      <c r="U13" s="694">
        <f t="shared" si="1"/>
        <v>100</v>
      </c>
      <c r="V13" s="693" t="s">
        <v>14</v>
      </c>
      <c r="W13" s="694">
        <f t="shared" si="2"/>
        <v>100</v>
      </c>
      <c r="X13" s="695"/>
      <c r="Y13" s="4178"/>
      <c r="Z13" s="52">
        <f t="shared" si="7"/>
        <v>111</v>
      </c>
      <c r="AA13" s="696">
        <f t="shared" si="3"/>
        <v>1</v>
      </c>
      <c r="AB13" s="696">
        <f t="shared" si="4"/>
        <v>1</v>
      </c>
      <c r="AC13" s="696">
        <f t="shared" si="5"/>
        <v>1</v>
      </c>
    </row>
    <row r="14" spans="1:29" ht="96.6">
      <c r="A14" s="350" t="s">
        <v>1690</v>
      </c>
      <c r="B14" s="569" t="s">
        <v>1833</v>
      </c>
      <c r="C14" s="1943"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5"/>
      <c r="L14" s="2693"/>
      <c r="M14" s="2687"/>
      <c r="N14" s="2687"/>
      <c r="O14" s="2687"/>
      <c r="P14" s="4168" t="s">
        <v>1691</v>
      </c>
      <c r="Q14" s="1339" t="str">
        <f t="shared" si="6"/>
        <v>交通便捷度</v>
      </c>
      <c r="R14" s="697" t="s">
        <v>14</v>
      </c>
      <c r="S14" s="698">
        <f t="shared" si="0"/>
        <v>100</v>
      </c>
      <c r="T14" s="697" t="s">
        <v>14</v>
      </c>
      <c r="U14" s="698">
        <f t="shared" si="1"/>
        <v>100</v>
      </c>
      <c r="V14" s="697" t="s">
        <v>14</v>
      </c>
      <c r="W14" s="698">
        <f t="shared" si="2"/>
        <v>100</v>
      </c>
      <c r="X14" s="1342"/>
      <c r="Y14" s="4168" t="s">
        <v>1691</v>
      </c>
      <c r="Z14" s="1343" t="str">
        <f t="shared" si="7"/>
        <v>交通便捷度</v>
      </c>
      <c r="AA14" s="1340">
        <f t="shared" si="3"/>
        <v>1</v>
      </c>
      <c r="AB14" s="1340">
        <f t="shared" si="4"/>
        <v>1</v>
      </c>
      <c r="AC14" s="1340">
        <f t="shared" si="5"/>
        <v>1</v>
      </c>
    </row>
    <row r="15" spans="1:29" ht="15">
      <c r="A15" s="353"/>
      <c r="B15" s="587"/>
      <c r="C15" s="393"/>
      <c r="D15" s="394"/>
      <c r="E15" s="393"/>
      <c r="F15" s="395"/>
      <c r="G15" s="393"/>
      <c r="H15" s="396"/>
      <c r="I15" s="393"/>
      <c r="J15" s="394"/>
      <c r="K15" s="556"/>
      <c r="L15" s="2693"/>
      <c r="M15" s="2687"/>
      <c r="N15" s="2687"/>
      <c r="O15" s="2687"/>
      <c r="P15" s="4169"/>
      <c r="Q15" s="1339"/>
      <c r="R15" s="697"/>
      <c r="S15" s="698"/>
      <c r="T15" s="697"/>
      <c r="U15" s="698"/>
      <c r="V15" s="697"/>
      <c r="W15" s="698"/>
      <c r="X15" s="1342"/>
      <c r="Y15" s="4169"/>
      <c r="Z15" s="1343"/>
      <c r="AA15" s="1340">
        <v>1</v>
      </c>
      <c r="AB15" s="1340">
        <v>1</v>
      </c>
      <c r="AC15" s="1340">
        <v>1</v>
      </c>
    </row>
    <row r="16" spans="1:29" ht="41.4">
      <c r="A16" s="353"/>
      <c r="B16" s="571" t="s">
        <v>1812</v>
      </c>
      <c r="C16" s="1875"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5"/>
      <c r="L16" s="2693"/>
      <c r="M16" s="2687"/>
      <c r="N16" s="2687"/>
      <c r="O16" s="2687"/>
      <c r="P16" s="4169"/>
      <c r="Q16" s="1339" t="str">
        <f>B16</f>
        <v>公共配套设施</v>
      </c>
      <c r="R16" s="697" t="s">
        <v>14</v>
      </c>
      <c r="S16" s="698">
        <f>F16</f>
        <v>100</v>
      </c>
      <c r="T16" s="697" t="s">
        <v>14</v>
      </c>
      <c r="U16" s="698">
        <f>H16</f>
        <v>100</v>
      </c>
      <c r="V16" s="697" t="s">
        <v>14</v>
      </c>
      <c r="W16" s="698">
        <f>J16</f>
        <v>100</v>
      </c>
      <c r="X16" s="1342"/>
      <c r="Y16" s="4169"/>
      <c r="Z16" s="1343" t="str">
        <f>Q16</f>
        <v>公共配套设施</v>
      </c>
      <c r="AA16" s="1340">
        <f t="shared" si="3"/>
        <v>1</v>
      </c>
      <c r="AB16" s="1340">
        <f t="shared" si="4"/>
        <v>1</v>
      </c>
      <c r="AC16" s="1340">
        <f t="shared" si="5"/>
        <v>1</v>
      </c>
    </row>
    <row r="17" spans="1:29" ht="15">
      <c r="A17" s="353"/>
      <c r="B17" s="572"/>
      <c r="C17" s="1876"/>
      <c r="D17" s="394"/>
      <c r="E17" s="393"/>
      <c r="F17" s="395"/>
      <c r="G17" s="393"/>
      <c r="H17" s="394"/>
      <c r="I17" s="393"/>
      <c r="J17" s="394"/>
      <c r="K17" s="556"/>
      <c r="L17" s="2693"/>
      <c r="M17" s="2687"/>
      <c r="N17" s="2687"/>
      <c r="O17" s="2687"/>
      <c r="P17" s="4169"/>
      <c r="Q17" s="1339"/>
      <c r="R17" s="697"/>
      <c r="S17" s="698"/>
      <c r="T17" s="697"/>
      <c r="U17" s="698"/>
      <c r="V17" s="697"/>
      <c r="W17" s="698"/>
      <c r="X17" s="1342"/>
      <c r="Y17" s="4169"/>
      <c r="Z17" s="1343"/>
      <c r="AA17" s="1340">
        <v>1</v>
      </c>
      <c r="AB17" s="1340">
        <v>1</v>
      </c>
      <c r="AC17" s="1340">
        <v>1</v>
      </c>
    </row>
    <row r="18" spans="1:29" ht="41.4">
      <c r="A18" s="353"/>
      <c r="B18" s="573" t="s">
        <v>1813</v>
      </c>
      <c r="C18" s="1875"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5"/>
      <c r="L18" s="2693"/>
      <c r="M18" s="2687"/>
      <c r="N18" s="2687"/>
      <c r="O18" s="2687"/>
      <c r="P18" s="4169"/>
      <c r="Q18" s="1339" t="str">
        <f>B18</f>
        <v>基础设施水平</v>
      </c>
      <c r="R18" s="697" t="s">
        <v>14</v>
      </c>
      <c r="S18" s="698">
        <f>F18</f>
        <v>100</v>
      </c>
      <c r="T18" s="697" t="s">
        <v>14</v>
      </c>
      <c r="U18" s="698">
        <f>H18</f>
        <v>100</v>
      </c>
      <c r="V18" s="697" t="s">
        <v>14</v>
      </c>
      <c r="W18" s="698">
        <f>J18</f>
        <v>100</v>
      </c>
      <c r="X18" s="1342"/>
      <c r="Y18" s="4169"/>
      <c r="Z18" s="1343" t="str">
        <f>Q18</f>
        <v>基础设施水平</v>
      </c>
      <c r="AA18" s="1340">
        <f t="shared" ref="AA18" si="8">D18/F18</f>
        <v>1</v>
      </c>
      <c r="AB18" s="1340">
        <f t="shared" ref="AB18" si="9">D18/H18</f>
        <v>1</v>
      </c>
      <c r="AC18" s="1340">
        <f t="shared" ref="AC18" si="10">D18/J18</f>
        <v>1</v>
      </c>
    </row>
    <row r="19" spans="1:29" ht="15">
      <c r="A19" s="353"/>
      <c r="B19" s="573"/>
      <c r="C19" s="1876"/>
      <c r="D19" s="396"/>
      <c r="E19" s="1876"/>
      <c r="F19" s="399"/>
      <c r="G19" s="1876"/>
      <c r="H19" s="394"/>
      <c r="I19" s="393"/>
      <c r="J19" s="394"/>
      <c r="K19" s="1118"/>
      <c r="L19" s="2693"/>
      <c r="M19" s="2687"/>
      <c r="N19" s="2687"/>
      <c r="O19" s="2687"/>
      <c r="P19" s="4169"/>
      <c r="Q19" s="1339"/>
      <c r="R19" s="697"/>
      <c r="S19" s="698"/>
      <c r="T19" s="697"/>
      <c r="U19" s="698"/>
      <c r="V19" s="697"/>
      <c r="W19" s="698"/>
      <c r="X19" s="1342"/>
      <c r="Y19" s="4169"/>
      <c r="Z19" s="1343"/>
      <c r="AA19" s="1340">
        <v>1</v>
      </c>
      <c r="AB19" s="1340">
        <v>1</v>
      </c>
      <c r="AC19" s="1340">
        <v>1</v>
      </c>
    </row>
    <row r="20" spans="1:29" ht="55.2">
      <c r="A20" s="353"/>
      <c r="B20" s="571" t="s">
        <v>1834</v>
      </c>
      <c r="C20" s="1875"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5"/>
      <c r="L20" s="2693"/>
      <c r="M20" s="2687"/>
      <c r="N20" s="2687"/>
      <c r="O20" s="2687"/>
      <c r="P20" s="4169"/>
      <c r="Q20" s="1339" t="str">
        <f>B20</f>
        <v>自然及人文环境</v>
      </c>
      <c r="R20" s="697" t="s">
        <v>14</v>
      </c>
      <c r="S20" s="698">
        <f>F20</f>
        <v>100</v>
      </c>
      <c r="T20" s="697" t="s">
        <v>14</v>
      </c>
      <c r="U20" s="698">
        <f>H20</f>
        <v>100</v>
      </c>
      <c r="V20" s="697" t="s">
        <v>14</v>
      </c>
      <c r="W20" s="698">
        <f>J20</f>
        <v>100</v>
      </c>
      <c r="X20" s="1342"/>
      <c r="Y20" s="4169"/>
      <c r="Z20" s="1343" t="str">
        <f>Q20</f>
        <v>自然及人文环境</v>
      </c>
      <c r="AA20" s="1340">
        <f t="shared" si="3"/>
        <v>1</v>
      </c>
      <c r="AB20" s="1340">
        <f t="shared" si="4"/>
        <v>1</v>
      </c>
      <c r="AC20" s="1340">
        <f t="shared" si="5"/>
        <v>1</v>
      </c>
    </row>
    <row r="21" spans="1:29" ht="15">
      <c r="A21" s="353"/>
      <c r="B21" s="572"/>
      <c r="C21" s="393"/>
      <c r="D21" s="394"/>
      <c r="E21" s="393"/>
      <c r="F21" s="395"/>
      <c r="G21" s="393"/>
      <c r="H21" s="394"/>
      <c r="I21" s="393"/>
      <c r="J21" s="394"/>
      <c r="K21" s="556"/>
      <c r="L21" s="2693"/>
      <c r="M21" s="2687"/>
      <c r="N21" s="2687"/>
      <c r="O21" s="2687"/>
      <c r="P21" s="4169"/>
      <c r="Q21" s="1339"/>
      <c r="R21" s="697"/>
      <c r="S21" s="698"/>
      <c r="T21" s="697"/>
      <c r="U21" s="698"/>
      <c r="V21" s="697"/>
      <c r="W21" s="698"/>
      <c r="X21" s="1342"/>
      <c r="Y21" s="4169"/>
      <c r="Z21" s="1343"/>
      <c r="AA21" s="1340">
        <v>1</v>
      </c>
      <c r="AB21" s="1340">
        <v>1</v>
      </c>
      <c r="AC21" s="1340">
        <v>1</v>
      </c>
    </row>
    <row r="22" spans="1:29" ht="15">
      <c r="A22" s="353"/>
      <c r="B22" s="571" t="s">
        <v>1835</v>
      </c>
      <c r="C22" s="557"/>
      <c r="D22" s="396">
        <v>100</v>
      </c>
      <c r="E22" s="557"/>
      <c r="F22" s="407">
        <f>SUMIF(71:71,E22,72:72)-SUMIF(71:71,C22,72:72)+100</f>
        <v>100</v>
      </c>
      <c r="G22" s="557"/>
      <c r="H22" s="381">
        <f>SUMIF(71:71,G22,72:72)-SUMIF(71:71,C22,72:72)+100</f>
        <v>100</v>
      </c>
      <c r="I22" s="557"/>
      <c r="J22" s="381">
        <f>SUMIF(71:71,I22,72:72)-SUMIF(71:71,C22,72:72)+100</f>
        <v>100</v>
      </c>
      <c r="K22" s="553"/>
      <c r="L22" s="2693"/>
      <c r="M22" s="2687"/>
      <c r="N22" s="2687"/>
      <c r="O22" s="2687"/>
      <c r="P22" s="4169"/>
      <c r="Q22" s="1339" t="str">
        <f>B22</f>
        <v>楼层</v>
      </c>
      <c r="R22" s="697" t="s">
        <v>14</v>
      </c>
      <c r="S22" s="698">
        <f>F22</f>
        <v>100</v>
      </c>
      <c r="T22" s="697" t="s">
        <v>14</v>
      </c>
      <c r="U22" s="698">
        <f>H22</f>
        <v>100</v>
      </c>
      <c r="V22" s="697" t="s">
        <v>14</v>
      </c>
      <c r="W22" s="698">
        <f>J22</f>
        <v>100</v>
      </c>
      <c r="X22" s="1342"/>
      <c r="Y22" s="4169"/>
      <c r="Z22" s="1343" t="str">
        <f>Q22</f>
        <v>楼层</v>
      </c>
      <c r="AA22" s="1340">
        <f t="shared" si="3"/>
        <v>1</v>
      </c>
      <c r="AB22" s="1340">
        <f t="shared" si="4"/>
        <v>1</v>
      </c>
      <c r="AC22" s="1340">
        <f t="shared" si="5"/>
        <v>1</v>
      </c>
    </row>
    <row r="23" spans="1:29" ht="15">
      <c r="A23" s="353"/>
      <c r="B23" s="588">
        <v>111</v>
      </c>
      <c r="C23" s="378"/>
      <c r="D23" s="381">
        <v>100</v>
      </c>
      <c r="E23" s="378"/>
      <c r="F23" s="407">
        <f>SUMIF(73:73,E23,74:74)-SUMIF(73:73,C23,74:74)+100</f>
        <v>100</v>
      </c>
      <c r="G23" s="378"/>
      <c r="H23" s="381">
        <f>SUMIF(73:73,G23,74:74)-SUMIF(73:73,C23,74:74)+100</f>
        <v>100</v>
      </c>
      <c r="I23" s="378"/>
      <c r="J23" s="381">
        <f>SUMIF(73:73,I23,74:74)-SUMIF(73:73,C23,74:74)+100</f>
        <v>100</v>
      </c>
      <c r="K23" s="554"/>
      <c r="L23" s="2693"/>
      <c r="M23" s="2687"/>
      <c r="N23" s="2687"/>
      <c r="O23" s="2687"/>
      <c r="P23" s="4169"/>
      <c r="Q23" s="1339">
        <f>B23</f>
        <v>111</v>
      </c>
      <c r="R23" s="697" t="s">
        <v>14</v>
      </c>
      <c r="S23" s="698">
        <f>F23</f>
        <v>100</v>
      </c>
      <c r="T23" s="697" t="s">
        <v>14</v>
      </c>
      <c r="U23" s="698">
        <f>H23</f>
        <v>100</v>
      </c>
      <c r="V23" s="697" t="s">
        <v>14</v>
      </c>
      <c r="W23" s="698">
        <f>J23</f>
        <v>100</v>
      </c>
      <c r="X23" s="1342"/>
      <c r="Y23" s="4169"/>
      <c r="Z23" s="1343">
        <f>Q23</f>
        <v>111</v>
      </c>
      <c r="AA23" s="1340">
        <f t="shared" si="3"/>
        <v>1</v>
      </c>
      <c r="AB23" s="1340">
        <f t="shared" si="4"/>
        <v>1</v>
      </c>
      <c r="AC23" s="1340">
        <f t="shared" si="5"/>
        <v>1</v>
      </c>
    </row>
    <row r="24" spans="1:29" ht="15">
      <c r="A24" s="353"/>
      <c r="B24" s="588">
        <v>111</v>
      </c>
      <c r="C24" s="378"/>
      <c r="D24" s="381">
        <v>100</v>
      </c>
      <c r="E24" s="378"/>
      <c r="F24" s="407">
        <f>SUMIF(75:75,E24,76:76)-SUMIF(75:75,C24,76:76)+100</f>
        <v>100</v>
      </c>
      <c r="G24" s="378"/>
      <c r="H24" s="381">
        <f>SUMIF(75:75,G24,76:76)-SUMIF(75:75,C24,76:76)+100</f>
        <v>100</v>
      </c>
      <c r="I24" s="378"/>
      <c r="J24" s="381">
        <f>SUMIF(75:75,I24,76:76)-SUMIF(75:75,C24,76:76)+100</f>
        <v>100</v>
      </c>
      <c r="K24" s="554"/>
      <c r="L24" s="2693"/>
      <c r="M24" s="2687"/>
      <c r="N24" s="2687"/>
      <c r="O24" s="2687"/>
      <c r="P24" s="4169"/>
      <c r="Q24" s="1339">
        <f t="shared" ref="Q24:Q36" si="11">B24</f>
        <v>111</v>
      </c>
      <c r="R24" s="697" t="s">
        <v>14</v>
      </c>
      <c r="S24" s="698">
        <f>F24</f>
        <v>100</v>
      </c>
      <c r="T24" s="697" t="s">
        <v>14</v>
      </c>
      <c r="U24" s="698">
        <f>H24</f>
        <v>100</v>
      </c>
      <c r="V24" s="697" t="s">
        <v>14</v>
      </c>
      <c r="W24" s="698">
        <f>J24</f>
        <v>100</v>
      </c>
      <c r="X24" s="1342"/>
      <c r="Y24" s="4169"/>
      <c r="Z24" s="1343">
        <f>Q24</f>
        <v>111</v>
      </c>
      <c r="AA24" s="1340">
        <f t="shared" si="3"/>
        <v>1</v>
      </c>
      <c r="AB24" s="1340">
        <f t="shared" si="4"/>
        <v>1</v>
      </c>
      <c r="AC24" s="1340">
        <f t="shared" si="5"/>
        <v>1</v>
      </c>
    </row>
    <row r="25" spans="1:29" s="108" customFormat="1" ht="15.6" thickBot="1">
      <c r="A25" s="589"/>
      <c r="B25" s="575">
        <v>111</v>
      </c>
      <c r="C25" s="383"/>
      <c r="D25" s="590">
        <v>100</v>
      </c>
      <c r="E25" s="568"/>
      <c r="F25" s="591">
        <f>SUMIF(77:77,E25,78:78)-SUMIF(77:77,C25,78:78)+100</f>
        <v>100</v>
      </c>
      <c r="G25" s="568"/>
      <c r="H25" s="590">
        <f>SUMIF(77:77,G25,78:78)-SUMIF(77:77,C25,78:78)+100</f>
        <v>100</v>
      </c>
      <c r="I25" s="568"/>
      <c r="J25" s="590">
        <f>SUMIF(77:77,I25,78:78)-SUMIF(77:77,C25,78:78)+100</f>
        <v>100</v>
      </c>
      <c r="K25" s="554"/>
      <c r="L25" s="2688"/>
      <c r="M25" s="2689"/>
      <c r="N25" s="2689"/>
      <c r="O25" s="2689"/>
      <c r="P25" s="4169"/>
      <c r="Q25" s="1330">
        <f t="shared" si="11"/>
        <v>111</v>
      </c>
      <c r="R25" s="693" t="s">
        <v>14</v>
      </c>
      <c r="S25" s="694">
        <f>F25</f>
        <v>100</v>
      </c>
      <c r="T25" s="693" t="s">
        <v>14</v>
      </c>
      <c r="U25" s="694">
        <f>H25</f>
        <v>100</v>
      </c>
      <c r="V25" s="693" t="s">
        <v>14</v>
      </c>
      <c r="W25" s="694">
        <f>J25</f>
        <v>100</v>
      </c>
      <c r="X25" s="695"/>
      <c r="Y25" s="4169"/>
      <c r="Z25" s="52">
        <f>Q25</f>
        <v>111</v>
      </c>
      <c r="AA25" s="1340">
        <f>D25/F25</f>
        <v>1</v>
      </c>
      <c r="AB25" s="1340">
        <f>D25/H25</f>
        <v>1</v>
      </c>
      <c r="AC25" s="1340">
        <f>D25/J25</f>
        <v>1</v>
      </c>
    </row>
    <row r="26" spans="1:29" ht="30">
      <c r="A26" s="592" t="s">
        <v>1694</v>
      </c>
      <c r="B26" s="62" t="s">
        <v>1836</v>
      </c>
      <c r="C26" s="1944" t="str">
        <f>B1</f>
        <v>车库</v>
      </c>
      <c r="D26" s="394">
        <v>100</v>
      </c>
      <c r="E26" s="393"/>
      <c r="F26" s="395">
        <f>SUMIF(79:79,E26,80:80)-SUMIF(79:79,C26,80:80)+100</f>
        <v>0</v>
      </c>
      <c r="G26" s="393"/>
      <c r="H26" s="394">
        <f>SUMIF(79:79,G26,80:80)-SUMIF(79:79,C26,80:80)+100</f>
        <v>0</v>
      </c>
      <c r="I26" s="393"/>
      <c r="J26" s="394">
        <f>SUMIF(79:79,I26,80:80)-SUMIF(79:79,C26,80:80)+100</f>
        <v>0</v>
      </c>
      <c r="K26" s="553"/>
      <c r="L26" s="2693"/>
      <c r="M26" s="2687"/>
      <c r="N26" s="2687"/>
      <c r="O26" s="2687"/>
      <c r="P26" s="4240" t="s">
        <v>1696</v>
      </c>
      <c r="Q26" s="1339" t="str">
        <f t="shared" si="11"/>
        <v>配套类型</v>
      </c>
      <c r="R26" s="697" t="s">
        <v>14</v>
      </c>
      <c r="S26" s="698">
        <f t="shared" ref="S26:S36" si="12">F26</f>
        <v>0</v>
      </c>
      <c r="T26" s="697" t="s">
        <v>14</v>
      </c>
      <c r="U26" s="698">
        <f t="shared" ref="U26:U36" si="13">H26</f>
        <v>0</v>
      </c>
      <c r="V26" s="697" t="s">
        <v>14</v>
      </c>
      <c r="W26" s="698">
        <f t="shared" ref="W26:W36" si="14">J26</f>
        <v>0</v>
      </c>
      <c r="X26" s="1342"/>
      <c r="Y26" s="4173" t="s">
        <v>1696</v>
      </c>
      <c r="Z26" s="1343" t="str">
        <f t="shared" ref="Z26:Z36" si="15">Q26</f>
        <v>配套类型</v>
      </c>
      <c r="AA26" s="1340" t="e">
        <f t="shared" si="3"/>
        <v>#DIV/0!</v>
      </c>
      <c r="AB26" s="1340" t="e">
        <f t="shared" si="4"/>
        <v>#DIV/0!</v>
      </c>
      <c r="AC26" s="1340" t="e">
        <f t="shared" si="5"/>
        <v>#DIV/0!</v>
      </c>
    </row>
    <row r="27" spans="1:29" s="417" customFormat="1" ht="15">
      <c r="A27" s="593"/>
      <c r="B27" s="594" t="s">
        <v>1837</v>
      </c>
      <c r="C27" s="595"/>
      <c r="D27" s="127">
        <v>100</v>
      </c>
      <c r="E27" s="595"/>
      <c r="F27" s="407">
        <f>SUMIF(81:81,E27,82:82)-SUMIF(81:81,C27,82:82)+100</f>
        <v>100</v>
      </c>
      <c r="G27" s="595"/>
      <c r="H27" s="381">
        <f>SUMIF(81:81,G27,82:82)-SUMIF(81:81,C27,82:82)+100</f>
        <v>100</v>
      </c>
      <c r="I27" s="595"/>
      <c r="J27" s="381">
        <f>SUMIF(81:81,I27,82:82)-SUMIF(81:81,C27,82:82)+100</f>
        <v>100</v>
      </c>
      <c r="K27" s="554"/>
      <c r="L27" s="2692"/>
      <c r="M27" s="2694"/>
      <c r="N27" s="2694"/>
      <c r="O27" s="2694"/>
      <c r="P27" s="4173"/>
      <c r="Q27" s="699" t="str">
        <f t="shared" si="11"/>
        <v>项目停车位配比</v>
      </c>
      <c r="R27" s="700" t="s">
        <v>14</v>
      </c>
      <c r="S27" s="701">
        <f t="shared" si="12"/>
        <v>100</v>
      </c>
      <c r="T27" s="700" t="s">
        <v>14</v>
      </c>
      <c r="U27" s="701">
        <f t="shared" si="13"/>
        <v>100</v>
      </c>
      <c r="V27" s="700" t="s">
        <v>14</v>
      </c>
      <c r="W27" s="701">
        <f t="shared" si="14"/>
        <v>100</v>
      </c>
      <c r="X27" s="702"/>
      <c r="Y27" s="4173"/>
      <c r="Z27" s="703" t="str">
        <f t="shared" si="15"/>
        <v>项目停车位配比</v>
      </c>
      <c r="AA27" s="1340">
        <f t="shared" si="3"/>
        <v>1</v>
      </c>
      <c r="AB27" s="1340">
        <f t="shared" si="4"/>
        <v>1</v>
      </c>
      <c r="AC27" s="1340">
        <f t="shared" si="5"/>
        <v>1</v>
      </c>
    </row>
    <row r="28" spans="1:29" ht="15">
      <c r="A28" s="596"/>
      <c r="B28" s="594" t="s">
        <v>1838</v>
      </c>
      <c r="C28" s="406"/>
      <c r="D28" s="381">
        <v>100</v>
      </c>
      <c r="E28" s="406"/>
      <c r="F28" s="407">
        <f>SUMIF(83:83,E28,84:84)-SUMIF(83:83,C28,84:84)+100</f>
        <v>100</v>
      </c>
      <c r="G28" s="406"/>
      <c r="H28" s="381">
        <f>SUMIF(83:83,G28,84:84)-SUMIF(83:83,C28,84:84)+100</f>
        <v>100</v>
      </c>
      <c r="I28" s="406"/>
      <c r="J28" s="381">
        <f>SUMIF(83:83,I28,84:84)-SUMIF(83:83,C28,84:84)+100</f>
        <v>100</v>
      </c>
      <c r="K28" s="553"/>
      <c r="L28" s="2693"/>
      <c r="M28" s="2687"/>
      <c r="N28" s="2687"/>
      <c r="O28" s="2687"/>
      <c r="P28" s="4173"/>
      <c r="Q28" s="1339" t="str">
        <f t="shared" si="11"/>
        <v>公共部分装修</v>
      </c>
      <c r="R28" s="697" t="s">
        <v>14</v>
      </c>
      <c r="S28" s="698">
        <f t="shared" si="12"/>
        <v>100</v>
      </c>
      <c r="T28" s="697" t="s">
        <v>14</v>
      </c>
      <c r="U28" s="698">
        <f t="shared" si="13"/>
        <v>100</v>
      </c>
      <c r="V28" s="697" t="s">
        <v>14</v>
      </c>
      <c r="W28" s="698">
        <f t="shared" si="14"/>
        <v>100</v>
      </c>
      <c r="X28" s="1342"/>
      <c r="Y28" s="4173"/>
      <c r="Z28" s="1343" t="str">
        <f t="shared" si="15"/>
        <v>公共部分装修</v>
      </c>
      <c r="AA28" s="1340">
        <f t="shared" si="3"/>
        <v>1</v>
      </c>
      <c r="AB28" s="1340">
        <f t="shared" si="4"/>
        <v>1</v>
      </c>
      <c r="AC28" s="1340">
        <f t="shared" si="5"/>
        <v>1</v>
      </c>
    </row>
    <row r="29" spans="1:29" ht="15">
      <c r="A29" s="596"/>
      <c r="B29" s="594" t="s">
        <v>1839</v>
      </c>
      <c r="C29" s="420"/>
      <c r="D29" s="381">
        <v>100</v>
      </c>
      <c r="E29" s="420"/>
      <c r="F29" s="407" t="e">
        <f>LOOKUP(E29,86:86,87:87)-LOOKUP(C29,86:86,87:87)+100</f>
        <v>#N/A</v>
      </c>
      <c r="G29" s="420"/>
      <c r="H29" s="407" t="e">
        <f>LOOKUP(G29,86:86,87:87)-LOOKUP(C29,86:86,87:87)+100</f>
        <v>#N/A</v>
      </c>
      <c r="I29" s="420"/>
      <c r="J29" s="381" t="e">
        <f>LOOKUP(I29,86:86,87:87)-LOOKUP(C29,86:86,87:87)+100</f>
        <v>#N/A</v>
      </c>
      <c r="K29" s="553"/>
      <c r="L29" s="2693"/>
      <c r="M29" s="2687"/>
      <c r="N29" s="2687"/>
      <c r="O29" s="2687"/>
      <c r="P29" s="4173"/>
      <c r="Q29" s="1339" t="str">
        <f t="shared" si="11"/>
        <v>成新率</v>
      </c>
      <c r="R29" s="697" t="s">
        <v>14</v>
      </c>
      <c r="S29" s="698" t="e">
        <f t="shared" si="12"/>
        <v>#N/A</v>
      </c>
      <c r="T29" s="697" t="s">
        <v>14</v>
      </c>
      <c r="U29" s="698" t="e">
        <f t="shared" si="13"/>
        <v>#N/A</v>
      </c>
      <c r="V29" s="697" t="s">
        <v>14</v>
      </c>
      <c r="W29" s="698" t="e">
        <f t="shared" si="14"/>
        <v>#N/A</v>
      </c>
      <c r="X29" s="1342"/>
      <c r="Y29" s="4173"/>
      <c r="Z29" s="1343" t="str">
        <f t="shared" si="15"/>
        <v>成新率</v>
      </c>
      <c r="AA29" s="1340" t="e">
        <f t="shared" si="3"/>
        <v>#N/A</v>
      </c>
      <c r="AB29" s="1340" t="e">
        <f t="shared" si="4"/>
        <v>#N/A</v>
      </c>
      <c r="AC29" s="1340" t="e">
        <f t="shared" si="5"/>
        <v>#N/A</v>
      </c>
    </row>
    <row r="30" spans="1:29" ht="15">
      <c r="A30" s="596"/>
      <c r="B30" s="594" t="s">
        <v>1840</v>
      </c>
      <c r="C30" s="597"/>
      <c r="D30" s="381">
        <v>100</v>
      </c>
      <c r="E30" s="597"/>
      <c r="F30" s="407">
        <f>SUMIF(88:88,E30,89:89)-SUMIF(88:88,C30,89:89)+100</f>
        <v>100</v>
      </c>
      <c r="G30" s="597"/>
      <c r="H30" s="381">
        <f>SUMIF(88:88,E30,89:89)-SUMIF(88:88,C30,89:89)+100</f>
        <v>100</v>
      </c>
      <c r="I30" s="597"/>
      <c r="J30" s="381">
        <f>SUMIF(88:88,E30,89:89)-SUMIF(88:88,C30,89:89)+100</f>
        <v>100</v>
      </c>
      <c r="K30" s="553"/>
      <c r="L30" s="2693"/>
      <c r="M30" s="2687"/>
      <c r="N30" s="2687"/>
      <c r="O30" s="2687"/>
      <c r="P30" s="4173"/>
      <c r="Q30" s="1339" t="str">
        <f t="shared" si="11"/>
        <v>物业等级</v>
      </c>
      <c r="R30" s="697" t="s">
        <v>14</v>
      </c>
      <c r="S30" s="698">
        <f t="shared" si="12"/>
        <v>100</v>
      </c>
      <c r="T30" s="697" t="s">
        <v>14</v>
      </c>
      <c r="U30" s="698">
        <f t="shared" si="13"/>
        <v>100</v>
      </c>
      <c r="V30" s="697" t="s">
        <v>14</v>
      </c>
      <c r="W30" s="698">
        <f t="shared" si="14"/>
        <v>100</v>
      </c>
      <c r="X30" s="1342"/>
      <c r="Y30" s="4173"/>
      <c r="Z30" s="1343" t="str">
        <f t="shared" si="15"/>
        <v>物业等级</v>
      </c>
      <c r="AA30" s="1340">
        <f t="shared" si="3"/>
        <v>1</v>
      </c>
      <c r="AB30" s="1340">
        <f t="shared" si="4"/>
        <v>1</v>
      </c>
      <c r="AC30" s="1340">
        <f t="shared" si="5"/>
        <v>1</v>
      </c>
    </row>
    <row r="31" spans="1:29" s="108" customFormat="1" ht="15">
      <c r="A31" s="598"/>
      <c r="B31" s="594" t="s">
        <v>1841</v>
      </c>
      <c r="C31" s="415"/>
      <c r="D31" s="127">
        <v>100</v>
      </c>
      <c r="E31" s="415"/>
      <c r="F31" s="407" t="e">
        <f>LOOKUP(E31,91:91,92:92)-LOOKUP(C31,91:91,92:92)+100</f>
        <v>#N/A</v>
      </c>
      <c r="G31" s="415"/>
      <c r="H31" s="381" t="e">
        <f>LOOKUP(G31,91:91,92:92)-LOOKUP(C31,91:91,92:92)+100</f>
        <v>#N/A</v>
      </c>
      <c r="I31" s="415"/>
      <c r="J31" s="381" t="e">
        <f>LOOKUP(I31,91:91,92:92)-LOOKUP(C31,91:91,92:92)+100</f>
        <v>#N/A</v>
      </c>
      <c r="K31" s="553"/>
      <c r="L31" s="2688"/>
      <c r="M31" s="2689"/>
      <c r="N31" s="2689"/>
      <c r="O31" s="2689"/>
      <c r="P31" s="4173"/>
      <c r="Q31" s="1330" t="str">
        <f t="shared" si="11"/>
        <v>停车位面积</v>
      </c>
      <c r="R31" s="693" t="s">
        <v>14</v>
      </c>
      <c r="S31" s="694" t="e">
        <f t="shared" si="12"/>
        <v>#N/A</v>
      </c>
      <c r="T31" s="693" t="s">
        <v>14</v>
      </c>
      <c r="U31" s="694" t="e">
        <f t="shared" si="13"/>
        <v>#N/A</v>
      </c>
      <c r="V31" s="693" t="s">
        <v>14</v>
      </c>
      <c r="W31" s="694" t="e">
        <f t="shared" si="14"/>
        <v>#N/A</v>
      </c>
      <c r="X31" s="695"/>
      <c r="Y31" s="4173"/>
      <c r="Z31" s="52" t="str">
        <f t="shared" si="15"/>
        <v>停车位面积</v>
      </c>
      <c r="AA31" s="696" t="e">
        <f t="shared" si="3"/>
        <v>#N/A</v>
      </c>
      <c r="AB31" s="696" t="e">
        <f t="shared" si="4"/>
        <v>#N/A</v>
      </c>
      <c r="AC31" s="696" t="e">
        <f t="shared" si="5"/>
        <v>#N/A</v>
      </c>
    </row>
    <row r="32" spans="1:29" ht="15">
      <c r="A32" s="596"/>
      <c r="B32" s="594" t="s">
        <v>1842</v>
      </c>
      <c r="C32" s="406"/>
      <c r="D32" s="381">
        <v>100</v>
      </c>
      <c r="E32" s="406"/>
      <c r="F32" s="407">
        <f>SUMIF(93:93,E32,94:94)-SUMIF(93:93,C32,94:94)+100</f>
        <v>100</v>
      </c>
      <c r="G32" s="406"/>
      <c r="H32" s="381">
        <f>SUMIF(93:93,G32,94:94)-SUMIF(93:93,C32,94:94)+100</f>
        <v>100</v>
      </c>
      <c r="I32" s="406"/>
      <c r="J32" s="381">
        <f>SUMIF(93:93,I32,94:94)-SUMIF(93:93,C32,94:94)+100</f>
        <v>100</v>
      </c>
      <c r="K32" s="553"/>
      <c r="L32" s="2693"/>
      <c r="M32" s="2687"/>
      <c r="N32" s="2687"/>
      <c r="O32" s="2687"/>
      <c r="P32" s="4173" t="s">
        <v>1696</v>
      </c>
      <c r="Q32" s="1339" t="str">
        <f t="shared" si="11"/>
        <v>车位类型</v>
      </c>
      <c r="R32" s="697" t="s">
        <v>14</v>
      </c>
      <c r="S32" s="698">
        <f t="shared" si="12"/>
        <v>100</v>
      </c>
      <c r="T32" s="697" t="s">
        <v>14</v>
      </c>
      <c r="U32" s="698">
        <f t="shared" si="13"/>
        <v>100</v>
      </c>
      <c r="V32" s="697" t="s">
        <v>14</v>
      </c>
      <c r="W32" s="698">
        <f t="shared" si="14"/>
        <v>100</v>
      </c>
      <c r="X32" s="1342"/>
      <c r="Y32" s="4173" t="s">
        <v>1696</v>
      </c>
      <c r="Z32" s="1343" t="str">
        <f t="shared" si="15"/>
        <v>车位类型</v>
      </c>
      <c r="AA32" s="1340">
        <f t="shared" si="3"/>
        <v>1</v>
      </c>
      <c r="AB32" s="1340">
        <f t="shared" si="4"/>
        <v>1</v>
      </c>
      <c r="AC32" s="1340">
        <f t="shared" si="5"/>
        <v>1</v>
      </c>
    </row>
    <row r="33" spans="1:29" ht="15">
      <c r="A33" s="596"/>
      <c r="B33" s="594" t="s">
        <v>1843</v>
      </c>
      <c r="C33" s="406"/>
      <c r="D33" s="381">
        <v>100</v>
      </c>
      <c r="E33" s="406"/>
      <c r="F33" s="407">
        <f>SUMIF(95:95,E33,96:96)-SUMIF(95:95,C33,96:96)+100</f>
        <v>100</v>
      </c>
      <c r="G33" s="406"/>
      <c r="H33" s="381">
        <f>SUMIF(95:95,G33,96:96)-SUMIF(95:95,C33,96:96)+100</f>
        <v>100</v>
      </c>
      <c r="I33" s="406"/>
      <c r="J33" s="381">
        <f>SUMIF(95:95,I33,96:96)-SUMIF(95:95,C33,96:96)+100</f>
        <v>100</v>
      </c>
      <c r="K33" s="553"/>
      <c r="L33" s="2693"/>
      <c r="M33" s="2687"/>
      <c r="N33" s="2687"/>
      <c r="O33" s="2687"/>
      <c r="P33" s="4173"/>
      <c r="Q33" s="1339" t="str">
        <f t="shared" si="11"/>
        <v>是否直接入户</v>
      </c>
      <c r="R33" s="697" t="s">
        <v>14</v>
      </c>
      <c r="S33" s="698">
        <f t="shared" si="12"/>
        <v>100</v>
      </c>
      <c r="T33" s="697" t="s">
        <v>14</v>
      </c>
      <c r="U33" s="698">
        <f t="shared" si="13"/>
        <v>100</v>
      </c>
      <c r="V33" s="697" t="s">
        <v>14</v>
      </c>
      <c r="W33" s="698">
        <f t="shared" si="14"/>
        <v>100</v>
      </c>
      <c r="X33" s="1342"/>
      <c r="Y33" s="4173"/>
      <c r="Z33" s="1343" t="str">
        <f t="shared" si="15"/>
        <v>是否直接入户</v>
      </c>
      <c r="AA33" s="1340">
        <f t="shared" si="3"/>
        <v>1</v>
      </c>
      <c r="AB33" s="1340">
        <f t="shared" si="4"/>
        <v>1</v>
      </c>
      <c r="AC33" s="1340">
        <f t="shared" si="5"/>
        <v>1</v>
      </c>
    </row>
    <row r="34" spans="1:29" ht="15">
      <c r="A34" s="596"/>
      <c r="B34" s="588">
        <v>111</v>
      </c>
      <c r="C34" s="378"/>
      <c r="D34" s="381">
        <v>100</v>
      </c>
      <c r="E34" s="378"/>
      <c r="F34" s="407">
        <f>SUMIF(97:97,E34,98:98)-SUMIF(97:97,C34,98:98)+100</f>
        <v>100</v>
      </c>
      <c r="G34" s="378"/>
      <c r="H34" s="381">
        <f>SUMIF(97:97,G34,98:98)-SUMIF(97:97,C34,98:98)+100</f>
        <v>100</v>
      </c>
      <c r="I34" s="378"/>
      <c r="J34" s="381">
        <f>SUMIF(97:97,I34,98:98)-SUMIF(97:97,C34,98:98)+100</f>
        <v>100</v>
      </c>
      <c r="K34" s="554"/>
      <c r="L34" s="2693"/>
      <c r="M34" s="2687"/>
      <c r="N34" s="2687"/>
      <c r="O34" s="2687"/>
      <c r="P34" s="4173"/>
      <c r="Q34" s="1339">
        <f t="shared" si="11"/>
        <v>111</v>
      </c>
      <c r="R34" s="697" t="s">
        <v>14</v>
      </c>
      <c r="S34" s="698">
        <f t="shared" si="12"/>
        <v>100</v>
      </c>
      <c r="T34" s="697" t="s">
        <v>14</v>
      </c>
      <c r="U34" s="698">
        <f t="shared" si="13"/>
        <v>100</v>
      </c>
      <c r="V34" s="697" t="s">
        <v>14</v>
      </c>
      <c r="W34" s="698">
        <f t="shared" si="14"/>
        <v>100</v>
      </c>
      <c r="X34" s="1342"/>
      <c r="Y34" s="4173"/>
      <c r="Z34" s="1343">
        <f t="shared" si="15"/>
        <v>111</v>
      </c>
      <c r="AA34" s="1340">
        <f t="shared" si="3"/>
        <v>1</v>
      </c>
      <c r="AB34" s="1340">
        <f t="shared" si="4"/>
        <v>1</v>
      </c>
      <c r="AC34" s="1340">
        <f t="shared" si="5"/>
        <v>1</v>
      </c>
    </row>
    <row r="35" spans="1:29" s="417" customFormat="1" ht="15">
      <c r="A35" s="593"/>
      <c r="B35" s="588">
        <v>111</v>
      </c>
      <c r="C35" s="378"/>
      <c r="D35" s="381">
        <v>100</v>
      </c>
      <c r="E35" s="378"/>
      <c r="F35" s="407">
        <f>SUMIF(99:99,E35,100:100)-SUMIF(99:99,C35,100:100)+100</f>
        <v>100</v>
      </c>
      <c r="G35" s="378"/>
      <c r="H35" s="381">
        <f>SUMIF(99:99,G35,100:100)-SUMIF(99:99,C35,100:100)+100</f>
        <v>100</v>
      </c>
      <c r="I35" s="378"/>
      <c r="J35" s="381">
        <f>SUMIF(99:99,I35,100:100)-SUMIF(99:99,C35,100:100)+100</f>
        <v>100</v>
      </c>
      <c r="K35" s="554"/>
      <c r="L35" s="2692"/>
      <c r="M35" s="2694"/>
      <c r="N35" s="2694"/>
      <c r="O35" s="2694"/>
      <c r="P35" s="4173"/>
      <c r="Q35" s="699">
        <f t="shared" si="11"/>
        <v>111</v>
      </c>
      <c r="R35" s="700" t="s">
        <v>14</v>
      </c>
      <c r="S35" s="701">
        <f t="shared" si="12"/>
        <v>100</v>
      </c>
      <c r="T35" s="700" t="s">
        <v>14</v>
      </c>
      <c r="U35" s="701">
        <f t="shared" si="13"/>
        <v>100</v>
      </c>
      <c r="V35" s="700" t="s">
        <v>14</v>
      </c>
      <c r="W35" s="701">
        <f t="shared" si="14"/>
        <v>100</v>
      </c>
      <c r="X35" s="702"/>
      <c r="Y35" s="4173"/>
      <c r="Z35" s="703">
        <f t="shared" si="15"/>
        <v>111</v>
      </c>
      <c r="AA35" s="1340">
        <f t="shared" si="3"/>
        <v>1</v>
      </c>
      <c r="AB35" s="1340">
        <f t="shared" si="4"/>
        <v>1</v>
      </c>
      <c r="AC35" s="1340">
        <f t="shared" si="5"/>
        <v>1</v>
      </c>
    </row>
    <row r="36" spans="1:29" ht="15.6" thickBot="1">
      <c r="A36" s="599"/>
      <c r="B36" s="575">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4"/>
      <c r="L36" s="2693"/>
      <c r="M36" s="2687"/>
      <c r="N36" s="2687"/>
      <c r="O36" s="2687"/>
      <c r="P36" s="4173"/>
      <c r="Q36" s="1339">
        <f t="shared" si="11"/>
        <v>111</v>
      </c>
      <c r="R36" s="697" t="s">
        <v>14</v>
      </c>
      <c r="S36" s="698">
        <f t="shared" si="12"/>
        <v>100</v>
      </c>
      <c r="T36" s="697" t="s">
        <v>14</v>
      </c>
      <c r="U36" s="698">
        <f t="shared" si="13"/>
        <v>100</v>
      </c>
      <c r="V36" s="697" t="s">
        <v>14</v>
      </c>
      <c r="W36" s="698">
        <f t="shared" si="14"/>
        <v>100</v>
      </c>
      <c r="X36" s="1342"/>
      <c r="Y36" s="4173"/>
      <c r="Z36" s="1343">
        <f t="shared" si="15"/>
        <v>111</v>
      </c>
      <c r="AA36" s="1340">
        <f t="shared" si="3"/>
        <v>1</v>
      </c>
      <c r="AB36" s="1340">
        <f t="shared" si="4"/>
        <v>1</v>
      </c>
      <c r="AC36" s="1340">
        <f t="shared" si="5"/>
        <v>1</v>
      </c>
    </row>
    <row r="37" spans="1:29" ht="14.4">
      <c r="A37" s="425" t="s">
        <v>1844</v>
      </c>
      <c r="B37" s="1945" t="s">
        <v>3356</v>
      </c>
      <c r="C37" s="1142" t="s">
        <v>0</v>
      </c>
      <c r="D37" s="1143"/>
      <c r="E37" s="1144"/>
      <c r="F37" s="1145"/>
      <c r="G37" s="1146"/>
      <c r="H37" s="1147"/>
      <c r="I37" s="1144"/>
      <c r="J37" s="1147"/>
      <c r="K37" s="560"/>
      <c r="L37" s="2695"/>
      <c r="M37" s="2696"/>
      <c r="N37" s="2687"/>
      <c r="O37" s="2696"/>
      <c r="P37" s="4166" t="str">
        <f>A37</f>
        <v>成交单价</v>
      </c>
      <c r="Q37" s="4166"/>
      <c r="R37" s="4167">
        <f>E37</f>
        <v>0</v>
      </c>
      <c r="S37" s="4167"/>
      <c r="T37" s="4167">
        <f>G37</f>
        <v>0</v>
      </c>
      <c r="U37" s="4167"/>
      <c r="V37" s="4167">
        <f>I37</f>
        <v>0</v>
      </c>
      <c r="W37" s="4167"/>
      <c r="X37" s="682"/>
      <c r="Y37" s="704"/>
      <c r="Z37" s="682"/>
      <c r="AA37" s="682"/>
      <c r="AB37" s="682"/>
      <c r="AC37" s="682"/>
    </row>
    <row r="38" spans="1:29" ht="15" thickBot="1">
      <c r="A38" s="432" t="s">
        <v>1845</v>
      </c>
      <c r="B38" s="433" t="str">
        <f>B37</f>
        <v>元/平方米</v>
      </c>
      <c r="C38" s="1148" t="e">
        <f>R39</f>
        <v>#DIV/0!</v>
      </c>
      <c r="D38" s="2289" t="s">
        <v>2138</v>
      </c>
      <c r="E38" s="1149" t="e">
        <f>R38</f>
        <v>#DIV/0!</v>
      </c>
      <c r="F38" s="2290"/>
      <c r="G38" s="1148" t="e">
        <f>T38</f>
        <v>#DIV/0!</v>
      </c>
      <c r="H38" s="2290"/>
      <c r="I38" s="1149" t="e">
        <f>V38</f>
        <v>#DIV/0!</v>
      </c>
      <c r="J38" s="2290"/>
      <c r="K38" s="2292">
        <f>F38+H38+J38</f>
        <v>0</v>
      </c>
      <c r="L38" s="2695"/>
      <c r="M38" s="2696"/>
      <c r="N38" s="2696"/>
      <c r="O38" s="2696"/>
      <c r="P38" s="4166" t="str">
        <f>A38</f>
        <v>比较价值（元/平方米）</v>
      </c>
      <c r="Q38" s="4166"/>
      <c r="R38" s="4167" t="e">
        <f>IF(F1="售价",ROUND(PRODUCT(R37,AA7:AA36),0),ROUND(PRODUCT(R37,AA7:AA36),1))</f>
        <v>#DIV/0!</v>
      </c>
      <c r="S38" s="4167"/>
      <c r="T38" s="4167" t="e">
        <f>IF(F1="售价",ROUND(PRODUCT(T37,AB7:AB36),0),ROUND(PRODUCT(T37,AB7:AB36),1))</f>
        <v>#DIV/0!</v>
      </c>
      <c r="U38" s="4167"/>
      <c r="V38" s="4167" t="e">
        <f>IF(F1="售价",ROUND(PRODUCT(V37,AC7:AC36),0),ROUND(PRODUCT(V37,AC7:AC36),1))</f>
        <v>#DIV/0!</v>
      </c>
      <c r="W38" s="4167"/>
      <c r="X38" s="682"/>
      <c r="Y38" s="682"/>
      <c r="Z38" s="682"/>
      <c r="AA38" s="682"/>
      <c r="AB38" s="682"/>
      <c r="AC38" s="682"/>
    </row>
    <row r="39" spans="1:29" ht="15" thickBot="1">
      <c r="A39" s="436" t="s">
        <v>1846</v>
      </c>
      <c r="B39" s="437"/>
      <c r="C39" s="1150" t="e">
        <f>R39</f>
        <v>#DIV/0!</v>
      </c>
      <c r="D39" s="1150"/>
      <c r="E39" s="1150"/>
      <c r="F39" s="1150"/>
      <c r="G39" s="1150"/>
      <c r="H39" s="1150"/>
      <c r="I39" s="1150"/>
      <c r="J39" s="1150"/>
      <c r="K39" s="561"/>
      <c r="L39" s="2695"/>
      <c r="M39" s="2696"/>
      <c r="N39" s="2696"/>
      <c r="O39" s="2696"/>
      <c r="P39" s="4163" t="str">
        <f>A39</f>
        <v>估价对象XX用房的比较价值（楼面单价，元/平方米）</v>
      </c>
      <c r="Q39" s="4164"/>
      <c r="R39" s="4241" t="e">
        <f>IF(F1="售价",ROUND(IF(D38="简单平均",AVERAGE(R38:W38),R38*F38+T38*H38+V38*J38),0),ROUND(IF(D38="简单平均",AVERAGE(R38:V38),R38*F38+T38*H38+V38*J38),1))</f>
        <v>#DIV/0!</v>
      </c>
      <c r="S39" s="4241"/>
      <c r="T39" s="4241"/>
      <c r="U39" s="4241"/>
      <c r="V39" s="4241"/>
      <c r="W39" s="4241"/>
      <c r="X39" s="682"/>
      <c r="Y39" s="682"/>
      <c r="Z39" s="682"/>
      <c r="AA39" s="682"/>
      <c r="AB39" s="682"/>
      <c r="AC39" s="682"/>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46" customFormat="1" ht="13.5" customHeight="1">
      <c r="A44" s="2699"/>
      <c r="B44" s="2699"/>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46"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2.2" thickBot="1">
      <c r="A47" s="1153" t="s">
        <v>1850</v>
      </c>
      <c r="B47" s="917"/>
      <c r="C47" s="930"/>
      <c r="D47" s="930"/>
      <c r="E47" s="930"/>
      <c r="F47" s="1154"/>
      <c r="G47" s="1154"/>
      <c r="H47" s="930"/>
      <c r="I47" s="930"/>
      <c r="J47" s="930"/>
      <c r="K47" s="931"/>
      <c r="L47" s="932"/>
      <c r="M47" s="930"/>
      <c r="N47" s="2740"/>
      <c r="O47" s="2740"/>
      <c r="P47" s="2729"/>
      <c r="Q47" s="2710"/>
      <c r="R47" s="2696"/>
      <c r="S47" s="2696"/>
      <c r="T47" s="2696"/>
      <c r="U47" s="2696"/>
      <c r="V47" s="2696"/>
      <c r="W47" s="2696"/>
      <c r="X47" s="2696"/>
      <c r="Y47" s="2696"/>
      <c r="Z47" s="2696"/>
      <c r="AA47" s="2696"/>
      <c r="AB47" s="2696"/>
      <c r="AC47" s="2696"/>
    </row>
    <row r="48" spans="1:29" s="452" customFormat="1" ht="14.4">
      <c r="A48" s="449" t="s">
        <v>1851</v>
      </c>
      <c r="B48" s="450"/>
      <c r="C48" s="1171" t="str">
        <f>YEAR(C7)&amp;"-"&amp;MONTH(C7)</f>
        <v>2003-10</v>
      </c>
      <c r="D48" s="1172">
        <f>EDATE(C48,-1)</f>
        <v>37865</v>
      </c>
      <c r="E48" s="1172">
        <f t="shared" ref="E48:O48" si="16">EDATE(D48,-1)</f>
        <v>37834</v>
      </c>
      <c r="F48" s="1172">
        <f t="shared" si="16"/>
        <v>37803</v>
      </c>
      <c r="G48" s="1172">
        <f t="shared" si="16"/>
        <v>37773</v>
      </c>
      <c r="H48" s="1172">
        <f t="shared" si="16"/>
        <v>37742</v>
      </c>
      <c r="I48" s="1172">
        <f t="shared" si="16"/>
        <v>37712</v>
      </c>
      <c r="J48" s="1172">
        <f t="shared" si="16"/>
        <v>37681</v>
      </c>
      <c r="K48" s="1172">
        <f t="shared" si="16"/>
        <v>37653</v>
      </c>
      <c r="L48" s="1172">
        <f t="shared" si="16"/>
        <v>37622</v>
      </c>
      <c r="M48" s="1172">
        <f t="shared" si="16"/>
        <v>37591</v>
      </c>
      <c r="N48" s="1172">
        <f t="shared" si="16"/>
        <v>37561</v>
      </c>
      <c r="O48" s="1172">
        <f t="shared" si="16"/>
        <v>37530</v>
      </c>
      <c r="P48" s="2730"/>
      <c r="Q48" s="2712"/>
      <c r="R48" s="2712"/>
      <c r="S48" s="2712"/>
      <c r="T48" s="2712"/>
      <c r="U48" s="2712"/>
      <c r="V48" s="2712"/>
      <c r="W48" s="2712"/>
      <c r="X48" s="2712"/>
      <c r="Y48" s="2712"/>
      <c r="Z48" s="2712"/>
      <c r="AA48" s="2712"/>
      <c r="AB48" s="2712"/>
      <c r="AC48" s="2712"/>
    </row>
    <row r="49" spans="1:29" s="108" customFormat="1">
      <c r="A49" s="453"/>
      <c r="B49" s="454"/>
      <c r="C49" s="1164">
        <v>100</v>
      </c>
      <c r="D49" s="456"/>
      <c r="E49" s="456"/>
      <c r="F49" s="456"/>
      <c r="G49" s="456"/>
      <c r="H49" s="456"/>
      <c r="I49" s="456"/>
      <c r="J49" s="456"/>
      <c r="K49" s="456"/>
      <c r="L49" s="456"/>
      <c r="M49" s="457"/>
      <c r="N49" s="456"/>
      <c r="O49" s="457"/>
      <c r="P49" s="2731"/>
      <c r="Q49" s="2632"/>
      <c r="R49" s="2632"/>
      <c r="S49" s="2632"/>
      <c r="T49" s="2632"/>
      <c r="U49" s="2632"/>
      <c r="V49" s="2632"/>
      <c r="W49" s="2632"/>
      <c r="X49" s="2632"/>
      <c r="Y49" s="2632"/>
      <c r="Z49" s="2632"/>
      <c r="AA49" s="2632"/>
      <c r="AB49" s="2632"/>
      <c r="AC49" s="2632"/>
    </row>
    <row r="50" spans="1:29" s="108" customFormat="1" ht="15" thickBot="1">
      <c r="A50" s="459" t="s">
        <v>1716</v>
      </c>
      <c r="B50" s="460"/>
      <c r="C50" s="461"/>
      <c r="D50" s="462"/>
      <c r="E50" s="462"/>
      <c r="F50" s="462"/>
      <c r="G50" s="462"/>
      <c r="H50" s="462"/>
      <c r="I50" s="462"/>
      <c r="J50" s="462"/>
      <c r="K50" s="462"/>
      <c r="L50" s="462"/>
      <c r="M50" s="463"/>
      <c r="N50" s="462"/>
      <c r="O50" s="463"/>
      <c r="P50" s="2731"/>
      <c r="Q50" s="2710"/>
      <c r="R50" s="2632"/>
      <c r="S50" s="2632"/>
      <c r="T50" s="2632"/>
      <c r="U50" s="2632"/>
      <c r="V50" s="2632"/>
      <c r="W50" s="2632"/>
      <c r="X50" s="2632"/>
      <c r="Y50" s="2632"/>
      <c r="Z50" s="2632"/>
      <c r="AA50" s="2632"/>
      <c r="AB50" s="2632"/>
      <c r="AC50" s="2632"/>
    </row>
    <row r="51" spans="1:29" s="108" customFormat="1" ht="14.4">
      <c r="A51" s="465" t="s">
        <v>1681</v>
      </c>
      <c r="B51" s="454"/>
      <c r="C51" s="466" t="s">
        <v>1776</v>
      </c>
      <c r="D51" s="467"/>
      <c r="E51" s="467"/>
      <c r="F51" s="467"/>
      <c r="G51" s="467"/>
      <c r="H51" s="467"/>
      <c r="I51" s="467"/>
      <c r="J51" s="467"/>
      <c r="K51" s="467"/>
      <c r="L51" s="468"/>
      <c r="M51" s="469"/>
      <c r="N51" s="2723"/>
      <c r="O51" s="2723"/>
      <c r="P51" s="2732"/>
      <c r="Q51" s="2710"/>
      <c r="R51" s="2632"/>
      <c r="S51" s="2632"/>
      <c r="T51" s="2632"/>
      <c r="U51" s="2632"/>
      <c r="V51" s="2632"/>
      <c r="W51" s="2632"/>
      <c r="X51" s="2632"/>
      <c r="Y51" s="2632"/>
      <c r="Z51" s="2632"/>
      <c r="AA51" s="2632"/>
      <c r="AB51" s="2632"/>
      <c r="AC51" s="2632"/>
    </row>
    <row r="52" spans="1:29" s="108" customFormat="1" ht="14.4" thickBot="1">
      <c r="A52" s="465"/>
      <c r="B52" s="454"/>
      <c r="C52" s="579">
        <v>100</v>
      </c>
      <c r="D52" s="456"/>
      <c r="E52" s="456"/>
      <c r="F52" s="456"/>
      <c r="G52" s="456"/>
      <c r="H52" s="456"/>
      <c r="I52" s="456"/>
      <c r="J52" s="456"/>
      <c r="K52" s="456"/>
      <c r="L52" s="456"/>
      <c r="M52" s="458"/>
      <c r="N52" s="2723"/>
      <c r="O52" s="2723"/>
      <c r="P52" s="2731"/>
      <c r="Q52" s="2710"/>
      <c r="R52" s="2632"/>
      <c r="S52" s="2632"/>
      <c r="T52" s="2632"/>
      <c r="U52" s="2632"/>
      <c r="V52" s="2632"/>
      <c r="W52" s="2632"/>
      <c r="X52" s="2632"/>
      <c r="Y52" s="2632"/>
      <c r="Z52" s="2632"/>
      <c r="AA52" s="2632"/>
      <c r="AB52" s="2632"/>
      <c r="AC52" s="2632"/>
    </row>
    <row r="53" spans="1:29" ht="14.4">
      <c r="A53" s="471" t="s">
        <v>1719</v>
      </c>
      <c r="B53" s="472" t="s">
        <v>1685</v>
      </c>
      <c r="C53" s="473">
        <f>C9</f>
        <v>0</v>
      </c>
      <c r="D53" s="474"/>
      <c r="E53" s="474"/>
      <c r="F53" s="474"/>
      <c r="G53" s="474"/>
      <c r="H53" s="474"/>
      <c r="I53" s="474"/>
      <c r="J53" s="474"/>
      <c r="K53" s="475"/>
      <c r="L53" s="476"/>
      <c r="M53" s="477"/>
      <c r="N53" s="2724"/>
      <c r="O53" s="2724"/>
      <c r="P53" s="2733"/>
      <c r="Q53" s="2710"/>
      <c r="R53" s="2696"/>
      <c r="S53" s="2696"/>
      <c r="T53" s="2696"/>
      <c r="U53" s="2696"/>
      <c r="V53" s="2696"/>
      <c r="W53" s="2696"/>
      <c r="X53" s="2696"/>
      <c r="Y53" s="2696"/>
      <c r="Z53" s="2696"/>
      <c r="AA53" s="2696"/>
      <c r="AB53" s="2696"/>
      <c r="AC53" s="2696"/>
    </row>
    <row r="54" spans="1:29" ht="14.4" thickBot="1">
      <c r="A54" s="478"/>
      <c r="B54" s="479"/>
      <c r="C54" s="480">
        <v>100</v>
      </c>
      <c r="D54" s="480"/>
      <c r="E54" s="480"/>
      <c r="F54" s="480"/>
      <c r="G54" s="480"/>
      <c r="H54" s="480"/>
      <c r="I54" s="480"/>
      <c r="J54" s="480"/>
      <c r="K54" s="480"/>
      <c r="L54" s="480"/>
      <c r="M54" s="481"/>
      <c r="N54" s="2725"/>
      <c r="O54" s="2725"/>
      <c r="P54" s="2733"/>
      <c r="Q54" s="2710"/>
      <c r="R54" s="2696"/>
      <c r="S54" s="2696"/>
      <c r="T54" s="2696"/>
      <c r="U54" s="2696"/>
      <c r="V54" s="2696"/>
      <c r="W54" s="2696"/>
      <c r="X54" s="2696"/>
      <c r="Y54" s="2696"/>
      <c r="Z54" s="2696"/>
      <c r="AA54" s="2696"/>
      <c r="AB54" s="2696"/>
      <c r="AC54" s="2696"/>
    </row>
    <row r="55" spans="1:29" ht="29.4" thickTop="1">
      <c r="A55" s="478"/>
      <c r="B55" s="482" t="s">
        <v>1688</v>
      </c>
      <c r="C55" s="527"/>
      <c r="D55" s="527"/>
      <c r="E55" s="527"/>
      <c r="F55" s="527"/>
      <c r="G55" s="527"/>
      <c r="H55" s="527"/>
      <c r="I55" s="527"/>
      <c r="J55" s="527"/>
      <c r="K55" s="528"/>
      <c r="L55" s="529"/>
      <c r="M55" s="530"/>
      <c r="N55" s="2724"/>
      <c r="O55" s="2724"/>
      <c r="P55" s="2733"/>
      <c r="Q55" s="2710"/>
      <c r="R55" s="2696"/>
      <c r="S55" s="2696"/>
      <c r="T55" s="2696"/>
      <c r="U55" s="2696"/>
      <c r="V55" s="2696"/>
      <c r="W55" s="2696"/>
      <c r="X55" s="2696"/>
      <c r="Y55" s="2696"/>
      <c r="Z55" s="2696"/>
      <c r="AA55" s="2696"/>
      <c r="AB55" s="2696"/>
      <c r="AC55" s="2696"/>
    </row>
    <row r="56" spans="1:29" ht="14.4" thickBot="1">
      <c r="A56" s="478"/>
      <c r="B56" s="487"/>
      <c r="C56" s="480"/>
      <c r="D56" s="480"/>
      <c r="E56" s="480"/>
      <c r="F56" s="480"/>
      <c r="G56" s="480"/>
      <c r="H56" s="480"/>
      <c r="I56" s="480"/>
      <c r="J56" s="480"/>
      <c r="K56" s="480"/>
      <c r="L56" s="480"/>
      <c r="M56" s="481"/>
      <c r="N56" s="2725"/>
      <c r="O56" s="2725"/>
      <c r="P56" s="2733"/>
      <c r="Q56" s="2710"/>
      <c r="R56" s="2696"/>
      <c r="S56" s="2696"/>
      <c r="T56" s="2696"/>
      <c r="U56" s="2696"/>
      <c r="V56" s="2696"/>
      <c r="W56" s="2696"/>
      <c r="X56" s="2696"/>
      <c r="Y56" s="2696"/>
      <c r="Z56" s="2696"/>
      <c r="AA56" s="2696"/>
      <c r="AB56" s="2696"/>
      <c r="AC56" s="2696"/>
    </row>
    <row r="57" spans="1:29" ht="14.4" thickTop="1">
      <c r="A57" s="478"/>
      <c r="B57" s="600">
        <f>B11</f>
        <v>111</v>
      </c>
      <c r="C57" s="493"/>
      <c r="D57" s="493"/>
      <c r="E57" s="493"/>
      <c r="F57" s="493"/>
      <c r="G57" s="493"/>
      <c r="H57" s="493"/>
      <c r="I57" s="493"/>
      <c r="J57" s="493"/>
      <c r="K57" s="494"/>
      <c r="L57" s="495"/>
      <c r="M57" s="496"/>
      <c r="N57" s="2724"/>
      <c r="O57" s="2724"/>
      <c r="P57" s="2733"/>
      <c r="Q57" s="2710"/>
      <c r="R57" s="2696"/>
      <c r="S57" s="2696"/>
      <c r="T57" s="2696"/>
      <c r="U57" s="2696"/>
      <c r="V57" s="2696"/>
      <c r="W57" s="2696"/>
      <c r="X57" s="2696"/>
      <c r="Y57" s="2696"/>
      <c r="Z57" s="2696"/>
      <c r="AA57" s="2696"/>
      <c r="AB57" s="2696"/>
      <c r="AC57" s="2696"/>
    </row>
    <row r="58" spans="1:29" ht="14.4" thickBot="1">
      <c r="A58" s="478"/>
      <c r="B58" s="479"/>
      <c r="C58" s="504"/>
      <c r="D58" s="480"/>
      <c r="E58" s="480"/>
      <c r="F58" s="480"/>
      <c r="G58" s="480"/>
      <c r="H58" s="480"/>
      <c r="I58" s="480"/>
      <c r="J58" s="480"/>
      <c r="K58" s="480"/>
      <c r="L58" s="480"/>
      <c r="M58" s="481"/>
      <c r="N58" s="2725"/>
      <c r="O58" s="2725"/>
      <c r="P58" s="2733"/>
      <c r="Q58" s="2710"/>
      <c r="R58" s="2696"/>
      <c r="S58" s="2696"/>
      <c r="T58" s="2696"/>
      <c r="U58" s="2696"/>
      <c r="V58" s="2696"/>
      <c r="W58" s="2696"/>
      <c r="X58" s="2696"/>
      <c r="Y58" s="2696"/>
      <c r="Z58" s="2696"/>
      <c r="AA58" s="2696"/>
      <c r="AB58" s="2696"/>
      <c r="AC58" s="2696"/>
    </row>
    <row r="59" spans="1:29" s="417" customFormat="1" ht="14.4" thickTop="1">
      <c r="A59" s="497"/>
      <c r="B59" s="482">
        <f>B12</f>
        <v>111</v>
      </c>
      <c r="C59" s="493"/>
      <c r="D59" s="493"/>
      <c r="E59" s="493"/>
      <c r="F59" s="493"/>
      <c r="G59" s="498"/>
      <c r="H59" s="499"/>
      <c r="I59" s="499"/>
      <c r="J59" s="499"/>
      <c r="K59" s="499"/>
      <c r="L59" s="500"/>
      <c r="M59" s="501"/>
      <c r="N59" s="2726"/>
      <c r="O59" s="2726"/>
      <c r="P59" s="2734"/>
      <c r="Q59" s="2717"/>
      <c r="R59" s="2718"/>
      <c r="S59" s="2718"/>
      <c r="T59" s="2718"/>
      <c r="U59" s="2718"/>
      <c r="V59" s="2718"/>
      <c r="W59" s="2718"/>
      <c r="X59" s="2718"/>
      <c r="Y59" s="2718"/>
      <c r="Z59" s="2718"/>
      <c r="AA59" s="2718"/>
      <c r="AB59" s="2718"/>
      <c r="AC59" s="2718"/>
    </row>
    <row r="60" spans="1:29" s="417" customFormat="1" ht="14.4" thickBot="1">
      <c r="A60" s="497"/>
      <c r="B60" s="487"/>
      <c r="C60" s="504"/>
      <c r="D60" s="480"/>
      <c r="E60" s="480"/>
      <c r="F60" s="480"/>
      <c r="G60" s="480"/>
      <c r="H60" s="480"/>
      <c r="I60" s="480"/>
      <c r="J60" s="480"/>
      <c r="K60" s="480"/>
      <c r="L60" s="480"/>
      <c r="M60" s="481"/>
      <c r="N60" s="2725"/>
      <c r="O60" s="2725"/>
      <c r="P60" s="2734"/>
      <c r="Q60" s="2717"/>
      <c r="R60" s="2718"/>
      <c r="S60" s="2718"/>
      <c r="T60" s="2718"/>
      <c r="U60" s="2718"/>
      <c r="V60" s="2718"/>
      <c r="W60" s="2718"/>
      <c r="X60" s="2718"/>
      <c r="Y60" s="2718"/>
      <c r="Z60" s="2718"/>
      <c r="AA60" s="2718"/>
      <c r="AB60" s="2718"/>
      <c r="AC60" s="2718"/>
    </row>
    <row r="61" spans="1:29" s="417" customFormat="1" ht="14.4" thickTop="1">
      <c r="A61" s="497"/>
      <c r="B61" s="482">
        <f>B13</f>
        <v>111</v>
      </c>
      <c r="C61" s="498"/>
      <c r="D61" s="498"/>
      <c r="E61" s="498"/>
      <c r="F61" s="498"/>
      <c r="G61" s="498"/>
      <c r="H61" s="499"/>
      <c r="I61" s="499"/>
      <c r="J61" s="499"/>
      <c r="K61" s="499"/>
      <c r="L61" s="500"/>
      <c r="M61" s="501"/>
      <c r="N61" s="2726"/>
      <c r="O61" s="2726"/>
      <c r="P61" s="2735"/>
      <c r="Q61" s="2720"/>
      <c r="R61" s="2718"/>
      <c r="S61" s="2718"/>
      <c r="T61" s="2718"/>
      <c r="U61" s="2718"/>
      <c r="V61" s="2718"/>
      <c r="W61" s="2718"/>
      <c r="X61" s="2718"/>
      <c r="Y61" s="2718"/>
      <c r="Z61" s="2718"/>
      <c r="AA61" s="2718"/>
      <c r="AB61" s="2718"/>
      <c r="AC61" s="2718"/>
    </row>
    <row r="62" spans="1:29" s="417" customFormat="1" ht="14.4" thickBot="1">
      <c r="A62" s="497"/>
      <c r="B62" s="487"/>
      <c r="C62" s="504"/>
      <c r="D62" s="504"/>
      <c r="E62" s="504"/>
      <c r="F62" s="504"/>
      <c r="G62" s="504"/>
      <c r="H62" s="506"/>
      <c r="I62" s="506"/>
      <c r="J62" s="506"/>
      <c r="K62" s="506"/>
      <c r="L62" s="506"/>
      <c r="M62" s="507"/>
      <c r="N62" s="2726"/>
      <c r="O62" s="2726"/>
      <c r="P62" s="2734"/>
      <c r="Q62" s="2717"/>
      <c r="R62" s="2718"/>
      <c r="S62" s="2718"/>
      <c r="T62" s="2718"/>
      <c r="U62" s="2718"/>
      <c r="V62" s="2718"/>
      <c r="W62" s="2718"/>
      <c r="X62" s="2718"/>
      <c r="Y62" s="2718"/>
      <c r="Z62" s="2718"/>
      <c r="AA62" s="2718"/>
      <c r="AB62" s="2718"/>
      <c r="AC62" s="2718"/>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24"/>
      <c r="O63" s="2724"/>
      <c r="P63" s="2737"/>
      <c r="Q63" s="2710"/>
      <c r="R63" s="2696"/>
      <c r="S63" s="2696"/>
      <c r="T63" s="2696"/>
      <c r="U63" s="2696"/>
      <c r="V63" s="2696"/>
      <c r="W63" s="2696"/>
      <c r="X63" s="2696"/>
      <c r="Y63" s="2696"/>
      <c r="Z63" s="2696"/>
      <c r="AA63" s="2696"/>
      <c r="AB63" s="2696"/>
      <c r="AC63" s="2696"/>
    </row>
    <row r="64" spans="1:29" ht="14.4" thickBot="1">
      <c r="A64" s="478"/>
      <c r="B64" s="487"/>
      <c r="C64" s="488">
        <v>100</v>
      </c>
      <c r="D64" s="488">
        <f>C64-$K14</f>
        <v>100</v>
      </c>
      <c r="E64" s="488">
        <f>D64-$K14</f>
        <v>100</v>
      </c>
      <c r="F64" s="488">
        <f>E64-$K14</f>
        <v>100</v>
      </c>
      <c r="G64" s="488">
        <f>F64-$K14</f>
        <v>100</v>
      </c>
      <c r="H64" s="488"/>
      <c r="I64" s="488"/>
      <c r="J64" s="488"/>
      <c r="K64" s="488"/>
      <c r="L64" s="488"/>
      <c r="M64" s="489"/>
      <c r="N64" s="2725"/>
      <c r="O64" s="2725"/>
      <c r="P64" s="2733"/>
      <c r="Q64" s="2710"/>
      <c r="R64" s="2696"/>
      <c r="S64" s="2696"/>
      <c r="T64" s="2696"/>
      <c r="U64" s="2696"/>
      <c r="V64" s="2696"/>
      <c r="W64" s="2696"/>
      <c r="X64" s="2696"/>
      <c r="Y64" s="2696"/>
      <c r="Z64" s="2696"/>
      <c r="AA64" s="2696"/>
      <c r="AB64" s="2696"/>
      <c r="AC64" s="2696"/>
    </row>
    <row r="65" spans="1:29" ht="15" thickTop="1">
      <c r="A65" s="478"/>
      <c r="B65" s="482" t="s">
        <v>1727</v>
      </c>
      <c r="C65" s="522" t="s">
        <v>1721</v>
      </c>
      <c r="D65" s="522" t="s">
        <v>1722</v>
      </c>
      <c r="E65" s="522" t="s">
        <v>1723</v>
      </c>
      <c r="F65" s="522" t="s">
        <v>1724</v>
      </c>
      <c r="G65" s="522" t="s">
        <v>1725</v>
      </c>
      <c r="H65" s="483"/>
      <c r="I65" s="483"/>
      <c r="J65" s="483"/>
      <c r="K65" s="484"/>
      <c r="L65" s="485"/>
      <c r="M65" s="486"/>
      <c r="N65" s="2724"/>
      <c r="O65" s="2724"/>
      <c r="P65" s="2733"/>
      <c r="Q65" s="2710"/>
      <c r="R65" s="2696"/>
      <c r="S65" s="2696"/>
      <c r="T65" s="2696"/>
      <c r="U65" s="2696"/>
      <c r="V65" s="2696"/>
      <c r="W65" s="2696"/>
      <c r="X65" s="2696"/>
      <c r="Y65" s="2696"/>
      <c r="Z65" s="2696"/>
      <c r="AA65" s="2696"/>
      <c r="AB65" s="2696"/>
      <c r="AC65" s="2696"/>
    </row>
    <row r="66" spans="1:29" ht="14.4" thickBot="1">
      <c r="A66" s="478"/>
      <c r="B66" s="487"/>
      <c r="C66" s="488">
        <v>100</v>
      </c>
      <c r="D66" s="488">
        <f>C66-$K16</f>
        <v>100</v>
      </c>
      <c r="E66" s="488">
        <f>D66-$K16</f>
        <v>100</v>
      </c>
      <c r="F66" s="488">
        <f>E66-$K16</f>
        <v>100</v>
      </c>
      <c r="G66" s="488">
        <f>F66-$K16</f>
        <v>100</v>
      </c>
      <c r="H66" s="488"/>
      <c r="I66" s="488"/>
      <c r="J66" s="488"/>
      <c r="K66" s="488"/>
      <c r="L66" s="488"/>
      <c r="M66" s="489"/>
      <c r="N66" s="2725"/>
      <c r="O66" s="2725"/>
      <c r="P66" s="2733"/>
      <c r="Q66" s="2710"/>
      <c r="R66" s="2696"/>
      <c r="S66" s="2696"/>
      <c r="T66" s="2696"/>
      <c r="U66" s="2696"/>
      <c r="V66" s="2696"/>
      <c r="W66" s="2696"/>
      <c r="X66" s="2696"/>
      <c r="Y66" s="2696"/>
      <c r="Z66" s="2696"/>
      <c r="AA66" s="2696"/>
      <c r="AB66" s="2696"/>
      <c r="AC66" s="2696"/>
    </row>
    <row r="67" spans="1:29" ht="15" thickTop="1">
      <c r="A67" s="478"/>
      <c r="B67" s="490" t="s">
        <v>1813</v>
      </c>
      <c r="C67" s="600" t="s">
        <v>1799</v>
      </c>
      <c r="D67" s="600" t="s">
        <v>1800</v>
      </c>
      <c r="E67" s="600" t="s">
        <v>1801</v>
      </c>
      <c r="F67" s="600" t="s">
        <v>1802</v>
      </c>
      <c r="G67" s="600" t="s">
        <v>1803</v>
      </c>
      <c r="H67" s="483"/>
      <c r="I67" s="483"/>
      <c r="J67" s="483"/>
      <c r="K67" s="483"/>
      <c r="L67" s="483"/>
      <c r="M67" s="1117"/>
      <c r="N67" s="2725"/>
      <c r="O67" s="2725"/>
      <c r="P67" s="2733"/>
      <c r="Q67" s="2710"/>
      <c r="R67" s="2696"/>
      <c r="S67" s="2696"/>
      <c r="T67" s="2696"/>
      <c r="U67" s="2696"/>
      <c r="V67" s="2696"/>
      <c r="W67" s="2696"/>
      <c r="X67" s="2696"/>
      <c r="Y67" s="2696"/>
      <c r="Z67" s="2696"/>
      <c r="AA67" s="2696"/>
      <c r="AB67" s="2696"/>
      <c r="AC67" s="2696"/>
    </row>
    <row r="68" spans="1:29" ht="14.4" thickBot="1">
      <c r="A68" s="478"/>
      <c r="B68" s="490"/>
      <c r="C68" s="488">
        <v>100</v>
      </c>
      <c r="D68" s="488">
        <f>C68-$K18</f>
        <v>100</v>
      </c>
      <c r="E68" s="488">
        <f>D68-$K18</f>
        <v>100</v>
      </c>
      <c r="F68" s="488">
        <f>E68-$K18</f>
        <v>100</v>
      </c>
      <c r="G68" s="488">
        <f>F68-$K18</f>
        <v>100</v>
      </c>
      <c r="H68" s="600"/>
      <c r="I68" s="600"/>
      <c r="J68" s="600"/>
      <c r="K68" s="600"/>
      <c r="L68" s="600"/>
      <c r="M68" s="396"/>
      <c r="N68" s="2725"/>
      <c r="O68" s="2725"/>
      <c r="P68" s="2733"/>
      <c r="Q68" s="2710"/>
      <c r="R68" s="2696"/>
      <c r="S68" s="2696"/>
      <c r="T68" s="2696"/>
      <c r="U68" s="2696"/>
      <c r="V68" s="2696"/>
      <c r="W68" s="2696"/>
      <c r="X68" s="2696"/>
      <c r="Y68" s="2696"/>
      <c r="Z68" s="2696"/>
      <c r="AA68" s="2696"/>
      <c r="AB68" s="2696"/>
      <c r="AC68" s="2696"/>
    </row>
    <row r="69" spans="1:29" ht="15" thickTop="1">
      <c r="A69" s="478"/>
      <c r="B69" s="482" t="s">
        <v>1733</v>
      </c>
      <c r="C69" s="522" t="s">
        <v>1721</v>
      </c>
      <c r="D69" s="522" t="s">
        <v>1722</v>
      </c>
      <c r="E69" s="522" t="s">
        <v>1723</v>
      </c>
      <c r="F69" s="522" t="s">
        <v>1724</v>
      </c>
      <c r="G69" s="522" t="s">
        <v>1725</v>
      </c>
      <c r="H69" s="483"/>
      <c r="I69" s="483"/>
      <c r="J69" s="483"/>
      <c r="K69" s="484"/>
      <c r="L69" s="485"/>
      <c r="M69" s="486"/>
      <c r="N69" s="2724"/>
      <c r="O69" s="2724"/>
      <c r="P69" s="2733"/>
      <c r="Q69" s="2710"/>
      <c r="R69" s="2696"/>
      <c r="S69" s="2696"/>
      <c r="T69" s="2696"/>
      <c r="U69" s="2696"/>
      <c r="V69" s="2696"/>
      <c r="W69" s="2696"/>
      <c r="X69" s="2696"/>
      <c r="Y69" s="2696"/>
      <c r="Z69" s="2696"/>
      <c r="AA69" s="2696"/>
      <c r="AB69" s="2696"/>
      <c r="AC69" s="2696"/>
    </row>
    <row r="70" spans="1:29" ht="14.4" thickBot="1">
      <c r="A70" s="478"/>
      <c r="B70" s="487"/>
      <c r="C70" s="488">
        <v>100</v>
      </c>
      <c r="D70" s="488">
        <f>C70-$K20</f>
        <v>100</v>
      </c>
      <c r="E70" s="488">
        <f>D70-$K20</f>
        <v>100</v>
      </c>
      <c r="F70" s="488">
        <f>E70-$K20</f>
        <v>100</v>
      </c>
      <c r="G70" s="488">
        <f>F70-$K20</f>
        <v>100</v>
      </c>
      <c r="H70" s="488"/>
      <c r="I70" s="488"/>
      <c r="J70" s="488"/>
      <c r="K70" s="488"/>
      <c r="L70" s="488"/>
      <c r="M70" s="489"/>
      <c r="N70" s="2725"/>
      <c r="O70" s="2725"/>
      <c r="P70" s="2733"/>
      <c r="Q70" s="2710"/>
      <c r="R70" s="2696"/>
      <c r="S70" s="2696"/>
      <c r="T70" s="2696"/>
      <c r="U70" s="2696"/>
      <c r="V70" s="2696"/>
      <c r="W70" s="2696"/>
      <c r="X70" s="2696"/>
      <c r="Y70" s="2696"/>
      <c r="Z70" s="2696"/>
      <c r="AA70" s="2696"/>
      <c r="AB70" s="2696"/>
      <c r="AC70" s="2696"/>
    </row>
    <row r="71" spans="1:29" ht="15" thickTop="1">
      <c r="A71" s="478"/>
      <c r="B71" s="482" t="s">
        <v>1852</v>
      </c>
      <c r="C71" s="498"/>
      <c r="D71" s="498"/>
      <c r="E71" s="498"/>
      <c r="F71" s="498"/>
      <c r="G71" s="498"/>
      <c r="H71" s="527"/>
      <c r="I71" s="527"/>
      <c r="J71" s="527"/>
      <c r="K71" s="528"/>
      <c r="L71" s="529"/>
      <c r="M71" s="530"/>
      <c r="N71" s="2724"/>
      <c r="O71" s="2724"/>
      <c r="P71" s="2733"/>
      <c r="Q71" s="2710"/>
      <c r="R71" s="2696"/>
      <c r="S71" s="2696"/>
      <c r="T71" s="2696"/>
      <c r="U71" s="2696"/>
      <c r="V71" s="2696"/>
      <c r="W71" s="2696"/>
      <c r="X71" s="2696"/>
      <c r="Y71" s="2696"/>
      <c r="Z71" s="2696"/>
      <c r="AA71" s="2696"/>
      <c r="AB71" s="2696"/>
      <c r="AC71" s="2696"/>
    </row>
    <row r="72" spans="1:29" ht="14.4" thickBot="1">
      <c r="A72" s="478"/>
      <c r="B72" s="487"/>
      <c r="C72" s="488">
        <v>100</v>
      </c>
      <c r="D72" s="488">
        <f>C72-$K22</f>
        <v>100</v>
      </c>
      <c r="E72" s="488">
        <f>D72-$K22</f>
        <v>100</v>
      </c>
      <c r="F72" s="488">
        <f>E72-$K22</f>
        <v>100</v>
      </c>
      <c r="G72" s="488">
        <f>F72-$K22</f>
        <v>100</v>
      </c>
      <c r="H72" s="488"/>
      <c r="I72" s="488"/>
      <c r="J72" s="488"/>
      <c r="K72" s="488"/>
      <c r="L72" s="488"/>
      <c r="M72" s="489"/>
      <c r="N72" s="2725"/>
      <c r="O72" s="2725"/>
      <c r="P72" s="2733"/>
      <c r="Q72" s="2710"/>
      <c r="R72" s="2696"/>
      <c r="S72" s="2696"/>
      <c r="T72" s="2696"/>
      <c r="U72" s="2696"/>
      <c r="V72" s="2696"/>
      <c r="W72" s="2696"/>
      <c r="X72" s="2696"/>
      <c r="Y72" s="2696"/>
      <c r="Z72" s="2696"/>
      <c r="AA72" s="2696"/>
      <c r="AB72" s="2696"/>
      <c r="AC72" s="2696"/>
    </row>
    <row r="73" spans="1:29" s="108" customFormat="1" ht="14.4" thickTop="1">
      <c r="A73" s="523"/>
      <c r="B73" s="482">
        <f>B23</f>
        <v>111</v>
      </c>
      <c r="C73" s="493"/>
      <c r="D73" s="493"/>
      <c r="E73" s="493"/>
      <c r="F73" s="493"/>
      <c r="G73" s="498"/>
      <c r="H73" s="498"/>
      <c r="I73" s="498"/>
      <c r="J73" s="498"/>
      <c r="K73" s="498"/>
      <c r="L73" s="524"/>
      <c r="M73" s="525"/>
      <c r="N73" s="2723"/>
      <c r="O73" s="2723"/>
      <c r="P73" s="2733"/>
      <c r="Q73" s="2710"/>
      <c r="R73" s="2632"/>
      <c r="S73" s="2632"/>
      <c r="T73" s="2632"/>
      <c r="U73" s="2632"/>
      <c r="V73" s="2632"/>
      <c r="W73" s="2632"/>
      <c r="X73" s="2632"/>
      <c r="Y73" s="2632"/>
      <c r="Z73" s="2632"/>
      <c r="AA73" s="2632"/>
      <c r="AB73" s="2632"/>
      <c r="AC73" s="2632"/>
    </row>
    <row r="74" spans="1:29" s="108" customFormat="1" ht="14.4" thickBot="1">
      <c r="A74" s="523"/>
      <c r="B74" s="487"/>
      <c r="C74" s="504"/>
      <c r="D74" s="480"/>
      <c r="E74" s="480"/>
      <c r="F74" s="480"/>
      <c r="G74" s="480"/>
      <c r="H74" s="480"/>
      <c r="I74" s="480"/>
      <c r="J74" s="480"/>
      <c r="K74" s="480"/>
      <c r="L74" s="480"/>
      <c r="M74" s="481"/>
      <c r="N74" s="2725"/>
      <c r="O74" s="2725"/>
      <c r="P74" s="2733"/>
      <c r="Q74" s="2710"/>
      <c r="R74" s="2632"/>
      <c r="S74" s="2632"/>
      <c r="T74" s="2632"/>
      <c r="U74" s="2632"/>
      <c r="V74" s="2632"/>
      <c r="W74" s="2632"/>
      <c r="X74" s="2632"/>
      <c r="Y74" s="2632"/>
      <c r="Z74" s="2632"/>
      <c r="AA74" s="2632"/>
      <c r="AB74" s="2632"/>
      <c r="AC74" s="2632"/>
    </row>
    <row r="75" spans="1:29" s="108" customFormat="1" ht="14.4" thickTop="1">
      <c r="A75" s="523"/>
      <c r="B75" s="482">
        <f>B24</f>
        <v>111</v>
      </c>
      <c r="C75" s="493"/>
      <c r="D75" s="493"/>
      <c r="E75" s="493"/>
      <c r="F75" s="493"/>
      <c r="G75" s="498"/>
      <c r="H75" s="498"/>
      <c r="I75" s="498"/>
      <c r="J75" s="498"/>
      <c r="K75" s="498"/>
      <c r="L75" s="498"/>
      <c r="M75" s="525"/>
      <c r="N75" s="2723"/>
      <c r="O75" s="2723"/>
      <c r="P75" s="2733"/>
      <c r="Q75" s="2710"/>
      <c r="R75" s="2632"/>
      <c r="S75" s="2632"/>
      <c r="T75" s="2632"/>
      <c r="U75" s="2632"/>
      <c r="V75" s="2632"/>
      <c r="W75" s="2632"/>
      <c r="X75" s="2632"/>
      <c r="Y75" s="2632"/>
      <c r="Z75" s="2632"/>
      <c r="AA75" s="2632"/>
      <c r="AB75" s="2632"/>
      <c r="AC75" s="2632"/>
    </row>
    <row r="76" spans="1:29" s="108" customFormat="1" ht="14.4" thickBot="1">
      <c r="A76" s="523"/>
      <c r="B76" s="487"/>
      <c r="C76" s="504"/>
      <c r="D76" s="480"/>
      <c r="E76" s="480"/>
      <c r="F76" s="480"/>
      <c r="G76" s="480"/>
      <c r="H76" s="480"/>
      <c r="I76" s="480"/>
      <c r="J76" s="480"/>
      <c r="K76" s="480"/>
      <c r="L76" s="480"/>
      <c r="M76" s="481"/>
      <c r="N76" s="2725"/>
      <c r="O76" s="2725"/>
      <c r="P76" s="2733"/>
      <c r="Q76" s="2710"/>
      <c r="R76" s="2632"/>
      <c r="S76" s="2632"/>
      <c r="T76" s="2632"/>
      <c r="U76" s="2632"/>
      <c r="V76" s="2632"/>
      <c r="W76" s="2632"/>
      <c r="X76" s="2632"/>
      <c r="Y76" s="2632"/>
      <c r="Z76" s="2632"/>
      <c r="AA76" s="2632"/>
      <c r="AB76" s="2632"/>
      <c r="AC76" s="2632"/>
    </row>
    <row r="77" spans="1:29" s="417" customFormat="1" ht="14.4" thickTop="1">
      <c r="A77" s="497"/>
      <c r="B77" s="482">
        <f>B25</f>
        <v>111</v>
      </c>
      <c r="C77" s="498"/>
      <c r="D77" s="498"/>
      <c r="E77" s="498"/>
      <c r="F77" s="498"/>
      <c r="G77" s="498"/>
      <c r="H77" s="499"/>
      <c r="I77" s="499"/>
      <c r="J77" s="499"/>
      <c r="K77" s="499"/>
      <c r="L77" s="500"/>
      <c r="M77" s="501"/>
      <c r="N77" s="2726"/>
      <c r="O77" s="2726"/>
      <c r="P77" s="2734"/>
      <c r="Q77" s="2717"/>
      <c r="R77" s="2718"/>
      <c r="S77" s="2718"/>
      <c r="T77" s="2718"/>
      <c r="U77" s="2718"/>
      <c r="V77" s="2718"/>
      <c r="W77" s="2718"/>
      <c r="X77" s="2718"/>
      <c r="Y77" s="2718"/>
      <c r="Z77" s="2718"/>
      <c r="AA77" s="2718"/>
      <c r="AB77" s="2718"/>
      <c r="AC77" s="2718"/>
    </row>
    <row r="78" spans="1:29" s="417" customFormat="1" ht="14.4" thickBot="1">
      <c r="A78" s="497"/>
      <c r="B78" s="487"/>
      <c r="C78" s="504"/>
      <c r="D78" s="504"/>
      <c r="E78" s="504"/>
      <c r="F78" s="504"/>
      <c r="G78" s="480"/>
      <c r="H78" s="480"/>
      <c r="I78" s="480"/>
      <c r="J78" s="480"/>
      <c r="K78" s="480"/>
      <c r="L78" s="480"/>
      <c r="M78" s="481"/>
      <c r="N78" s="2726"/>
      <c r="O78" s="2726"/>
      <c r="P78" s="2734"/>
      <c r="Q78" s="2717"/>
      <c r="R78" s="2718"/>
      <c r="S78" s="2718"/>
      <c r="T78" s="2718"/>
      <c r="U78" s="2718"/>
      <c r="V78" s="2718"/>
      <c r="W78" s="2718"/>
      <c r="X78" s="2718"/>
      <c r="Y78" s="2718"/>
      <c r="Z78" s="2718"/>
      <c r="AA78" s="2718"/>
      <c r="AB78" s="2718"/>
      <c r="AC78" s="2718"/>
    </row>
    <row r="79" spans="1:29" ht="29.4" thickTop="1">
      <c r="A79" s="471" t="s">
        <v>1694</v>
      </c>
      <c r="B79" s="472" t="s">
        <v>1853</v>
      </c>
      <c r="C79" s="473" t="str">
        <f>C26</f>
        <v>车库</v>
      </c>
      <c r="D79" s="474"/>
      <c r="E79" s="474"/>
      <c r="F79" s="474"/>
      <c r="G79" s="474"/>
      <c r="H79" s="474"/>
      <c r="I79" s="474"/>
      <c r="J79" s="474"/>
      <c r="K79" s="475"/>
      <c r="L79" s="476"/>
      <c r="M79" s="477"/>
      <c r="N79" s="2724"/>
      <c r="O79" s="2724"/>
      <c r="P79" s="2733"/>
      <c r="Q79" s="2710"/>
      <c r="R79" s="2696"/>
      <c r="S79" s="2696"/>
      <c r="T79" s="2696"/>
      <c r="U79" s="2696"/>
      <c r="V79" s="2696"/>
      <c r="W79" s="2696"/>
      <c r="X79" s="2696"/>
      <c r="Y79" s="2696"/>
      <c r="Z79" s="2696"/>
      <c r="AA79" s="2696"/>
      <c r="AB79" s="2696"/>
      <c r="AC79" s="2696"/>
    </row>
    <row r="80" spans="1:29" ht="14.4"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25"/>
      <c r="O80" s="2725"/>
      <c r="P80" s="2733"/>
      <c r="Q80" s="2710"/>
      <c r="R80" s="2696"/>
      <c r="S80" s="2696"/>
      <c r="T80" s="2696"/>
      <c r="U80" s="2696"/>
      <c r="V80" s="2696"/>
      <c r="W80" s="2696"/>
      <c r="X80" s="2696"/>
      <c r="Y80" s="2696"/>
      <c r="Z80" s="2696"/>
      <c r="AA80" s="2696"/>
      <c r="AB80" s="2696"/>
      <c r="AC80" s="2696"/>
    </row>
    <row r="81" spans="1:29" ht="15" thickTop="1">
      <c r="A81" s="478"/>
      <c r="B81" s="482" t="s">
        <v>1854</v>
      </c>
      <c r="C81" s="601"/>
      <c r="D81" s="601"/>
      <c r="E81" s="601"/>
      <c r="F81" s="601"/>
      <c r="G81" s="601"/>
      <c r="H81" s="601"/>
      <c r="I81" s="601"/>
      <c r="J81" s="601"/>
      <c r="K81" s="602"/>
      <c r="L81" s="603"/>
      <c r="M81" s="604"/>
      <c r="N81" s="2723"/>
      <c r="O81" s="2723"/>
      <c r="P81" s="2733"/>
      <c r="Q81" s="2710"/>
      <c r="R81" s="2696"/>
      <c r="S81" s="2696"/>
      <c r="T81" s="2696"/>
      <c r="U81" s="2696"/>
      <c r="V81" s="2696"/>
      <c r="W81" s="2696"/>
      <c r="X81" s="2696"/>
      <c r="Y81" s="2696"/>
      <c r="Z81" s="2696"/>
      <c r="AA81" s="2696"/>
      <c r="AB81" s="2696"/>
      <c r="AC81" s="2696"/>
    </row>
    <row r="82" spans="1:29" s="417" customFormat="1" ht="14.4" thickBot="1">
      <c r="A82" s="497"/>
      <c r="B82" s="487"/>
      <c r="C82" s="504"/>
      <c r="D82" s="480"/>
      <c r="E82" s="480"/>
      <c r="F82" s="480"/>
      <c r="G82" s="480"/>
      <c r="H82" s="480"/>
      <c r="I82" s="480"/>
      <c r="J82" s="480"/>
      <c r="K82" s="480"/>
      <c r="L82" s="480"/>
      <c r="M82" s="481"/>
      <c r="N82" s="2725"/>
      <c r="O82" s="2725"/>
      <c r="P82" s="2734"/>
      <c r="Q82" s="2717"/>
      <c r="R82" s="2718"/>
      <c r="S82" s="2718"/>
      <c r="T82" s="2718"/>
      <c r="U82" s="2718"/>
      <c r="V82" s="2718"/>
      <c r="W82" s="2718"/>
      <c r="X82" s="2718"/>
      <c r="Y82" s="2718"/>
      <c r="Z82" s="2718"/>
      <c r="AA82" s="2718"/>
      <c r="AB82" s="2718"/>
      <c r="AC82" s="2718"/>
    </row>
    <row r="83" spans="1:29" ht="15" thickTop="1">
      <c r="A83" s="543"/>
      <c r="B83" s="482" t="s">
        <v>1740</v>
      </c>
      <c r="C83" s="498"/>
      <c r="D83" s="498"/>
      <c r="E83" s="527"/>
      <c r="F83" s="527"/>
      <c r="G83" s="527"/>
      <c r="H83" s="527"/>
      <c r="I83" s="527"/>
      <c r="J83" s="527"/>
      <c r="K83" s="528"/>
      <c r="L83" s="529"/>
      <c r="M83" s="530"/>
      <c r="N83" s="2724"/>
      <c r="O83" s="2724"/>
      <c r="P83" s="2733"/>
      <c r="Q83" s="2710"/>
      <c r="R83" s="2696"/>
      <c r="S83" s="2696"/>
      <c r="T83" s="2696"/>
      <c r="U83" s="2696"/>
      <c r="V83" s="2696"/>
      <c r="W83" s="2696"/>
      <c r="X83" s="2696"/>
      <c r="Y83" s="2696"/>
      <c r="Z83" s="2696"/>
      <c r="AA83" s="2696"/>
      <c r="AB83" s="2696"/>
      <c r="AC83" s="2696"/>
    </row>
    <row r="84" spans="1:29" ht="14.4"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24"/>
      <c r="O85" s="2724"/>
      <c r="P85" s="2733"/>
      <c r="Q85" s="2710"/>
      <c r="R85" s="2696"/>
      <c r="S85" s="2696"/>
      <c r="T85" s="2696"/>
      <c r="U85" s="2696"/>
      <c r="V85" s="2696"/>
      <c r="W85" s="2696"/>
      <c r="X85" s="2696"/>
      <c r="Y85" s="2696"/>
      <c r="Z85" s="2696"/>
      <c r="AA85" s="2696"/>
      <c r="AB85" s="2696"/>
      <c r="AC85" s="2696"/>
    </row>
    <row r="86" spans="1:29">
      <c r="A86" s="543"/>
      <c r="B86" s="490"/>
      <c r="C86" s="547">
        <v>0.5</v>
      </c>
      <c r="D86" s="547">
        <v>0.6</v>
      </c>
      <c r="E86" s="547">
        <v>0.7</v>
      </c>
      <c r="F86" s="547">
        <v>0.8</v>
      </c>
      <c r="G86" s="547">
        <v>0.9</v>
      </c>
      <c r="H86" s="547">
        <v>1.0001</v>
      </c>
      <c r="I86" s="563"/>
      <c r="J86" s="563"/>
      <c r="K86" s="564"/>
      <c r="L86" s="565"/>
      <c r="M86" s="566"/>
      <c r="N86" s="2724"/>
      <c r="O86" s="2724"/>
      <c r="P86" s="2733"/>
      <c r="Q86" s="2710"/>
      <c r="R86" s="2696"/>
      <c r="S86" s="2696"/>
      <c r="T86" s="2696"/>
      <c r="U86" s="2696"/>
      <c r="V86" s="2696"/>
      <c r="W86" s="2696"/>
      <c r="X86" s="2696"/>
      <c r="Y86" s="2696"/>
      <c r="Z86" s="2696"/>
      <c r="AA86" s="2696"/>
      <c r="AB86" s="2696"/>
      <c r="AC86" s="2696"/>
    </row>
    <row r="87" spans="1:29" ht="14.4"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3"/>
      <c r="B88" s="490" t="s">
        <v>1856</v>
      </c>
      <c r="C88" s="474"/>
      <c r="D88" s="474"/>
      <c r="E88" s="474"/>
      <c r="F88" s="474"/>
      <c r="G88" s="474"/>
      <c r="H88" s="474"/>
      <c r="I88" s="474"/>
      <c r="J88" s="474"/>
      <c r="K88" s="475"/>
      <c r="L88" s="476"/>
      <c r="M88" s="477"/>
      <c r="N88" s="2724"/>
      <c r="O88" s="2724"/>
      <c r="P88" s="2733"/>
      <c r="Q88" s="2710"/>
      <c r="R88" s="2696"/>
      <c r="S88" s="2696"/>
      <c r="T88" s="2696"/>
      <c r="U88" s="2696"/>
      <c r="V88" s="2696"/>
      <c r="W88" s="2696"/>
      <c r="X88" s="2696"/>
      <c r="Y88" s="2696"/>
      <c r="Z88" s="2696"/>
      <c r="AA88" s="2696"/>
      <c r="AB88" s="2696"/>
      <c r="AC88" s="2696"/>
    </row>
    <row r="89" spans="1:29" ht="14.4"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25"/>
      <c r="O89" s="2725"/>
      <c r="P89" s="2733"/>
      <c r="Q89" s="2710"/>
      <c r="R89" s="2696"/>
      <c r="S89" s="2696"/>
      <c r="T89" s="2696"/>
      <c r="U89" s="2696"/>
      <c r="V89" s="2696"/>
      <c r="W89" s="2696"/>
      <c r="X89" s="2696"/>
      <c r="Y89" s="2696"/>
      <c r="Z89" s="2696"/>
      <c r="AA89" s="2696"/>
      <c r="AB89" s="2696"/>
      <c r="AC89" s="2696"/>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2" t="str">
        <f>M91&amp;"(含)"&amp;"-"&amp;P91</f>
        <v>(含)-</v>
      </c>
      <c r="N90" s="2726"/>
      <c r="O90" s="2726"/>
      <c r="P90" s="2734"/>
      <c r="Q90" s="2717"/>
      <c r="R90" s="2718"/>
      <c r="S90" s="2718"/>
      <c r="T90" s="2718"/>
      <c r="U90" s="2718"/>
      <c r="V90" s="2718"/>
      <c r="W90" s="2718"/>
      <c r="X90" s="2718"/>
      <c r="Y90" s="2718"/>
      <c r="Z90" s="2718"/>
      <c r="AA90" s="2718"/>
      <c r="AB90" s="2718"/>
      <c r="AC90" s="2718"/>
    </row>
    <row r="91" spans="1:29" s="417" customFormat="1">
      <c r="A91" s="537"/>
      <c r="B91" s="490"/>
      <c r="C91" s="539"/>
      <c r="D91" s="539"/>
      <c r="E91" s="539"/>
      <c r="F91" s="539"/>
      <c r="G91" s="539"/>
      <c r="H91" s="539"/>
      <c r="I91" s="539"/>
      <c r="J91" s="540"/>
      <c r="K91" s="540"/>
      <c r="L91" s="541"/>
      <c r="M91" s="542"/>
      <c r="N91" s="2726"/>
      <c r="O91" s="2726"/>
      <c r="P91" s="2734"/>
      <c r="Q91" s="2717"/>
      <c r="R91" s="2718"/>
      <c r="S91" s="2718"/>
      <c r="T91" s="2718"/>
      <c r="U91" s="2718"/>
      <c r="V91" s="2718"/>
      <c r="W91" s="2718"/>
      <c r="X91" s="2718"/>
      <c r="Y91" s="2718"/>
      <c r="Z91" s="2718"/>
      <c r="AA91" s="2718"/>
      <c r="AB91" s="2718"/>
      <c r="AC91" s="2718"/>
    </row>
    <row r="92" spans="1:29" s="417" customFormat="1" ht="14.4" thickBot="1">
      <c r="A92" s="497"/>
      <c r="B92" s="487"/>
      <c r="C92" s="504"/>
      <c r="D92" s="480"/>
      <c r="E92" s="480"/>
      <c r="F92" s="480"/>
      <c r="G92" s="480"/>
      <c r="H92" s="480"/>
      <c r="I92" s="480"/>
      <c r="J92" s="480"/>
      <c r="K92" s="480"/>
      <c r="L92" s="480"/>
      <c r="M92" s="481"/>
      <c r="N92" s="2726"/>
      <c r="O92" s="2726"/>
      <c r="P92" s="2734"/>
      <c r="Q92" s="2717"/>
      <c r="R92" s="2718"/>
      <c r="S92" s="2718"/>
      <c r="T92" s="2718"/>
      <c r="U92" s="2718"/>
      <c r="V92" s="2718"/>
      <c r="W92" s="2718"/>
      <c r="X92" s="2718"/>
      <c r="Y92" s="2718"/>
      <c r="Z92" s="2718"/>
      <c r="AA92" s="2718"/>
      <c r="AB92" s="2718"/>
      <c r="AC92" s="2718"/>
    </row>
    <row r="93" spans="1:29" ht="15" thickTop="1">
      <c r="A93" s="543"/>
      <c r="B93" s="482" t="s">
        <v>1858</v>
      </c>
      <c r="C93" s="498"/>
      <c r="D93" s="498"/>
      <c r="E93" s="527"/>
      <c r="F93" s="527"/>
      <c r="G93" s="527"/>
      <c r="H93" s="527"/>
      <c r="I93" s="527"/>
      <c r="J93" s="527"/>
      <c r="K93" s="528"/>
      <c r="L93" s="529"/>
      <c r="M93" s="530"/>
      <c r="N93" s="2724"/>
      <c r="O93" s="2724"/>
      <c r="P93" s="2733"/>
      <c r="Q93" s="2710"/>
      <c r="R93" s="2696"/>
      <c r="S93" s="2696"/>
      <c r="T93" s="2696"/>
      <c r="U93" s="2696"/>
      <c r="V93" s="2696"/>
      <c r="W93" s="2696"/>
      <c r="X93" s="2696"/>
      <c r="Y93" s="2696"/>
      <c r="Z93" s="2696"/>
      <c r="AA93" s="2696"/>
      <c r="AB93" s="2696"/>
      <c r="AC93" s="2696"/>
    </row>
    <row r="94" spans="1:29" ht="14.4"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3"/>
      <c r="B95" s="482" t="s">
        <v>1859</v>
      </c>
      <c r="C95" s="474"/>
      <c r="D95" s="474"/>
      <c r="E95" s="474"/>
      <c r="F95" s="474"/>
      <c r="G95" s="474"/>
      <c r="H95" s="474"/>
      <c r="I95" s="474"/>
      <c r="J95" s="474"/>
      <c r="K95" s="475"/>
      <c r="L95" s="476"/>
      <c r="M95" s="477"/>
      <c r="N95" s="2724"/>
      <c r="O95" s="2724"/>
      <c r="P95" s="2733"/>
      <c r="Q95" s="2710"/>
      <c r="R95" s="2696"/>
      <c r="S95" s="2696"/>
      <c r="T95" s="2696"/>
      <c r="U95" s="2696"/>
      <c r="V95" s="2696"/>
      <c r="W95" s="2696"/>
      <c r="X95" s="2696"/>
      <c r="Y95" s="2696"/>
      <c r="Z95" s="2696"/>
      <c r="AA95" s="2696"/>
      <c r="AB95" s="2696"/>
      <c r="AC95" s="2696"/>
    </row>
    <row r="96" spans="1:29" ht="14.4" thickBot="1">
      <c r="A96" s="478"/>
      <c r="B96" s="487"/>
      <c r="C96" s="488">
        <v>100</v>
      </c>
      <c r="D96" s="488">
        <f>C96-$K33</f>
        <v>100</v>
      </c>
      <c r="E96" s="488">
        <f>D96-$K33</f>
        <v>100</v>
      </c>
      <c r="F96" s="488">
        <f>E96-$K33</f>
        <v>100</v>
      </c>
      <c r="G96" s="488">
        <f>F96-$K33</f>
        <v>100</v>
      </c>
      <c r="H96" s="488"/>
      <c r="I96" s="488"/>
      <c r="J96" s="488"/>
      <c r="K96" s="488"/>
      <c r="L96" s="488"/>
      <c r="M96" s="489"/>
      <c r="N96" s="2725"/>
      <c r="O96" s="2725"/>
      <c r="P96" s="2733"/>
      <c r="Q96" s="2710"/>
      <c r="R96" s="2696"/>
      <c r="S96" s="2696"/>
      <c r="T96" s="2696"/>
      <c r="U96" s="2696"/>
      <c r="V96" s="2696"/>
      <c r="W96" s="2696"/>
      <c r="X96" s="2696"/>
      <c r="Y96" s="2696"/>
      <c r="Z96" s="2696"/>
      <c r="AA96" s="2696"/>
      <c r="AB96" s="2696"/>
      <c r="AC96" s="2696"/>
    </row>
    <row r="97" spans="1:29" ht="14.4" thickTop="1">
      <c r="A97" s="543"/>
      <c r="B97" s="576">
        <f>B34</f>
        <v>111</v>
      </c>
      <c r="C97" s="493"/>
      <c r="D97" s="493"/>
      <c r="E97" s="493"/>
      <c r="F97" s="493"/>
      <c r="G97" s="498"/>
      <c r="H97" s="499"/>
      <c r="I97" s="499"/>
      <c r="J97" s="499"/>
      <c r="K97" s="499"/>
      <c r="L97" s="500"/>
      <c r="M97" s="501"/>
      <c r="N97" s="2725"/>
      <c r="O97" s="2725"/>
      <c r="P97" s="2738"/>
      <c r="Q97" s="2739"/>
      <c r="R97" s="2696"/>
      <c r="S97" s="2696"/>
      <c r="T97" s="2696"/>
      <c r="U97" s="2696"/>
      <c r="V97" s="2696"/>
      <c r="W97" s="2696"/>
      <c r="X97" s="2696"/>
      <c r="Y97" s="2696"/>
      <c r="Z97" s="2696"/>
      <c r="AA97" s="2696"/>
      <c r="AB97" s="2696"/>
      <c r="AC97" s="2696"/>
    </row>
    <row r="98" spans="1:29" ht="14.4" thickBot="1">
      <c r="A98" s="478"/>
      <c r="B98" s="487"/>
      <c r="C98" s="504"/>
      <c r="D98" s="480"/>
      <c r="E98" s="480"/>
      <c r="F98" s="480"/>
      <c r="G98" s="504"/>
      <c r="H98" s="506"/>
      <c r="I98" s="506"/>
      <c r="J98" s="506"/>
      <c r="K98" s="506"/>
      <c r="L98" s="506"/>
      <c r="M98" s="507"/>
      <c r="N98" s="2725"/>
      <c r="O98" s="2725"/>
      <c r="P98" s="2733"/>
      <c r="Q98" s="2710"/>
      <c r="R98" s="2696"/>
      <c r="S98" s="2696"/>
      <c r="T98" s="2696"/>
      <c r="U98" s="2696"/>
      <c r="V98" s="2696"/>
      <c r="W98" s="2696"/>
      <c r="X98" s="2696"/>
      <c r="Y98" s="2696"/>
      <c r="Z98" s="2696"/>
      <c r="AA98" s="2696"/>
      <c r="AB98" s="2696"/>
      <c r="AC98" s="2696"/>
    </row>
    <row r="99" spans="1:29" s="417" customFormat="1" ht="14.4" thickTop="1">
      <c r="A99" s="537"/>
      <c r="B99" s="482">
        <f>B35</f>
        <v>111</v>
      </c>
      <c r="C99" s="493"/>
      <c r="D99" s="493"/>
      <c r="E99" s="493"/>
      <c r="F99" s="493"/>
      <c r="G99" s="498"/>
      <c r="H99" s="499"/>
      <c r="I99" s="499"/>
      <c r="J99" s="499"/>
      <c r="K99" s="499"/>
      <c r="L99" s="500"/>
      <c r="M99" s="501"/>
      <c r="N99" s="2726"/>
      <c r="O99" s="2726"/>
      <c r="P99" s="2734"/>
      <c r="Q99" s="2717"/>
      <c r="R99" s="2718"/>
      <c r="S99" s="2718"/>
      <c r="T99" s="2718"/>
      <c r="U99" s="2718"/>
      <c r="V99" s="2718"/>
      <c r="W99" s="2718"/>
      <c r="X99" s="2718"/>
      <c r="Y99" s="2718"/>
      <c r="Z99" s="2718"/>
      <c r="AA99" s="2718"/>
      <c r="AB99" s="2718"/>
      <c r="AC99" s="2718"/>
    </row>
    <row r="100" spans="1:29" s="417" customFormat="1" ht="14.4" thickBot="1">
      <c r="A100" s="497"/>
      <c r="B100" s="479"/>
      <c r="C100" s="504"/>
      <c r="D100" s="480"/>
      <c r="E100" s="480"/>
      <c r="F100" s="480"/>
      <c r="G100" s="504"/>
      <c r="H100" s="506"/>
      <c r="I100" s="506"/>
      <c r="J100" s="506"/>
      <c r="K100" s="506"/>
      <c r="L100" s="506"/>
      <c r="M100" s="507"/>
      <c r="N100" s="2726"/>
      <c r="O100" s="2726"/>
      <c r="P100" s="2734"/>
      <c r="Q100" s="2717"/>
      <c r="R100" s="2718"/>
      <c r="S100" s="2718"/>
      <c r="T100" s="2718"/>
      <c r="U100" s="2718"/>
      <c r="V100" s="2718"/>
      <c r="W100" s="2718"/>
      <c r="X100" s="2718"/>
      <c r="Y100" s="2718"/>
      <c r="Z100" s="2718"/>
      <c r="AA100" s="2718"/>
      <c r="AB100" s="2718"/>
      <c r="AC100" s="2718"/>
    </row>
    <row r="101" spans="1:29" ht="14.4" thickTop="1">
      <c r="A101" s="543"/>
      <c r="B101" s="482">
        <f>B36</f>
        <v>111</v>
      </c>
      <c r="C101" s="498"/>
      <c r="D101" s="498"/>
      <c r="E101" s="498"/>
      <c r="F101" s="498"/>
      <c r="G101" s="498"/>
      <c r="H101" s="499"/>
      <c r="I101" s="499"/>
      <c r="J101" s="499"/>
      <c r="K101" s="499"/>
      <c r="L101" s="500"/>
      <c r="M101" s="501"/>
      <c r="N101" s="2724"/>
      <c r="O101" s="2724"/>
      <c r="P101" s="2733"/>
      <c r="Q101" s="2710"/>
      <c r="R101" s="2696"/>
      <c r="S101" s="2696"/>
      <c r="T101" s="2696"/>
      <c r="U101" s="2696"/>
      <c r="V101" s="2696"/>
      <c r="W101" s="2696"/>
      <c r="X101" s="2696"/>
      <c r="Y101" s="2696"/>
      <c r="Z101" s="2696"/>
      <c r="AA101" s="2696"/>
      <c r="AB101" s="2696"/>
      <c r="AC101" s="2696"/>
    </row>
    <row r="102" spans="1:29" ht="14.4" thickBot="1">
      <c r="A102" s="478"/>
      <c r="B102" s="487"/>
      <c r="C102" s="504"/>
      <c r="D102" s="504"/>
      <c r="E102" s="504"/>
      <c r="F102" s="504"/>
      <c r="G102" s="504"/>
      <c r="H102" s="506"/>
      <c r="I102" s="506"/>
      <c r="J102" s="506"/>
      <c r="K102" s="506"/>
      <c r="L102" s="506"/>
      <c r="M102" s="507"/>
      <c r="N102" s="2725"/>
      <c r="O102" s="2725"/>
      <c r="P102" s="2733"/>
      <c r="Q102" s="2710"/>
      <c r="R102" s="2696"/>
      <c r="S102" s="2696"/>
      <c r="T102" s="2696"/>
      <c r="U102" s="2696"/>
      <c r="V102" s="2696"/>
      <c r="W102" s="2696"/>
      <c r="X102" s="2696"/>
      <c r="Y102" s="2696"/>
      <c r="Z102" s="2696"/>
      <c r="AA102" s="2696"/>
      <c r="AB102" s="2696"/>
      <c r="AC102" s="2696"/>
    </row>
    <row r="103" spans="1:29" ht="14.4"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1831</v>
      </c>
      <c r="B1" s="1210" t="s">
        <v>3336</v>
      </c>
      <c r="C1" s="1211" t="s">
        <v>1662</v>
      </c>
      <c r="D1" s="1212"/>
      <c r="E1" s="3404"/>
      <c r="F1" s="1856"/>
      <c r="G1" s="1222" t="s">
        <v>1767</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IF(E1="项目模式",IF(C2="——",ROUND(C37*D3/10000,0),ROUND(C37*D3/10000,0)-D2),IF(E1="单套模式",IF(C2="——",ROUND(C37*D3/10000,4),ROUND(C37*D3/10000,4)-D2)))</f>
        <v>0</v>
      </c>
      <c r="C2" s="1858"/>
      <c r="D2" s="897" t="e">
        <f ca="1">IF(E1="项目模式",SUMIF(INDIRECT("'"&amp;F2&amp;"'"&amp;"!A:A"),"承租人权益价值",INDIRECT("'"&amp;F2&amp;"'"&amp;"!c:c")),SUMIF(INDIRECT("'"&amp;F2&amp;"'"&amp;"!A:A"),"承租人权益价值（单套）",INDIRECT("'"&amp;F2&amp;"'"&amp;"!c:c")))</f>
        <v>#REF!</v>
      </c>
      <c r="E2" s="1859" t="s">
        <v>1463</v>
      </c>
      <c r="F2" s="1860"/>
      <c r="G2" s="898"/>
      <c r="H2" s="898"/>
      <c r="I2" s="898"/>
      <c r="J2" s="898"/>
      <c r="K2" s="900"/>
      <c r="L2" s="2705"/>
      <c r="M2" s="2706"/>
      <c r="N2" s="2706"/>
      <c r="O2" s="2706"/>
      <c r="P2" s="691"/>
      <c r="Q2" s="691"/>
      <c r="R2" s="691"/>
      <c r="S2" s="691"/>
      <c r="T2" s="691"/>
      <c r="U2" s="691"/>
      <c r="V2" s="691"/>
      <c r="W2" s="691"/>
      <c r="X2" s="691"/>
      <c r="Y2" s="691"/>
      <c r="Z2" s="691"/>
      <c r="AA2" s="691"/>
      <c r="AB2" s="691"/>
      <c r="AC2" s="692"/>
    </row>
    <row r="3" spans="1:29" s="347" customFormat="1" ht="28.5" customHeight="1" thickBot="1">
      <c r="A3" s="198" t="s">
        <v>1464</v>
      </c>
      <c r="B3" s="550" t="e">
        <f>IF(C2="——",C37,ROUND(B2*10000/D3,0))</f>
        <v>#DIV/0!</v>
      </c>
      <c r="C3" s="349" t="s">
        <v>1768</v>
      </c>
      <c r="D3" s="348">
        <f>SUMIF('数据-汇总表'!$C19:$C33,D1,'数据-汇总表'!$E19:$E33)</f>
        <v>0</v>
      </c>
      <c r="E3" s="898"/>
      <c r="F3" s="899"/>
      <c r="G3" s="898"/>
      <c r="H3" s="898"/>
      <c r="I3" s="898"/>
      <c r="J3" s="898"/>
      <c r="K3" s="900"/>
      <c r="L3" s="2705"/>
      <c r="M3" s="2706"/>
      <c r="N3" s="2706"/>
      <c r="O3" s="2706"/>
      <c r="P3" s="691"/>
      <c r="Q3" s="691"/>
      <c r="R3" s="691"/>
      <c r="S3" s="691"/>
      <c r="T3" s="691"/>
      <c r="U3" s="691"/>
      <c r="V3" s="691"/>
      <c r="W3" s="691"/>
      <c r="X3" s="691"/>
      <c r="Y3" s="691"/>
      <c r="Z3" s="691"/>
      <c r="AA3" s="691"/>
      <c r="AB3" s="708"/>
      <c r="AC3" s="705"/>
    </row>
    <row r="4" spans="1:29" ht="14.4">
      <c r="A4" s="350" t="s">
        <v>1769</v>
      </c>
      <c r="B4" s="351"/>
      <c r="C4" s="4213" t="s">
        <v>1770</v>
      </c>
      <c r="D4" s="4214"/>
      <c r="E4" s="4215" t="s">
        <v>1771</v>
      </c>
      <c r="F4" s="4216"/>
      <c r="G4" s="4213" t="s">
        <v>1772</v>
      </c>
      <c r="H4" s="4214"/>
      <c r="I4" s="4213" t="s">
        <v>1773</v>
      </c>
      <c r="J4" s="4214"/>
      <c r="K4" s="551" t="s">
        <v>1774</v>
      </c>
      <c r="L4" s="2686"/>
      <c r="M4" s="2687"/>
      <c r="N4" s="2687"/>
      <c r="O4" s="2687"/>
      <c r="P4" s="4186" t="s">
        <v>1775</v>
      </c>
      <c r="Q4" s="4187"/>
      <c r="R4" s="4192" t="s">
        <v>1771</v>
      </c>
      <c r="S4" s="4193"/>
      <c r="T4" s="4192" t="s">
        <v>1772</v>
      </c>
      <c r="U4" s="4193"/>
      <c r="V4" s="4198" t="s">
        <v>1773</v>
      </c>
      <c r="W4" s="4198"/>
      <c r="X4" s="1342"/>
      <c r="Y4" s="4192" t="s">
        <v>1775</v>
      </c>
      <c r="Z4" s="4193"/>
      <c r="AA4" s="4179" t="s">
        <v>1771</v>
      </c>
      <c r="AB4" s="4180" t="s">
        <v>1772</v>
      </c>
      <c r="AC4" s="4179" t="s">
        <v>1773</v>
      </c>
    </row>
    <row r="5" spans="1:29">
      <c r="A5" s="353"/>
      <c r="B5" s="354"/>
      <c r="C5" s="4219" t="s">
        <v>1673</v>
      </c>
      <c r="D5" s="4220"/>
      <c r="E5" s="4223" t="s">
        <v>1674</v>
      </c>
      <c r="F5" s="4224"/>
      <c r="G5" s="4219" t="s">
        <v>1675</v>
      </c>
      <c r="H5" s="4220"/>
      <c r="I5" s="4219" t="s">
        <v>1676</v>
      </c>
      <c r="J5" s="4220"/>
      <c r="K5" s="551"/>
      <c r="L5" s="2686"/>
      <c r="M5" s="2687"/>
      <c r="N5" s="2687"/>
      <c r="O5" s="2687"/>
      <c r="P5" s="4188"/>
      <c r="Q5" s="4189"/>
      <c r="R5" s="4194"/>
      <c r="S5" s="4195"/>
      <c r="T5" s="4194"/>
      <c r="U5" s="4195"/>
      <c r="V5" s="4198"/>
      <c r="W5" s="4198"/>
      <c r="X5" s="1342"/>
      <c r="Y5" s="4194"/>
      <c r="Z5" s="4195"/>
      <c r="AA5" s="4180"/>
      <c r="AB5" s="4180"/>
      <c r="AC5" s="4180"/>
    </row>
    <row r="6" spans="1:29" ht="15" thickBot="1">
      <c r="A6" s="355"/>
      <c r="B6" s="356"/>
      <c r="C6" s="4217" t="s">
        <v>1677</v>
      </c>
      <c r="D6" s="4218"/>
      <c r="E6" s="4221" t="s">
        <v>1677</v>
      </c>
      <c r="F6" s="4222"/>
      <c r="G6" s="4217" t="s">
        <v>1677</v>
      </c>
      <c r="H6" s="4218"/>
      <c r="I6" s="4217" t="s">
        <v>1677</v>
      </c>
      <c r="J6" s="4218"/>
      <c r="K6" s="551" t="s">
        <v>1678</v>
      </c>
      <c r="L6" s="2686"/>
      <c r="M6" s="2687"/>
      <c r="N6" s="2687"/>
      <c r="O6" s="2687"/>
      <c r="P6" s="4190"/>
      <c r="Q6" s="4191"/>
      <c r="R6" s="4194"/>
      <c r="S6" s="4195"/>
      <c r="T6" s="4196"/>
      <c r="U6" s="4197"/>
      <c r="V6" s="4198"/>
      <c r="W6" s="4198"/>
      <c r="X6" s="1342"/>
      <c r="Y6" s="4196"/>
      <c r="Z6" s="4197"/>
      <c r="AA6" s="4181"/>
      <c r="AB6" s="4181"/>
      <c r="AC6" s="4181"/>
    </row>
    <row r="7" spans="1:29" s="108" customFormat="1" ht="15" thickBot="1">
      <c r="A7" s="357" t="s">
        <v>1679</v>
      </c>
      <c r="B7" s="358"/>
      <c r="C7" s="359">
        <f>'数据-取费表'!B2</f>
        <v>37917</v>
      </c>
      <c r="D7" s="360">
        <v>100</v>
      </c>
      <c r="E7" s="361"/>
      <c r="F7" s="362">
        <f>SUMIF(46:46,YEAR(E7)&amp;"-"&amp;MONTH(E7),47:47)</f>
        <v>0</v>
      </c>
      <c r="G7" s="1946"/>
      <c r="H7" s="360">
        <f>SUMIF(46:46,YEAR(G7)&amp;"-"&amp;MONTH(G7),47:47)</f>
        <v>0</v>
      </c>
      <c r="I7" s="361"/>
      <c r="J7" s="360">
        <f>SUMIF(46:46,YEAR(I7)&amp;"-"&amp;MONTH(I7),47:47)</f>
        <v>0</v>
      </c>
      <c r="K7" s="552"/>
      <c r="L7" s="2688"/>
      <c r="M7" s="2689"/>
      <c r="N7" s="2689"/>
      <c r="O7" s="2689"/>
      <c r="P7" s="4203" t="s">
        <v>1680</v>
      </c>
      <c r="Q7" s="4205"/>
      <c r="R7" s="693" t="s">
        <v>14</v>
      </c>
      <c r="S7" s="694">
        <f t="shared" ref="S7:S14" si="0">F7</f>
        <v>0</v>
      </c>
      <c r="T7" s="693" t="s">
        <v>14</v>
      </c>
      <c r="U7" s="694">
        <f t="shared" ref="U7:U14" si="1">H7</f>
        <v>0</v>
      </c>
      <c r="V7" s="693" t="s">
        <v>14</v>
      </c>
      <c r="W7" s="694">
        <f t="shared" ref="W7:W14" si="2">J7</f>
        <v>0</v>
      </c>
      <c r="X7" s="695"/>
      <c r="Y7" s="4203" t="s">
        <v>1680</v>
      </c>
      <c r="Z7" s="4204"/>
      <c r="AA7" s="696" t="e">
        <f>D7/F7</f>
        <v>#DIV/0!</v>
      </c>
      <c r="AB7" s="696" t="e">
        <f>D7/H7</f>
        <v>#DIV/0!</v>
      </c>
      <c r="AC7" s="696" t="e">
        <f>D7/J7</f>
        <v>#DIV/0!</v>
      </c>
    </row>
    <row r="8" spans="1:29" s="108" customFormat="1" ht="1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2"/>
      <c r="L8" s="2688"/>
      <c r="M8" s="2689"/>
      <c r="N8" s="2689"/>
      <c r="O8" s="2689"/>
      <c r="P8" s="4203" t="s">
        <v>1683</v>
      </c>
      <c r="Q8" s="4204"/>
      <c r="R8" s="693" t="s">
        <v>14</v>
      </c>
      <c r="S8" s="694">
        <f t="shared" si="0"/>
        <v>100</v>
      </c>
      <c r="T8" s="693" t="s">
        <v>14</v>
      </c>
      <c r="U8" s="694">
        <f t="shared" si="1"/>
        <v>100</v>
      </c>
      <c r="V8" s="693" t="s">
        <v>14</v>
      </c>
      <c r="W8" s="694">
        <f t="shared" si="2"/>
        <v>100</v>
      </c>
      <c r="X8" s="695"/>
      <c r="Y8" s="4203" t="s">
        <v>1683</v>
      </c>
      <c r="Z8" s="4204"/>
      <c r="AA8" s="696">
        <f t="shared" ref="AA8:AA34" si="3">D8/F8</f>
        <v>1</v>
      </c>
      <c r="AB8" s="696">
        <f t="shared" ref="AB8:AB34" si="4">D8/H8</f>
        <v>1</v>
      </c>
      <c r="AC8" s="696">
        <f t="shared" ref="AC8:AC34" si="5">D8/J8</f>
        <v>1</v>
      </c>
    </row>
    <row r="9" spans="1:29" s="108" customFormat="1" ht="14.4">
      <c r="A9" s="364" t="s">
        <v>1684</v>
      </c>
      <c r="B9" s="63" t="s">
        <v>1685</v>
      </c>
      <c r="C9" s="365"/>
      <c r="D9" s="126">
        <v>100</v>
      </c>
      <c r="E9" s="368"/>
      <c r="F9" s="367">
        <f>SUMIF(51:51,E9,52:52)-SUMIF(51:51,C9,52:52)+100</f>
        <v>100</v>
      </c>
      <c r="G9" s="368"/>
      <c r="H9" s="126">
        <f>SUMIF(51:51,G9,52:52)-SUMIF(51:51,C9,52:52)+100</f>
        <v>100</v>
      </c>
      <c r="I9" s="368"/>
      <c r="J9" s="126">
        <f>SUMIF(51:51,I9,52:52)-SUMIF(51:51,C9,52:52)+100</f>
        <v>100</v>
      </c>
      <c r="K9" s="552"/>
      <c r="L9" s="2688"/>
      <c r="M9" s="2689"/>
      <c r="N9" s="2689"/>
      <c r="O9" s="2743"/>
      <c r="P9" s="4166" t="s">
        <v>1686</v>
      </c>
      <c r="Q9" s="1330" t="str">
        <f t="shared" ref="Q9:Q14" si="6">B9</f>
        <v>用途</v>
      </c>
      <c r="R9" s="693" t="s">
        <v>14</v>
      </c>
      <c r="S9" s="694">
        <f t="shared" si="0"/>
        <v>100</v>
      </c>
      <c r="T9" s="693" t="s">
        <v>14</v>
      </c>
      <c r="U9" s="694">
        <f t="shared" si="1"/>
        <v>100</v>
      </c>
      <c r="V9" s="693" t="s">
        <v>14</v>
      </c>
      <c r="W9" s="694">
        <f t="shared" si="2"/>
        <v>100</v>
      </c>
      <c r="X9" s="695"/>
      <c r="Y9" s="4178" t="s">
        <v>1687</v>
      </c>
      <c r="Z9" s="52" t="str">
        <f t="shared" ref="Z9:Z14" si="7">Q9</f>
        <v>用途</v>
      </c>
      <c r="AA9" s="696">
        <f t="shared" si="3"/>
        <v>1</v>
      </c>
      <c r="AB9" s="696">
        <f t="shared" si="4"/>
        <v>1</v>
      </c>
      <c r="AC9" s="696">
        <f t="shared" si="5"/>
        <v>1</v>
      </c>
    </row>
    <row r="10" spans="1:29" s="373" customFormat="1" ht="28.8">
      <c r="A10" s="369"/>
      <c r="B10" s="370" t="s">
        <v>1688</v>
      </c>
      <c r="C10" s="3405"/>
      <c r="D10" s="127">
        <v>100</v>
      </c>
      <c r="E10" s="3405"/>
      <c r="F10" s="371">
        <f>SUMIF(53:53,E10,54:54)-SUMIF(53:53,C10,54:54)+100</f>
        <v>100</v>
      </c>
      <c r="G10" s="3405"/>
      <c r="H10" s="127">
        <f>SUMIF(53:53,G10,54:54)-SUMIF(53:53,C10,54:54)+100</f>
        <v>100</v>
      </c>
      <c r="I10" s="3405"/>
      <c r="J10" s="127">
        <f>SUMIF(53:53,I10,54:54)-SUMIF(53:53,C10,54:54)+100</f>
        <v>100</v>
      </c>
      <c r="K10" s="552"/>
      <c r="L10" s="2690"/>
      <c r="M10" s="2691"/>
      <c r="N10" s="2691"/>
      <c r="O10" s="2744"/>
      <c r="P10" s="4166"/>
      <c r="Q10" s="1330" t="str">
        <f t="shared" si="6"/>
        <v>土地使用年限（年）</v>
      </c>
      <c r="R10" s="693" t="s">
        <v>14</v>
      </c>
      <c r="S10" s="694">
        <f t="shared" si="0"/>
        <v>100</v>
      </c>
      <c r="T10" s="693" t="s">
        <v>14</v>
      </c>
      <c r="U10" s="694">
        <f t="shared" si="1"/>
        <v>100</v>
      </c>
      <c r="V10" s="693" t="s">
        <v>14</v>
      </c>
      <c r="W10" s="694">
        <f t="shared" si="2"/>
        <v>100</v>
      </c>
      <c r="X10" s="695"/>
      <c r="Y10" s="4178"/>
      <c r="Z10" s="52" t="str">
        <f t="shared" si="7"/>
        <v>土地使用年限（年）</v>
      </c>
      <c r="AA10" s="696">
        <f t="shared" si="3"/>
        <v>1</v>
      </c>
      <c r="AB10" s="696">
        <f t="shared" si="4"/>
        <v>1</v>
      </c>
      <c r="AC10" s="696">
        <f t="shared" si="5"/>
        <v>1</v>
      </c>
    </row>
    <row r="11" spans="1:29" ht="15">
      <c r="A11" s="374"/>
      <c r="B11" s="1868">
        <v>111</v>
      </c>
      <c r="C11" s="378"/>
      <c r="D11" s="127">
        <v>100</v>
      </c>
      <c r="E11" s="415"/>
      <c r="F11" s="371">
        <f>SUMIF(55:55,E11,56:56)-SUMIF(55:55,C11,56:56)+100</f>
        <v>100</v>
      </c>
      <c r="G11" s="415"/>
      <c r="H11" s="127">
        <f>SUMIF(55:55,G11,56:56)-SUMIF(55:55,C11,56:56)+100</f>
        <v>100</v>
      </c>
      <c r="I11" s="415"/>
      <c r="J11" s="127">
        <f>SUMIF(55:55,I11,56:56)-SUMIF(55:55,C11,56:56)+100</f>
        <v>100</v>
      </c>
      <c r="K11" s="554"/>
      <c r="L11" s="2692"/>
      <c r="M11" s="2687"/>
      <c r="N11" s="2687"/>
      <c r="O11" s="2745"/>
      <c r="P11" s="4166"/>
      <c r="Q11" s="1330">
        <f t="shared" si="6"/>
        <v>111</v>
      </c>
      <c r="R11" s="693" t="s">
        <v>14</v>
      </c>
      <c r="S11" s="694">
        <f t="shared" si="0"/>
        <v>100</v>
      </c>
      <c r="T11" s="693" t="s">
        <v>14</v>
      </c>
      <c r="U11" s="694">
        <f t="shared" si="1"/>
        <v>100</v>
      </c>
      <c r="V11" s="693" t="s">
        <v>14</v>
      </c>
      <c r="W11" s="694">
        <f t="shared" si="2"/>
        <v>100</v>
      </c>
      <c r="X11" s="695"/>
      <c r="Y11" s="4178"/>
      <c r="Z11" s="52">
        <f t="shared" si="7"/>
        <v>111</v>
      </c>
      <c r="AA11" s="696">
        <f t="shared" si="3"/>
        <v>1</v>
      </c>
      <c r="AB11" s="696">
        <f t="shared" si="4"/>
        <v>1</v>
      </c>
      <c r="AC11" s="696">
        <f t="shared" si="5"/>
        <v>1</v>
      </c>
    </row>
    <row r="12" spans="1:29" s="108" customFormat="1" ht="15">
      <c r="A12" s="377"/>
      <c r="B12" s="1868">
        <v>111</v>
      </c>
      <c r="C12" s="378"/>
      <c r="D12" s="379">
        <v>100</v>
      </c>
      <c r="E12" s="415"/>
      <c r="F12" s="371">
        <f>SUMIF(57:57,E12,58:58)-SUMIF(57:57,C12,58:58)+100</f>
        <v>100</v>
      </c>
      <c r="G12" s="415"/>
      <c r="H12" s="127">
        <f>SUMIF(57:57,G12,58:58)-SUMIF(57:57,C12,58:58)+100</f>
        <v>100</v>
      </c>
      <c r="I12" s="415"/>
      <c r="J12" s="127">
        <f>SUMIF(57:57,I12,58:58)-SUMIF(57:57,C12,58:58)+100</f>
        <v>100</v>
      </c>
      <c r="K12" s="554"/>
      <c r="L12" s="2688"/>
      <c r="M12" s="2689"/>
      <c r="N12" s="2689"/>
      <c r="O12" s="2743"/>
      <c r="P12" s="4166"/>
      <c r="Q12" s="1330">
        <f t="shared" si="6"/>
        <v>111</v>
      </c>
      <c r="R12" s="693" t="s">
        <v>14</v>
      </c>
      <c r="S12" s="694">
        <f t="shared" si="0"/>
        <v>100</v>
      </c>
      <c r="T12" s="693" t="s">
        <v>14</v>
      </c>
      <c r="U12" s="694">
        <f t="shared" si="1"/>
        <v>100</v>
      </c>
      <c r="V12" s="693" t="s">
        <v>14</v>
      </c>
      <c r="W12" s="694">
        <f t="shared" si="2"/>
        <v>100</v>
      </c>
      <c r="X12" s="695"/>
      <c r="Y12" s="4178"/>
      <c r="Z12" s="52">
        <f t="shared" si="7"/>
        <v>111</v>
      </c>
      <c r="AA12" s="696">
        <f>D12/F12</f>
        <v>1</v>
      </c>
      <c r="AB12" s="696">
        <f>D12/H12</f>
        <v>1</v>
      </c>
      <c r="AC12" s="696">
        <f>D12/J12</f>
        <v>1</v>
      </c>
    </row>
    <row r="13" spans="1:29" ht="15.6" thickBot="1">
      <c r="A13" s="374"/>
      <c r="B13" s="1868">
        <v>111</v>
      </c>
      <c r="C13" s="380"/>
      <c r="D13" s="381">
        <v>100</v>
      </c>
      <c r="E13" s="415"/>
      <c r="F13" s="371">
        <f>SUMIF(59:59,E13,60:60)-SUMIF(59:59,C13,60:60)+100</f>
        <v>100</v>
      </c>
      <c r="G13" s="1947"/>
      <c r="H13" s="384">
        <f>SUMIF(59:59,G13,60:60)-SUMIF(59:59,C13,60:60)+100</f>
        <v>100</v>
      </c>
      <c r="I13" s="415"/>
      <c r="J13" s="381">
        <f>SUMIF(59:59,I13,60:60)-SUMIF(59:59,C13,60:60)+100</f>
        <v>100</v>
      </c>
      <c r="K13" s="554"/>
      <c r="L13" s="2693"/>
      <c r="M13" s="2687"/>
      <c r="N13" s="2687"/>
      <c r="O13" s="2745"/>
      <c r="P13" s="4166"/>
      <c r="Q13" s="1330">
        <f t="shared" si="6"/>
        <v>111</v>
      </c>
      <c r="R13" s="693" t="s">
        <v>14</v>
      </c>
      <c r="S13" s="694">
        <f t="shared" si="0"/>
        <v>100</v>
      </c>
      <c r="T13" s="693" t="s">
        <v>14</v>
      </c>
      <c r="U13" s="694">
        <f t="shared" si="1"/>
        <v>100</v>
      </c>
      <c r="V13" s="693" t="s">
        <v>14</v>
      </c>
      <c r="W13" s="694">
        <f t="shared" si="2"/>
        <v>100</v>
      </c>
      <c r="X13" s="695"/>
      <c r="Y13" s="4178"/>
      <c r="Z13" s="52">
        <f t="shared" si="7"/>
        <v>111</v>
      </c>
      <c r="AA13" s="696">
        <f t="shared" si="3"/>
        <v>1</v>
      </c>
      <c r="AB13" s="696">
        <f t="shared" si="4"/>
        <v>1</v>
      </c>
      <c r="AC13" s="696">
        <f t="shared" si="5"/>
        <v>1</v>
      </c>
    </row>
    <row r="14" spans="1:29" ht="96.6">
      <c r="A14" s="386" t="s">
        <v>1690</v>
      </c>
      <c r="B14" s="61" t="s">
        <v>1833</v>
      </c>
      <c r="C14" s="1943"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5"/>
      <c r="L14" s="2693"/>
      <c r="M14" s="2687"/>
      <c r="N14" s="2687"/>
      <c r="O14" s="2745"/>
      <c r="P14" s="4168" t="s">
        <v>1691</v>
      </c>
      <c r="Q14" s="1339" t="str">
        <f t="shared" si="6"/>
        <v>交通便捷度</v>
      </c>
      <c r="R14" s="697" t="s">
        <v>14</v>
      </c>
      <c r="S14" s="698">
        <f t="shared" si="0"/>
        <v>100</v>
      </c>
      <c r="T14" s="697" t="s">
        <v>14</v>
      </c>
      <c r="U14" s="698">
        <f t="shared" si="1"/>
        <v>100</v>
      </c>
      <c r="V14" s="697" t="s">
        <v>14</v>
      </c>
      <c r="W14" s="698">
        <f t="shared" si="2"/>
        <v>100</v>
      </c>
      <c r="X14" s="1342"/>
      <c r="Y14" s="4168" t="s">
        <v>1691</v>
      </c>
      <c r="Z14" s="1343" t="str">
        <f t="shared" si="7"/>
        <v>交通便捷度</v>
      </c>
      <c r="AA14" s="1340">
        <f t="shared" si="3"/>
        <v>1</v>
      </c>
      <c r="AB14" s="1340">
        <f t="shared" si="4"/>
        <v>1</v>
      </c>
      <c r="AC14" s="1340">
        <f t="shared" si="5"/>
        <v>1</v>
      </c>
    </row>
    <row r="15" spans="1:29" ht="15">
      <c r="A15" s="374"/>
      <c r="B15" s="392"/>
      <c r="C15" s="393"/>
      <c r="D15" s="394"/>
      <c r="E15" s="393"/>
      <c r="F15" s="395"/>
      <c r="G15" s="393"/>
      <c r="H15" s="396"/>
      <c r="I15" s="393"/>
      <c r="J15" s="394"/>
      <c r="K15" s="556"/>
      <c r="L15" s="2693"/>
      <c r="M15" s="2687"/>
      <c r="N15" s="2687"/>
      <c r="O15" s="2745"/>
      <c r="P15" s="4169"/>
      <c r="Q15" s="1339"/>
      <c r="R15" s="697"/>
      <c r="S15" s="698"/>
      <c r="T15" s="697"/>
      <c r="U15" s="698"/>
      <c r="V15" s="697"/>
      <c r="W15" s="698"/>
      <c r="X15" s="1342"/>
      <c r="Y15" s="4169"/>
      <c r="Z15" s="1343"/>
      <c r="AA15" s="1340">
        <v>1</v>
      </c>
      <c r="AB15" s="1340">
        <v>1</v>
      </c>
      <c r="AC15" s="1340">
        <v>1</v>
      </c>
    </row>
    <row r="16" spans="1:29" ht="41.4">
      <c r="A16" s="374"/>
      <c r="B16" s="397" t="s">
        <v>1812</v>
      </c>
      <c r="C16" s="1875"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5"/>
      <c r="L16" s="2693"/>
      <c r="M16" s="2687"/>
      <c r="N16" s="2687"/>
      <c r="O16" s="2745"/>
      <c r="P16" s="4169"/>
      <c r="Q16" s="1339" t="str">
        <f>B16</f>
        <v>公共配套设施</v>
      </c>
      <c r="R16" s="697" t="s">
        <v>14</v>
      </c>
      <c r="S16" s="698">
        <f>F16</f>
        <v>100</v>
      </c>
      <c r="T16" s="697" t="s">
        <v>14</v>
      </c>
      <c r="U16" s="698">
        <f>H16</f>
        <v>100</v>
      </c>
      <c r="V16" s="697" t="s">
        <v>14</v>
      </c>
      <c r="W16" s="698">
        <f>J16</f>
        <v>100</v>
      </c>
      <c r="X16" s="1342"/>
      <c r="Y16" s="4169"/>
      <c r="Z16" s="1343" t="str">
        <f>Q16</f>
        <v>公共配套设施</v>
      </c>
      <c r="AA16" s="1340">
        <f t="shared" si="3"/>
        <v>1</v>
      </c>
      <c r="AB16" s="1340">
        <f t="shared" si="4"/>
        <v>1</v>
      </c>
      <c r="AC16" s="1340">
        <f t="shared" si="5"/>
        <v>1</v>
      </c>
    </row>
    <row r="17" spans="1:29" ht="15">
      <c r="A17" s="374"/>
      <c r="B17" s="402"/>
      <c r="C17" s="1876"/>
      <c r="D17" s="394"/>
      <c r="E17" s="393"/>
      <c r="F17" s="395"/>
      <c r="G17" s="393"/>
      <c r="H17" s="394"/>
      <c r="I17" s="393"/>
      <c r="J17" s="394"/>
      <c r="K17" s="556"/>
      <c r="L17" s="2693"/>
      <c r="M17" s="2687"/>
      <c r="N17" s="2687"/>
      <c r="O17" s="2745"/>
      <c r="P17" s="4169"/>
      <c r="Q17" s="1339"/>
      <c r="R17" s="697"/>
      <c r="S17" s="698"/>
      <c r="T17" s="697"/>
      <c r="U17" s="698"/>
      <c r="V17" s="697"/>
      <c r="W17" s="698"/>
      <c r="X17" s="1342"/>
      <c r="Y17" s="4169"/>
      <c r="Z17" s="1343"/>
      <c r="AA17" s="1340">
        <v>1</v>
      </c>
      <c r="AB17" s="1340">
        <v>1</v>
      </c>
      <c r="AC17" s="1340">
        <v>1</v>
      </c>
    </row>
    <row r="18" spans="1:29" ht="41.4">
      <c r="A18" s="374"/>
      <c r="B18" s="1119" t="s">
        <v>1813</v>
      </c>
      <c r="C18" s="1875"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5"/>
      <c r="L18" s="2693"/>
      <c r="M18" s="2687"/>
      <c r="N18" s="2687"/>
      <c r="O18" s="2745"/>
      <c r="P18" s="4169"/>
      <c r="Q18" s="1339" t="str">
        <f>B18</f>
        <v>基础设施水平</v>
      </c>
      <c r="R18" s="697" t="s">
        <v>14</v>
      </c>
      <c r="S18" s="698">
        <f>F18</f>
        <v>100</v>
      </c>
      <c r="T18" s="697" t="s">
        <v>14</v>
      </c>
      <c r="U18" s="698">
        <f>H18</f>
        <v>100</v>
      </c>
      <c r="V18" s="697" t="s">
        <v>14</v>
      </c>
      <c r="W18" s="698">
        <f>J18</f>
        <v>100</v>
      </c>
      <c r="X18" s="1342"/>
      <c r="Y18" s="4169"/>
      <c r="Z18" s="1343" t="str">
        <f>Q18</f>
        <v>基础设施水平</v>
      </c>
      <c r="AA18" s="1340">
        <f t="shared" ref="AA18" si="8">D18/F18</f>
        <v>1</v>
      </c>
      <c r="AB18" s="1340">
        <f t="shared" ref="AB18" si="9">D18/H18</f>
        <v>1</v>
      </c>
      <c r="AC18" s="1340">
        <f t="shared" ref="AC18" si="10">D18/J18</f>
        <v>1</v>
      </c>
    </row>
    <row r="19" spans="1:29" ht="15">
      <c r="A19" s="374"/>
      <c r="B19" s="1119"/>
      <c r="C19" s="1876"/>
      <c r="D19" s="396"/>
      <c r="E19" s="1876"/>
      <c r="F19" s="399"/>
      <c r="G19" s="1876"/>
      <c r="H19" s="394"/>
      <c r="I19" s="393"/>
      <c r="J19" s="394"/>
      <c r="K19" s="1118"/>
      <c r="L19" s="2693"/>
      <c r="M19" s="2687"/>
      <c r="N19" s="2687"/>
      <c r="O19" s="2745"/>
      <c r="P19" s="4169"/>
      <c r="Q19" s="1339"/>
      <c r="R19" s="697"/>
      <c r="S19" s="698"/>
      <c r="T19" s="697"/>
      <c r="U19" s="698"/>
      <c r="V19" s="697"/>
      <c r="W19" s="698"/>
      <c r="X19" s="1342"/>
      <c r="Y19" s="4169"/>
      <c r="Z19" s="1343"/>
      <c r="AA19" s="1340">
        <v>1</v>
      </c>
      <c r="AB19" s="1340">
        <v>1</v>
      </c>
      <c r="AC19" s="1340">
        <v>1</v>
      </c>
    </row>
    <row r="20" spans="1:29" ht="55.2">
      <c r="A20" s="374"/>
      <c r="B20" s="397" t="s">
        <v>1834</v>
      </c>
      <c r="C20" s="1875"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5"/>
      <c r="L20" s="2693"/>
      <c r="M20" s="2687"/>
      <c r="N20" s="2687"/>
      <c r="O20" s="2745"/>
      <c r="P20" s="4169"/>
      <c r="Q20" s="1339" t="str">
        <f>B20</f>
        <v>自然及人文环境</v>
      </c>
      <c r="R20" s="697" t="s">
        <v>14</v>
      </c>
      <c r="S20" s="698">
        <f>F20</f>
        <v>100</v>
      </c>
      <c r="T20" s="697" t="s">
        <v>14</v>
      </c>
      <c r="U20" s="698">
        <f>H20</f>
        <v>100</v>
      </c>
      <c r="V20" s="697" t="s">
        <v>14</v>
      </c>
      <c r="W20" s="698">
        <f>J20</f>
        <v>100</v>
      </c>
      <c r="X20" s="1342"/>
      <c r="Y20" s="4169"/>
      <c r="Z20" s="1343" t="str">
        <f>Q20</f>
        <v>自然及人文环境</v>
      </c>
      <c r="AA20" s="1340">
        <f t="shared" si="3"/>
        <v>1</v>
      </c>
      <c r="AB20" s="1340">
        <f t="shared" si="4"/>
        <v>1</v>
      </c>
      <c r="AC20" s="1340">
        <f t="shared" si="5"/>
        <v>1</v>
      </c>
    </row>
    <row r="21" spans="1:29" ht="15">
      <c r="A21" s="374"/>
      <c r="B21" s="402"/>
      <c r="C21" s="393"/>
      <c r="D21" s="394"/>
      <c r="E21" s="393"/>
      <c r="F21" s="395"/>
      <c r="G21" s="393"/>
      <c r="H21" s="394"/>
      <c r="I21" s="393"/>
      <c r="J21" s="394"/>
      <c r="K21" s="556"/>
      <c r="L21" s="2693"/>
      <c r="M21" s="2687"/>
      <c r="N21" s="2687"/>
      <c r="O21" s="2745"/>
      <c r="P21" s="4169"/>
      <c r="Q21" s="1339"/>
      <c r="R21" s="697"/>
      <c r="S21" s="698"/>
      <c r="T21" s="697"/>
      <c r="U21" s="698"/>
      <c r="V21" s="697"/>
      <c r="W21" s="698"/>
      <c r="X21" s="1342"/>
      <c r="Y21" s="4169"/>
      <c r="Z21" s="1343"/>
      <c r="AA21" s="1340">
        <v>1</v>
      </c>
      <c r="AB21" s="1340">
        <v>1</v>
      </c>
      <c r="AC21" s="1340">
        <v>1</v>
      </c>
    </row>
    <row r="22" spans="1:29" ht="15">
      <c r="A22" s="374"/>
      <c r="B22" s="397" t="s">
        <v>1835</v>
      </c>
      <c r="C22" s="557"/>
      <c r="D22" s="396">
        <v>100</v>
      </c>
      <c r="E22" s="557"/>
      <c r="F22" s="407">
        <f>SUMIF(69:69,E22,70:70)-SUMIF(69:69,C22,70:70)+100</f>
        <v>100</v>
      </c>
      <c r="G22" s="557"/>
      <c r="H22" s="381">
        <f>SUMIF(69:69,G22,70:70)-SUMIF(69:69,C22,70:70)+100</f>
        <v>100</v>
      </c>
      <c r="I22" s="557"/>
      <c r="J22" s="381">
        <f>SUMIF(69:69,I22,70:70)-SUMIF(69:69,C22,70:70)+100</f>
        <v>100</v>
      </c>
      <c r="K22" s="553"/>
      <c r="L22" s="2693"/>
      <c r="M22" s="2687"/>
      <c r="N22" s="2687"/>
      <c r="O22" s="2745"/>
      <c r="P22" s="4169"/>
      <c r="Q22" s="1339" t="str">
        <f>B22</f>
        <v>楼层</v>
      </c>
      <c r="R22" s="697" t="s">
        <v>14</v>
      </c>
      <c r="S22" s="698">
        <f>F22</f>
        <v>100</v>
      </c>
      <c r="T22" s="697" t="s">
        <v>14</v>
      </c>
      <c r="U22" s="698">
        <f>H22</f>
        <v>100</v>
      </c>
      <c r="V22" s="697" t="s">
        <v>14</v>
      </c>
      <c r="W22" s="698">
        <f>J22</f>
        <v>100</v>
      </c>
      <c r="X22" s="1342"/>
      <c r="Y22" s="4169"/>
      <c r="Z22" s="1343" t="str">
        <f>Q22</f>
        <v>楼层</v>
      </c>
      <c r="AA22" s="1340">
        <f t="shared" si="3"/>
        <v>1</v>
      </c>
      <c r="AB22" s="1340">
        <f t="shared" si="4"/>
        <v>1</v>
      </c>
      <c r="AC22" s="1340">
        <f t="shared" si="5"/>
        <v>1</v>
      </c>
    </row>
    <row r="23" spans="1:29" ht="15">
      <c r="A23" s="353"/>
      <c r="B23" s="1868">
        <v>111</v>
      </c>
      <c r="C23" s="378"/>
      <c r="D23" s="381">
        <v>100</v>
      </c>
      <c r="E23" s="380"/>
      <c r="F23" s="407">
        <f>SUMIF(71:71,E23,72:72)-SUMIF(71:71,C23,72:72)+100</f>
        <v>100</v>
      </c>
      <c r="G23" s="380"/>
      <c r="H23" s="381">
        <f>SUMIF(71:71,G23,72:72)-SUMIF(71:71,C23,72:72)+100</f>
        <v>100</v>
      </c>
      <c r="I23" s="380"/>
      <c r="J23" s="381">
        <f>SUMIF(71:71,I23,72:72)-SUMIF(71:71,C23,72:72)+100</f>
        <v>100</v>
      </c>
      <c r="K23" s="554"/>
      <c r="L23" s="2693"/>
      <c r="M23" s="2687"/>
      <c r="N23" s="2687"/>
      <c r="O23" s="2745"/>
      <c r="P23" s="4169"/>
      <c r="Q23" s="1339">
        <f>B23</f>
        <v>111</v>
      </c>
      <c r="R23" s="697" t="s">
        <v>14</v>
      </c>
      <c r="S23" s="698">
        <f>F23</f>
        <v>100</v>
      </c>
      <c r="T23" s="697" t="s">
        <v>14</v>
      </c>
      <c r="U23" s="698">
        <f>H23</f>
        <v>100</v>
      </c>
      <c r="V23" s="697" t="s">
        <v>14</v>
      </c>
      <c r="W23" s="698">
        <f>J23</f>
        <v>100</v>
      </c>
      <c r="X23" s="1342"/>
      <c r="Y23" s="4169"/>
      <c r="Z23" s="1343">
        <f>Q23</f>
        <v>111</v>
      </c>
      <c r="AA23" s="1340">
        <f t="shared" si="3"/>
        <v>1</v>
      </c>
      <c r="AB23" s="1340">
        <f t="shared" si="4"/>
        <v>1</v>
      </c>
      <c r="AC23" s="1340">
        <f t="shared" si="5"/>
        <v>1</v>
      </c>
    </row>
    <row r="24" spans="1:29" ht="15">
      <c r="A24" s="374"/>
      <c r="B24" s="1868">
        <v>111</v>
      </c>
      <c r="C24" s="378"/>
      <c r="D24" s="381">
        <v>100</v>
      </c>
      <c r="E24" s="380"/>
      <c r="F24" s="407">
        <f>SUMIF(73:73,E24,74:74)-SUMIF(73:73,C24,74:74)+100</f>
        <v>100</v>
      </c>
      <c r="G24" s="380"/>
      <c r="H24" s="381">
        <f>SUMIF(73:73,G24,74:74)-SUMIF(73:73,C24,74:74)+100</f>
        <v>100</v>
      </c>
      <c r="I24" s="380"/>
      <c r="J24" s="381">
        <f>SUMIF(73:73,I24,74:74)-SUMIF(73:73,C24,74:74)+100</f>
        <v>100</v>
      </c>
      <c r="K24" s="554"/>
      <c r="L24" s="2693"/>
      <c r="M24" s="2687"/>
      <c r="N24" s="2687"/>
      <c r="O24" s="2745"/>
      <c r="P24" s="4169"/>
      <c r="Q24" s="1339">
        <f t="shared" ref="Q24:Q34" si="11">B24</f>
        <v>111</v>
      </c>
      <c r="R24" s="697" t="s">
        <v>14</v>
      </c>
      <c r="S24" s="698">
        <f>F24</f>
        <v>100</v>
      </c>
      <c r="T24" s="697" t="s">
        <v>14</v>
      </c>
      <c r="U24" s="698">
        <f>H24</f>
        <v>100</v>
      </c>
      <c r="V24" s="697" t="s">
        <v>14</v>
      </c>
      <c r="W24" s="698">
        <f>J24</f>
        <v>100</v>
      </c>
      <c r="X24" s="1342"/>
      <c r="Y24" s="4169"/>
      <c r="Z24" s="1343">
        <f>Q24</f>
        <v>111</v>
      </c>
      <c r="AA24" s="1340">
        <f t="shared" si="3"/>
        <v>1</v>
      </c>
      <c r="AB24" s="1340">
        <f t="shared" si="4"/>
        <v>1</v>
      </c>
      <c r="AC24" s="1340">
        <f t="shared" si="5"/>
        <v>1</v>
      </c>
    </row>
    <row r="25" spans="1:29" s="108" customFormat="1" ht="15.6" thickBot="1">
      <c r="A25" s="377"/>
      <c r="B25" s="1868">
        <v>111</v>
      </c>
      <c r="C25" s="1948"/>
      <c r="D25" s="605">
        <v>100</v>
      </c>
      <c r="E25" s="1948"/>
      <c r="F25" s="606">
        <f>SUMIF(75:75,E25,76:76)-SUMIF(75:75,C25,76:76)+100</f>
        <v>100</v>
      </c>
      <c r="G25" s="1948"/>
      <c r="H25" s="605">
        <f>SUMIF(75:75,G25,76:76)-SUMIF(75:75,C25,76:76)+100</f>
        <v>100</v>
      </c>
      <c r="I25" s="1948"/>
      <c r="J25" s="605">
        <f>SUMIF(75:75,I25,76:76)-SUMIF(75:75,C25,76:76)+100</f>
        <v>100</v>
      </c>
      <c r="K25" s="554"/>
      <c r="L25" s="2688"/>
      <c r="M25" s="2689"/>
      <c r="N25" s="2689"/>
      <c r="O25" s="2743"/>
      <c r="P25" s="4169"/>
      <c r="Q25" s="1330">
        <f t="shared" si="11"/>
        <v>111</v>
      </c>
      <c r="R25" s="693" t="s">
        <v>14</v>
      </c>
      <c r="S25" s="694">
        <f>F25</f>
        <v>100</v>
      </c>
      <c r="T25" s="693" t="s">
        <v>14</v>
      </c>
      <c r="U25" s="694">
        <f>H25</f>
        <v>100</v>
      </c>
      <c r="V25" s="693" t="s">
        <v>14</v>
      </c>
      <c r="W25" s="694">
        <f>J25</f>
        <v>100</v>
      </c>
      <c r="X25" s="695"/>
      <c r="Y25" s="4169"/>
      <c r="Z25" s="52">
        <f>Q25</f>
        <v>111</v>
      </c>
      <c r="AA25" s="1340">
        <f>D25/F25</f>
        <v>1</v>
      </c>
      <c r="AB25" s="1340">
        <f>D25/H25</f>
        <v>1</v>
      </c>
      <c r="AC25" s="1340">
        <f>D25/J25</f>
        <v>1</v>
      </c>
    </row>
    <row r="26" spans="1:29" ht="30">
      <c r="A26" s="412" t="s">
        <v>1694</v>
      </c>
      <c r="B26" s="63" t="s">
        <v>1838</v>
      </c>
      <c r="C26" s="1939"/>
      <c r="D26" s="413">
        <v>100</v>
      </c>
      <c r="E26" s="1939"/>
      <c r="F26" s="607">
        <f>SUMIF(77:77,E26,78:78)-SUMIF(77:77,C26,78:78)+100</f>
        <v>100</v>
      </c>
      <c r="G26" s="1939"/>
      <c r="H26" s="413">
        <f>SUMIF(77:77,G26,78:78)-SUMIF(77:77,C26,78:78)+100</f>
        <v>100</v>
      </c>
      <c r="I26" s="1939"/>
      <c r="J26" s="413">
        <f>SUMIF(77:77,I26,78:78)-SUMIF(77:77,C26,78:78)+100</f>
        <v>100</v>
      </c>
      <c r="K26" s="553"/>
      <c r="L26" s="2693"/>
      <c r="M26" s="2687"/>
      <c r="N26" s="2687"/>
      <c r="O26" s="2745"/>
      <c r="P26" s="4240" t="s">
        <v>1696</v>
      </c>
      <c r="Q26" s="1339" t="str">
        <f t="shared" si="11"/>
        <v>公共部分装修</v>
      </c>
      <c r="R26" s="697" t="s">
        <v>14</v>
      </c>
      <c r="S26" s="698">
        <f t="shared" ref="S26:S34" si="12">F26</f>
        <v>100</v>
      </c>
      <c r="T26" s="697" t="s">
        <v>14</v>
      </c>
      <c r="U26" s="698">
        <f t="shared" ref="U26:U34" si="13">H26</f>
        <v>100</v>
      </c>
      <c r="V26" s="697" t="s">
        <v>14</v>
      </c>
      <c r="W26" s="698">
        <f t="shared" ref="W26:W34" si="14">J26</f>
        <v>100</v>
      </c>
      <c r="X26" s="1342"/>
      <c r="Y26" s="4173" t="s">
        <v>1696</v>
      </c>
      <c r="Z26" s="1343" t="str">
        <f t="shared" ref="Z26:Z34" si="15">Q26</f>
        <v>公共部分装修</v>
      </c>
      <c r="AA26" s="1340">
        <f t="shared" si="3"/>
        <v>1</v>
      </c>
      <c r="AB26" s="1340">
        <f t="shared" si="4"/>
        <v>1</v>
      </c>
      <c r="AC26" s="1340">
        <f t="shared" si="5"/>
        <v>1</v>
      </c>
    </row>
    <row r="27" spans="1:29" s="417" customFormat="1" ht="15">
      <c r="A27" s="414"/>
      <c r="B27" s="370" t="s">
        <v>1839</v>
      </c>
      <c r="C27" s="420"/>
      <c r="D27" s="127">
        <v>100</v>
      </c>
      <c r="E27" s="421"/>
      <c r="F27" s="407" t="e">
        <f>LOOKUP(E27,80:80,81:81)-LOOKUP(C27,80:80,81:81)+100</f>
        <v>#N/A</v>
      </c>
      <c r="G27" s="422"/>
      <c r="H27" s="381" t="e">
        <f>LOOKUP(G27,80:80,81:81)-LOOKUP(C27,80:80,81:81)+100</f>
        <v>#N/A</v>
      </c>
      <c r="I27" s="422"/>
      <c r="J27" s="381" t="e">
        <f>LOOKUP(I27,80:80,81:81)-LOOKUP(C27,80:80,81:81)+100</f>
        <v>#N/A</v>
      </c>
      <c r="K27" s="553"/>
      <c r="L27" s="2692"/>
      <c r="M27" s="2694"/>
      <c r="N27" s="2694"/>
      <c r="O27" s="2746"/>
      <c r="P27" s="4173"/>
      <c r="Q27" s="699" t="str">
        <f t="shared" si="11"/>
        <v>成新率</v>
      </c>
      <c r="R27" s="700" t="s">
        <v>14</v>
      </c>
      <c r="S27" s="701" t="e">
        <f t="shared" si="12"/>
        <v>#N/A</v>
      </c>
      <c r="T27" s="700" t="s">
        <v>14</v>
      </c>
      <c r="U27" s="701" t="e">
        <f t="shared" si="13"/>
        <v>#N/A</v>
      </c>
      <c r="V27" s="700" t="s">
        <v>14</v>
      </c>
      <c r="W27" s="701" t="e">
        <f t="shared" si="14"/>
        <v>#N/A</v>
      </c>
      <c r="X27" s="702"/>
      <c r="Y27" s="4173"/>
      <c r="Z27" s="703" t="str">
        <f t="shared" si="15"/>
        <v>成新率</v>
      </c>
      <c r="AA27" s="1340" t="e">
        <f t="shared" si="3"/>
        <v>#N/A</v>
      </c>
      <c r="AB27" s="1340" t="e">
        <f t="shared" si="4"/>
        <v>#N/A</v>
      </c>
      <c r="AC27" s="1340"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3"/>
      <c r="L28" s="2693"/>
      <c r="M28" s="2687"/>
      <c r="N28" s="2687"/>
      <c r="O28" s="2745"/>
      <c r="P28" s="4173"/>
      <c r="Q28" s="1339" t="str">
        <f t="shared" si="11"/>
        <v>物业等级</v>
      </c>
      <c r="R28" s="697" t="s">
        <v>14</v>
      </c>
      <c r="S28" s="698">
        <f t="shared" si="12"/>
        <v>100</v>
      </c>
      <c r="T28" s="697" t="s">
        <v>14</v>
      </c>
      <c r="U28" s="698">
        <f t="shared" si="13"/>
        <v>100</v>
      </c>
      <c r="V28" s="697" t="s">
        <v>14</v>
      </c>
      <c r="W28" s="698">
        <f t="shared" si="14"/>
        <v>100</v>
      </c>
      <c r="X28" s="1342"/>
      <c r="Y28" s="4173"/>
      <c r="Z28" s="1343" t="str">
        <f t="shared" si="15"/>
        <v>物业等级</v>
      </c>
      <c r="AA28" s="1340">
        <f t="shared" si="3"/>
        <v>1</v>
      </c>
      <c r="AB28" s="1340">
        <f t="shared" si="4"/>
        <v>1</v>
      </c>
      <c r="AC28" s="1340">
        <f t="shared" si="5"/>
        <v>1</v>
      </c>
    </row>
    <row r="29" spans="1:29" ht="15">
      <c r="A29" s="418"/>
      <c r="B29" s="370" t="s">
        <v>1860</v>
      </c>
      <c r="C29" s="597"/>
      <c r="D29" s="381">
        <v>100</v>
      </c>
      <c r="E29" s="597"/>
      <c r="F29" s="407">
        <f>SUMIF(84:84,E29,85:85)-SUMIF(84:84,C29,85:85)+100</f>
        <v>100</v>
      </c>
      <c r="G29" s="597"/>
      <c r="H29" s="381">
        <f>SUMIF(84:84,G29,85:85)-SUMIF(84:84,C29,85:85)+100</f>
        <v>100</v>
      </c>
      <c r="I29" s="597"/>
      <c r="J29" s="381">
        <f>SUMIF(84:84,I29,85:85)-SUMIF(84:84,C29,85:85)+100</f>
        <v>100</v>
      </c>
      <c r="K29" s="553"/>
      <c r="L29" s="2693"/>
      <c r="M29" s="2687"/>
      <c r="N29" s="2687"/>
      <c r="O29" s="2745"/>
      <c r="P29" s="4173"/>
      <c r="Q29" s="1339" t="str">
        <f t="shared" si="11"/>
        <v>有无电梯</v>
      </c>
      <c r="R29" s="697" t="s">
        <v>14</v>
      </c>
      <c r="S29" s="698">
        <f t="shared" si="12"/>
        <v>100</v>
      </c>
      <c r="T29" s="697" t="s">
        <v>14</v>
      </c>
      <c r="U29" s="698">
        <f t="shared" si="13"/>
        <v>100</v>
      </c>
      <c r="V29" s="697" t="s">
        <v>14</v>
      </c>
      <c r="W29" s="698">
        <f t="shared" si="14"/>
        <v>100</v>
      </c>
      <c r="X29" s="1342"/>
      <c r="Y29" s="4173"/>
      <c r="Z29" s="1343" t="str">
        <f t="shared" si="15"/>
        <v>有无电梯</v>
      </c>
      <c r="AA29" s="1340">
        <f t="shared" si="3"/>
        <v>1</v>
      </c>
      <c r="AB29" s="1340">
        <f t="shared" si="4"/>
        <v>1</v>
      </c>
      <c r="AC29" s="1340">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4"/>
      <c r="L30" s="2693"/>
      <c r="M30" s="2687"/>
      <c r="N30" s="2687"/>
      <c r="O30" s="2745"/>
      <c r="P30" s="4173"/>
      <c r="Q30" s="1339" t="str">
        <f t="shared" si="11"/>
        <v>建筑面积</v>
      </c>
      <c r="R30" s="697" t="s">
        <v>14</v>
      </c>
      <c r="S30" s="698" t="e">
        <f t="shared" si="12"/>
        <v>#N/A</v>
      </c>
      <c r="T30" s="697" t="s">
        <v>14</v>
      </c>
      <c r="U30" s="698" t="e">
        <f t="shared" si="13"/>
        <v>#N/A</v>
      </c>
      <c r="V30" s="697" t="s">
        <v>14</v>
      </c>
      <c r="W30" s="698" t="e">
        <f t="shared" si="14"/>
        <v>#N/A</v>
      </c>
      <c r="X30" s="1342"/>
      <c r="Y30" s="4173"/>
      <c r="Z30" s="1343" t="str">
        <f t="shared" si="15"/>
        <v>建筑面积</v>
      </c>
      <c r="AA30" s="1340" t="e">
        <f t="shared" si="3"/>
        <v>#N/A</v>
      </c>
      <c r="AB30" s="1340" t="e">
        <f t="shared" si="4"/>
        <v>#N/A</v>
      </c>
      <c r="AC30" s="1340" t="e">
        <f t="shared" si="5"/>
        <v>#N/A</v>
      </c>
    </row>
    <row r="31" spans="1:29" s="108" customFormat="1" ht="15">
      <c r="A31" s="419"/>
      <c r="B31" s="370" t="s">
        <v>1862</v>
      </c>
      <c r="C31" s="597"/>
      <c r="D31" s="127">
        <v>100</v>
      </c>
      <c r="E31" s="597"/>
      <c r="F31" s="407">
        <f>SUMIF(89:89,E31,90:90)-SUMIF(89:89,C31,90:90)+100</f>
        <v>100</v>
      </c>
      <c r="G31" s="597"/>
      <c r="H31" s="381">
        <f>SUMIF(89:89,G31,90:90)-SUMIF(89:89,C31,90:90)+100</f>
        <v>100</v>
      </c>
      <c r="I31" s="597"/>
      <c r="J31" s="381">
        <f>SUMIF(89:89,I31,90:90)-SUMIF(89:89,C31,90:90)+100</f>
        <v>100</v>
      </c>
      <c r="K31" s="553"/>
      <c r="L31" s="2688"/>
      <c r="M31" s="2689"/>
      <c r="N31" s="2689"/>
      <c r="O31" s="2743"/>
      <c r="P31" s="4173"/>
      <c r="Q31" s="1330" t="str">
        <f t="shared" si="11"/>
        <v>是否封闭</v>
      </c>
      <c r="R31" s="693" t="s">
        <v>14</v>
      </c>
      <c r="S31" s="694">
        <f t="shared" si="12"/>
        <v>100</v>
      </c>
      <c r="T31" s="693" t="s">
        <v>14</v>
      </c>
      <c r="U31" s="694">
        <f t="shared" si="13"/>
        <v>100</v>
      </c>
      <c r="V31" s="693" t="s">
        <v>14</v>
      </c>
      <c r="W31" s="694">
        <f t="shared" si="14"/>
        <v>100</v>
      </c>
      <c r="X31" s="695"/>
      <c r="Y31" s="4173"/>
      <c r="Z31" s="52" t="str">
        <f t="shared" si="15"/>
        <v>是否封闭</v>
      </c>
      <c r="AA31" s="696">
        <f t="shared" si="3"/>
        <v>1</v>
      </c>
      <c r="AB31" s="696">
        <f t="shared" si="4"/>
        <v>1</v>
      </c>
      <c r="AC31" s="696">
        <f t="shared" si="5"/>
        <v>1</v>
      </c>
    </row>
    <row r="32" spans="1:29" ht="15">
      <c r="A32" s="418"/>
      <c r="B32" s="1868">
        <v>111</v>
      </c>
      <c r="C32" s="378"/>
      <c r="D32" s="381">
        <v>100</v>
      </c>
      <c r="E32" s="415"/>
      <c r="F32" s="407">
        <f>SUMIF(91:91,E32,92:92)-SUMIF(91:91,C32,92:92)+100</f>
        <v>100</v>
      </c>
      <c r="G32" s="415"/>
      <c r="H32" s="381">
        <f>SUMIF(91:91,G32,92:92)-SUMIF(91:91,C32,92:92)+100</f>
        <v>100</v>
      </c>
      <c r="I32" s="415"/>
      <c r="J32" s="381">
        <f>SUMIF(91:91,I32,92:92)-SUMIF(91:91,C32,92:92)+100</f>
        <v>100</v>
      </c>
      <c r="K32" s="554"/>
      <c r="L32" s="2693"/>
      <c r="M32" s="2687"/>
      <c r="N32" s="2687"/>
      <c r="O32" s="2745"/>
      <c r="P32" s="4173" t="s">
        <v>1696</v>
      </c>
      <c r="Q32" s="1339">
        <f t="shared" si="11"/>
        <v>111</v>
      </c>
      <c r="R32" s="697" t="s">
        <v>14</v>
      </c>
      <c r="S32" s="698">
        <f t="shared" si="12"/>
        <v>100</v>
      </c>
      <c r="T32" s="697" t="s">
        <v>14</v>
      </c>
      <c r="U32" s="698">
        <f t="shared" si="13"/>
        <v>100</v>
      </c>
      <c r="V32" s="697" t="s">
        <v>14</v>
      </c>
      <c r="W32" s="698">
        <f t="shared" si="14"/>
        <v>100</v>
      </c>
      <c r="X32" s="1342"/>
      <c r="Y32" s="4173" t="s">
        <v>1696</v>
      </c>
      <c r="Z32" s="1343">
        <f t="shared" si="15"/>
        <v>111</v>
      </c>
      <c r="AA32" s="1340">
        <f t="shared" si="3"/>
        <v>1</v>
      </c>
      <c r="AB32" s="1340">
        <f t="shared" si="4"/>
        <v>1</v>
      </c>
      <c r="AC32" s="1340">
        <f t="shared" si="5"/>
        <v>1</v>
      </c>
    </row>
    <row r="33" spans="1:30" ht="15">
      <c r="A33" s="418"/>
      <c r="B33" s="1868">
        <v>111</v>
      </c>
      <c r="C33" s="378"/>
      <c r="D33" s="381">
        <v>100</v>
      </c>
      <c r="E33" s="415"/>
      <c r="F33" s="407">
        <f>SUMIF(93:93,E33,94:94)-SUMIF(93:93,C33,94:94)+100</f>
        <v>100</v>
      </c>
      <c r="G33" s="415"/>
      <c r="H33" s="381">
        <f>SUMIF(93:93,G33,94:94)-SUMIF(93:93,C33,94:94)+100</f>
        <v>100</v>
      </c>
      <c r="I33" s="415"/>
      <c r="J33" s="381">
        <f>SUMIF(93:93,I33,94:94)-SUMIF(93:93,C33,94:94)+100</f>
        <v>100</v>
      </c>
      <c r="K33" s="554"/>
      <c r="L33" s="2693"/>
      <c r="M33" s="2687"/>
      <c r="N33" s="2687"/>
      <c r="O33" s="2745"/>
      <c r="P33" s="4173"/>
      <c r="Q33" s="1339">
        <f t="shared" si="11"/>
        <v>111</v>
      </c>
      <c r="R33" s="697" t="s">
        <v>14</v>
      </c>
      <c r="S33" s="698">
        <f t="shared" si="12"/>
        <v>100</v>
      </c>
      <c r="T33" s="697" t="s">
        <v>14</v>
      </c>
      <c r="U33" s="698">
        <f t="shared" si="13"/>
        <v>100</v>
      </c>
      <c r="V33" s="697" t="s">
        <v>14</v>
      </c>
      <c r="W33" s="698">
        <f t="shared" si="14"/>
        <v>100</v>
      </c>
      <c r="X33" s="1342"/>
      <c r="Y33" s="4173"/>
      <c r="Z33" s="1343">
        <f t="shared" si="15"/>
        <v>111</v>
      </c>
      <c r="AA33" s="1340">
        <f t="shared" si="3"/>
        <v>1</v>
      </c>
      <c r="AB33" s="1340">
        <f t="shared" si="4"/>
        <v>1</v>
      </c>
      <c r="AC33" s="1340">
        <f t="shared" si="5"/>
        <v>1</v>
      </c>
    </row>
    <row r="34" spans="1:30" ht="15.6" thickBot="1">
      <c r="A34" s="424"/>
      <c r="B34" s="1870">
        <v>111</v>
      </c>
      <c r="C34" s="383"/>
      <c r="D34" s="384">
        <v>100</v>
      </c>
      <c r="E34" s="1947"/>
      <c r="F34" s="385">
        <f>SUMIF(95:95,E34,96:96)-SUMIF(95:95,C34,96:96)+100</f>
        <v>100</v>
      </c>
      <c r="G34" s="1947"/>
      <c r="H34" s="384">
        <f>SUMIF(95:95,G34,96:96)-SUMIF(95:95,C34,96:96)+100</f>
        <v>100</v>
      </c>
      <c r="I34" s="1947"/>
      <c r="J34" s="384">
        <f>SUMIF(95:95,I34,96:96)-SUMIF(95:95,C34,96:96)+100</f>
        <v>100</v>
      </c>
      <c r="K34" s="554"/>
      <c r="L34" s="2693"/>
      <c r="M34" s="2687"/>
      <c r="N34" s="2687"/>
      <c r="O34" s="2745"/>
      <c r="P34" s="4173"/>
      <c r="Q34" s="1339">
        <f t="shared" si="11"/>
        <v>111</v>
      </c>
      <c r="R34" s="697" t="s">
        <v>14</v>
      </c>
      <c r="S34" s="698">
        <f t="shared" si="12"/>
        <v>100</v>
      </c>
      <c r="T34" s="697" t="s">
        <v>14</v>
      </c>
      <c r="U34" s="698">
        <f t="shared" si="13"/>
        <v>100</v>
      </c>
      <c r="V34" s="697" t="s">
        <v>14</v>
      </c>
      <c r="W34" s="698">
        <f t="shared" si="14"/>
        <v>100</v>
      </c>
      <c r="X34" s="1342"/>
      <c r="Y34" s="4173"/>
      <c r="Z34" s="1343">
        <f t="shared" si="15"/>
        <v>111</v>
      </c>
      <c r="AA34" s="1340">
        <f t="shared" si="3"/>
        <v>1</v>
      </c>
      <c r="AB34" s="1340">
        <f t="shared" si="4"/>
        <v>1</v>
      </c>
      <c r="AC34" s="1340">
        <f t="shared" si="5"/>
        <v>1</v>
      </c>
    </row>
    <row r="35" spans="1:30" ht="14.4">
      <c r="A35" s="425" t="s">
        <v>1708</v>
      </c>
      <c r="B35" s="426"/>
      <c r="C35" s="1142" t="s">
        <v>0</v>
      </c>
      <c r="D35" s="1143"/>
      <c r="E35" s="1144"/>
      <c r="F35" s="1145"/>
      <c r="G35" s="1146"/>
      <c r="H35" s="1147"/>
      <c r="I35" s="1144"/>
      <c r="J35" s="1147"/>
      <c r="K35" s="706"/>
      <c r="L35" s="2695"/>
      <c r="M35" s="2696"/>
      <c r="N35" s="2687"/>
      <c r="O35" s="2696"/>
      <c r="P35" s="4166" t="str">
        <f>A35</f>
        <v>成交单价（元/平方米）</v>
      </c>
      <c r="Q35" s="4166"/>
      <c r="R35" s="4167">
        <f>E35</f>
        <v>0</v>
      </c>
      <c r="S35" s="4167"/>
      <c r="T35" s="4167">
        <f>G35</f>
        <v>0</v>
      </c>
      <c r="U35" s="4167"/>
      <c r="V35" s="4167">
        <f>I35</f>
        <v>0</v>
      </c>
      <c r="W35" s="4167"/>
      <c r="X35" s="682"/>
      <c r="Y35" s="704"/>
      <c r="Z35" s="682"/>
      <c r="AA35" s="682"/>
      <c r="AB35" s="682"/>
      <c r="AC35" s="682"/>
    </row>
    <row r="36" spans="1:30" ht="15" thickBot="1">
      <c r="A36" s="432" t="s">
        <v>1793</v>
      </c>
      <c r="B36" s="433"/>
      <c r="C36" s="1148" t="e">
        <f>R37</f>
        <v>#DIV/0!</v>
      </c>
      <c r="D36" s="2289" t="s">
        <v>2138</v>
      </c>
      <c r="E36" s="1149" t="e">
        <f>R36</f>
        <v>#DIV/0!</v>
      </c>
      <c r="F36" s="2290"/>
      <c r="G36" s="1148" t="e">
        <f>T36</f>
        <v>#DIV/0!</v>
      </c>
      <c r="H36" s="2290"/>
      <c r="I36" s="1149" t="e">
        <f>V36</f>
        <v>#DIV/0!</v>
      </c>
      <c r="J36" s="2290"/>
      <c r="K36" s="2292">
        <f>F36+H36+J36</f>
        <v>0</v>
      </c>
      <c r="L36" s="2695"/>
      <c r="M36" s="2696"/>
      <c r="N36" s="2687"/>
      <c r="O36" s="2696"/>
      <c r="P36" s="4166" t="str">
        <f>A36</f>
        <v>比较价值（元/平方米）</v>
      </c>
      <c r="Q36" s="4166"/>
      <c r="R36" s="4167" t="e">
        <f>IF(F1="售价",ROUND(PRODUCT(R35,AA7:AA34),0),ROUND(PRODUCT(R35,AA7:AA34),1))</f>
        <v>#DIV/0!</v>
      </c>
      <c r="S36" s="4167"/>
      <c r="T36" s="4167" t="e">
        <f>IF(F1="售价",ROUND(PRODUCT(T35,AB7:AB34),0),ROUND(PRODUCT(T35,AB7:AB34),1))</f>
        <v>#DIV/0!</v>
      </c>
      <c r="U36" s="4167"/>
      <c r="V36" s="4167" t="e">
        <f>IF(F1="售价",ROUND(PRODUCT(V35,AC7:AC34),0),ROUND(PRODUCT(V35,AC7:AC34),1))</f>
        <v>#DIV/0!</v>
      </c>
      <c r="W36" s="4167"/>
      <c r="X36" s="682"/>
      <c r="Y36" s="682"/>
      <c r="Z36" s="682"/>
      <c r="AA36" s="682"/>
      <c r="AB36" s="682"/>
      <c r="AC36" s="682"/>
    </row>
    <row r="37" spans="1:30" ht="15" thickBot="1">
      <c r="A37" s="436" t="s">
        <v>1794</v>
      </c>
      <c r="B37" s="437"/>
      <c r="C37" s="1150" t="e">
        <f>R37</f>
        <v>#DIV/0!</v>
      </c>
      <c r="D37" s="1150"/>
      <c r="E37" s="1150"/>
      <c r="F37" s="1150"/>
      <c r="G37" s="1150"/>
      <c r="H37" s="1150"/>
      <c r="I37" s="1150"/>
      <c r="J37" s="1150"/>
      <c r="K37" s="707"/>
      <c r="L37" s="2695"/>
      <c r="M37" s="2696"/>
      <c r="N37" s="2696"/>
      <c r="O37" s="2696"/>
      <c r="P37" s="4163" t="str">
        <f>A37</f>
        <v>估价对象XX用房的比较价值（楼面单价，元/平方米）</v>
      </c>
      <c r="Q37" s="4164"/>
      <c r="R37" s="4241" t="e">
        <f>IF(F1="售价",ROUND(IF(D36="简单平均",AVERAGE(R36:W36),R36*F36+T36*H36+V36*J36),0),ROUND(IF(D36="简单平均",AVERAGE(R36:V36),R36*F36+T36*H36+V36*J36),1))</f>
        <v>#DIV/0!</v>
      </c>
      <c r="S37" s="4241"/>
      <c r="T37" s="4241"/>
      <c r="U37" s="4241"/>
      <c r="V37" s="4241"/>
      <c r="W37" s="4241"/>
      <c r="X37" s="682"/>
      <c r="Y37" s="682"/>
      <c r="Z37" s="682"/>
      <c r="AA37" s="682"/>
      <c r="AB37" s="682"/>
      <c r="AC37" s="682"/>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46" customFormat="1" ht="13.5" customHeight="1">
      <c r="A42" s="2699"/>
      <c r="B42" s="2699"/>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46"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2.2" thickBot="1">
      <c r="A45" s="686" t="s">
        <v>1798</v>
      </c>
      <c r="B45" s="682"/>
      <c r="C45" s="687"/>
      <c r="D45" s="687"/>
      <c r="E45" s="687"/>
      <c r="F45" s="688"/>
      <c r="G45" s="688"/>
      <c r="H45" s="687"/>
      <c r="I45" s="687"/>
      <c r="J45" s="687"/>
      <c r="K45" s="689"/>
      <c r="L45" s="690"/>
      <c r="M45" s="687"/>
      <c r="N45" s="2740"/>
      <c r="O45" s="2740"/>
      <c r="P45" s="2740"/>
      <c r="Q45" s="2710"/>
      <c r="R45" s="2696"/>
      <c r="S45" s="2696"/>
      <c r="T45" s="2696"/>
      <c r="U45" s="2696"/>
      <c r="V45" s="2696"/>
      <c r="W45" s="2696"/>
      <c r="X45" s="2696"/>
      <c r="Y45" s="2696"/>
      <c r="Z45" s="2696"/>
      <c r="AA45" s="2696"/>
      <c r="AB45" s="2696"/>
      <c r="AC45" s="2696"/>
      <c r="AD45" s="2696"/>
    </row>
    <row r="46" spans="1:30" s="452" customFormat="1" ht="14.4">
      <c r="A46" s="449" t="s">
        <v>1679</v>
      </c>
      <c r="B46" s="450"/>
      <c r="C46" s="1171" t="str">
        <f>YEAR(C7)&amp;"-"&amp;MONTH(C7)</f>
        <v>2003-10</v>
      </c>
      <c r="D46" s="1172">
        <f>EDATE(C46,-1)</f>
        <v>37865</v>
      </c>
      <c r="E46" s="1172">
        <f t="shared" ref="E46:O46" si="16">EDATE(D46,-1)</f>
        <v>37834</v>
      </c>
      <c r="F46" s="1172">
        <f t="shared" si="16"/>
        <v>37803</v>
      </c>
      <c r="G46" s="1172">
        <f t="shared" si="16"/>
        <v>37773</v>
      </c>
      <c r="H46" s="1172">
        <f t="shared" si="16"/>
        <v>37742</v>
      </c>
      <c r="I46" s="1172">
        <f t="shared" si="16"/>
        <v>37712</v>
      </c>
      <c r="J46" s="1172">
        <f t="shared" si="16"/>
        <v>37681</v>
      </c>
      <c r="K46" s="1172">
        <f t="shared" si="16"/>
        <v>37653</v>
      </c>
      <c r="L46" s="1172">
        <f t="shared" si="16"/>
        <v>37622</v>
      </c>
      <c r="M46" s="1172">
        <f t="shared" si="16"/>
        <v>37591</v>
      </c>
      <c r="N46" s="1172">
        <f t="shared" si="16"/>
        <v>37561</v>
      </c>
      <c r="O46" s="1172">
        <f t="shared" si="16"/>
        <v>37530</v>
      </c>
      <c r="P46" s="2747"/>
      <c r="Q46" s="2712"/>
      <c r="R46" s="2712"/>
      <c r="S46" s="2712"/>
      <c r="T46" s="2712"/>
      <c r="U46" s="2712"/>
      <c r="V46" s="2712"/>
      <c r="W46" s="2712"/>
      <c r="X46" s="2712"/>
      <c r="Y46" s="2712"/>
      <c r="Z46" s="2712"/>
      <c r="AA46" s="2712"/>
      <c r="AB46" s="2712"/>
      <c r="AC46" s="2712"/>
      <c r="AD46" s="2712"/>
    </row>
    <row r="47" spans="1:30" s="108" customFormat="1">
      <c r="A47" s="453"/>
      <c r="B47" s="454"/>
      <c r="C47" s="1170">
        <v>100</v>
      </c>
      <c r="D47" s="456"/>
      <c r="E47" s="456"/>
      <c r="F47" s="456"/>
      <c r="G47" s="456"/>
      <c r="H47" s="456"/>
      <c r="I47" s="456"/>
      <c r="J47" s="456"/>
      <c r="K47" s="456"/>
      <c r="L47" s="456"/>
      <c r="M47" s="457"/>
      <c r="N47" s="456"/>
      <c r="O47" s="458"/>
      <c r="P47" s="2710"/>
      <c r="Q47" s="2632"/>
      <c r="R47" s="2632"/>
      <c r="S47" s="2632"/>
      <c r="T47" s="2632"/>
      <c r="U47" s="2632"/>
      <c r="V47" s="2632"/>
      <c r="W47" s="2632"/>
      <c r="X47" s="2632"/>
      <c r="Y47" s="2632"/>
      <c r="Z47" s="2632"/>
      <c r="AA47" s="2632"/>
      <c r="AB47" s="2632"/>
      <c r="AC47" s="2632"/>
      <c r="AD47" s="2632"/>
    </row>
    <row r="48" spans="1:30" s="108" customFormat="1" ht="15" thickBot="1">
      <c r="A48" s="459" t="s">
        <v>1716</v>
      </c>
      <c r="B48" s="460"/>
      <c r="C48" s="461"/>
      <c r="D48" s="462"/>
      <c r="E48" s="462"/>
      <c r="F48" s="462"/>
      <c r="G48" s="462"/>
      <c r="H48" s="462"/>
      <c r="I48" s="462"/>
      <c r="J48" s="462"/>
      <c r="K48" s="462"/>
      <c r="L48" s="462"/>
      <c r="M48" s="463"/>
      <c r="N48" s="462"/>
      <c r="O48" s="464"/>
      <c r="P48" s="2710"/>
      <c r="Q48" s="2710"/>
      <c r="R48" s="2632"/>
      <c r="S48" s="2632"/>
      <c r="T48" s="2632"/>
      <c r="U48" s="2632"/>
      <c r="V48" s="2632"/>
      <c r="W48" s="2632"/>
      <c r="X48" s="2632"/>
      <c r="Y48" s="2632"/>
      <c r="Z48" s="2632"/>
      <c r="AA48" s="2632"/>
      <c r="AB48" s="2632"/>
      <c r="AC48" s="2632"/>
      <c r="AD48" s="2632"/>
    </row>
    <row r="49" spans="1:30" s="108" customFormat="1" ht="14.4">
      <c r="A49" s="465" t="s">
        <v>1681</v>
      </c>
      <c r="B49" s="454"/>
      <c r="C49" s="466" t="s">
        <v>1776</v>
      </c>
      <c r="D49" s="467"/>
      <c r="E49" s="467"/>
      <c r="F49" s="467"/>
      <c r="G49" s="467"/>
      <c r="H49" s="467"/>
      <c r="I49" s="467"/>
      <c r="J49" s="467"/>
      <c r="K49" s="467"/>
      <c r="L49" s="468"/>
      <c r="M49" s="469"/>
      <c r="N49" s="2723"/>
      <c r="O49" s="2723"/>
      <c r="P49" s="2748"/>
      <c r="Q49" s="2710"/>
      <c r="R49" s="2632"/>
      <c r="S49" s="2632"/>
      <c r="T49" s="2632"/>
      <c r="U49" s="2632"/>
      <c r="V49" s="2632"/>
      <c r="W49" s="2632"/>
      <c r="X49" s="2632"/>
      <c r="Y49" s="2632"/>
      <c r="Z49" s="2632"/>
      <c r="AA49" s="2632"/>
      <c r="AB49" s="2632"/>
      <c r="AC49" s="2632"/>
      <c r="AD49" s="2632"/>
    </row>
    <row r="50" spans="1:30" s="108" customFormat="1" ht="14.4" thickBot="1">
      <c r="A50" s="465"/>
      <c r="B50" s="454"/>
      <c r="C50" s="579">
        <v>100</v>
      </c>
      <c r="D50" s="456"/>
      <c r="E50" s="456"/>
      <c r="F50" s="456"/>
      <c r="G50" s="456"/>
      <c r="H50" s="456"/>
      <c r="I50" s="456"/>
      <c r="J50" s="456"/>
      <c r="K50" s="456"/>
      <c r="L50" s="456"/>
      <c r="M50" s="458"/>
      <c r="N50" s="2723"/>
      <c r="O50" s="2723"/>
      <c r="P50" s="2710"/>
      <c r="Q50" s="2710"/>
      <c r="R50" s="2632"/>
      <c r="S50" s="2632"/>
      <c r="T50" s="2632"/>
      <c r="U50" s="2632"/>
      <c r="V50" s="2632"/>
      <c r="W50" s="2632"/>
      <c r="X50" s="2632"/>
      <c r="Y50" s="2632"/>
      <c r="Z50" s="2632"/>
      <c r="AA50" s="2632"/>
      <c r="AB50" s="2632"/>
      <c r="AC50" s="2632"/>
      <c r="AD50" s="2632"/>
    </row>
    <row r="51" spans="1:30" ht="14.4">
      <c r="A51" s="471" t="s">
        <v>1719</v>
      </c>
      <c r="B51" s="472" t="s">
        <v>1685</v>
      </c>
      <c r="C51" s="473">
        <f>C9</f>
        <v>0</v>
      </c>
      <c r="D51" s="474"/>
      <c r="E51" s="474"/>
      <c r="F51" s="474"/>
      <c r="G51" s="474"/>
      <c r="H51" s="474"/>
      <c r="I51" s="474"/>
      <c r="J51" s="474"/>
      <c r="K51" s="475"/>
      <c r="L51" s="476"/>
      <c r="M51" s="477"/>
      <c r="N51" s="2724"/>
      <c r="O51" s="2724"/>
      <c r="P51" s="2749"/>
      <c r="Q51" s="2710"/>
      <c r="R51" s="2696"/>
      <c r="S51" s="2696"/>
      <c r="T51" s="2696"/>
      <c r="U51" s="2696"/>
      <c r="V51" s="2696"/>
      <c r="W51" s="2696"/>
      <c r="X51" s="2696"/>
      <c r="Y51" s="2696"/>
      <c r="Z51" s="2696"/>
      <c r="AA51" s="2696"/>
      <c r="AB51" s="2696"/>
      <c r="AC51" s="2696"/>
      <c r="AD51" s="2696"/>
    </row>
    <row r="52" spans="1:30" ht="14.4" thickBot="1">
      <c r="A52" s="478"/>
      <c r="B52" s="479"/>
      <c r="C52" s="480">
        <v>100</v>
      </c>
      <c r="D52" s="480"/>
      <c r="E52" s="480"/>
      <c r="F52" s="480"/>
      <c r="G52" s="480"/>
      <c r="H52" s="480"/>
      <c r="I52" s="480"/>
      <c r="J52" s="480"/>
      <c r="K52" s="480"/>
      <c r="L52" s="480"/>
      <c r="M52" s="481"/>
      <c r="N52" s="2725"/>
      <c r="O52" s="2725"/>
      <c r="P52" s="2749"/>
      <c r="Q52" s="2710"/>
      <c r="R52" s="2696"/>
      <c r="S52" s="2696"/>
      <c r="T52" s="2696"/>
      <c r="U52" s="2696"/>
      <c r="V52" s="2696"/>
      <c r="W52" s="2696"/>
      <c r="X52" s="2696"/>
      <c r="Y52" s="2696"/>
      <c r="Z52" s="2696"/>
      <c r="AA52" s="2696"/>
      <c r="AB52" s="2696"/>
      <c r="AC52" s="2696"/>
      <c r="AD52" s="2696"/>
    </row>
    <row r="53" spans="1:30" ht="29.4" thickTop="1">
      <c r="A53" s="478"/>
      <c r="B53" s="482" t="s">
        <v>1688</v>
      </c>
      <c r="C53" s="527"/>
      <c r="D53" s="527"/>
      <c r="E53" s="527"/>
      <c r="F53" s="527"/>
      <c r="G53" s="527"/>
      <c r="H53" s="527"/>
      <c r="I53" s="527"/>
      <c r="J53" s="527"/>
      <c r="K53" s="528"/>
      <c r="L53" s="529"/>
      <c r="M53" s="530"/>
      <c r="N53" s="2724"/>
      <c r="O53" s="2724"/>
      <c r="P53" s="2749"/>
      <c r="Q53" s="2710"/>
      <c r="R53" s="2696"/>
      <c r="S53" s="2696"/>
      <c r="T53" s="2696"/>
      <c r="U53" s="2696"/>
      <c r="V53" s="2696"/>
      <c r="W53" s="2696"/>
      <c r="X53" s="2696"/>
      <c r="Y53" s="2696"/>
      <c r="Z53" s="2696"/>
      <c r="AA53" s="2696"/>
      <c r="AB53" s="2696"/>
      <c r="AC53" s="2696"/>
      <c r="AD53" s="2696"/>
    </row>
    <row r="54" spans="1:30" ht="14.4" thickBot="1">
      <c r="A54" s="478"/>
      <c r="B54" s="487"/>
      <c r="C54" s="480"/>
      <c r="D54" s="480"/>
      <c r="E54" s="480"/>
      <c r="F54" s="480"/>
      <c r="G54" s="480"/>
      <c r="H54" s="480"/>
      <c r="I54" s="480"/>
      <c r="J54" s="480"/>
      <c r="K54" s="480"/>
      <c r="L54" s="480"/>
      <c r="M54" s="481"/>
      <c r="N54" s="2725"/>
      <c r="O54" s="2725"/>
      <c r="P54" s="2749"/>
      <c r="Q54" s="2710"/>
      <c r="R54" s="2696"/>
      <c r="S54" s="2696"/>
      <c r="T54" s="2696"/>
      <c r="U54" s="2696"/>
      <c r="V54" s="2696"/>
      <c r="W54" s="2696"/>
      <c r="X54" s="2696"/>
      <c r="Y54" s="2696"/>
      <c r="Z54" s="2696"/>
      <c r="AA54" s="2696"/>
      <c r="AB54" s="2696"/>
      <c r="AC54" s="2696"/>
      <c r="AD54" s="2696"/>
    </row>
    <row r="55" spans="1:30" ht="14.4" thickTop="1">
      <c r="A55" s="478"/>
      <c r="B55" s="600">
        <f>B11</f>
        <v>111</v>
      </c>
      <c r="C55" s="493"/>
      <c r="D55" s="493"/>
      <c r="E55" s="493"/>
      <c r="F55" s="493"/>
      <c r="G55" s="493"/>
      <c r="H55" s="493"/>
      <c r="I55" s="493"/>
      <c r="J55" s="493"/>
      <c r="K55" s="494"/>
      <c r="L55" s="495"/>
      <c r="M55" s="496"/>
      <c r="N55" s="2724"/>
      <c r="O55" s="2724"/>
      <c r="P55" s="2749"/>
      <c r="Q55" s="2710"/>
      <c r="R55" s="2696"/>
      <c r="S55" s="2696"/>
      <c r="T55" s="2696"/>
      <c r="U55" s="2696"/>
      <c r="V55" s="2696"/>
      <c r="W55" s="2696"/>
      <c r="X55" s="2696"/>
      <c r="Y55" s="2696"/>
      <c r="Z55" s="2696"/>
      <c r="AA55" s="2696"/>
      <c r="AB55" s="2696"/>
      <c r="AC55" s="2696"/>
      <c r="AD55" s="2696"/>
    </row>
    <row r="56" spans="1:30" ht="14.4" thickBot="1">
      <c r="A56" s="478"/>
      <c r="B56" s="479"/>
      <c r="C56" s="504"/>
      <c r="D56" s="480"/>
      <c r="E56" s="480"/>
      <c r="F56" s="480"/>
      <c r="G56" s="480"/>
      <c r="H56" s="480"/>
      <c r="I56" s="480"/>
      <c r="J56" s="480"/>
      <c r="K56" s="480"/>
      <c r="L56" s="480"/>
      <c r="M56" s="481"/>
      <c r="N56" s="2725"/>
      <c r="O56" s="2725"/>
      <c r="P56" s="2749"/>
      <c r="Q56" s="2710"/>
      <c r="R56" s="2696"/>
      <c r="S56" s="2696"/>
      <c r="T56" s="2696"/>
      <c r="U56" s="2696"/>
      <c r="V56" s="2696"/>
      <c r="W56" s="2696"/>
      <c r="X56" s="2696"/>
      <c r="Y56" s="2696"/>
      <c r="Z56" s="2696"/>
      <c r="AA56" s="2696"/>
      <c r="AB56" s="2696"/>
      <c r="AC56" s="2696"/>
      <c r="AD56" s="2696"/>
    </row>
    <row r="57" spans="1:30" s="417" customFormat="1" ht="14.4" thickTop="1">
      <c r="A57" s="497"/>
      <c r="B57" s="482">
        <f>B12</f>
        <v>111</v>
      </c>
      <c r="C57" s="493"/>
      <c r="D57" s="493"/>
      <c r="E57" s="493"/>
      <c r="F57" s="493"/>
      <c r="G57" s="498"/>
      <c r="H57" s="499"/>
      <c r="I57" s="499"/>
      <c r="J57" s="499"/>
      <c r="K57" s="499"/>
      <c r="L57" s="500"/>
      <c r="M57" s="501"/>
      <c r="N57" s="2726"/>
      <c r="O57" s="2726"/>
      <c r="P57" s="2750"/>
      <c r="Q57" s="2717"/>
      <c r="R57" s="2718"/>
      <c r="S57" s="2718"/>
      <c r="T57" s="2718"/>
      <c r="U57" s="2718"/>
      <c r="V57" s="2718"/>
      <c r="W57" s="2718"/>
      <c r="X57" s="2718"/>
      <c r="Y57" s="2718"/>
      <c r="Z57" s="2718"/>
      <c r="AA57" s="2718"/>
      <c r="AB57" s="2718"/>
      <c r="AC57" s="2718"/>
      <c r="AD57" s="2718"/>
    </row>
    <row r="58" spans="1:30" s="417" customFormat="1" ht="14.4" thickBot="1">
      <c r="A58" s="497"/>
      <c r="B58" s="487"/>
      <c r="C58" s="504"/>
      <c r="D58" s="480"/>
      <c r="E58" s="480"/>
      <c r="F58" s="480"/>
      <c r="G58" s="480"/>
      <c r="H58" s="480"/>
      <c r="I58" s="480"/>
      <c r="J58" s="480"/>
      <c r="K58" s="480"/>
      <c r="L58" s="480"/>
      <c r="M58" s="481"/>
      <c r="N58" s="2725"/>
      <c r="O58" s="2725"/>
      <c r="P58" s="2750"/>
      <c r="Q58" s="2717"/>
      <c r="R58" s="2718"/>
      <c r="S58" s="2718"/>
      <c r="T58" s="2718"/>
      <c r="U58" s="2718"/>
      <c r="V58" s="2718"/>
      <c r="W58" s="2718"/>
      <c r="X58" s="2718"/>
      <c r="Y58" s="2718"/>
      <c r="Z58" s="2718"/>
      <c r="AA58" s="2718"/>
      <c r="AB58" s="2718"/>
      <c r="AC58" s="2718"/>
      <c r="AD58" s="2718"/>
    </row>
    <row r="59" spans="1:30" s="417" customFormat="1" ht="14.4" thickTop="1">
      <c r="A59" s="497"/>
      <c r="B59" s="482">
        <f>B13</f>
        <v>111</v>
      </c>
      <c r="C59" s="493"/>
      <c r="D59" s="493"/>
      <c r="E59" s="493"/>
      <c r="F59" s="493"/>
      <c r="G59" s="498"/>
      <c r="H59" s="499"/>
      <c r="I59" s="499"/>
      <c r="J59" s="499"/>
      <c r="K59" s="499"/>
      <c r="L59" s="500"/>
      <c r="M59" s="501"/>
      <c r="N59" s="2726"/>
      <c r="O59" s="2726"/>
      <c r="P59" s="2694"/>
      <c r="Q59" s="2720"/>
      <c r="R59" s="2718"/>
      <c r="S59" s="2718"/>
      <c r="T59" s="2718"/>
      <c r="U59" s="2718"/>
      <c r="V59" s="2718"/>
      <c r="W59" s="2718"/>
      <c r="X59" s="2718"/>
      <c r="Y59" s="2718"/>
      <c r="Z59" s="2718"/>
      <c r="AA59" s="2718"/>
      <c r="AB59" s="2718"/>
      <c r="AC59" s="2718"/>
      <c r="AD59" s="2718"/>
    </row>
    <row r="60" spans="1:30" s="417" customFormat="1" ht="14.4" thickBot="1">
      <c r="A60" s="497"/>
      <c r="B60" s="487"/>
      <c r="C60" s="504"/>
      <c r="D60" s="504"/>
      <c r="E60" s="504"/>
      <c r="F60" s="504"/>
      <c r="G60" s="504"/>
      <c r="H60" s="506"/>
      <c r="I60" s="506"/>
      <c r="J60" s="506"/>
      <c r="K60" s="506"/>
      <c r="L60" s="506"/>
      <c r="M60" s="507"/>
      <c r="N60" s="2726"/>
      <c r="O60" s="2726"/>
      <c r="P60" s="2750"/>
      <c r="Q60" s="2717"/>
      <c r="R60" s="2718"/>
      <c r="S60" s="2718"/>
      <c r="T60" s="2718"/>
      <c r="U60" s="2718"/>
      <c r="V60" s="2718"/>
      <c r="W60" s="2718"/>
      <c r="X60" s="2718"/>
      <c r="Y60" s="2718"/>
      <c r="Z60" s="2718"/>
      <c r="AA60" s="2718"/>
      <c r="AB60" s="2718"/>
      <c r="AC60" s="2718"/>
      <c r="AD60" s="2718"/>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24"/>
      <c r="O61" s="2724"/>
      <c r="P61" s="2751"/>
      <c r="Q61" s="2710"/>
      <c r="R61" s="2696"/>
      <c r="S61" s="2696"/>
      <c r="T61" s="2696"/>
      <c r="U61" s="2696"/>
      <c r="V61" s="2696"/>
      <c r="W61" s="2696"/>
      <c r="X61" s="2696"/>
      <c r="Y61" s="2696"/>
      <c r="Z61" s="2696"/>
      <c r="AA61" s="2696"/>
      <c r="AB61" s="2696"/>
      <c r="AC61" s="2696"/>
      <c r="AD61" s="2696"/>
    </row>
    <row r="62" spans="1:30" ht="14.4" thickBot="1">
      <c r="A62" s="478"/>
      <c r="B62" s="487"/>
      <c r="C62" s="488">
        <v>100</v>
      </c>
      <c r="D62" s="488">
        <f>C62-$K14</f>
        <v>100</v>
      </c>
      <c r="E62" s="488">
        <f>D62-$K14</f>
        <v>100</v>
      </c>
      <c r="F62" s="488">
        <f>E62-$K14</f>
        <v>100</v>
      </c>
      <c r="G62" s="488">
        <f>F62-$K14</f>
        <v>100</v>
      </c>
      <c r="H62" s="488"/>
      <c r="I62" s="488"/>
      <c r="J62" s="488"/>
      <c r="K62" s="488"/>
      <c r="L62" s="488"/>
      <c r="M62" s="489"/>
      <c r="N62" s="2725"/>
      <c r="O62" s="2725"/>
      <c r="P62" s="2749"/>
      <c r="Q62" s="2710"/>
      <c r="R62" s="2696"/>
      <c r="S62" s="2696"/>
      <c r="T62" s="2696"/>
      <c r="U62" s="2696"/>
      <c r="V62" s="2696"/>
      <c r="W62" s="2696"/>
      <c r="X62" s="2696"/>
      <c r="Y62" s="2696"/>
      <c r="Z62" s="2696"/>
      <c r="AA62" s="2696"/>
      <c r="AB62" s="2696"/>
      <c r="AC62" s="2696"/>
      <c r="AD62" s="2696"/>
    </row>
    <row r="63" spans="1:30" ht="29.4" thickTop="1">
      <c r="A63" s="478"/>
      <c r="B63" s="482" t="s">
        <v>1863</v>
      </c>
      <c r="C63" s="522" t="s">
        <v>1721</v>
      </c>
      <c r="D63" s="522" t="s">
        <v>1722</v>
      </c>
      <c r="E63" s="522" t="s">
        <v>1723</v>
      </c>
      <c r="F63" s="522" t="s">
        <v>1724</v>
      </c>
      <c r="G63" s="522" t="s">
        <v>1725</v>
      </c>
      <c r="H63" s="483"/>
      <c r="I63" s="483"/>
      <c r="J63" s="483"/>
      <c r="K63" s="484"/>
      <c r="L63" s="485"/>
      <c r="M63" s="486"/>
      <c r="N63" s="2724"/>
      <c r="O63" s="2724"/>
      <c r="P63" s="2749"/>
      <c r="Q63" s="2710"/>
      <c r="R63" s="2696"/>
      <c r="S63" s="2696"/>
      <c r="T63" s="2696"/>
      <c r="U63" s="2696"/>
      <c r="V63" s="2696"/>
      <c r="W63" s="2696"/>
      <c r="X63" s="2696"/>
      <c r="Y63" s="2696"/>
      <c r="Z63" s="2696"/>
      <c r="AA63" s="2696"/>
      <c r="AB63" s="2696"/>
      <c r="AC63" s="2696"/>
      <c r="AD63" s="2696"/>
    </row>
    <row r="64" spans="1:30" ht="14.4" thickBot="1">
      <c r="A64" s="478"/>
      <c r="B64" s="487"/>
      <c r="C64" s="488">
        <v>100</v>
      </c>
      <c r="D64" s="488">
        <f>C64-$K16</f>
        <v>100</v>
      </c>
      <c r="E64" s="488">
        <f>D64-$K16</f>
        <v>100</v>
      </c>
      <c r="F64" s="488">
        <f>E64-$K16</f>
        <v>100</v>
      </c>
      <c r="G64" s="488">
        <f>F64-$K16</f>
        <v>100</v>
      </c>
      <c r="H64" s="488"/>
      <c r="I64" s="488"/>
      <c r="J64" s="488"/>
      <c r="K64" s="488"/>
      <c r="L64" s="488"/>
      <c r="M64" s="489"/>
      <c r="N64" s="2725"/>
      <c r="O64" s="2725"/>
      <c r="P64" s="2749"/>
      <c r="Q64" s="2710"/>
      <c r="R64" s="2696"/>
      <c r="S64" s="2696"/>
      <c r="T64" s="2696"/>
      <c r="U64" s="2696"/>
      <c r="V64" s="2696"/>
      <c r="W64" s="2696"/>
      <c r="X64" s="2696"/>
      <c r="Y64" s="2696"/>
      <c r="Z64" s="2696"/>
      <c r="AA64" s="2696"/>
      <c r="AB64" s="2696"/>
      <c r="AC64" s="2696"/>
      <c r="AD64" s="2696"/>
    </row>
    <row r="65" spans="1:30" ht="15" thickTop="1">
      <c r="A65" s="478"/>
      <c r="B65" s="490" t="s">
        <v>1813</v>
      </c>
      <c r="C65" s="600" t="s">
        <v>1799</v>
      </c>
      <c r="D65" s="600" t="s">
        <v>1800</v>
      </c>
      <c r="E65" s="600" t="s">
        <v>1801</v>
      </c>
      <c r="F65" s="600" t="s">
        <v>1802</v>
      </c>
      <c r="G65" s="600" t="s">
        <v>1803</v>
      </c>
      <c r="H65" s="483"/>
      <c r="I65" s="483"/>
      <c r="J65" s="483"/>
      <c r="K65" s="483"/>
      <c r="L65" s="483"/>
      <c r="M65" s="1117"/>
      <c r="N65" s="2725"/>
      <c r="O65" s="2725"/>
      <c r="P65" s="2749"/>
      <c r="Q65" s="2710"/>
      <c r="R65" s="2696"/>
      <c r="S65" s="2696"/>
      <c r="T65" s="2696"/>
      <c r="U65" s="2696"/>
      <c r="V65" s="2696"/>
      <c r="W65" s="2696"/>
      <c r="X65" s="2696"/>
      <c r="Y65" s="2696"/>
      <c r="Z65" s="2696"/>
      <c r="AA65" s="2696"/>
      <c r="AB65" s="2696"/>
      <c r="AC65" s="2696"/>
      <c r="AD65" s="2696"/>
    </row>
    <row r="66" spans="1:30" ht="14.4" thickBot="1">
      <c r="A66" s="478"/>
      <c r="B66" s="490"/>
      <c r="C66" s="488">
        <v>100</v>
      </c>
      <c r="D66" s="488">
        <f>C66-$K18</f>
        <v>100</v>
      </c>
      <c r="E66" s="488">
        <f>D66-$K18</f>
        <v>100</v>
      </c>
      <c r="F66" s="488">
        <f>E66-$K18</f>
        <v>100</v>
      </c>
      <c r="G66" s="488">
        <f>F66-$K18</f>
        <v>100</v>
      </c>
      <c r="H66" s="600"/>
      <c r="I66" s="600"/>
      <c r="J66" s="600"/>
      <c r="K66" s="600"/>
      <c r="L66" s="600"/>
      <c r="M66" s="396"/>
      <c r="N66" s="2725"/>
      <c r="O66" s="2725"/>
      <c r="P66" s="2749"/>
      <c r="Q66" s="2710"/>
      <c r="R66" s="2696"/>
      <c r="S66" s="2696"/>
      <c r="T66" s="2696"/>
      <c r="U66" s="2696"/>
      <c r="V66" s="2696"/>
      <c r="W66" s="2696"/>
      <c r="X66" s="2696"/>
      <c r="Y66" s="2696"/>
      <c r="Z66" s="2696"/>
      <c r="AA66" s="2696"/>
      <c r="AB66" s="2696"/>
      <c r="AC66" s="2696"/>
      <c r="AD66" s="2696"/>
    </row>
    <row r="67" spans="1:30" ht="15" thickTop="1">
      <c r="A67" s="478"/>
      <c r="B67" s="482" t="s">
        <v>1733</v>
      </c>
      <c r="C67" s="522" t="s">
        <v>1721</v>
      </c>
      <c r="D67" s="522" t="s">
        <v>1722</v>
      </c>
      <c r="E67" s="522" t="s">
        <v>1723</v>
      </c>
      <c r="F67" s="522" t="s">
        <v>1724</v>
      </c>
      <c r="G67" s="522" t="s">
        <v>1725</v>
      </c>
      <c r="H67" s="483"/>
      <c r="I67" s="483"/>
      <c r="J67" s="483"/>
      <c r="K67" s="484"/>
      <c r="L67" s="485"/>
      <c r="M67" s="486"/>
      <c r="N67" s="2724"/>
      <c r="O67" s="2724"/>
      <c r="P67" s="2749"/>
      <c r="Q67" s="2710"/>
      <c r="R67" s="2696"/>
      <c r="S67" s="2696"/>
      <c r="T67" s="2696"/>
      <c r="U67" s="2696"/>
      <c r="V67" s="2696"/>
      <c r="W67" s="2696"/>
      <c r="X67" s="2696"/>
      <c r="Y67" s="2696"/>
      <c r="Z67" s="2696"/>
      <c r="AA67" s="2696"/>
      <c r="AB67" s="2696"/>
      <c r="AC67" s="2696"/>
      <c r="AD67" s="2696"/>
    </row>
    <row r="68" spans="1:30" ht="14.4" thickBot="1">
      <c r="A68" s="478"/>
      <c r="B68" s="487"/>
      <c r="C68" s="488">
        <v>100</v>
      </c>
      <c r="D68" s="488">
        <f>C68-$K20</f>
        <v>100</v>
      </c>
      <c r="E68" s="488">
        <f>D68-$K20</f>
        <v>100</v>
      </c>
      <c r="F68" s="488">
        <f>E68-$K20</f>
        <v>100</v>
      </c>
      <c r="G68" s="488">
        <f>F68-$K20</f>
        <v>100</v>
      </c>
      <c r="H68" s="488"/>
      <c r="I68" s="488"/>
      <c r="J68" s="488"/>
      <c r="K68" s="488"/>
      <c r="L68" s="488"/>
      <c r="M68" s="489"/>
      <c r="N68" s="2725"/>
      <c r="O68" s="2725"/>
      <c r="P68" s="2749"/>
      <c r="Q68" s="2710"/>
      <c r="R68" s="2696"/>
      <c r="S68" s="2696"/>
      <c r="T68" s="2696"/>
      <c r="U68" s="2696"/>
      <c r="V68" s="2696"/>
      <c r="W68" s="2696"/>
      <c r="X68" s="2696"/>
      <c r="Y68" s="2696"/>
      <c r="Z68" s="2696"/>
      <c r="AA68" s="2696"/>
      <c r="AB68" s="2696"/>
      <c r="AC68" s="2696"/>
      <c r="AD68" s="2696"/>
    </row>
    <row r="69" spans="1:30" ht="15" thickTop="1">
      <c r="A69" s="478"/>
      <c r="B69" s="482" t="s">
        <v>1852</v>
      </c>
      <c r="C69" s="498"/>
      <c r="D69" s="498"/>
      <c r="E69" s="498"/>
      <c r="F69" s="498"/>
      <c r="G69" s="498"/>
      <c r="H69" s="527"/>
      <c r="I69" s="527"/>
      <c r="J69" s="527"/>
      <c r="K69" s="528"/>
      <c r="L69" s="529"/>
      <c r="M69" s="530"/>
      <c r="N69" s="2724"/>
      <c r="O69" s="2724"/>
      <c r="P69" s="2749"/>
      <c r="Q69" s="2710"/>
      <c r="R69" s="2696"/>
      <c r="S69" s="2696"/>
      <c r="T69" s="2696"/>
      <c r="U69" s="2696"/>
      <c r="V69" s="2696"/>
      <c r="W69" s="2696"/>
      <c r="X69" s="2696"/>
      <c r="Y69" s="2696"/>
      <c r="Z69" s="2696"/>
      <c r="AA69" s="2696"/>
      <c r="AB69" s="2696"/>
      <c r="AC69" s="2696"/>
      <c r="AD69" s="2696"/>
    </row>
    <row r="70" spans="1:30" ht="14.4" thickBot="1">
      <c r="A70" s="478"/>
      <c r="B70" s="487"/>
      <c r="C70" s="488">
        <v>100</v>
      </c>
      <c r="D70" s="488">
        <f>C70-$K22</f>
        <v>100</v>
      </c>
      <c r="E70" s="488"/>
      <c r="F70" s="488"/>
      <c r="G70" s="488"/>
      <c r="H70" s="488"/>
      <c r="I70" s="488"/>
      <c r="J70" s="488"/>
      <c r="K70" s="488"/>
      <c r="L70" s="488"/>
      <c r="M70" s="489"/>
      <c r="N70" s="2725"/>
      <c r="O70" s="2725"/>
      <c r="P70" s="2749"/>
      <c r="Q70" s="2710"/>
      <c r="R70" s="2696"/>
      <c r="S70" s="2696"/>
      <c r="T70" s="2696"/>
      <c r="U70" s="2696"/>
      <c r="V70" s="2696"/>
      <c r="W70" s="2696"/>
      <c r="X70" s="2696"/>
      <c r="Y70" s="2696"/>
      <c r="Z70" s="2696"/>
      <c r="AA70" s="2696"/>
      <c r="AB70" s="2696"/>
      <c r="AC70" s="2696"/>
      <c r="AD70" s="2696"/>
    </row>
    <row r="71" spans="1:30" s="108" customFormat="1" ht="14.4" thickTop="1">
      <c r="A71" s="523"/>
      <c r="B71" s="482">
        <f>B23</f>
        <v>111</v>
      </c>
      <c r="C71" s="493"/>
      <c r="D71" s="493"/>
      <c r="E71" s="493"/>
      <c r="F71" s="493"/>
      <c r="G71" s="498"/>
      <c r="H71" s="498"/>
      <c r="I71" s="498"/>
      <c r="J71" s="498"/>
      <c r="K71" s="498"/>
      <c r="L71" s="524"/>
      <c r="M71" s="525"/>
      <c r="N71" s="2723"/>
      <c r="O71" s="2723"/>
      <c r="P71" s="2749"/>
      <c r="Q71" s="2710"/>
      <c r="R71" s="2632"/>
      <c r="S71" s="2632"/>
      <c r="T71" s="2632"/>
      <c r="U71" s="2632"/>
      <c r="V71" s="2632"/>
      <c r="W71" s="2632"/>
      <c r="X71" s="2632"/>
      <c r="Y71" s="2632"/>
      <c r="Z71" s="2632"/>
      <c r="AA71" s="2632"/>
      <c r="AB71" s="2632"/>
      <c r="AC71" s="2632"/>
      <c r="AD71" s="2632"/>
    </row>
    <row r="72" spans="1:30" s="108" customFormat="1" ht="14.4" thickBot="1">
      <c r="A72" s="523"/>
      <c r="B72" s="487"/>
      <c r="C72" s="504"/>
      <c r="D72" s="480"/>
      <c r="E72" s="480"/>
      <c r="F72" s="480"/>
      <c r="G72" s="480"/>
      <c r="H72" s="480"/>
      <c r="I72" s="480"/>
      <c r="J72" s="480"/>
      <c r="K72" s="480"/>
      <c r="L72" s="480"/>
      <c r="M72" s="481"/>
      <c r="N72" s="2725"/>
      <c r="O72" s="2725"/>
      <c r="P72" s="2749"/>
      <c r="Q72" s="2710"/>
      <c r="R72" s="2632"/>
      <c r="S72" s="2632"/>
      <c r="T72" s="2632"/>
      <c r="U72" s="2632"/>
      <c r="V72" s="2632"/>
      <c r="W72" s="2632"/>
      <c r="X72" s="2632"/>
      <c r="Y72" s="2632"/>
      <c r="Z72" s="2632"/>
      <c r="AA72" s="2632"/>
      <c r="AB72" s="2632"/>
      <c r="AC72" s="2632"/>
      <c r="AD72" s="2632"/>
    </row>
    <row r="73" spans="1:30" s="108" customFormat="1" ht="14.4" thickTop="1">
      <c r="A73" s="523"/>
      <c r="B73" s="482">
        <f>B24</f>
        <v>111</v>
      </c>
      <c r="C73" s="493"/>
      <c r="D73" s="493"/>
      <c r="E73" s="493"/>
      <c r="F73" s="493"/>
      <c r="G73" s="498"/>
      <c r="H73" s="498"/>
      <c r="I73" s="498"/>
      <c r="J73" s="498"/>
      <c r="K73" s="498"/>
      <c r="L73" s="498"/>
      <c r="M73" s="525"/>
      <c r="N73" s="2723"/>
      <c r="O73" s="2723"/>
      <c r="P73" s="2749"/>
      <c r="Q73" s="2710"/>
      <c r="R73" s="2632"/>
      <c r="S73" s="2632"/>
      <c r="T73" s="2632"/>
      <c r="U73" s="2632"/>
      <c r="V73" s="2632"/>
      <c r="W73" s="2632"/>
      <c r="X73" s="2632"/>
      <c r="Y73" s="2632"/>
      <c r="Z73" s="2632"/>
      <c r="AA73" s="2632"/>
      <c r="AB73" s="2632"/>
      <c r="AC73" s="2632"/>
      <c r="AD73" s="2632"/>
    </row>
    <row r="74" spans="1:30" s="108" customFormat="1" ht="14.4" thickBot="1">
      <c r="A74" s="523"/>
      <c r="B74" s="487"/>
      <c r="C74" s="504"/>
      <c r="D74" s="480"/>
      <c r="E74" s="480"/>
      <c r="F74" s="480"/>
      <c r="G74" s="480"/>
      <c r="H74" s="480"/>
      <c r="I74" s="480"/>
      <c r="J74" s="480"/>
      <c r="K74" s="480"/>
      <c r="L74" s="480"/>
      <c r="M74" s="481"/>
      <c r="N74" s="2725"/>
      <c r="O74" s="2725"/>
      <c r="P74" s="2749"/>
      <c r="Q74" s="2710"/>
      <c r="R74" s="2632"/>
      <c r="S74" s="2632"/>
      <c r="T74" s="2632"/>
      <c r="U74" s="2632"/>
      <c r="V74" s="2632"/>
      <c r="W74" s="2632"/>
      <c r="X74" s="2632"/>
      <c r="Y74" s="2632"/>
      <c r="Z74" s="2632"/>
      <c r="AA74" s="2632"/>
      <c r="AB74" s="2632"/>
      <c r="AC74" s="2632"/>
      <c r="AD74" s="2632"/>
    </row>
    <row r="75" spans="1:30" s="417" customFormat="1" ht="14.4" thickTop="1">
      <c r="A75" s="497"/>
      <c r="B75" s="482">
        <f>B25</f>
        <v>111</v>
      </c>
      <c r="C75" s="493"/>
      <c r="D75" s="493"/>
      <c r="E75" s="493"/>
      <c r="F75" s="493"/>
      <c r="G75" s="498"/>
      <c r="H75" s="499"/>
      <c r="I75" s="499"/>
      <c r="J75" s="499"/>
      <c r="K75" s="499"/>
      <c r="L75" s="500"/>
      <c r="M75" s="501"/>
      <c r="N75" s="2726"/>
      <c r="O75" s="2726"/>
      <c r="P75" s="2750"/>
      <c r="Q75" s="2717"/>
      <c r="R75" s="2718"/>
      <c r="S75" s="2718"/>
      <c r="T75" s="2718"/>
      <c r="U75" s="2718"/>
      <c r="V75" s="2718"/>
      <c r="W75" s="2718"/>
      <c r="X75" s="2718"/>
      <c r="Y75" s="2718"/>
      <c r="Z75" s="2718"/>
      <c r="AA75" s="2718"/>
      <c r="AB75" s="2718"/>
      <c r="AC75" s="2718"/>
      <c r="AD75" s="2718"/>
    </row>
    <row r="76" spans="1:30" s="417" customFormat="1" ht="14.4" thickBot="1">
      <c r="A76" s="497"/>
      <c r="B76" s="487"/>
      <c r="C76" s="504"/>
      <c r="D76" s="504"/>
      <c r="E76" s="504"/>
      <c r="F76" s="504"/>
      <c r="G76" s="480"/>
      <c r="H76" s="480"/>
      <c r="I76" s="480"/>
      <c r="J76" s="480"/>
      <c r="K76" s="480"/>
      <c r="L76" s="480"/>
      <c r="M76" s="481"/>
      <c r="N76" s="2726"/>
      <c r="O76" s="2726"/>
      <c r="P76" s="2750"/>
      <c r="Q76" s="2717"/>
      <c r="R76" s="2718"/>
      <c r="S76" s="2718"/>
      <c r="T76" s="2718"/>
      <c r="U76" s="2718"/>
      <c r="V76" s="2718"/>
      <c r="W76" s="2718"/>
      <c r="X76" s="2718"/>
      <c r="Y76" s="2718"/>
      <c r="Z76" s="2718"/>
      <c r="AA76" s="2718"/>
      <c r="AB76" s="2718"/>
      <c r="AC76" s="2718"/>
      <c r="AD76" s="2718"/>
    </row>
    <row r="77" spans="1:30" ht="15" thickTop="1">
      <c r="A77" s="471" t="s">
        <v>1694</v>
      </c>
      <c r="B77" s="472" t="s">
        <v>1740</v>
      </c>
      <c r="C77" s="498"/>
      <c r="D77" s="498"/>
      <c r="E77" s="474"/>
      <c r="F77" s="474"/>
      <c r="G77" s="474"/>
      <c r="H77" s="474"/>
      <c r="I77" s="474"/>
      <c r="J77" s="474"/>
      <c r="K77" s="475"/>
      <c r="L77" s="476"/>
      <c r="M77" s="477"/>
      <c r="N77" s="2724"/>
      <c r="O77" s="2724"/>
      <c r="P77" s="2749"/>
      <c r="Q77" s="2710"/>
      <c r="R77" s="2696"/>
      <c r="S77" s="2696"/>
      <c r="T77" s="2696"/>
      <c r="U77" s="2696"/>
      <c r="V77" s="2696"/>
      <c r="W77" s="2696"/>
      <c r="X77" s="2696"/>
      <c r="Y77" s="2696"/>
      <c r="Z77" s="2696"/>
      <c r="AA77" s="2696"/>
      <c r="AB77" s="2696"/>
      <c r="AC77" s="2696"/>
      <c r="AD77" s="2696"/>
    </row>
    <row r="78" spans="1:30" ht="14.4"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25"/>
      <c r="O78" s="2725"/>
      <c r="P78" s="2749"/>
      <c r="Q78" s="2710"/>
      <c r="R78" s="2696"/>
      <c r="S78" s="2696"/>
      <c r="T78" s="2696"/>
      <c r="U78" s="2696"/>
      <c r="V78" s="2696"/>
      <c r="W78" s="2696"/>
      <c r="X78" s="2696"/>
      <c r="Y78" s="2696"/>
      <c r="Z78" s="2696"/>
      <c r="AA78" s="2696"/>
      <c r="AB78" s="2696"/>
      <c r="AC78" s="2696"/>
      <c r="AD78" s="2696"/>
    </row>
    <row r="79" spans="1:30" ht="1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23"/>
      <c r="O79" s="2723"/>
      <c r="P79" s="2749"/>
      <c r="Q79" s="2710"/>
      <c r="R79" s="2696"/>
      <c r="S79" s="2696"/>
      <c r="T79" s="2696"/>
      <c r="U79" s="2696"/>
      <c r="V79" s="2696"/>
      <c r="W79" s="2696"/>
      <c r="X79" s="2696"/>
      <c r="Y79" s="2696"/>
      <c r="Z79" s="2696"/>
      <c r="AA79" s="2696"/>
      <c r="AB79" s="2696"/>
      <c r="AC79" s="2696"/>
      <c r="AD79" s="2696"/>
    </row>
    <row r="80" spans="1:30">
      <c r="A80" s="478"/>
      <c r="B80" s="490"/>
      <c r="C80" s="547">
        <v>0.5</v>
      </c>
      <c r="D80" s="547">
        <v>0.6</v>
      </c>
      <c r="E80" s="547">
        <v>0.7</v>
      </c>
      <c r="F80" s="547">
        <v>0.8</v>
      </c>
      <c r="G80" s="547">
        <v>0.9</v>
      </c>
      <c r="H80" s="547">
        <v>1.0001</v>
      </c>
      <c r="I80" s="600"/>
      <c r="J80" s="600"/>
      <c r="K80" s="608"/>
      <c r="L80" s="609"/>
      <c r="M80" s="610"/>
      <c r="N80" s="2723"/>
      <c r="O80" s="2723"/>
      <c r="P80" s="2749"/>
      <c r="Q80" s="2710"/>
      <c r="R80" s="2696"/>
      <c r="S80" s="2696"/>
      <c r="T80" s="2696"/>
      <c r="U80" s="2696"/>
      <c r="V80" s="2696"/>
      <c r="W80" s="2696"/>
      <c r="X80" s="2696"/>
      <c r="Y80" s="2696"/>
      <c r="Z80" s="2696"/>
      <c r="AA80" s="2696"/>
      <c r="AB80" s="2696"/>
      <c r="AC80" s="2696"/>
      <c r="AD80" s="2696"/>
    </row>
    <row r="81" spans="1:30" s="417" customFormat="1" ht="14.4"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3"/>
      <c r="B82" s="490" t="s">
        <v>1856</v>
      </c>
      <c r="C82" s="498"/>
      <c r="D82" s="498"/>
      <c r="E82" s="527"/>
      <c r="F82" s="527"/>
      <c r="G82" s="527"/>
      <c r="H82" s="527"/>
      <c r="I82" s="527"/>
      <c r="J82" s="527"/>
      <c r="K82" s="528"/>
      <c r="L82" s="529"/>
      <c r="M82" s="530"/>
      <c r="N82" s="2724"/>
      <c r="O82" s="2724"/>
      <c r="P82" s="2749"/>
      <c r="Q82" s="2710"/>
      <c r="R82" s="2696"/>
      <c r="S82" s="2696"/>
      <c r="T82" s="2696"/>
      <c r="U82" s="2696"/>
      <c r="V82" s="2696"/>
      <c r="W82" s="2696"/>
      <c r="X82" s="2696"/>
      <c r="Y82" s="2696"/>
      <c r="Z82" s="2696"/>
      <c r="AA82" s="2696"/>
      <c r="AB82" s="2696"/>
      <c r="AC82" s="2696"/>
      <c r="AD82" s="2696"/>
    </row>
    <row r="83" spans="1:30" ht="14.4"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3"/>
      <c r="B84" s="482" t="s">
        <v>1864</v>
      </c>
      <c r="C84" s="498"/>
      <c r="D84" s="498"/>
      <c r="E84" s="498"/>
      <c r="F84" s="498"/>
      <c r="G84" s="498"/>
      <c r="H84" s="498"/>
      <c r="I84" s="527"/>
      <c r="J84" s="527"/>
      <c r="K84" s="528"/>
      <c r="L84" s="529"/>
      <c r="M84" s="530"/>
      <c r="N84" s="2724"/>
      <c r="O84" s="2724"/>
      <c r="P84" s="2749"/>
      <c r="Q84" s="2710"/>
      <c r="R84" s="2696"/>
      <c r="S84" s="2696"/>
      <c r="T84" s="2696"/>
      <c r="U84" s="2696"/>
      <c r="V84" s="2696"/>
      <c r="W84" s="2696"/>
      <c r="X84" s="2696"/>
      <c r="Y84" s="2696"/>
      <c r="Z84" s="2696"/>
      <c r="AA84" s="2696"/>
      <c r="AB84" s="2696"/>
      <c r="AC84" s="2696"/>
      <c r="AD84" s="2696"/>
    </row>
    <row r="85" spans="1:30" ht="14.4"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2"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3"/>
      <c r="B87" s="490"/>
      <c r="C87" s="539"/>
      <c r="D87" s="539"/>
      <c r="E87" s="539"/>
      <c r="F87" s="539"/>
      <c r="G87" s="539"/>
      <c r="H87" s="539"/>
      <c r="I87" s="539"/>
      <c r="J87" s="540"/>
      <c r="K87" s="540"/>
      <c r="L87" s="541"/>
      <c r="M87" s="542"/>
      <c r="N87" s="2724"/>
      <c r="O87" s="2724"/>
      <c r="P87" s="2749"/>
      <c r="Q87" s="2710"/>
      <c r="R87" s="2696"/>
      <c r="S87" s="2696"/>
      <c r="T87" s="2696"/>
      <c r="U87" s="2696"/>
      <c r="V87" s="2696"/>
      <c r="W87" s="2696"/>
      <c r="X87" s="2696"/>
      <c r="Y87" s="2696"/>
      <c r="Z87" s="2696"/>
      <c r="AA87" s="2696"/>
      <c r="AB87" s="2696"/>
      <c r="AC87" s="2696"/>
      <c r="AD87" s="2696"/>
    </row>
    <row r="88" spans="1:30" ht="14.4" thickBot="1">
      <c r="A88" s="478"/>
      <c r="B88" s="487"/>
      <c r="C88" s="504"/>
      <c r="D88" s="480"/>
      <c r="E88" s="480"/>
      <c r="F88" s="480"/>
      <c r="G88" s="480"/>
      <c r="H88" s="480"/>
      <c r="I88" s="480"/>
      <c r="J88" s="480"/>
      <c r="K88" s="480"/>
      <c r="L88" s="480"/>
      <c r="M88" s="480"/>
      <c r="N88" s="2725"/>
      <c r="O88" s="2725"/>
      <c r="P88" s="2749"/>
      <c r="Q88" s="2710"/>
      <c r="R88" s="2696"/>
      <c r="S88" s="2696"/>
      <c r="T88" s="2696"/>
      <c r="U88" s="2696"/>
      <c r="V88" s="2696"/>
      <c r="W88" s="2696"/>
      <c r="X88" s="2696"/>
      <c r="Y88" s="2696"/>
      <c r="Z88" s="2696"/>
      <c r="AA88" s="2696"/>
      <c r="AB88" s="2696"/>
      <c r="AC88" s="2696"/>
      <c r="AD88" s="2696"/>
    </row>
    <row r="89" spans="1:30" s="417" customFormat="1" ht="15" thickTop="1">
      <c r="A89" s="537"/>
      <c r="B89" s="482" t="s">
        <v>1866</v>
      </c>
      <c r="C89" s="498"/>
      <c r="D89" s="498"/>
      <c r="E89" s="498"/>
      <c r="F89" s="498"/>
      <c r="G89" s="498"/>
      <c r="H89" s="498"/>
      <c r="I89" s="498"/>
      <c r="J89" s="498"/>
      <c r="K89" s="498"/>
      <c r="L89" s="498"/>
      <c r="M89" s="525"/>
      <c r="N89" s="2726"/>
      <c r="O89" s="2726"/>
      <c r="P89" s="2750"/>
      <c r="Q89" s="2717"/>
      <c r="R89" s="2718"/>
      <c r="S89" s="2718"/>
      <c r="T89" s="2718"/>
      <c r="U89" s="2718"/>
      <c r="V89" s="2718"/>
      <c r="W89" s="2718"/>
      <c r="X89" s="2718"/>
      <c r="Y89" s="2718"/>
      <c r="Z89" s="2718"/>
      <c r="AA89" s="2718"/>
      <c r="AB89" s="2718"/>
      <c r="AC89" s="2718"/>
      <c r="AD89" s="2718"/>
    </row>
    <row r="90" spans="1:30" s="417" customFormat="1" ht="14.4" thickBot="1">
      <c r="A90" s="497"/>
      <c r="B90" s="487"/>
      <c r="C90" s="504"/>
      <c r="D90" s="480"/>
      <c r="E90" s="480"/>
      <c r="F90" s="480"/>
      <c r="G90" s="480"/>
      <c r="H90" s="480"/>
      <c r="I90" s="480"/>
      <c r="J90" s="480"/>
      <c r="K90" s="480"/>
      <c r="L90" s="480"/>
      <c r="M90" s="481"/>
      <c r="N90" s="2726"/>
      <c r="O90" s="2726"/>
      <c r="P90" s="2750"/>
      <c r="Q90" s="2717"/>
      <c r="R90" s="2718"/>
      <c r="S90" s="2718"/>
      <c r="T90" s="2718"/>
      <c r="U90" s="2718"/>
      <c r="V90" s="2718"/>
      <c r="W90" s="2718"/>
      <c r="X90" s="2718"/>
      <c r="Y90" s="2718"/>
      <c r="Z90" s="2718"/>
      <c r="AA90" s="2718"/>
      <c r="AB90" s="2718"/>
      <c r="AC90" s="2718"/>
      <c r="AD90" s="2718"/>
    </row>
    <row r="91" spans="1:30" ht="14.4" thickTop="1">
      <c r="A91" s="543"/>
      <c r="B91" s="482">
        <f>B32</f>
        <v>111</v>
      </c>
      <c r="C91" s="493"/>
      <c r="D91" s="493"/>
      <c r="E91" s="493"/>
      <c r="F91" s="493"/>
      <c r="G91" s="498"/>
      <c r="H91" s="499"/>
      <c r="I91" s="499"/>
      <c r="J91" s="499"/>
      <c r="K91" s="499"/>
      <c r="L91" s="500"/>
      <c r="M91" s="501"/>
      <c r="N91" s="2724"/>
      <c r="O91" s="2724"/>
      <c r="P91" s="2749"/>
      <c r="Q91" s="2710"/>
      <c r="R91" s="2696"/>
      <c r="S91" s="2696"/>
      <c r="T91" s="2696"/>
      <c r="U91" s="2696"/>
      <c r="V91" s="2696"/>
      <c r="W91" s="2696"/>
      <c r="X91" s="2696"/>
      <c r="Y91" s="2696"/>
      <c r="Z91" s="2696"/>
      <c r="AA91" s="2696"/>
      <c r="AB91" s="2696"/>
      <c r="AC91" s="2696"/>
      <c r="AD91" s="2696"/>
    </row>
    <row r="92" spans="1:30" ht="14.4" thickBot="1">
      <c r="A92" s="478"/>
      <c r="B92" s="487"/>
      <c r="C92" s="504"/>
      <c r="D92" s="480"/>
      <c r="E92" s="480"/>
      <c r="F92" s="480"/>
      <c r="G92" s="504"/>
      <c r="H92" s="506"/>
      <c r="I92" s="506"/>
      <c r="J92" s="506"/>
      <c r="K92" s="506"/>
      <c r="L92" s="506"/>
      <c r="M92" s="507"/>
      <c r="N92" s="2725"/>
      <c r="O92" s="2725"/>
      <c r="P92" s="2749"/>
      <c r="Q92" s="2710"/>
      <c r="R92" s="2696"/>
      <c r="S92" s="2696"/>
      <c r="T92" s="2696"/>
      <c r="U92" s="2696"/>
      <c r="V92" s="2696"/>
      <c r="W92" s="2696"/>
      <c r="X92" s="2696"/>
      <c r="Y92" s="2696"/>
      <c r="Z92" s="2696"/>
      <c r="AA92" s="2696"/>
      <c r="AB92" s="2696"/>
      <c r="AC92" s="2696"/>
      <c r="AD92" s="2696"/>
    </row>
    <row r="93" spans="1:30" ht="14.4" thickTop="1">
      <c r="A93" s="543"/>
      <c r="B93" s="482">
        <f>B33</f>
        <v>111</v>
      </c>
      <c r="C93" s="493"/>
      <c r="D93" s="493"/>
      <c r="E93" s="493"/>
      <c r="F93" s="493"/>
      <c r="G93" s="498"/>
      <c r="H93" s="499"/>
      <c r="I93" s="499"/>
      <c r="J93" s="499"/>
      <c r="K93" s="499"/>
      <c r="L93" s="500"/>
      <c r="M93" s="501"/>
      <c r="N93" s="2724"/>
      <c r="O93" s="2724"/>
      <c r="P93" s="2749"/>
      <c r="Q93" s="2710"/>
      <c r="R93" s="2696"/>
      <c r="S93" s="2696"/>
      <c r="T93" s="2696"/>
      <c r="U93" s="2696"/>
      <c r="V93" s="2696"/>
      <c r="W93" s="2696"/>
      <c r="X93" s="2696"/>
      <c r="Y93" s="2696"/>
      <c r="Z93" s="2696"/>
      <c r="AA93" s="2696"/>
      <c r="AB93" s="2696"/>
      <c r="AC93" s="2696"/>
      <c r="AD93" s="2696"/>
    </row>
    <row r="94" spans="1:30" ht="14.4" thickBot="1">
      <c r="A94" s="478"/>
      <c r="B94" s="487"/>
      <c r="C94" s="504"/>
      <c r="D94" s="480"/>
      <c r="E94" s="480"/>
      <c r="F94" s="480"/>
      <c r="G94" s="504"/>
      <c r="H94" s="506"/>
      <c r="I94" s="506"/>
      <c r="J94" s="506"/>
      <c r="K94" s="506"/>
      <c r="L94" s="506"/>
      <c r="M94" s="507"/>
      <c r="N94" s="2725"/>
      <c r="O94" s="2725"/>
      <c r="P94" s="2749"/>
      <c r="Q94" s="2710"/>
      <c r="R94" s="2696"/>
      <c r="S94" s="2696"/>
      <c r="T94" s="2696"/>
      <c r="U94" s="2696"/>
      <c r="V94" s="2696"/>
      <c r="W94" s="2696"/>
      <c r="X94" s="2696"/>
      <c r="Y94" s="2696"/>
      <c r="Z94" s="2696"/>
      <c r="AA94" s="2696"/>
      <c r="AB94" s="2696"/>
      <c r="AC94" s="2696"/>
      <c r="AD94" s="2696"/>
    </row>
    <row r="95" spans="1:30" ht="14.4" thickTop="1">
      <c r="A95" s="543"/>
      <c r="B95" s="576">
        <f>B34</f>
        <v>111</v>
      </c>
      <c r="C95" s="493"/>
      <c r="D95" s="493"/>
      <c r="E95" s="493"/>
      <c r="F95" s="493"/>
      <c r="G95" s="498"/>
      <c r="H95" s="499"/>
      <c r="I95" s="499"/>
      <c r="J95" s="499"/>
      <c r="K95" s="499"/>
      <c r="L95" s="500"/>
      <c r="M95" s="501"/>
      <c r="N95" s="2725"/>
      <c r="O95" s="2725"/>
      <c r="P95" s="2752"/>
      <c r="Q95" s="2739"/>
      <c r="R95" s="2696"/>
      <c r="S95" s="2696"/>
      <c r="T95" s="2696"/>
      <c r="U95" s="2696"/>
      <c r="V95" s="2696"/>
      <c r="W95" s="2696"/>
      <c r="X95" s="2696"/>
      <c r="Y95" s="2696"/>
      <c r="Z95" s="2696"/>
      <c r="AA95" s="2696"/>
      <c r="AB95" s="2696"/>
      <c r="AC95" s="2696"/>
      <c r="AD95" s="2696"/>
    </row>
    <row r="96" spans="1:30" ht="14.4" thickBot="1">
      <c r="A96" s="478"/>
      <c r="B96" s="487"/>
      <c r="C96" s="504"/>
      <c r="D96" s="504"/>
      <c r="E96" s="504"/>
      <c r="F96" s="504"/>
      <c r="G96" s="504"/>
      <c r="H96" s="506"/>
      <c r="I96" s="506"/>
      <c r="J96" s="506"/>
      <c r="K96" s="506"/>
      <c r="L96" s="506"/>
      <c r="M96" s="507"/>
      <c r="N96" s="2725"/>
      <c r="O96" s="2725"/>
      <c r="P96" s="2749"/>
      <c r="Q96" s="2710"/>
      <c r="R96" s="2696"/>
      <c r="S96" s="2696"/>
      <c r="T96" s="2696"/>
      <c r="U96" s="2696"/>
      <c r="V96" s="2696"/>
      <c r="W96" s="2696"/>
      <c r="X96" s="2696"/>
      <c r="Y96" s="2696"/>
      <c r="Z96" s="2696"/>
      <c r="AA96" s="2696"/>
      <c r="AB96" s="2696"/>
      <c r="AC96" s="2696"/>
      <c r="AD96" s="2696"/>
    </row>
    <row r="97" spans="1:30" ht="14.4" thickTop="1">
      <c r="N97" s="2696"/>
      <c r="O97" s="2696"/>
      <c r="P97" s="2696"/>
      <c r="Q97" s="2696"/>
      <c r="R97" s="2696"/>
      <c r="S97" s="2696"/>
      <c r="T97" s="2696"/>
      <c r="U97" s="2696"/>
      <c r="V97" s="2696"/>
      <c r="W97" s="2696"/>
      <c r="X97" s="2696"/>
      <c r="Y97" s="2696"/>
      <c r="Z97" s="2696"/>
      <c r="AA97" s="2696"/>
      <c r="AB97" s="2696"/>
      <c r="AC97" s="2696"/>
      <c r="AD97" s="2696"/>
    </row>
    <row r="98" spans="1:30">
      <c r="A98" s="926"/>
      <c r="B98" s="926"/>
      <c r="C98" s="926"/>
      <c r="D98" s="926"/>
      <c r="E98" s="926"/>
      <c r="F98" s="926"/>
      <c r="G98" s="926"/>
      <c r="H98" s="926"/>
      <c r="I98" s="926"/>
      <c r="J98" s="926"/>
      <c r="K98" s="927"/>
      <c r="L98" s="928"/>
      <c r="M98" s="926"/>
      <c r="N98" s="2696"/>
      <c r="O98" s="2696"/>
      <c r="P98" s="2696"/>
      <c r="Q98" s="2696"/>
      <c r="R98" s="2696"/>
      <c r="S98" s="2696"/>
      <c r="T98" s="2696"/>
      <c r="U98" s="2696"/>
      <c r="V98" s="2696"/>
      <c r="W98" s="2696"/>
      <c r="X98" s="2696"/>
      <c r="Y98" s="2696"/>
      <c r="Z98" s="2696"/>
      <c r="AA98" s="2696"/>
      <c r="AB98" s="2696"/>
      <c r="AC98" s="2696"/>
      <c r="AD98" s="2696"/>
    </row>
    <row r="99" spans="1:30">
      <c r="A99" s="926"/>
      <c r="B99" s="926"/>
      <c r="C99" s="926"/>
      <c r="D99" s="926"/>
      <c r="E99" s="926"/>
      <c r="F99" s="926"/>
      <c r="G99" s="926"/>
      <c r="H99" s="926"/>
      <c r="I99" s="926"/>
      <c r="J99" s="926"/>
      <c r="K99" s="927"/>
      <c r="L99" s="928"/>
      <c r="M99" s="926"/>
      <c r="N99" s="2696"/>
      <c r="O99" s="2696"/>
      <c r="P99" s="2696"/>
      <c r="Q99" s="2696"/>
      <c r="R99" s="2696"/>
      <c r="S99" s="2696"/>
      <c r="T99" s="2696"/>
      <c r="U99" s="2696"/>
      <c r="V99" s="2696"/>
      <c r="W99" s="2696"/>
      <c r="X99" s="2696"/>
      <c r="Y99" s="2696"/>
      <c r="Z99" s="2696"/>
      <c r="AA99" s="2696"/>
      <c r="AB99" s="2696"/>
      <c r="AC99" s="2696"/>
      <c r="AD99" s="2696"/>
    </row>
    <row r="100" spans="1:30">
      <c r="A100" s="926"/>
      <c r="B100" s="926"/>
      <c r="C100" s="926"/>
      <c r="D100" s="926"/>
      <c r="E100" s="926"/>
      <c r="F100" s="926"/>
      <c r="G100" s="926"/>
      <c r="H100" s="926"/>
      <c r="I100" s="926"/>
      <c r="J100" s="926"/>
      <c r="K100" s="927"/>
      <c r="L100" s="928"/>
      <c r="M100" s="926"/>
      <c r="N100" s="2696"/>
      <c r="O100" s="2696"/>
      <c r="P100" s="2696"/>
      <c r="Q100" s="2696"/>
      <c r="R100" s="2696"/>
      <c r="S100" s="2696"/>
      <c r="T100" s="2696"/>
      <c r="U100" s="2696"/>
      <c r="V100" s="2696"/>
      <c r="W100" s="2696"/>
      <c r="X100" s="2696"/>
      <c r="Y100" s="2696"/>
      <c r="Z100" s="2696"/>
      <c r="AA100" s="2696"/>
      <c r="AB100" s="2696"/>
      <c r="AC100" s="2696"/>
      <c r="AD100" s="2696"/>
    </row>
    <row r="101" spans="1:30">
      <c r="A101" s="926"/>
      <c r="B101" s="926"/>
      <c r="C101" s="926"/>
      <c r="D101" s="926"/>
      <c r="E101" s="926"/>
      <c r="F101" s="926"/>
      <c r="G101" s="926"/>
      <c r="H101" s="926"/>
      <c r="I101" s="926"/>
      <c r="J101" s="926"/>
      <c r="K101" s="927"/>
      <c r="L101" s="928"/>
      <c r="M101" s="926"/>
      <c r="N101" s="2696"/>
      <c r="O101" s="2696"/>
      <c r="P101" s="2696"/>
      <c r="Q101" s="2696"/>
      <c r="R101" s="2696"/>
      <c r="S101" s="2696"/>
      <c r="T101" s="2696"/>
      <c r="U101" s="2696"/>
      <c r="V101" s="2696"/>
      <c r="W101" s="2696"/>
      <c r="X101" s="2696"/>
      <c r="Y101" s="2696"/>
      <c r="Z101" s="2696"/>
      <c r="AA101" s="2696"/>
      <c r="AB101" s="2696"/>
      <c r="AC101" s="2696"/>
      <c r="AD101" s="2696"/>
    </row>
    <row r="102" spans="1:30">
      <c r="A102" s="926"/>
      <c r="B102" s="926"/>
      <c r="C102" s="926"/>
      <c r="D102" s="926"/>
      <c r="E102" s="926"/>
      <c r="F102" s="926"/>
      <c r="G102" s="926"/>
      <c r="H102" s="926"/>
      <c r="I102" s="926"/>
      <c r="J102" s="926"/>
      <c r="K102" s="927"/>
      <c r="L102" s="928"/>
      <c r="M102" s="926"/>
      <c r="N102" s="2696"/>
      <c r="O102" s="2696"/>
      <c r="P102" s="2696"/>
      <c r="Q102" s="2696"/>
      <c r="R102" s="2696"/>
      <c r="S102" s="2696"/>
      <c r="T102" s="2696"/>
      <c r="U102" s="2696"/>
      <c r="V102" s="2696"/>
      <c r="W102" s="2696"/>
      <c r="X102" s="2696"/>
      <c r="Y102" s="2696"/>
      <c r="Z102" s="2696"/>
      <c r="AA102" s="2696"/>
      <c r="AB102" s="2696"/>
      <c r="AC102" s="2696"/>
      <c r="AD102" s="2696"/>
    </row>
    <row r="103" spans="1:30">
      <c r="A103" s="926"/>
      <c r="B103" s="926"/>
      <c r="C103" s="926"/>
      <c r="D103" s="926"/>
      <c r="E103" s="926"/>
      <c r="F103" s="926"/>
      <c r="G103" s="926"/>
      <c r="H103" s="926"/>
      <c r="I103" s="926"/>
      <c r="J103" s="926"/>
      <c r="K103" s="927"/>
      <c r="L103" s="928"/>
      <c r="M103" s="926"/>
      <c r="N103" s="926"/>
      <c r="O103" s="926"/>
      <c r="P103" s="2696"/>
      <c r="Q103" s="2696"/>
      <c r="R103" s="2696"/>
      <c r="S103" s="2696"/>
      <c r="T103" s="2696"/>
      <c r="U103" s="2696"/>
      <c r="V103" s="2696"/>
      <c r="W103" s="2696"/>
      <c r="X103" s="2696"/>
      <c r="Y103" s="2696"/>
      <c r="Z103" s="2696"/>
      <c r="AA103" s="2696"/>
      <c r="AB103" s="2696"/>
      <c r="AC103" s="2696"/>
      <c r="AD103" s="2696"/>
    </row>
    <row r="104" spans="1:30">
      <c r="A104" s="926"/>
      <c r="B104" s="926"/>
      <c r="C104" s="926"/>
      <c r="D104" s="926"/>
      <c r="E104" s="926"/>
      <c r="F104" s="926"/>
      <c r="G104" s="926"/>
      <c r="H104" s="926"/>
      <c r="I104" s="926"/>
      <c r="J104" s="926"/>
      <c r="K104" s="927"/>
      <c r="L104" s="928"/>
      <c r="M104" s="926"/>
      <c r="N104" s="926"/>
      <c r="O104" s="926"/>
      <c r="P104" s="926"/>
      <c r="Q104" s="926"/>
      <c r="R104" s="926"/>
      <c r="S104" s="926"/>
      <c r="T104" s="926"/>
    </row>
    <row r="105" spans="1:30">
      <c r="A105" s="926"/>
      <c r="B105" s="926"/>
      <c r="C105" s="926"/>
      <c r="D105" s="926"/>
      <c r="E105" s="926"/>
      <c r="F105" s="926"/>
      <c r="G105" s="926"/>
      <c r="H105" s="926"/>
      <c r="I105" s="926"/>
      <c r="J105" s="926"/>
      <c r="K105" s="927"/>
      <c r="L105" s="928"/>
      <c r="M105" s="926"/>
      <c r="N105" s="926"/>
      <c r="O105" s="926"/>
      <c r="P105" s="926"/>
      <c r="Q105" s="926"/>
      <c r="R105" s="926"/>
      <c r="S105" s="926"/>
      <c r="T105" s="926"/>
    </row>
    <row r="106" spans="1:30">
      <c r="A106" s="926"/>
      <c r="B106" s="926"/>
      <c r="C106" s="926"/>
      <c r="D106" s="926"/>
      <c r="E106" s="926"/>
      <c r="F106" s="926"/>
      <c r="G106" s="926"/>
      <c r="H106" s="926"/>
      <c r="I106" s="926"/>
      <c r="J106" s="926"/>
      <c r="K106" s="927"/>
      <c r="L106" s="928"/>
      <c r="M106" s="926"/>
      <c r="N106" s="926"/>
      <c r="O106" s="926"/>
      <c r="P106" s="926"/>
      <c r="Q106" s="926"/>
      <c r="R106" s="926"/>
      <c r="S106" s="926"/>
      <c r="T106" s="926"/>
    </row>
    <row r="107" spans="1:30">
      <c r="A107" s="926"/>
      <c r="B107" s="926"/>
      <c r="C107" s="926"/>
      <c r="D107" s="926"/>
      <c r="E107" s="926"/>
      <c r="F107" s="926"/>
      <c r="G107" s="926"/>
      <c r="H107" s="926"/>
      <c r="I107" s="926"/>
      <c r="J107" s="926"/>
      <c r="K107" s="927"/>
      <c r="L107" s="928"/>
      <c r="M107" s="926"/>
      <c r="N107" s="926"/>
      <c r="O107" s="926"/>
      <c r="P107" s="926"/>
      <c r="Q107" s="926"/>
      <c r="R107" s="926"/>
      <c r="S107" s="926"/>
      <c r="T107" s="926"/>
    </row>
    <row r="108" spans="1:30">
      <c r="A108" s="926"/>
      <c r="B108" s="926"/>
      <c r="C108" s="926"/>
      <c r="D108" s="926"/>
      <c r="E108" s="926"/>
      <c r="F108" s="926"/>
      <c r="G108" s="926"/>
      <c r="H108" s="926"/>
      <c r="I108" s="926"/>
      <c r="J108" s="926"/>
      <c r="K108" s="927"/>
      <c r="L108" s="928"/>
      <c r="M108" s="926"/>
      <c r="N108" s="926"/>
      <c r="O108" s="926"/>
      <c r="P108" s="926"/>
      <c r="Q108" s="926"/>
      <c r="R108" s="926"/>
      <c r="S108" s="926"/>
      <c r="T108" s="926"/>
    </row>
    <row r="109" spans="1:30">
      <c r="A109" s="926"/>
      <c r="B109" s="926"/>
      <c r="C109" s="926"/>
      <c r="D109" s="926"/>
      <c r="E109" s="926"/>
      <c r="F109" s="926"/>
      <c r="G109" s="926"/>
      <c r="H109" s="926"/>
      <c r="I109" s="926"/>
      <c r="J109" s="926"/>
      <c r="K109" s="927"/>
      <c r="L109" s="928"/>
      <c r="M109" s="926"/>
      <c r="N109" s="926"/>
      <c r="O109" s="926"/>
      <c r="P109" s="926"/>
      <c r="Q109" s="926"/>
      <c r="R109" s="926"/>
      <c r="S109" s="926"/>
      <c r="T109" s="926"/>
    </row>
    <row r="110" spans="1:30">
      <c r="A110" s="926"/>
      <c r="B110" s="926"/>
      <c r="C110" s="926"/>
      <c r="D110" s="926"/>
      <c r="E110" s="926"/>
      <c r="F110" s="926"/>
      <c r="G110" s="926"/>
      <c r="H110" s="926"/>
      <c r="I110" s="926"/>
      <c r="J110" s="926"/>
      <c r="K110" s="927"/>
      <c r="L110" s="928"/>
      <c r="M110" s="926"/>
      <c r="N110" s="926"/>
      <c r="O110" s="926"/>
      <c r="P110" s="926"/>
      <c r="Q110" s="926"/>
      <c r="R110" s="926"/>
      <c r="S110" s="926"/>
      <c r="T110" s="926"/>
    </row>
    <row r="111" spans="1:30">
      <c r="A111" s="926"/>
      <c r="B111" s="926"/>
      <c r="C111" s="926"/>
      <c r="D111" s="926"/>
      <c r="E111" s="926"/>
      <c r="F111" s="926"/>
      <c r="G111" s="926"/>
      <c r="H111" s="926"/>
      <c r="I111" s="926"/>
      <c r="J111" s="926"/>
      <c r="K111" s="927"/>
      <c r="L111" s="928"/>
      <c r="M111" s="926"/>
      <c r="N111" s="926"/>
      <c r="O111" s="926"/>
      <c r="P111" s="926"/>
      <c r="Q111" s="926"/>
      <c r="R111" s="926"/>
      <c r="S111" s="926"/>
      <c r="T111" s="926"/>
    </row>
    <row r="112" spans="1:30">
      <c r="A112" s="926"/>
      <c r="B112" s="926"/>
      <c r="C112" s="926"/>
      <c r="D112" s="926"/>
      <c r="E112" s="926"/>
      <c r="F112" s="926"/>
      <c r="G112" s="926"/>
      <c r="H112" s="926"/>
      <c r="I112" s="926"/>
      <c r="J112" s="926"/>
      <c r="K112" s="927"/>
      <c r="L112" s="928"/>
      <c r="M112" s="926"/>
      <c r="N112" s="926"/>
      <c r="O112" s="926"/>
      <c r="P112" s="926"/>
      <c r="Q112" s="926"/>
      <c r="R112" s="926"/>
      <c r="S112" s="926"/>
      <c r="T112" s="926"/>
    </row>
    <row r="113" spans="1:20">
      <c r="A113" s="926"/>
      <c r="B113" s="926"/>
      <c r="C113" s="926"/>
      <c r="D113" s="926"/>
      <c r="E113" s="926"/>
      <c r="F113" s="926"/>
      <c r="G113" s="926"/>
      <c r="H113" s="926"/>
      <c r="I113" s="926"/>
      <c r="J113" s="926"/>
      <c r="K113" s="927"/>
      <c r="L113" s="928"/>
      <c r="M113" s="926"/>
      <c r="N113" s="926"/>
      <c r="O113" s="926"/>
      <c r="P113" s="926"/>
      <c r="Q113" s="926"/>
      <c r="R113" s="926"/>
      <c r="S113" s="926"/>
      <c r="T113" s="926"/>
    </row>
    <row r="114" spans="1:20">
      <c r="A114" s="926"/>
      <c r="B114" s="926"/>
      <c r="C114" s="926"/>
      <c r="D114" s="926"/>
      <c r="E114" s="926"/>
      <c r="F114" s="926"/>
      <c r="G114" s="926"/>
      <c r="H114" s="926"/>
      <c r="I114" s="926"/>
      <c r="J114" s="926"/>
      <c r="K114" s="927"/>
      <c r="L114" s="928"/>
      <c r="M114" s="926"/>
      <c r="N114" s="926"/>
      <c r="O114" s="926"/>
      <c r="P114" s="926"/>
      <c r="Q114" s="926"/>
      <c r="R114" s="926"/>
      <c r="S114" s="926"/>
      <c r="T114" s="926"/>
    </row>
    <row r="115" spans="1:20">
      <c r="A115" s="926"/>
      <c r="B115" s="926"/>
      <c r="C115" s="926"/>
      <c r="D115" s="926"/>
      <c r="E115" s="926"/>
      <c r="F115" s="926"/>
      <c r="G115" s="926"/>
      <c r="H115" s="926"/>
      <c r="I115" s="926"/>
      <c r="J115" s="926"/>
      <c r="K115" s="927"/>
      <c r="L115" s="928"/>
      <c r="M115" s="926"/>
      <c r="N115" s="926"/>
      <c r="O115" s="926"/>
      <c r="P115" s="926"/>
      <c r="Q115" s="926"/>
      <c r="R115" s="926"/>
      <c r="S115" s="926"/>
      <c r="T115" s="926"/>
    </row>
    <row r="116" spans="1:20">
      <c r="A116" s="926"/>
      <c r="B116" s="926"/>
      <c r="C116" s="926"/>
      <c r="D116" s="926"/>
      <c r="E116" s="926"/>
      <c r="F116" s="926"/>
      <c r="G116" s="926"/>
      <c r="H116" s="926"/>
      <c r="I116" s="926"/>
      <c r="J116" s="926"/>
      <c r="K116" s="927"/>
      <c r="L116" s="928"/>
      <c r="M116" s="926"/>
      <c r="N116" s="926"/>
      <c r="O116" s="926"/>
      <c r="P116" s="926"/>
      <c r="Q116" s="926"/>
      <c r="R116" s="926"/>
      <c r="S116" s="926"/>
      <c r="T116" s="926"/>
    </row>
    <row r="117" spans="1:20">
      <c r="A117" s="926"/>
      <c r="B117" s="926"/>
      <c r="C117" s="926"/>
      <c r="D117" s="926"/>
      <c r="E117" s="926"/>
      <c r="F117" s="926"/>
      <c r="G117" s="926"/>
      <c r="H117" s="926"/>
      <c r="I117" s="926"/>
      <c r="J117" s="926"/>
      <c r="K117" s="927"/>
      <c r="L117" s="928"/>
      <c r="M117" s="926"/>
      <c r="N117" s="926"/>
      <c r="O117" s="926"/>
      <c r="P117" s="926"/>
      <c r="Q117" s="926"/>
      <c r="R117" s="926"/>
      <c r="S117" s="926"/>
      <c r="T117" s="926"/>
    </row>
    <row r="118" spans="1:20">
      <c r="A118" s="926"/>
      <c r="B118" s="926"/>
      <c r="C118" s="926"/>
      <c r="D118" s="926"/>
      <c r="E118" s="926"/>
      <c r="F118" s="926"/>
      <c r="G118" s="926"/>
      <c r="H118" s="926"/>
      <c r="I118" s="926"/>
      <c r="J118" s="926"/>
      <c r="K118" s="927"/>
      <c r="L118" s="928"/>
      <c r="M118" s="926"/>
      <c r="N118" s="926"/>
      <c r="O118" s="926"/>
      <c r="P118" s="926"/>
      <c r="Q118" s="926"/>
      <c r="R118" s="926"/>
      <c r="S118" s="926"/>
      <c r="T118" s="926"/>
    </row>
    <row r="119" spans="1:20">
      <c r="A119" s="926"/>
      <c r="B119" s="926"/>
      <c r="C119" s="926"/>
      <c r="D119" s="926"/>
      <c r="E119" s="926"/>
      <c r="F119" s="926"/>
      <c r="G119" s="926"/>
      <c r="H119" s="926"/>
      <c r="I119" s="926"/>
      <c r="J119" s="926"/>
      <c r="K119" s="927"/>
      <c r="L119" s="928"/>
      <c r="M119" s="926"/>
      <c r="N119" s="926"/>
      <c r="O119" s="926"/>
      <c r="P119" s="926"/>
      <c r="Q119" s="926"/>
      <c r="R119" s="926"/>
      <c r="S119" s="926"/>
      <c r="T119" s="926"/>
    </row>
    <row r="120" spans="1:20">
      <c r="A120" s="926"/>
      <c r="B120" s="926"/>
      <c r="C120" s="926"/>
      <c r="D120" s="926"/>
      <c r="E120" s="926"/>
      <c r="F120" s="926"/>
      <c r="G120" s="926"/>
      <c r="H120" s="926"/>
      <c r="I120" s="926"/>
      <c r="J120" s="926"/>
      <c r="K120" s="927"/>
      <c r="L120" s="928"/>
      <c r="M120" s="926"/>
      <c r="N120" s="926"/>
      <c r="O120" s="926"/>
      <c r="P120" s="926"/>
      <c r="Q120" s="926"/>
      <c r="R120" s="926"/>
      <c r="S120" s="926"/>
      <c r="T120" s="926"/>
    </row>
    <row r="121" spans="1:20">
      <c r="A121" s="926"/>
      <c r="B121" s="926"/>
      <c r="C121" s="926"/>
      <c r="D121" s="926"/>
      <c r="E121" s="926"/>
      <c r="F121" s="926"/>
      <c r="G121" s="926"/>
      <c r="H121" s="926"/>
      <c r="I121" s="926"/>
      <c r="J121" s="926"/>
      <c r="K121" s="927"/>
      <c r="L121" s="928"/>
      <c r="M121" s="926"/>
      <c r="N121" s="926"/>
      <c r="O121" s="926"/>
      <c r="P121" s="926"/>
      <c r="Q121" s="926"/>
      <c r="R121" s="926"/>
      <c r="S121" s="926"/>
      <c r="T121" s="926"/>
    </row>
    <row r="122" spans="1:20">
      <c r="A122" s="926"/>
      <c r="B122" s="926"/>
      <c r="C122" s="926"/>
      <c r="D122" s="926"/>
      <c r="E122" s="926"/>
      <c r="F122" s="926"/>
      <c r="G122" s="926"/>
      <c r="H122" s="926"/>
      <c r="I122" s="926"/>
      <c r="J122" s="926"/>
      <c r="K122" s="927"/>
      <c r="L122" s="928"/>
      <c r="M122" s="926"/>
      <c r="N122" s="926"/>
      <c r="O122" s="926"/>
      <c r="P122" s="926"/>
      <c r="Q122" s="926"/>
      <c r="R122" s="926"/>
      <c r="S122" s="926"/>
      <c r="T122" s="926"/>
    </row>
    <row r="123" spans="1:20">
      <c r="A123" s="926"/>
      <c r="B123" s="926"/>
      <c r="C123" s="926"/>
      <c r="D123" s="926"/>
      <c r="E123" s="926"/>
      <c r="F123" s="926"/>
      <c r="G123" s="926"/>
      <c r="H123" s="926"/>
      <c r="I123" s="926"/>
      <c r="J123" s="926"/>
      <c r="K123" s="927"/>
      <c r="L123" s="928"/>
      <c r="M123" s="926"/>
      <c r="N123" s="926"/>
      <c r="O123" s="926"/>
      <c r="P123" s="926"/>
      <c r="Q123" s="926"/>
      <c r="R123" s="926"/>
      <c r="S123" s="926"/>
      <c r="T123" s="926"/>
    </row>
    <row r="124" spans="1:20">
      <c r="A124" s="926"/>
      <c r="B124" s="926"/>
      <c r="C124" s="926"/>
      <c r="D124" s="926"/>
      <c r="E124" s="926"/>
      <c r="F124" s="926"/>
      <c r="G124" s="926"/>
      <c r="H124" s="926"/>
      <c r="I124" s="926"/>
      <c r="J124" s="926"/>
      <c r="K124" s="927"/>
      <c r="L124" s="928"/>
      <c r="M124" s="926"/>
      <c r="N124" s="926"/>
      <c r="O124" s="926"/>
      <c r="P124" s="926"/>
      <c r="Q124" s="926"/>
      <c r="R124" s="926"/>
      <c r="S124" s="926"/>
      <c r="T124" s="926"/>
    </row>
    <row r="125" spans="1:20">
      <c r="A125" s="926"/>
      <c r="B125" s="926"/>
      <c r="C125" s="926"/>
      <c r="D125" s="926"/>
      <c r="E125" s="926"/>
      <c r="F125" s="926"/>
      <c r="G125" s="926"/>
      <c r="H125" s="926"/>
      <c r="I125" s="926"/>
      <c r="J125" s="926"/>
      <c r="K125" s="927"/>
      <c r="L125" s="928"/>
      <c r="M125" s="926"/>
      <c r="N125" s="926"/>
      <c r="O125" s="926"/>
      <c r="P125" s="926"/>
      <c r="Q125" s="926"/>
      <c r="R125" s="926"/>
      <c r="S125" s="926"/>
      <c r="T125" s="926"/>
    </row>
    <row r="126" spans="1:20">
      <c r="A126" s="926"/>
      <c r="B126" s="926"/>
      <c r="C126" s="926"/>
      <c r="D126" s="926"/>
      <c r="E126" s="926"/>
      <c r="F126" s="926"/>
      <c r="G126" s="926"/>
      <c r="H126" s="926"/>
      <c r="I126" s="926"/>
      <c r="J126" s="926"/>
      <c r="K126" s="927"/>
      <c r="L126" s="928"/>
      <c r="M126" s="926"/>
      <c r="N126" s="926"/>
      <c r="O126" s="926"/>
      <c r="P126" s="926"/>
      <c r="Q126" s="926"/>
      <c r="R126" s="926"/>
      <c r="S126" s="926"/>
      <c r="T126" s="926"/>
    </row>
    <row r="127" spans="1:20">
      <c r="A127" s="926"/>
      <c r="B127" s="926"/>
      <c r="C127" s="926"/>
      <c r="D127" s="926"/>
      <c r="E127" s="926"/>
      <c r="F127" s="926"/>
      <c r="G127" s="926"/>
      <c r="H127" s="926"/>
      <c r="I127" s="926"/>
      <c r="J127" s="926"/>
      <c r="K127" s="927"/>
      <c r="L127" s="928"/>
      <c r="M127" s="926"/>
      <c r="N127" s="926"/>
      <c r="O127" s="926"/>
      <c r="P127" s="926"/>
      <c r="Q127" s="926"/>
      <c r="R127" s="926"/>
      <c r="S127" s="926"/>
      <c r="T127" s="926"/>
    </row>
    <row r="128" spans="1:20">
      <c r="A128" s="926"/>
      <c r="B128" s="926"/>
      <c r="C128" s="926"/>
      <c r="D128" s="926"/>
      <c r="E128" s="926"/>
      <c r="F128" s="926"/>
      <c r="G128" s="926"/>
      <c r="H128" s="926"/>
      <c r="I128" s="926"/>
      <c r="J128" s="926"/>
      <c r="K128" s="927"/>
      <c r="L128" s="928"/>
      <c r="M128" s="926"/>
      <c r="N128" s="926"/>
      <c r="O128" s="926"/>
      <c r="P128" s="926"/>
      <c r="Q128" s="926"/>
      <c r="R128" s="926"/>
      <c r="S128" s="926"/>
      <c r="T128" s="926"/>
    </row>
    <row r="129" spans="1:20">
      <c r="A129" s="926"/>
      <c r="B129" s="926"/>
      <c r="C129" s="926"/>
      <c r="D129" s="926"/>
      <c r="E129" s="926"/>
      <c r="F129" s="926"/>
      <c r="G129" s="926"/>
      <c r="H129" s="926"/>
      <c r="I129" s="926"/>
      <c r="J129" s="926"/>
      <c r="K129" s="927"/>
      <c r="L129" s="928"/>
      <c r="M129" s="926"/>
      <c r="N129" s="926"/>
      <c r="O129" s="926"/>
      <c r="P129" s="926"/>
      <c r="Q129" s="926"/>
      <c r="R129" s="926"/>
      <c r="S129" s="926"/>
      <c r="T129" s="926"/>
    </row>
    <row r="130" spans="1:20">
      <c r="A130" s="926"/>
      <c r="B130" s="926"/>
      <c r="C130" s="926"/>
      <c r="D130" s="926"/>
      <c r="E130" s="926"/>
      <c r="F130" s="926"/>
      <c r="G130" s="926"/>
      <c r="H130" s="926"/>
      <c r="I130" s="926"/>
      <c r="J130" s="926"/>
      <c r="K130" s="927"/>
      <c r="L130" s="928"/>
      <c r="M130" s="926"/>
      <c r="N130" s="926"/>
      <c r="O130" s="926"/>
      <c r="P130" s="926"/>
      <c r="Q130" s="926"/>
      <c r="R130" s="926"/>
      <c r="S130" s="926"/>
      <c r="T130" s="926"/>
    </row>
    <row r="131" spans="1:20">
      <c r="A131" s="926"/>
      <c r="B131" s="926"/>
      <c r="C131" s="926"/>
      <c r="D131" s="926"/>
      <c r="E131" s="926"/>
      <c r="F131" s="926"/>
      <c r="G131" s="926"/>
      <c r="H131" s="926"/>
      <c r="I131" s="926"/>
      <c r="J131" s="926"/>
      <c r="K131" s="927"/>
      <c r="L131" s="928"/>
      <c r="M131" s="926"/>
      <c r="N131" s="926"/>
      <c r="O131" s="926"/>
      <c r="P131" s="926"/>
      <c r="Q131" s="926"/>
      <c r="R131" s="926"/>
      <c r="S131" s="926"/>
      <c r="T131" s="926"/>
    </row>
    <row r="132" spans="1:20">
      <c r="A132" s="926"/>
      <c r="B132" s="926"/>
      <c r="C132" s="926"/>
      <c r="D132" s="926"/>
      <c r="E132" s="926"/>
      <c r="F132" s="926"/>
      <c r="G132" s="926"/>
      <c r="H132" s="926"/>
      <c r="I132" s="926"/>
      <c r="J132" s="926"/>
      <c r="K132" s="927"/>
      <c r="L132" s="928"/>
      <c r="M132" s="926"/>
      <c r="N132" s="926"/>
      <c r="O132" s="926"/>
      <c r="P132" s="926"/>
      <c r="Q132" s="926"/>
      <c r="R132" s="926"/>
      <c r="S132" s="926"/>
      <c r="T132" s="926"/>
    </row>
    <row r="133" spans="1:20">
      <c r="A133" s="926"/>
      <c r="B133" s="926"/>
      <c r="C133" s="926"/>
      <c r="D133" s="926"/>
      <c r="E133" s="926"/>
      <c r="F133" s="926"/>
      <c r="G133" s="926"/>
      <c r="H133" s="926"/>
      <c r="I133" s="926"/>
      <c r="J133" s="926"/>
      <c r="K133" s="927"/>
      <c r="L133" s="928"/>
      <c r="M133" s="926"/>
      <c r="N133" s="926"/>
      <c r="O133" s="926"/>
      <c r="P133" s="926"/>
      <c r="Q133" s="926"/>
      <c r="R133" s="926"/>
      <c r="S133" s="926"/>
      <c r="T133" s="926"/>
    </row>
    <row r="134" spans="1:20">
      <c r="A134" s="926"/>
      <c r="B134" s="926"/>
      <c r="C134" s="926"/>
      <c r="D134" s="926"/>
      <c r="E134" s="926"/>
      <c r="F134" s="926"/>
      <c r="G134" s="926"/>
      <c r="H134" s="926"/>
      <c r="I134" s="926"/>
      <c r="J134" s="926"/>
      <c r="K134" s="927"/>
      <c r="L134" s="928"/>
      <c r="M134" s="926"/>
      <c r="N134" s="926"/>
      <c r="O134" s="926"/>
      <c r="P134" s="926"/>
      <c r="Q134" s="926"/>
      <c r="R134" s="926"/>
      <c r="S134" s="926"/>
      <c r="T134" s="926"/>
    </row>
    <row r="135" spans="1:20">
      <c r="A135" s="926"/>
      <c r="B135" s="926"/>
      <c r="C135" s="926"/>
      <c r="D135" s="926"/>
      <c r="E135" s="926"/>
      <c r="F135" s="926"/>
      <c r="G135" s="926"/>
      <c r="H135" s="926"/>
      <c r="I135" s="926"/>
      <c r="J135" s="926"/>
      <c r="K135" s="927"/>
      <c r="L135" s="928"/>
      <c r="M135" s="926"/>
      <c r="N135" s="926"/>
      <c r="O135" s="926"/>
      <c r="P135" s="926"/>
      <c r="Q135" s="926"/>
      <c r="R135" s="926"/>
      <c r="S135" s="926"/>
      <c r="T135" s="926"/>
    </row>
    <row r="136" spans="1:20">
      <c r="A136" s="926"/>
      <c r="B136" s="926"/>
      <c r="C136" s="926"/>
      <c r="D136" s="926"/>
      <c r="E136" s="926"/>
      <c r="F136" s="926"/>
      <c r="G136" s="926"/>
      <c r="H136" s="926"/>
      <c r="I136" s="926"/>
      <c r="J136" s="926"/>
      <c r="K136" s="927"/>
      <c r="L136" s="928"/>
      <c r="M136" s="926"/>
      <c r="N136" s="926"/>
      <c r="O136" s="926"/>
      <c r="P136" s="926"/>
      <c r="Q136" s="926"/>
      <c r="R136" s="926"/>
      <c r="S136" s="926"/>
      <c r="T136" s="926"/>
    </row>
    <row r="137" spans="1:20">
      <c r="A137" s="926"/>
      <c r="B137" s="926"/>
      <c r="C137" s="926"/>
      <c r="D137" s="926"/>
      <c r="E137" s="926"/>
      <c r="F137" s="926"/>
      <c r="G137" s="926"/>
      <c r="H137" s="926"/>
      <c r="I137" s="926"/>
      <c r="J137" s="926"/>
      <c r="K137" s="927"/>
      <c r="L137" s="928"/>
      <c r="M137" s="926"/>
      <c r="N137" s="926"/>
      <c r="O137" s="926"/>
      <c r="P137" s="926"/>
      <c r="Q137" s="926"/>
      <c r="R137" s="926"/>
      <c r="S137" s="926"/>
      <c r="T137" s="926"/>
    </row>
    <row r="138" spans="1:20">
      <c r="A138" s="926"/>
      <c r="B138" s="926"/>
      <c r="C138" s="926"/>
      <c r="D138" s="926"/>
      <c r="E138" s="926"/>
      <c r="F138" s="926"/>
      <c r="G138" s="926"/>
      <c r="H138" s="926"/>
      <c r="I138" s="926"/>
      <c r="J138" s="926"/>
      <c r="K138" s="927"/>
      <c r="L138" s="928"/>
      <c r="M138" s="926"/>
      <c r="N138" s="926"/>
      <c r="O138" s="926"/>
      <c r="P138" s="926"/>
      <c r="Q138" s="926"/>
      <c r="R138" s="926"/>
      <c r="S138" s="926"/>
      <c r="T138" s="926"/>
    </row>
    <row r="139" spans="1:20">
      <c r="A139" s="926"/>
      <c r="B139" s="926"/>
      <c r="C139" s="926"/>
      <c r="D139" s="926"/>
      <c r="E139" s="926"/>
      <c r="F139" s="926"/>
      <c r="G139" s="926"/>
      <c r="H139" s="926"/>
      <c r="I139" s="926"/>
      <c r="J139" s="926"/>
      <c r="K139" s="927"/>
      <c r="L139" s="928"/>
      <c r="M139" s="926"/>
      <c r="N139" s="926"/>
      <c r="O139" s="926"/>
      <c r="P139" s="926"/>
      <c r="Q139" s="926"/>
      <c r="R139" s="926"/>
      <c r="S139" s="926"/>
      <c r="T139" s="926"/>
    </row>
    <row r="140" spans="1:20">
      <c r="A140" s="926"/>
      <c r="B140" s="926"/>
      <c r="C140" s="926"/>
      <c r="D140" s="926"/>
      <c r="E140" s="926"/>
      <c r="F140" s="926"/>
      <c r="G140" s="926"/>
      <c r="H140" s="926"/>
      <c r="I140" s="926"/>
      <c r="J140" s="926"/>
      <c r="K140" s="927"/>
      <c r="L140" s="928"/>
      <c r="M140" s="926"/>
      <c r="N140" s="926"/>
      <c r="O140" s="926"/>
      <c r="P140" s="926"/>
      <c r="Q140" s="926"/>
      <c r="R140" s="926"/>
      <c r="S140" s="926"/>
      <c r="T140" s="926"/>
    </row>
    <row r="141" spans="1:20">
      <c r="A141" s="926"/>
      <c r="B141" s="926"/>
      <c r="C141" s="926"/>
      <c r="D141" s="926"/>
      <c r="E141" s="926"/>
      <c r="F141" s="926"/>
      <c r="G141" s="926"/>
      <c r="H141" s="926"/>
      <c r="I141" s="926"/>
      <c r="J141" s="926"/>
      <c r="K141" s="927"/>
      <c r="L141" s="928"/>
      <c r="M141" s="926"/>
      <c r="N141" s="926"/>
      <c r="O141" s="926"/>
      <c r="P141" s="926"/>
      <c r="Q141" s="926"/>
      <c r="R141" s="926"/>
      <c r="S141" s="926"/>
      <c r="T141" s="926"/>
    </row>
    <row r="142" spans="1:20">
      <c r="A142" s="926"/>
      <c r="B142" s="926"/>
      <c r="C142" s="926"/>
      <c r="D142" s="926"/>
      <c r="E142" s="926"/>
      <c r="F142" s="926"/>
      <c r="G142" s="926"/>
      <c r="H142" s="926"/>
      <c r="I142" s="926"/>
      <c r="J142" s="926"/>
      <c r="K142" s="927"/>
      <c r="L142" s="928"/>
      <c r="M142" s="926"/>
      <c r="N142" s="926"/>
      <c r="O142" s="926"/>
      <c r="P142" s="926"/>
      <c r="Q142" s="926"/>
      <c r="R142" s="926"/>
      <c r="S142" s="926"/>
      <c r="T142" s="926"/>
    </row>
    <row r="143" spans="1:20">
      <c r="A143" s="926"/>
      <c r="B143" s="926"/>
      <c r="C143" s="926"/>
      <c r="D143" s="926"/>
      <c r="E143" s="926"/>
      <c r="F143" s="926"/>
      <c r="G143" s="926"/>
      <c r="H143" s="926"/>
      <c r="I143" s="926"/>
      <c r="J143" s="926"/>
      <c r="K143" s="927"/>
      <c r="L143" s="928"/>
      <c r="M143" s="926"/>
      <c r="N143" s="926"/>
      <c r="O143" s="926"/>
      <c r="P143" s="926"/>
      <c r="Q143" s="926"/>
      <c r="R143" s="926"/>
      <c r="S143" s="926"/>
      <c r="T143" s="926"/>
    </row>
    <row r="144" spans="1:20">
      <c r="A144" s="926"/>
      <c r="B144" s="926"/>
      <c r="C144" s="926"/>
      <c r="D144" s="926"/>
      <c r="E144" s="926"/>
      <c r="F144" s="926"/>
      <c r="G144" s="926"/>
      <c r="H144" s="926"/>
      <c r="I144" s="926"/>
      <c r="J144" s="926"/>
      <c r="K144" s="927"/>
      <c r="L144" s="928"/>
      <c r="M144" s="926"/>
      <c r="N144" s="926"/>
      <c r="O144" s="926"/>
      <c r="P144" s="926"/>
      <c r="Q144" s="926"/>
      <c r="R144" s="926"/>
      <c r="S144" s="926"/>
      <c r="T144" s="926"/>
    </row>
    <row r="145" spans="1:20">
      <c r="A145" s="926"/>
      <c r="B145" s="926"/>
      <c r="C145" s="926"/>
      <c r="D145" s="926"/>
      <c r="E145" s="926"/>
      <c r="F145" s="926"/>
      <c r="G145" s="926"/>
      <c r="H145" s="926"/>
      <c r="I145" s="926"/>
      <c r="J145" s="926"/>
      <c r="K145" s="927"/>
      <c r="L145" s="928"/>
      <c r="M145" s="926"/>
      <c r="N145" s="926"/>
      <c r="O145" s="926"/>
      <c r="P145" s="926"/>
      <c r="Q145" s="926"/>
      <c r="R145" s="926"/>
      <c r="S145" s="926"/>
      <c r="T145" s="926"/>
    </row>
    <row r="146" spans="1:20">
      <c r="A146" s="926"/>
      <c r="B146" s="926"/>
      <c r="C146" s="926"/>
      <c r="D146" s="926"/>
      <c r="E146" s="926"/>
      <c r="F146" s="926"/>
      <c r="G146" s="926"/>
      <c r="H146" s="926"/>
      <c r="I146" s="926"/>
      <c r="J146" s="926"/>
      <c r="K146" s="927"/>
      <c r="L146" s="928"/>
      <c r="M146" s="926"/>
      <c r="N146" s="926"/>
      <c r="O146" s="926"/>
      <c r="P146" s="926"/>
      <c r="Q146" s="926"/>
      <c r="R146" s="926"/>
      <c r="S146" s="926"/>
      <c r="T146" s="926"/>
    </row>
    <row r="147" spans="1:20">
      <c r="A147" s="926"/>
      <c r="B147" s="926"/>
      <c r="C147" s="926"/>
      <c r="D147" s="926"/>
      <c r="E147" s="926"/>
      <c r="F147" s="926"/>
      <c r="G147" s="926"/>
      <c r="H147" s="926"/>
      <c r="I147" s="926"/>
      <c r="J147" s="926"/>
      <c r="K147" s="927"/>
      <c r="L147" s="928"/>
      <c r="M147" s="926"/>
      <c r="N147" s="926"/>
      <c r="O147" s="926"/>
      <c r="P147" s="926"/>
      <c r="Q147" s="926"/>
      <c r="R147" s="926"/>
      <c r="S147" s="926"/>
      <c r="T147" s="926"/>
    </row>
    <row r="148" spans="1:20">
      <c r="A148" s="926"/>
      <c r="B148" s="926"/>
      <c r="C148" s="926"/>
      <c r="D148" s="926"/>
      <c r="E148" s="926"/>
      <c r="F148" s="926"/>
      <c r="G148" s="926"/>
      <c r="H148" s="926"/>
      <c r="I148" s="926"/>
      <c r="J148" s="926"/>
      <c r="K148" s="927"/>
      <c r="L148" s="928"/>
      <c r="M148" s="926"/>
      <c r="N148" s="926"/>
      <c r="O148" s="926"/>
      <c r="P148" s="926"/>
      <c r="Q148" s="926"/>
      <c r="R148" s="926"/>
      <c r="S148" s="926"/>
      <c r="T148" s="926"/>
    </row>
    <row r="149" spans="1:20">
      <c r="A149" s="926"/>
      <c r="B149" s="926"/>
      <c r="C149" s="926"/>
      <c r="D149" s="926"/>
      <c r="E149" s="926"/>
      <c r="F149" s="926"/>
      <c r="G149" s="926"/>
      <c r="H149" s="926"/>
      <c r="I149" s="926"/>
      <c r="J149" s="926"/>
      <c r="K149" s="927"/>
      <c r="L149" s="928"/>
      <c r="M149" s="926"/>
      <c r="N149" s="926"/>
      <c r="O149" s="926"/>
      <c r="P149" s="926"/>
      <c r="Q149" s="926"/>
      <c r="R149" s="926"/>
      <c r="S149" s="926"/>
      <c r="T149" s="926"/>
    </row>
    <row r="150" spans="1:20">
      <c r="A150" s="926"/>
      <c r="B150" s="926"/>
      <c r="C150" s="926"/>
      <c r="D150" s="926"/>
      <c r="E150" s="926"/>
      <c r="F150" s="926"/>
      <c r="G150" s="926"/>
      <c r="H150" s="926"/>
      <c r="I150" s="926"/>
      <c r="J150" s="926"/>
      <c r="K150" s="927"/>
      <c r="L150" s="928"/>
      <c r="M150" s="926"/>
      <c r="N150" s="926"/>
      <c r="O150" s="926"/>
      <c r="P150" s="926"/>
      <c r="Q150" s="926"/>
      <c r="R150" s="926"/>
      <c r="S150" s="926"/>
      <c r="T150" s="926"/>
    </row>
    <row r="151" spans="1:20">
      <c r="A151" s="926"/>
      <c r="B151" s="926"/>
      <c r="C151" s="926"/>
      <c r="D151" s="926"/>
      <c r="E151" s="926"/>
      <c r="F151" s="926"/>
      <c r="G151" s="926"/>
      <c r="H151" s="926"/>
      <c r="I151" s="926"/>
      <c r="J151" s="926"/>
      <c r="K151" s="927"/>
      <c r="L151" s="928"/>
      <c r="M151" s="926"/>
      <c r="N151" s="926"/>
      <c r="O151" s="926"/>
      <c r="P151" s="926"/>
      <c r="Q151" s="926"/>
      <c r="R151" s="926"/>
      <c r="S151" s="926"/>
      <c r="T151" s="926"/>
    </row>
    <row r="152" spans="1:20">
      <c r="A152" s="926"/>
      <c r="B152" s="926"/>
      <c r="C152" s="926"/>
      <c r="D152" s="926"/>
      <c r="E152" s="926"/>
      <c r="F152" s="926"/>
      <c r="G152" s="926"/>
      <c r="H152" s="926"/>
      <c r="I152" s="926"/>
      <c r="J152" s="926"/>
      <c r="K152" s="927"/>
      <c r="L152" s="928"/>
      <c r="M152" s="926"/>
      <c r="N152" s="926"/>
      <c r="O152" s="926"/>
      <c r="P152" s="926"/>
      <c r="Q152" s="926"/>
      <c r="R152" s="926"/>
      <c r="S152" s="926"/>
      <c r="T152" s="926"/>
    </row>
    <row r="153" spans="1:20">
      <c r="A153" s="926"/>
      <c r="B153" s="926"/>
      <c r="C153" s="926"/>
      <c r="D153" s="926"/>
      <c r="E153" s="926"/>
      <c r="F153" s="926"/>
      <c r="G153" s="926"/>
      <c r="H153" s="926"/>
      <c r="I153" s="926"/>
      <c r="J153" s="926"/>
      <c r="K153" s="927"/>
      <c r="L153" s="928"/>
      <c r="M153" s="926"/>
      <c r="N153" s="926"/>
      <c r="O153" s="926"/>
      <c r="P153" s="926"/>
      <c r="Q153" s="926"/>
      <c r="R153" s="926"/>
      <c r="S153" s="926"/>
      <c r="T153" s="926"/>
    </row>
    <row r="154" spans="1:20">
      <c r="A154" s="926"/>
      <c r="B154" s="926"/>
      <c r="C154" s="926"/>
      <c r="D154" s="926"/>
      <c r="E154" s="926"/>
      <c r="F154" s="926"/>
      <c r="G154" s="926"/>
      <c r="H154" s="926"/>
      <c r="I154" s="926"/>
      <c r="J154" s="926"/>
      <c r="K154" s="927"/>
      <c r="L154" s="928"/>
      <c r="M154" s="926"/>
      <c r="N154" s="926"/>
      <c r="O154" s="926"/>
      <c r="P154" s="926"/>
      <c r="Q154" s="926"/>
      <c r="R154" s="926"/>
      <c r="S154" s="926"/>
      <c r="T154" s="926"/>
    </row>
    <row r="155" spans="1:20">
      <c r="A155" s="926"/>
      <c r="B155" s="926"/>
      <c r="C155" s="926"/>
      <c r="D155" s="926"/>
      <c r="E155" s="926"/>
      <c r="F155" s="926"/>
      <c r="G155" s="926"/>
      <c r="H155" s="926"/>
      <c r="I155" s="926"/>
      <c r="J155" s="926"/>
      <c r="K155" s="927"/>
      <c r="L155" s="928"/>
      <c r="M155" s="926"/>
      <c r="N155" s="926"/>
      <c r="O155" s="926"/>
      <c r="P155" s="926"/>
      <c r="Q155" s="926"/>
      <c r="R155" s="926"/>
      <c r="S155" s="926"/>
      <c r="T155" s="926"/>
    </row>
    <row r="156" spans="1:20">
      <c r="A156" s="926"/>
      <c r="B156" s="926"/>
      <c r="C156" s="926"/>
      <c r="D156" s="926"/>
      <c r="E156" s="926"/>
      <c r="F156" s="926"/>
      <c r="G156" s="926"/>
      <c r="H156" s="926"/>
      <c r="I156" s="926"/>
      <c r="J156" s="926"/>
      <c r="K156" s="927"/>
      <c r="L156" s="928"/>
      <c r="M156" s="926"/>
      <c r="N156" s="926"/>
      <c r="O156" s="926"/>
      <c r="P156" s="926"/>
      <c r="Q156" s="926"/>
      <c r="R156" s="926"/>
      <c r="S156" s="926"/>
      <c r="T156" s="926"/>
    </row>
    <row r="157" spans="1:20">
      <c r="A157" s="926"/>
      <c r="B157" s="926"/>
      <c r="C157" s="926"/>
      <c r="D157" s="926"/>
      <c r="E157" s="926"/>
      <c r="F157" s="926"/>
      <c r="G157" s="926"/>
      <c r="H157" s="926"/>
      <c r="I157" s="926"/>
      <c r="J157" s="926"/>
      <c r="K157" s="927"/>
      <c r="L157" s="928"/>
      <c r="M157" s="926"/>
      <c r="N157" s="926"/>
      <c r="O157" s="926"/>
      <c r="P157" s="926"/>
      <c r="Q157" s="926"/>
      <c r="R157" s="926"/>
      <c r="S157" s="926"/>
      <c r="T157" s="926"/>
    </row>
    <row r="158" spans="1:20">
      <c r="A158" s="926"/>
      <c r="B158" s="926"/>
      <c r="C158" s="926"/>
      <c r="D158" s="926"/>
      <c r="E158" s="926"/>
      <c r="F158" s="926"/>
      <c r="G158" s="926"/>
      <c r="H158" s="926"/>
      <c r="I158" s="926"/>
      <c r="J158" s="926"/>
      <c r="K158" s="927"/>
      <c r="L158" s="928"/>
      <c r="M158" s="926"/>
      <c r="N158" s="926"/>
      <c r="O158" s="926"/>
      <c r="P158" s="926"/>
      <c r="Q158" s="926"/>
      <c r="R158" s="926"/>
      <c r="S158" s="926"/>
      <c r="T158" s="926"/>
    </row>
    <row r="159" spans="1:20">
      <c r="A159" s="926"/>
      <c r="B159" s="926"/>
      <c r="C159" s="926"/>
      <c r="D159" s="926"/>
      <c r="E159" s="926"/>
      <c r="F159" s="926"/>
      <c r="G159" s="926"/>
      <c r="H159" s="926"/>
      <c r="I159" s="926"/>
      <c r="J159" s="926"/>
      <c r="K159" s="927"/>
      <c r="L159" s="928"/>
      <c r="M159" s="926"/>
      <c r="N159" s="926"/>
      <c r="O159" s="926"/>
      <c r="P159" s="926"/>
      <c r="Q159" s="926"/>
      <c r="R159" s="926"/>
      <c r="S159" s="926"/>
      <c r="T159" s="926"/>
    </row>
    <row r="160" spans="1:20">
      <c r="A160" s="926"/>
      <c r="B160" s="926"/>
      <c r="C160" s="926"/>
      <c r="D160" s="926"/>
      <c r="E160" s="926"/>
      <c r="F160" s="926"/>
      <c r="G160" s="926"/>
      <c r="H160" s="926"/>
      <c r="I160" s="926"/>
      <c r="J160" s="926"/>
      <c r="K160" s="927"/>
      <c r="L160" s="928"/>
      <c r="M160" s="926"/>
      <c r="N160" s="926"/>
      <c r="O160" s="926"/>
      <c r="P160" s="926"/>
      <c r="Q160" s="926"/>
      <c r="R160" s="926"/>
      <c r="S160" s="926"/>
      <c r="T160" s="926"/>
    </row>
    <row r="161" spans="1:20">
      <c r="A161" s="926"/>
      <c r="B161" s="926"/>
      <c r="C161" s="926"/>
      <c r="D161" s="926"/>
      <c r="E161" s="926"/>
      <c r="F161" s="926"/>
      <c r="G161" s="926"/>
      <c r="H161" s="926"/>
      <c r="I161" s="926"/>
      <c r="J161" s="926"/>
      <c r="K161" s="927"/>
      <c r="L161" s="928"/>
      <c r="M161" s="926"/>
      <c r="N161" s="926"/>
      <c r="O161" s="926"/>
      <c r="P161" s="926"/>
      <c r="Q161" s="926"/>
      <c r="R161" s="926"/>
      <c r="S161" s="926"/>
      <c r="T161" s="926"/>
    </row>
    <row r="162" spans="1:20">
      <c r="A162" s="926"/>
      <c r="B162" s="926"/>
      <c r="C162" s="926"/>
      <c r="D162" s="926"/>
      <c r="E162" s="926"/>
      <c r="F162" s="926"/>
      <c r="G162" s="926"/>
      <c r="H162" s="926"/>
      <c r="I162" s="926"/>
      <c r="J162" s="926"/>
      <c r="K162" s="927"/>
      <c r="L162" s="928"/>
      <c r="M162" s="926"/>
      <c r="N162" s="926"/>
      <c r="O162" s="926"/>
      <c r="P162" s="926"/>
      <c r="Q162" s="926"/>
      <c r="R162" s="926"/>
      <c r="S162" s="926"/>
      <c r="T162" s="926"/>
    </row>
    <row r="163" spans="1:20">
      <c r="A163" s="926"/>
      <c r="B163" s="926"/>
      <c r="C163" s="926"/>
      <c r="D163" s="926"/>
      <c r="E163" s="926"/>
      <c r="F163" s="926"/>
      <c r="G163" s="926"/>
      <c r="H163" s="926"/>
      <c r="I163" s="926"/>
      <c r="J163" s="926"/>
      <c r="K163" s="927"/>
      <c r="L163" s="928"/>
      <c r="M163" s="926"/>
      <c r="N163" s="926"/>
      <c r="O163" s="926"/>
      <c r="P163" s="926"/>
      <c r="Q163" s="926"/>
      <c r="R163" s="926"/>
      <c r="S163" s="926"/>
      <c r="T163" s="926"/>
    </row>
    <row r="164" spans="1:20">
      <c r="A164" s="926"/>
      <c r="B164" s="926"/>
      <c r="C164" s="926"/>
      <c r="D164" s="926"/>
      <c r="E164" s="926"/>
      <c r="F164" s="926"/>
      <c r="G164" s="926"/>
      <c r="H164" s="926"/>
      <c r="I164" s="926"/>
      <c r="J164" s="926"/>
      <c r="K164" s="927"/>
      <c r="L164" s="928"/>
      <c r="M164" s="926"/>
      <c r="N164" s="926"/>
      <c r="O164" s="926"/>
      <c r="P164" s="926"/>
      <c r="Q164" s="926"/>
      <c r="R164" s="926"/>
      <c r="S164" s="926"/>
      <c r="T164" s="926"/>
    </row>
    <row r="165" spans="1:20">
      <c r="A165" s="926"/>
      <c r="B165" s="926"/>
      <c r="C165" s="926"/>
      <c r="D165" s="926"/>
      <c r="E165" s="926"/>
      <c r="F165" s="926"/>
      <c r="G165" s="926"/>
      <c r="H165" s="926"/>
      <c r="I165" s="926"/>
      <c r="J165" s="926"/>
      <c r="K165" s="927"/>
      <c r="L165" s="928"/>
      <c r="M165" s="926"/>
      <c r="N165" s="926"/>
      <c r="O165" s="926"/>
      <c r="P165" s="926"/>
      <c r="Q165" s="926"/>
      <c r="R165" s="926"/>
      <c r="S165" s="926"/>
      <c r="T165" s="926"/>
    </row>
    <row r="166" spans="1:20">
      <c r="A166" s="926"/>
      <c r="B166" s="926"/>
      <c r="C166" s="926"/>
      <c r="D166" s="926"/>
      <c r="E166" s="926"/>
      <c r="F166" s="926"/>
      <c r="G166" s="926"/>
      <c r="H166" s="926"/>
      <c r="I166" s="926"/>
      <c r="J166" s="926"/>
      <c r="K166" s="927"/>
      <c r="L166" s="928"/>
      <c r="M166" s="926"/>
      <c r="N166" s="926"/>
      <c r="O166" s="926"/>
      <c r="P166" s="926"/>
      <c r="Q166" s="926"/>
      <c r="R166" s="926"/>
      <c r="S166" s="926"/>
      <c r="T166" s="926"/>
    </row>
    <row r="167" spans="1:20">
      <c r="A167" s="926"/>
      <c r="B167" s="926"/>
      <c r="C167" s="926"/>
      <c r="D167" s="926"/>
      <c r="E167" s="926"/>
      <c r="F167" s="926"/>
      <c r="G167" s="926"/>
      <c r="H167" s="926"/>
      <c r="I167" s="926"/>
      <c r="J167" s="926"/>
      <c r="K167" s="927"/>
      <c r="L167" s="928"/>
      <c r="M167" s="926"/>
      <c r="N167" s="926"/>
      <c r="O167" s="926"/>
      <c r="P167" s="926"/>
      <c r="Q167" s="926"/>
      <c r="R167" s="926"/>
      <c r="S167" s="926"/>
      <c r="T167" s="926"/>
    </row>
    <row r="168" spans="1:20">
      <c r="A168" s="926"/>
      <c r="B168" s="926"/>
      <c r="C168" s="926"/>
      <c r="D168" s="926"/>
      <c r="E168" s="926"/>
      <c r="F168" s="926"/>
      <c r="G168" s="926"/>
      <c r="H168" s="926"/>
      <c r="I168" s="926"/>
      <c r="J168" s="926"/>
      <c r="K168" s="927"/>
      <c r="L168" s="928"/>
      <c r="M168" s="926"/>
      <c r="N168" s="926"/>
      <c r="O168" s="926"/>
      <c r="P168" s="926"/>
      <c r="Q168" s="926"/>
      <c r="R168" s="926"/>
      <c r="S168" s="926"/>
      <c r="T168" s="926"/>
    </row>
    <row r="169" spans="1:20">
      <c r="A169" s="926"/>
      <c r="B169" s="926"/>
      <c r="C169" s="926"/>
      <c r="D169" s="926"/>
      <c r="E169" s="926"/>
      <c r="F169" s="926"/>
      <c r="G169" s="926"/>
      <c r="H169" s="926"/>
      <c r="I169" s="926"/>
      <c r="J169" s="926"/>
      <c r="K169" s="927"/>
      <c r="L169" s="928"/>
      <c r="M169" s="926"/>
      <c r="N169" s="926"/>
      <c r="O169" s="926"/>
      <c r="P169" s="926"/>
      <c r="Q169" s="926"/>
      <c r="R169" s="926"/>
      <c r="S169" s="926"/>
      <c r="T169" s="926"/>
    </row>
    <row r="170" spans="1:20">
      <c r="A170" s="926"/>
      <c r="B170" s="926"/>
      <c r="C170" s="926"/>
      <c r="D170" s="926"/>
      <c r="E170" s="926"/>
      <c r="F170" s="926"/>
      <c r="G170" s="926"/>
      <c r="H170" s="926"/>
      <c r="I170" s="926"/>
      <c r="J170" s="926"/>
      <c r="K170" s="927"/>
      <c r="L170" s="928"/>
      <c r="M170" s="926"/>
      <c r="N170" s="926"/>
      <c r="O170" s="926"/>
      <c r="P170" s="926"/>
      <c r="Q170" s="926"/>
      <c r="R170" s="926"/>
      <c r="S170" s="926"/>
      <c r="T170" s="926"/>
    </row>
    <row r="171" spans="1:20">
      <c r="A171" s="926"/>
      <c r="B171" s="926"/>
      <c r="C171" s="926"/>
      <c r="D171" s="926"/>
      <c r="E171" s="926"/>
      <c r="F171" s="926"/>
      <c r="G171" s="926"/>
      <c r="H171" s="926"/>
      <c r="I171" s="926"/>
      <c r="J171" s="926"/>
      <c r="K171" s="927"/>
      <c r="L171" s="928"/>
      <c r="M171" s="926"/>
      <c r="N171" s="926"/>
      <c r="O171" s="926"/>
      <c r="P171" s="926"/>
      <c r="Q171" s="926"/>
      <c r="R171" s="926"/>
      <c r="S171" s="926"/>
      <c r="T171" s="926"/>
    </row>
    <row r="172" spans="1:20">
      <c r="A172" s="926"/>
      <c r="B172" s="926"/>
      <c r="C172" s="926"/>
      <c r="D172" s="926"/>
      <c r="E172" s="926"/>
      <c r="F172" s="926"/>
      <c r="G172" s="926"/>
      <c r="H172" s="926"/>
      <c r="I172" s="926"/>
      <c r="J172" s="926"/>
      <c r="K172" s="927"/>
      <c r="L172" s="928"/>
      <c r="M172" s="926"/>
      <c r="N172" s="926"/>
      <c r="O172" s="926"/>
      <c r="P172" s="926"/>
      <c r="Q172" s="926"/>
      <c r="R172" s="926"/>
      <c r="S172" s="926"/>
      <c r="T172" s="926"/>
    </row>
    <row r="173" spans="1:20">
      <c r="A173" s="926"/>
      <c r="B173" s="926"/>
      <c r="C173" s="926"/>
      <c r="D173" s="926"/>
      <c r="E173" s="926"/>
      <c r="F173" s="926"/>
      <c r="G173" s="926"/>
      <c r="H173" s="926"/>
      <c r="I173" s="926"/>
      <c r="J173" s="926"/>
      <c r="K173" s="927"/>
      <c r="L173" s="928"/>
      <c r="M173" s="926"/>
      <c r="N173" s="926"/>
      <c r="O173" s="926"/>
      <c r="P173" s="926"/>
      <c r="Q173" s="926"/>
      <c r="R173" s="926"/>
      <c r="S173" s="926"/>
      <c r="T173" s="926"/>
    </row>
    <row r="174" spans="1:20">
      <c r="A174" s="926"/>
      <c r="B174" s="926"/>
      <c r="C174" s="926"/>
      <c r="D174" s="926"/>
      <c r="E174" s="926"/>
      <c r="F174" s="926"/>
      <c r="G174" s="926"/>
      <c r="H174" s="926"/>
      <c r="I174" s="926"/>
      <c r="J174" s="926"/>
      <c r="K174" s="927"/>
      <c r="L174" s="928"/>
      <c r="M174" s="926"/>
      <c r="N174" s="926"/>
      <c r="O174" s="926"/>
      <c r="P174" s="926"/>
      <c r="Q174" s="926"/>
      <c r="R174" s="926"/>
      <c r="S174" s="926"/>
      <c r="T174" s="926"/>
    </row>
    <row r="175" spans="1:20">
      <c r="A175" s="926"/>
      <c r="B175" s="926"/>
      <c r="C175" s="926"/>
      <c r="D175" s="926"/>
      <c r="E175" s="926"/>
      <c r="F175" s="926"/>
      <c r="G175" s="926"/>
      <c r="H175" s="926"/>
      <c r="I175" s="926"/>
      <c r="J175" s="926"/>
      <c r="K175" s="927"/>
      <c r="L175" s="928"/>
      <c r="M175" s="926"/>
      <c r="N175" s="926"/>
      <c r="O175" s="926"/>
      <c r="P175" s="926"/>
      <c r="Q175" s="926"/>
      <c r="R175" s="926"/>
      <c r="S175" s="926"/>
      <c r="T175" s="926"/>
    </row>
    <row r="176" spans="1:20">
      <c r="A176" s="926"/>
      <c r="B176" s="926"/>
      <c r="C176" s="926"/>
      <c r="D176" s="926"/>
      <c r="E176" s="926"/>
      <c r="F176" s="926"/>
      <c r="G176" s="926"/>
      <c r="H176" s="926"/>
      <c r="I176" s="926"/>
      <c r="J176" s="926"/>
      <c r="K176" s="927"/>
      <c r="L176" s="928"/>
      <c r="M176" s="926"/>
      <c r="N176" s="926"/>
      <c r="O176" s="926"/>
      <c r="P176" s="926"/>
      <c r="Q176" s="926"/>
      <c r="R176" s="926"/>
      <c r="S176" s="926"/>
      <c r="T176" s="926"/>
    </row>
    <row r="177" spans="1:20">
      <c r="A177" s="926"/>
      <c r="B177" s="926"/>
      <c r="C177" s="926"/>
      <c r="D177" s="926"/>
      <c r="E177" s="926"/>
      <c r="F177" s="926"/>
      <c r="G177" s="926"/>
      <c r="H177" s="926"/>
      <c r="I177" s="926"/>
      <c r="J177" s="926"/>
      <c r="K177" s="927"/>
      <c r="L177" s="928"/>
      <c r="M177" s="926"/>
      <c r="N177" s="926"/>
      <c r="O177" s="926"/>
      <c r="P177" s="926"/>
      <c r="Q177" s="926"/>
      <c r="R177" s="926"/>
      <c r="S177" s="926"/>
      <c r="T177" s="926"/>
    </row>
    <row r="178" spans="1:20">
      <c r="A178" s="926"/>
      <c r="B178" s="926"/>
      <c r="C178" s="926"/>
      <c r="D178" s="926"/>
      <c r="E178" s="926"/>
      <c r="F178" s="926"/>
      <c r="G178" s="926"/>
      <c r="H178" s="926"/>
      <c r="I178" s="926"/>
      <c r="J178" s="926"/>
      <c r="K178" s="927"/>
      <c r="L178" s="928"/>
      <c r="M178" s="926"/>
      <c r="N178" s="926"/>
      <c r="O178" s="926"/>
      <c r="P178" s="926"/>
      <c r="Q178" s="926"/>
      <c r="R178" s="926"/>
      <c r="S178" s="926"/>
      <c r="T178" s="926"/>
    </row>
    <row r="179" spans="1:20">
      <c r="A179" s="926"/>
      <c r="B179" s="926"/>
      <c r="C179" s="926"/>
      <c r="D179" s="926"/>
      <c r="E179" s="926"/>
      <c r="F179" s="926"/>
      <c r="G179" s="926"/>
      <c r="H179" s="926"/>
      <c r="I179" s="926"/>
      <c r="J179" s="926"/>
      <c r="K179" s="927"/>
      <c r="L179" s="928"/>
      <c r="M179" s="926"/>
      <c r="N179" s="926"/>
      <c r="O179" s="926"/>
      <c r="P179" s="926"/>
      <c r="Q179" s="926"/>
      <c r="R179" s="926"/>
      <c r="S179" s="926"/>
      <c r="T179" s="926"/>
    </row>
    <row r="180" spans="1:20">
      <c r="A180" s="926"/>
      <c r="B180" s="926"/>
      <c r="C180" s="926"/>
      <c r="D180" s="926"/>
      <c r="E180" s="926"/>
      <c r="F180" s="926"/>
      <c r="G180" s="926"/>
      <c r="H180" s="926"/>
      <c r="I180" s="926"/>
      <c r="J180" s="926"/>
      <c r="K180" s="927"/>
      <c r="L180" s="928"/>
      <c r="M180" s="926"/>
      <c r="N180" s="926"/>
      <c r="O180" s="926"/>
      <c r="P180" s="926"/>
      <c r="Q180" s="926"/>
      <c r="R180" s="926"/>
      <c r="S180" s="926"/>
      <c r="T180" s="926"/>
    </row>
    <row r="181" spans="1:20">
      <c r="A181" s="926"/>
      <c r="B181" s="926"/>
      <c r="C181" s="926"/>
      <c r="D181" s="926"/>
      <c r="E181" s="926"/>
      <c r="F181" s="926"/>
      <c r="G181" s="926"/>
      <c r="H181" s="926"/>
      <c r="I181" s="926"/>
      <c r="J181" s="926"/>
      <c r="K181" s="927"/>
      <c r="L181" s="928"/>
      <c r="M181" s="926"/>
      <c r="N181" s="926"/>
      <c r="O181" s="926"/>
      <c r="P181" s="926"/>
      <c r="Q181" s="926"/>
      <c r="R181" s="926"/>
      <c r="S181" s="926"/>
      <c r="T181" s="926"/>
    </row>
    <row r="182" spans="1:20">
      <c r="A182" s="926"/>
      <c r="B182" s="926"/>
      <c r="C182" s="926"/>
      <c r="D182" s="926"/>
      <c r="E182" s="926"/>
      <c r="F182" s="926"/>
      <c r="G182" s="926"/>
      <c r="H182" s="926"/>
      <c r="I182" s="926"/>
      <c r="J182" s="926"/>
      <c r="K182" s="927"/>
      <c r="L182" s="928"/>
      <c r="M182" s="926"/>
      <c r="N182" s="926"/>
      <c r="O182" s="926"/>
      <c r="P182" s="926"/>
      <c r="Q182" s="926"/>
      <c r="R182" s="926"/>
      <c r="S182" s="926"/>
      <c r="T182" s="926"/>
    </row>
    <row r="183" spans="1:20">
      <c r="A183" s="926"/>
      <c r="B183" s="926"/>
      <c r="C183" s="926"/>
      <c r="D183" s="926"/>
      <c r="E183" s="926"/>
      <c r="F183" s="926"/>
      <c r="G183" s="926"/>
      <c r="H183" s="926"/>
      <c r="I183" s="926"/>
      <c r="J183" s="926"/>
      <c r="K183" s="927"/>
      <c r="L183" s="928"/>
      <c r="M183" s="926"/>
      <c r="N183" s="926"/>
      <c r="O183" s="926"/>
      <c r="P183" s="926"/>
      <c r="Q183" s="926"/>
      <c r="R183" s="926"/>
      <c r="S183" s="926"/>
      <c r="T183" s="926"/>
    </row>
    <row r="184" spans="1:20">
      <c r="A184" s="926"/>
      <c r="B184" s="926"/>
      <c r="C184" s="926"/>
      <c r="D184" s="926"/>
      <c r="E184" s="926"/>
      <c r="F184" s="926"/>
      <c r="G184" s="926"/>
      <c r="H184" s="926"/>
      <c r="I184" s="926"/>
      <c r="J184" s="926"/>
      <c r="K184" s="927"/>
      <c r="L184" s="928"/>
      <c r="M184" s="926"/>
      <c r="N184" s="926"/>
      <c r="O184" s="926"/>
      <c r="P184" s="926"/>
      <c r="Q184" s="926"/>
      <c r="R184" s="926"/>
      <c r="S184" s="926"/>
      <c r="T184" s="926"/>
    </row>
    <row r="185" spans="1:20">
      <c r="A185" s="926"/>
      <c r="B185" s="926"/>
      <c r="C185" s="926"/>
      <c r="D185" s="926"/>
      <c r="E185" s="926"/>
      <c r="F185" s="926"/>
      <c r="G185" s="926"/>
      <c r="H185" s="926"/>
      <c r="I185" s="926"/>
      <c r="J185" s="926"/>
      <c r="K185" s="927"/>
      <c r="L185" s="928"/>
      <c r="M185" s="926"/>
      <c r="N185" s="926"/>
      <c r="O185" s="926"/>
      <c r="P185" s="926"/>
      <c r="Q185" s="926"/>
      <c r="R185" s="926"/>
      <c r="S185" s="926"/>
      <c r="T185" s="926"/>
    </row>
    <row r="186" spans="1:20">
      <c r="A186" s="926"/>
      <c r="B186" s="926"/>
      <c r="C186" s="926"/>
      <c r="D186" s="926"/>
      <c r="E186" s="926"/>
      <c r="F186" s="926"/>
      <c r="G186" s="926"/>
      <c r="H186" s="926"/>
      <c r="I186" s="926"/>
      <c r="J186" s="926"/>
      <c r="K186" s="927"/>
      <c r="L186" s="928"/>
      <c r="M186" s="926"/>
      <c r="N186" s="926"/>
      <c r="O186" s="926"/>
      <c r="P186" s="926"/>
      <c r="Q186" s="926"/>
      <c r="R186" s="926"/>
      <c r="S186" s="926"/>
      <c r="T186" s="926"/>
    </row>
    <row r="187" spans="1:20">
      <c r="A187" s="926"/>
      <c r="B187" s="926"/>
      <c r="C187" s="926"/>
      <c r="D187" s="926"/>
      <c r="E187" s="926"/>
      <c r="F187" s="926"/>
      <c r="G187" s="926"/>
      <c r="H187" s="926"/>
      <c r="I187" s="926"/>
      <c r="J187" s="926"/>
      <c r="K187" s="927"/>
      <c r="L187" s="928"/>
      <c r="M187" s="926"/>
      <c r="N187" s="926"/>
      <c r="O187" s="926"/>
      <c r="P187" s="926"/>
      <c r="Q187" s="926"/>
      <c r="R187" s="926"/>
      <c r="S187" s="926"/>
      <c r="T187" s="926"/>
    </row>
    <row r="188" spans="1:20">
      <c r="A188" s="926"/>
      <c r="B188" s="926"/>
      <c r="C188" s="926"/>
      <c r="D188" s="926"/>
      <c r="E188" s="926"/>
      <c r="F188" s="926"/>
      <c r="G188" s="926"/>
      <c r="H188" s="926"/>
      <c r="I188" s="926"/>
      <c r="J188" s="926"/>
      <c r="K188" s="927"/>
      <c r="L188" s="928"/>
      <c r="M188" s="926"/>
      <c r="N188" s="926"/>
      <c r="O188" s="926"/>
      <c r="P188" s="926"/>
      <c r="Q188" s="926"/>
      <c r="R188" s="926"/>
      <c r="S188" s="926"/>
      <c r="T188" s="926"/>
    </row>
    <row r="189" spans="1:20">
      <c r="A189" s="926"/>
      <c r="B189" s="926"/>
      <c r="C189" s="926"/>
      <c r="D189" s="926"/>
      <c r="E189" s="926"/>
      <c r="F189" s="926"/>
      <c r="G189" s="926"/>
      <c r="H189" s="926"/>
      <c r="I189" s="926"/>
      <c r="J189" s="926"/>
      <c r="K189" s="927"/>
      <c r="L189" s="928"/>
      <c r="M189" s="926"/>
      <c r="N189" s="926"/>
      <c r="O189" s="926"/>
      <c r="P189" s="926"/>
      <c r="Q189" s="926"/>
      <c r="R189" s="926"/>
      <c r="S189" s="926"/>
      <c r="T189" s="926"/>
    </row>
    <row r="190" spans="1:20">
      <c r="A190" s="926"/>
      <c r="B190" s="926"/>
      <c r="C190" s="926"/>
      <c r="D190" s="926"/>
      <c r="E190" s="926"/>
      <c r="F190" s="926"/>
      <c r="G190" s="926"/>
      <c r="H190" s="926"/>
      <c r="I190" s="926"/>
      <c r="J190" s="926"/>
      <c r="K190" s="927"/>
      <c r="L190" s="928"/>
      <c r="M190" s="926"/>
      <c r="N190" s="926"/>
      <c r="O190" s="926"/>
      <c r="P190" s="926"/>
      <c r="Q190" s="926"/>
      <c r="R190" s="926"/>
      <c r="S190" s="926"/>
      <c r="T190" s="926"/>
    </row>
    <row r="191" spans="1:20">
      <c r="A191" s="926"/>
      <c r="B191" s="926"/>
      <c r="C191" s="926"/>
      <c r="D191" s="926"/>
      <c r="E191" s="926"/>
      <c r="F191" s="926"/>
      <c r="G191" s="926"/>
      <c r="H191" s="926"/>
      <c r="I191" s="926"/>
      <c r="J191" s="926"/>
      <c r="K191" s="927"/>
      <c r="L191" s="928"/>
      <c r="M191" s="926"/>
      <c r="N191" s="926"/>
      <c r="O191" s="926"/>
      <c r="P191" s="926"/>
      <c r="Q191" s="926"/>
      <c r="R191" s="926"/>
      <c r="S191" s="926"/>
      <c r="T191" s="926"/>
    </row>
    <row r="192" spans="1:20">
      <c r="A192" s="926"/>
      <c r="B192" s="926"/>
      <c r="C192" s="926"/>
      <c r="D192" s="926"/>
      <c r="E192" s="926"/>
      <c r="F192" s="926"/>
      <c r="G192" s="926"/>
      <c r="H192" s="926"/>
      <c r="I192" s="926"/>
      <c r="J192" s="926"/>
      <c r="K192" s="927"/>
      <c r="L192" s="928"/>
      <c r="M192" s="926"/>
      <c r="N192" s="926"/>
      <c r="O192" s="926"/>
      <c r="P192" s="926"/>
      <c r="Q192" s="926"/>
      <c r="R192" s="926"/>
      <c r="S192" s="926"/>
      <c r="T192" s="926"/>
    </row>
    <row r="193" spans="1:20">
      <c r="A193" s="926"/>
      <c r="B193" s="926"/>
      <c r="C193" s="926"/>
      <c r="D193" s="926"/>
      <c r="E193" s="926"/>
      <c r="F193" s="926"/>
      <c r="G193" s="926"/>
      <c r="H193" s="926"/>
      <c r="I193" s="926"/>
      <c r="J193" s="926"/>
      <c r="K193" s="927"/>
      <c r="L193" s="928"/>
      <c r="M193" s="926"/>
      <c r="N193" s="926"/>
      <c r="O193" s="926"/>
      <c r="P193" s="926"/>
      <c r="Q193" s="926"/>
      <c r="R193" s="926"/>
      <c r="S193" s="926"/>
      <c r="T193" s="926"/>
    </row>
    <row r="194" spans="1:20">
      <c r="A194" s="926"/>
      <c r="B194" s="926"/>
      <c r="C194" s="926"/>
      <c r="D194" s="926"/>
      <c r="E194" s="926"/>
      <c r="F194" s="926"/>
      <c r="G194" s="926"/>
      <c r="H194" s="926"/>
      <c r="I194" s="926"/>
      <c r="J194" s="926"/>
      <c r="K194" s="927"/>
      <c r="L194" s="928"/>
      <c r="M194" s="926"/>
      <c r="N194" s="926"/>
      <c r="O194" s="926"/>
      <c r="P194" s="926"/>
      <c r="Q194" s="926"/>
      <c r="R194" s="926"/>
      <c r="S194" s="926"/>
      <c r="T194" s="926"/>
    </row>
    <row r="195" spans="1:20">
      <c r="A195" s="926"/>
      <c r="B195" s="926"/>
      <c r="C195" s="926"/>
      <c r="D195" s="926"/>
      <c r="E195" s="926"/>
      <c r="F195" s="926"/>
      <c r="G195" s="926"/>
      <c r="H195" s="926"/>
      <c r="I195" s="926"/>
      <c r="J195" s="926"/>
      <c r="K195" s="927"/>
      <c r="L195" s="928"/>
      <c r="M195" s="926"/>
      <c r="N195" s="926"/>
      <c r="O195" s="926"/>
      <c r="P195" s="926"/>
      <c r="Q195" s="926"/>
      <c r="R195" s="926"/>
      <c r="S195" s="926"/>
      <c r="T195" s="926"/>
    </row>
    <row r="196" spans="1:20">
      <c r="A196" s="926"/>
      <c r="B196" s="926"/>
      <c r="C196" s="926"/>
      <c r="D196" s="926"/>
      <c r="E196" s="926"/>
      <c r="F196" s="926"/>
      <c r="G196" s="926"/>
      <c r="H196" s="926"/>
      <c r="I196" s="926"/>
      <c r="J196" s="926"/>
      <c r="K196" s="927"/>
      <c r="L196" s="928"/>
      <c r="M196" s="926"/>
      <c r="N196" s="926"/>
      <c r="O196" s="926"/>
      <c r="P196" s="926"/>
      <c r="Q196" s="926"/>
      <c r="R196" s="926"/>
      <c r="S196" s="926"/>
      <c r="T196" s="926"/>
    </row>
    <row r="197" spans="1:20">
      <c r="A197" s="926"/>
      <c r="B197" s="926"/>
      <c r="C197" s="926"/>
      <c r="D197" s="926"/>
      <c r="E197" s="926"/>
      <c r="F197" s="926"/>
      <c r="G197" s="926"/>
      <c r="H197" s="926"/>
      <c r="I197" s="926"/>
      <c r="J197" s="926"/>
      <c r="K197" s="927"/>
      <c r="L197" s="928"/>
      <c r="M197" s="926"/>
      <c r="N197" s="926"/>
      <c r="O197" s="926"/>
      <c r="P197" s="926"/>
      <c r="Q197" s="926"/>
      <c r="R197" s="926"/>
      <c r="S197" s="926"/>
      <c r="T197" s="926"/>
    </row>
    <row r="198" spans="1:20">
      <c r="A198" s="926"/>
      <c r="B198" s="926"/>
      <c r="C198" s="926"/>
      <c r="D198" s="926"/>
      <c r="E198" s="926"/>
      <c r="F198" s="926"/>
      <c r="G198" s="926"/>
      <c r="H198" s="926"/>
      <c r="I198" s="926"/>
      <c r="J198" s="926"/>
      <c r="K198" s="927"/>
      <c r="L198" s="928"/>
      <c r="M198" s="926"/>
      <c r="N198" s="926"/>
      <c r="O198" s="926"/>
      <c r="P198" s="926"/>
      <c r="Q198" s="926"/>
      <c r="R198" s="926"/>
      <c r="S198" s="926"/>
      <c r="T198" s="926"/>
    </row>
    <row r="199" spans="1:20">
      <c r="A199" s="926"/>
      <c r="B199" s="926"/>
      <c r="C199" s="926"/>
      <c r="D199" s="926"/>
      <c r="E199" s="926"/>
      <c r="F199" s="926"/>
      <c r="G199" s="926"/>
      <c r="H199" s="926"/>
      <c r="I199" s="926"/>
      <c r="J199" s="926"/>
      <c r="K199" s="927"/>
      <c r="L199" s="928"/>
      <c r="M199" s="926"/>
      <c r="N199" s="926"/>
      <c r="O199" s="926"/>
      <c r="P199" s="926"/>
      <c r="Q199" s="926"/>
      <c r="R199" s="926"/>
      <c r="S199" s="926"/>
      <c r="T199" s="926"/>
    </row>
    <row r="200" spans="1:20">
      <c r="A200" s="926"/>
      <c r="B200" s="926"/>
      <c r="C200" s="926"/>
      <c r="D200" s="926"/>
      <c r="E200" s="926"/>
      <c r="F200" s="926"/>
      <c r="G200" s="926"/>
      <c r="H200" s="926"/>
      <c r="I200" s="926"/>
      <c r="J200" s="926"/>
      <c r="K200" s="927"/>
      <c r="L200" s="928"/>
      <c r="M200" s="926"/>
      <c r="N200" s="926"/>
      <c r="O200" s="926"/>
      <c r="P200" s="926"/>
      <c r="Q200" s="926"/>
      <c r="R200" s="926"/>
      <c r="S200" s="926"/>
      <c r="T200" s="926"/>
    </row>
    <row r="201" spans="1:20">
      <c r="A201" s="926"/>
      <c r="B201" s="926"/>
      <c r="C201" s="926"/>
      <c r="D201" s="926"/>
      <c r="E201" s="926"/>
      <c r="F201" s="926"/>
      <c r="G201" s="926"/>
      <c r="H201" s="926"/>
      <c r="I201" s="926"/>
      <c r="J201" s="926"/>
      <c r="K201" s="927"/>
      <c r="L201" s="928"/>
      <c r="M201" s="926"/>
      <c r="N201" s="926"/>
      <c r="O201" s="926"/>
      <c r="P201" s="926"/>
      <c r="Q201" s="926"/>
      <c r="R201" s="926"/>
      <c r="S201" s="926"/>
      <c r="T201" s="926"/>
    </row>
    <row r="202" spans="1:20">
      <c r="A202" s="926"/>
      <c r="B202" s="926"/>
      <c r="C202" s="926"/>
      <c r="D202" s="926"/>
      <c r="E202" s="926"/>
      <c r="F202" s="926"/>
      <c r="G202" s="926"/>
      <c r="H202" s="926"/>
      <c r="I202" s="926"/>
      <c r="J202" s="926"/>
      <c r="K202" s="927"/>
      <c r="L202" s="928"/>
      <c r="M202" s="926"/>
      <c r="N202" s="926"/>
      <c r="O202" s="926"/>
      <c r="P202" s="926"/>
      <c r="Q202" s="926"/>
      <c r="R202" s="926"/>
      <c r="S202" s="926"/>
      <c r="T202" s="926"/>
    </row>
    <row r="203" spans="1:20">
      <c r="A203" s="926"/>
      <c r="B203" s="926"/>
      <c r="C203" s="926"/>
      <c r="D203" s="926"/>
      <c r="E203" s="926"/>
      <c r="F203" s="926"/>
      <c r="G203" s="926"/>
      <c r="H203" s="926"/>
      <c r="I203" s="926"/>
      <c r="J203" s="926"/>
      <c r="K203" s="927"/>
      <c r="L203" s="928"/>
      <c r="M203" s="926"/>
      <c r="N203" s="926"/>
      <c r="O203" s="926"/>
      <c r="P203" s="926"/>
      <c r="Q203" s="926"/>
      <c r="R203" s="926"/>
      <c r="S203" s="926"/>
      <c r="T203" s="926"/>
    </row>
    <row r="204" spans="1:20">
      <c r="A204" s="926"/>
      <c r="B204" s="926"/>
      <c r="C204" s="926"/>
      <c r="D204" s="926"/>
      <c r="E204" s="926"/>
      <c r="F204" s="926"/>
      <c r="G204" s="926"/>
      <c r="H204" s="926"/>
      <c r="I204" s="926"/>
      <c r="J204" s="926"/>
      <c r="K204" s="927"/>
      <c r="L204" s="928"/>
      <c r="M204" s="926"/>
      <c r="N204" s="926"/>
      <c r="O204" s="926"/>
      <c r="P204" s="926"/>
      <c r="Q204" s="926"/>
      <c r="R204" s="926"/>
      <c r="S204" s="926"/>
      <c r="T204" s="926"/>
    </row>
    <row r="205" spans="1:20">
      <c r="A205" s="926"/>
      <c r="B205" s="926"/>
      <c r="C205" s="926"/>
      <c r="D205" s="926"/>
      <c r="E205" s="926"/>
      <c r="F205" s="926"/>
      <c r="G205" s="926"/>
      <c r="H205" s="926"/>
      <c r="I205" s="926"/>
      <c r="J205" s="926"/>
      <c r="K205" s="927"/>
      <c r="L205" s="928"/>
      <c r="M205" s="926"/>
      <c r="N205" s="926"/>
      <c r="O205" s="926"/>
      <c r="P205" s="926"/>
      <c r="Q205" s="926"/>
      <c r="R205" s="926"/>
      <c r="S205" s="926"/>
      <c r="T205" s="926"/>
    </row>
    <row r="206" spans="1:20">
      <c r="A206" s="926"/>
      <c r="B206" s="926"/>
      <c r="C206" s="926"/>
      <c r="D206" s="926"/>
      <c r="E206" s="926"/>
      <c r="F206" s="926"/>
      <c r="G206" s="926"/>
      <c r="H206" s="926"/>
      <c r="I206" s="926"/>
      <c r="J206" s="926"/>
      <c r="K206" s="927"/>
      <c r="L206" s="928"/>
      <c r="M206" s="926"/>
      <c r="N206" s="926"/>
      <c r="O206" s="926"/>
      <c r="P206" s="926"/>
      <c r="Q206" s="926"/>
      <c r="R206" s="926"/>
      <c r="S206" s="926"/>
      <c r="T206" s="926"/>
    </row>
    <row r="207" spans="1:20">
      <c r="A207" s="926"/>
      <c r="B207" s="926"/>
      <c r="C207" s="926"/>
      <c r="D207" s="926"/>
      <c r="E207" s="926"/>
      <c r="F207" s="926"/>
      <c r="G207" s="926"/>
      <c r="H207" s="926"/>
      <c r="I207" s="926"/>
      <c r="J207" s="926"/>
      <c r="K207" s="927"/>
      <c r="L207" s="928"/>
      <c r="M207" s="926"/>
      <c r="N207" s="926"/>
      <c r="O207" s="926"/>
      <c r="P207" s="926"/>
      <c r="Q207" s="926"/>
      <c r="R207" s="926"/>
      <c r="S207" s="926"/>
      <c r="T207" s="926"/>
    </row>
    <row r="208" spans="1:20">
      <c r="A208" s="926"/>
      <c r="B208" s="926"/>
      <c r="C208" s="926"/>
      <c r="D208" s="926"/>
      <c r="E208" s="926"/>
      <c r="F208" s="926"/>
      <c r="G208" s="926"/>
      <c r="H208" s="926"/>
      <c r="I208" s="926"/>
      <c r="J208" s="926"/>
      <c r="K208" s="927"/>
      <c r="L208" s="928"/>
      <c r="M208" s="926"/>
      <c r="N208" s="926"/>
      <c r="O208" s="926"/>
      <c r="P208" s="926"/>
      <c r="Q208" s="926"/>
      <c r="R208" s="926"/>
      <c r="S208" s="926"/>
      <c r="T208" s="926"/>
    </row>
    <row r="209" spans="1:20">
      <c r="A209" s="926"/>
      <c r="B209" s="926"/>
      <c r="C209" s="926"/>
      <c r="D209" s="926"/>
      <c r="E209" s="926"/>
      <c r="F209" s="926"/>
      <c r="G209" s="926"/>
      <c r="H209" s="926"/>
      <c r="I209" s="926"/>
      <c r="J209" s="926"/>
      <c r="K209" s="927"/>
      <c r="L209" s="928"/>
      <c r="M209" s="926"/>
      <c r="N209" s="926"/>
      <c r="O209" s="926"/>
      <c r="P209" s="926"/>
      <c r="Q209" s="926"/>
      <c r="R209" s="926"/>
      <c r="S209" s="926"/>
      <c r="T209" s="926"/>
    </row>
    <row r="210" spans="1:20">
      <c r="A210" s="926"/>
      <c r="B210" s="926"/>
      <c r="C210" s="926"/>
      <c r="D210" s="926"/>
      <c r="E210" s="926"/>
      <c r="F210" s="926"/>
      <c r="G210" s="926"/>
      <c r="H210" s="926"/>
      <c r="I210" s="926"/>
      <c r="J210" s="926"/>
      <c r="K210" s="927"/>
      <c r="L210" s="928"/>
      <c r="M210" s="926"/>
      <c r="N210" s="926"/>
      <c r="O210" s="926"/>
      <c r="P210" s="926"/>
      <c r="Q210" s="926"/>
      <c r="R210" s="926"/>
      <c r="S210" s="926"/>
      <c r="T210" s="926"/>
    </row>
    <row r="211" spans="1:20">
      <c r="A211" s="926"/>
      <c r="B211" s="926"/>
      <c r="C211" s="926"/>
      <c r="D211" s="926"/>
      <c r="E211" s="926"/>
      <c r="F211" s="926"/>
      <c r="G211" s="926"/>
      <c r="H211" s="926"/>
      <c r="I211" s="926"/>
      <c r="J211" s="926"/>
      <c r="K211" s="927"/>
      <c r="L211" s="928"/>
      <c r="M211" s="926"/>
      <c r="N211" s="926"/>
      <c r="O211" s="926"/>
      <c r="P211" s="926"/>
      <c r="Q211" s="926"/>
      <c r="R211" s="926"/>
      <c r="S211" s="926"/>
      <c r="T211" s="926"/>
    </row>
    <row r="212" spans="1:20">
      <c r="A212" s="926"/>
      <c r="B212" s="926"/>
      <c r="C212" s="926"/>
      <c r="D212" s="926"/>
      <c r="E212" s="926"/>
      <c r="F212" s="926"/>
      <c r="G212" s="926"/>
      <c r="H212" s="926"/>
      <c r="I212" s="926"/>
      <c r="J212" s="926"/>
      <c r="K212" s="927"/>
      <c r="L212" s="928"/>
      <c r="M212" s="926"/>
      <c r="N212" s="926"/>
      <c r="O212" s="926"/>
      <c r="P212" s="926"/>
      <c r="Q212" s="926"/>
      <c r="R212" s="926"/>
      <c r="S212" s="926"/>
      <c r="T212" s="926"/>
    </row>
    <row r="213" spans="1:20">
      <c r="A213" s="926"/>
      <c r="B213" s="926"/>
      <c r="C213" s="926"/>
      <c r="D213" s="926"/>
      <c r="E213" s="926"/>
      <c r="F213" s="926"/>
      <c r="G213" s="926"/>
      <c r="H213" s="926"/>
      <c r="I213" s="926"/>
      <c r="J213" s="926"/>
      <c r="K213" s="927"/>
      <c r="L213" s="928"/>
      <c r="M213" s="926"/>
      <c r="N213" s="926"/>
      <c r="O213" s="926"/>
      <c r="P213" s="926"/>
      <c r="Q213" s="926"/>
      <c r="R213" s="926"/>
      <c r="S213" s="926"/>
      <c r="T213" s="926"/>
    </row>
    <row r="214" spans="1:20">
      <c r="A214" s="926"/>
      <c r="B214" s="926"/>
      <c r="C214" s="926"/>
      <c r="D214" s="926"/>
      <c r="E214" s="926"/>
      <c r="F214" s="926"/>
      <c r="G214" s="926"/>
      <c r="H214" s="926"/>
      <c r="I214" s="926"/>
      <c r="J214" s="926"/>
      <c r="K214" s="927"/>
      <c r="L214" s="928"/>
      <c r="M214" s="926"/>
      <c r="N214" s="926"/>
      <c r="O214" s="926"/>
      <c r="P214" s="926"/>
      <c r="Q214" s="926"/>
      <c r="R214" s="926"/>
      <c r="S214" s="926"/>
      <c r="T214" s="926"/>
    </row>
    <row r="215" spans="1:20">
      <c r="A215" s="926"/>
      <c r="B215" s="926"/>
      <c r="C215" s="926"/>
      <c r="D215" s="926"/>
      <c r="E215" s="926"/>
      <c r="F215" s="926"/>
      <c r="G215" s="926"/>
      <c r="H215" s="926"/>
      <c r="I215" s="926"/>
      <c r="J215" s="926"/>
      <c r="K215" s="927"/>
      <c r="L215" s="928"/>
      <c r="M215" s="926"/>
      <c r="N215" s="926"/>
      <c r="O215" s="926"/>
      <c r="P215" s="926"/>
      <c r="Q215" s="926"/>
      <c r="R215" s="926"/>
      <c r="S215" s="926"/>
      <c r="T215" s="926"/>
    </row>
    <row r="216" spans="1:20">
      <c r="A216" s="926"/>
      <c r="B216" s="926"/>
      <c r="C216" s="926"/>
      <c r="D216" s="926"/>
      <c r="E216" s="926"/>
      <c r="F216" s="926"/>
      <c r="G216" s="926"/>
      <c r="H216" s="926"/>
      <c r="I216" s="926"/>
      <c r="J216" s="926"/>
      <c r="K216" s="927"/>
      <c r="L216" s="928"/>
      <c r="M216" s="926"/>
      <c r="N216" s="926"/>
      <c r="O216" s="926"/>
      <c r="P216" s="926"/>
      <c r="Q216" s="926"/>
      <c r="R216" s="926"/>
      <c r="S216" s="926"/>
      <c r="T216" s="926"/>
    </row>
    <row r="217" spans="1:20">
      <c r="A217" s="926"/>
      <c r="B217" s="926"/>
      <c r="C217" s="926"/>
      <c r="D217" s="926"/>
      <c r="E217" s="926"/>
      <c r="F217" s="926"/>
      <c r="G217" s="926"/>
      <c r="H217" s="926"/>
      <c r="I217" s="926"/>
      <c r="J217" s="926"/>
      <c r="K217" s="927"/>
      <c r="L217" s="928"/>
      <c r="M217" s="926"/>
      <c r="N217" s="926"/>
      <c r="O217" s="926"/>
      <c r="P217" s="926"/>
      <c r="Q217" s="926"/>
      <c r="R217" s="926"/>
      <c r="S217" s="926"/>
      <c r="T217" s="926"/>
    </row>
    <row r="218" spans="1:20">
      <c r="A218" s="926"/>
      <c r="B218" s="926"/>
      <c r="C218" s="926"/>
      <c r="D218" s="926"/>
      <c r="E218" s="926"/>
      <c r="F218" s="926"/>
      <c r="G218" s="926"/>
      <c r="H218" s="926"/>
      <c r="I218" s="926"/>
      <c r="J218" s="926"/>
      <c r="K218" s="927"/>
      <c r="L218" s="928"/>
      <c r="M218" s="926"/>
      <c r="N218" s="926"/>
      <c r="O218" s="926"/>
      <c r="P218" s="926"/>
      <c r="Q218" s="926"/>
      <c r="R218" s="926"/>
      <c r="S218" s="926"/>
      <c r="T218" s="926"/>
    </row>
    <row r="219" spans="1:20">
      <c r="A219" s="926"/>
      <c r="B219" s="926"/>
      <c r="C219" s="926"/>
      <c r="D219" s="926"/>
      <c r="E219" s="926"/>
      <c r="F219" s="926"/>
      <c r="G219" s="926"/>
      <c r="H219" s="926"/>
      <c r="I219" s="926"/>
      <c r="J219" s="926"/>
      <c r="K219" s="927"/>
      <c r="L219" s="928"/>
      <c r="M219" s="926"/>
      <c r="N219" s="926"/>
      <c r="O219" s="926"/>
      <c r="P219" s="926"/>
      <c r="Q219" s="926"/>
      <c r="R219" s="926"/>
      <c r="S219" s="926"/>
      <c r="T219" s="926"/>
    </row>
    <row r="220" spans="1:20">
      <c r="A220" s="926"/>
      <c r="B220" s="926"/>
      <c r="C220" s="926"/>
      <c r="D220" s="926"/>
      <c r="E220" s="926"/>
      <c r="F220" s="926"/>
      <c r="G220" s="926"/>
      <c r="H220" s="926"/>
      <c r="I220" s="926"/>
      <c r="J220" s="926"/>
      <c r="K220" s="927"/>
      <c r="L220" s="928"/>
      <c r="M220" s="926"/>
      <c r="N220" s="926"/>
      <c r="O220" s="926"/>
      <c r="P220" s="926"/>
      <c r="Q220" s="926"/>
      <c r="R220" s="926"/>
      <c r="S220" s="926"/>
      <c r="T220" s="926"/>
    </row>
    <row r="221" spans="1:20">
      <c r="A221" s="926"/>
      <c r="B221" s="926"/>
      <c r="C221" s="926"/>
      <c r="D221" s="926"/>
      <c r="E221" s="926"/>
      <c r="F221" s="926"/>
      <c r="G221" s="926"/>
      <c r="H221" s="926"/>
      <c r="I221" s="926"/>
      <c r="J221" s="926"/>
      <c r="K221" s="927"/>
      <c r="L221" s="928"/>
      <c r="M221" s="926"/>
      <c r="N221" s="926"/>
      <c r="O221" s="926"/>
      <c r="P221" s="926"/>
      <c r="Q221" s="926"/>
      <c r="R221" s="926"/>
      <c r="S221" s="926"/>
      <c r="T221" s="926"/>
    </row>
    <row r="222" spans="1:20">
      <c r="A222" s="926"/>
      <c r="B222" s="926"/>
      <c r="C222" s="926"/>
      <c r="D222" s="926"/>
      <c r="E222" s="926"/>
      <c r="F222" s="926"/>
      <c r="G222" s="926"/>
      <c r="H222" s="926"/>
      <c r="I222" s="926"/>
      <c r="J222" s="926"/>
      <c r="K222" s="927"/>
      <c r="L222" s="928"/>
      <c r="M222" s="926"/>
      <c r="N222" s="926"/>
      <c r="O222" s="926"/>
      <c r="P222" s="926"/>
      <c r="Q222" s="926"/>
      <c r="R222" s="926"/>
      <c r="S222" s="926"/>
      <c r="T222" s="926"/>
    </row>
    <row r="223" spans="1:20">
      <c r="A223" s="926"/>
      <c r="B223" s="926"/>
      <c r="C223" s="926"/>
      <c r="D223" s="926"/>
      <c r="E223" s="926"/>
      <c r="F223" s="926"/>
      <c r="G223" s="926"/>
      <c r="H223" s="926"/>
      <c r="I223" s="926"/>
      <c r="J223" s="926"/>
      <c r="K223" s="927"/>
      <c r="L223" s="928"/>
      <c r="M223" s="926"/>
      <c r="N223" s="926"/>
      <c r="O223" s="926"/>
      <c r="P223" s="926"/>
      <c r="Q223" s="926"/>
      <c r="R223" s="926"/>
      <c r="S223" s="926"/>
      <c r="T223" s="926"/>
    </row>
    <row r="224" spans="1:20">
      <c r="A224" s="926"/>
      <c r="B224" s="926"/>
      <c r="C224" s="926"/>
      <c r="D224" s="926"/>
      <c r="E224" s="926"/>
      <c r="F224" s="926"/>
      <c r="G224" s="926"/>
      <c r="H224" s="926"/>
      <c r="I224" s="926"/>
      <c r="J224" s="926"/>
      <c r="K224" s="927"/>
      <c r="L224" s="928"/>
      <c r="M224" s="926"/>
      <c r="N224" s="926"/>
      <c r="O224" s="926"/>
      <c r="P224" s="926"/>
      <c r="Q224" s="926"/>
      <c r="R224" s="926"/>
      <c r="S224" s="926"/>
      <c r="T224" s="926"/>
    </row>
    <row r="225" spans="1:20">
      <c r="A225" s="926"/>
      <c r="B225" s="926"/>
      <c r="C225" s="926"/>
      <c r="D225" s="926"/>
      <c r="E225" s="926"/>
      <c r="F225" s="926"/>
      <c r="G225" s="926"/>
      <c r="H225" s="926"/>
      <c r="I225" s="926"/>
      <c r="J225" s="926"/>
      <c r="K225" s="927"/>
      <c r="L225" s="928"/>
      <c r="M225" s="926"/>
      <c r="N225" s="926"/>
      <c r="O225" s="926"/>
      <c r="P225" s="926"/>
      <c r="Q225" s="926"/>
      <c r="R225" s="926"/>
      <c r="S225" s="926"/>
      <c r="T225" s="926"/>
    </row>
    <row r="226" spans="1:20">
      <c r="A226" s="926"/>
      <c r="B226" s="926"/>
      <c r="C226" s="926"/>
      <c r="D226" s="926"/>
      <c r="E226" s="926"/>
      <c r="F226" s="926"/>
      <c r="G226" s="926"/>
      <c r="H226" s="926"/>
      <c r="I226" s="926"/>
      <c r="J226" s="926"/>
      <c r="K226" s="927"/>
      <c r="L226" s="928"/>
      <c r="M226" s="926"/>
      <c r="N226" s="926"/>
      <c r="O226" s="926"/>
      <c r="P226" s="926"/>
      <c r="Q226" s="926"/>
      <c r="R226" s="926"/>
      <c r="S226" s="926"/>
      <c r="T226" s="926"/>
    </row>
    <row r="227" spans="1:20">
      <c r="A227" s="926"/>
      <c r="B227" s="926"/>
      <c r="C227" s="926"/>
      <c r="D227" s="926"/>
      <c r="E227" s="926"/>
      <c r="F227" s="926"/>
      <c r="G227" s="926"/>
      <c r="H227" s="926"/>
      <c r="I227" s="926"/>
      <c r="J227" s="926"/>
      <c r="K227" s="927"/>
      <c r="L227" s="928"/>
      <c r="M227" s="926"/>
      <c r="N227" s="926"/>
      <c r="O227" s="926"/>
      <c r="P227" s="926"/>
      <c r="Q227" s="926"/>
      <c r="R227" s="926"/>
      <c r="S227" s="926"/>
      <c r="T227" s="926"/>
    </row>
    <row r="228" spans="1:20">
      <c r="A228" s="926"/>
      <c r="B228" s="926"/>
      <c r="C228" s="926"/>
      <c r="D228" s="926"/>
      <c r="E228" s="926"/>
      <c r="F228" s="926"/>
      <c r="G228" s="926"/>
      <c r="H228" s="926"/>
      <c r="I228" s="926"/>
      <c r="J228" s="926"/>
      <c r="K228" s="927"/>
      <c r="L228" s="928"/>
      <c r="M228" s="926"/>
      <c r="N228" s="926"/>
      <c r="O228" s="926"/>
      <c r="P228" s="926"/>
      <c r="Q228" s="926"/>
      <c r="R228" s="926"/>
      <c r="S228" s="926"/>
      <c r="T228" s="926"/>
    </row>
    <row r="229" spans="1:20">
      <c r="A229" s="926"/>
      <c r="B229" s="926"/>
      <c r="C229" s="926"/>
      <c r="D229" s="926"/>
      <c r="E229" s="926"/>
      <c r="F229" s="926"/>
      <c r="G229" s="926"/>
      <c r="H229" s="926"/>
      <c r="I229" s="926"/>
      <c r="J229" s="926"/>
      <c r="K229" s="927"/>
      <c r="L229" s="928"/>
      <c r="M229" s="926"/>
      <c r="N229" s="926"/>
      <c r="O229" s="926"/>
      <c r="P229" s="926"/>
      <c r="Q229" s="926"/>
      <c r="R229" s="926"/>
      <c r="S229" s="926"/>
      <c r="T229" s="926"/>
    </row>
    <row r="230" spans="1:20">
      <c r="A230" s="926"/>
      <c r="B230" s="926"/>
      <c r="C230" s="926"/>
      <c r="D230" s="926"/>
      <c r="E230" s="926"/>
      <c r="F230" s="926"/>
      <c r="G230" s="926"/>
      <c r="H230" s="926"/>
      <c r="I230" s="926"/>
      <c r="J230" s="926"/>
      <c r="K230" s="927"/>
      <c r="L230" s="928"/>
      <c r="M230" s="926"/>
      <c r="N230" s="926"/>
      <c r="O230" s="926"/>
      <c r="P230" s="926"/>
      <c r="Q230" s="926"/>
      <c r="R230" s="926"/>
      <c r="S230" s="926"/>
      <c r="T230" s="926"/>
    </row>
    <row r="231" spans="1:20">
      <c r="A231" s="926"/>
      <c r="B231" s="926"/>
      <c r="C231" s="926"/>
      <c r="D231" s="926"/>
      <c r="E231" s="926"/>
      <c r="F231" s="926"/>
      <c r="G231" s="926"/>
      <c r="H231" s="926"/>
      <c r="I231" s="926"/>
      <c r="J231" s="926"/>
      <c r="K231" s="927"/>
      <c r="L231" s="928"/>
      <c r="M231" s="926"/>
      <c r="N231" s="926"/>
      <c r="O231" s="926"/>
      <c r="P231" s="926"/>
      <c r="Q231" s="926"/>
      <c r="R231" s="926"/>
      <c r="S231" s="926"/>
      <c r="T231" s="926"/>
    </row>
    <row r="232" spans="1:20">
      <c r="A232" s="926"/>
      <c r="B232" s="926"/>
      <c r="C232" s="926"/>
      <c r="D232" s="926"/>
      <c r="E232" s="926"/>
      <c r="F232" s="926"/>
      <c r="G232" s="926"/>
      <c r="H232" s="926"/>
      <c r="I232" s="926"/>
      <c r="J232" s="926"/>
      <c r="K232" s="927"/>
      <c r="L232" s="928"/>
      <c r="M232" s="926"/>
      <c r="N232" s="926"/>
      <c r="O232" s="926"/>
      <c r="P232" s="926"/>
      <c r="Q232" s="926"/>
      <c r="R232" s="926"/>
      <c r="S232" s="926"/>
      <c r="T232" s="926"/>
    </row>
    <row r="233" spans="1:20">
      <c r="A233" s="926"/>
      <c r="B233" s="926"/>
      <c r="C233" s="926"/>
      <c r="D233" s="926"/>
      <c r="E233" s="926"/>
      <c r="F233" s="926"/>
      <c r="G233" s="926"/>
      <c r="H233" s="926"/>
      <c r="I233" s="926"/>
      <c r="J233" s="926"/>
      <c r="K233" s="927"/>
      <c r="L233" s="928"/>
      <c r="M233" s="926"/>
      <c r="N233" s="926"/>
      <c r="O233" s="926"/>
      <c r="P233" s="926"/>
      <c r="Q233" s="926"/>
      <c r="R233" s="926"/>
      <c r="S233" s="926"/>
      <c r="T233" s="926"/>
    </row>
    <row r="234" spans="1:20">
      <c r="A234" s="926"/>
      <c r="B234" s="926"/>
      <c r="C234" s="926"/>
      <c r="D234" s="926"/>
      <c r="E234" s="926"/>
      <c r="F234" s="926"/>
      <c r="G234" s="926"/>
      <c r="H234" s="926"/>
      <c r="I234" s="926"/>
      <c r="J234" s="926"/>
      <c r="K234" s="927"/>
      <c r="L234" s="928"/>
      <c r="M234" s="926"/>
      <c r="N234" s="926"/>
      <c r="O234" s="926"/>
      <c r="P234" s="926"/>
      <c r="Q234" s="926"/>
      <c r="R234" s="926"/>
      <c r="S234" s="926"/>
      <c r="T234" s="926"/>
    </row>
    <row r="235" spans="1:20">
      <c r="A235" s="926"/>
      <c r="B235" s="926"/>
      <c r="C235" s="926"/>
      <c r="D235" s="926"/>
      <c r="E235" s="926"/>
      <c r="F235" s="926"/>
      <c r="G235" s="926"/>
      <c r="H235" s="926"/>
      <c r="I235" s="926"/>
      <c r="J235" s="926"/>
      <c r="K235" s="927"/>
      <c r="L235" s="928"/>
      <c r="M235" s="926"/>
      <c r="N235" s="926"/>
      <c r="O235" s="926"/>
      <c r="P235" s="926"/>
      <c r="Q235" s="926"/>
      <c r="R235" s="926"/>
      <c r="S235" s="926"/>
      <c r="T235" s="926"/>
    </row>
    <row r="236" spans="1:20">
      <c r="A236" s="926"/>
      <c r="B236" s="926"/>
      <c r="C236" s="926"/>
      <c r="D236" s="926"/>
      <c r="E236" s="926"/>
      <c r="F236" s="926"/>
      <c r="G236" s="926"/>
      <c r="H236" s="926"/>
      <c r="I236" s="926"/>
      <c r="J236" s="926"/>
      <c r="K236" s="927"/>
      <c r="L236" s="928"/>
      <c r="M236" s="926"/>
      <c r="N236" s="926"/>
      <c r="O236" s="926"/>
      <c r="P236" s="926"/>
      <c r="Q236" s="926"/>
      <c r="R236" s="926"/>
      <c r="S236" s="926"/>
      <c r="T236" s="926"/>
    </row>
    <row r="237" spans="1:20">
      <c r="A237" s="926"/>
      <c r="B237" s="926"/>
      <c r="C237" s="926"/>
      <c r="D237" s="926"/>
      <c r="E237" s="926"/>
      <c r="F237" s="926"/>
      <c r="G237" s="926"/>
      <c r="H237" s="926"/>
      <c r="I237" s="926"/>
      <c r="J237" s="926"/>
      <c r="K237" s="927"/>
      <c r="L237" s="928"/>
      <c r="M237" s="926"/>
      <c r="N237" s="926"/>
      <c r="O237" s="926"/>
      <c r="P237" s="926"/>
      <c r="Q237" s="926"/>
      <c r="R237" s="926"/>
      <c r="S237" s="926"/>
      <c r="T237" s="926"/>
    </row>
    <row r="238" spans="1:20">
      <c r="A238" s="926"/>
      <c r="B238" s="926"/>
      <c r="C238" s="926"/>
      <c r="D238" s="926"/>
      <c r="E238" s="926"/>
      <c r="F238" s="926"/>
      <c r="G238" s="926"/>
      <c r="H238" s="926"/>
      <c r="I238" s="926"/>
      <c r="J238" s="926"/>
      <c r="K238" s="927"/>
      <c r="L238" s="928"/>
      <c r="M238" s="926"/>
      <c r="N238" s="926"/>
      <c r="O238" s="926"/>
      <c r="P238" s="926"/>
      <c r="Q238" s="926"/>
      <c r="R238" s="926"/>
      <c r="S238" s="926"/>
      <c r="T238" s="926"/>
    </row>
    <row r="239" spans="1:20">
      <c r="A239" s="926"/>
      <c r="B239" s="926"/>
      <c r="C239" s="926"/>
      <c r="D239" s="926"/>
      <c r="E239" s="926"/>
      <c r="F239" s="926"/>
      <c r="G239" s="926"/>
      <c r="H239" s="926"/>
      <c r="I239" s="926"/>
      <c r="J239" s="926"/>
      <c r="K239" s="927"/>
      <c r="L239" s="928"/>
      <c r="M239" s="926"/>
      <c r="N239" s="926"/>
      <c r="O239" s="926"/>
      <c r="P239" s="926"/>
      <c r="Q239" s="926"/>
      <c r="R239" s="926"/>
      <c r="S239" s="926"/>
      <c r="T239" s="926"/>
    </row>
    <row r="240" spans="1:20">
      <c r="A240" s="926"/>
      <c r="B240" s="926"/>
      <c r="C240" s="926"/>
      <c r="D240" s="926"/>
      <c r="E240" s="926"/>
      <c r="F240" s="926"/>
      <c r="G240" s="926"/>
      <c r="H240" s="926"/>
      <c r="I240" s="926"/>
      <c r="J240" s="926"/>
      <c r="K240" s="927"/>
      <c r="L240" s="928"/>
      <c r="M240" s="926"/>
      <c r="N240" s="926"/>
      <c r="O240" s="926"/>
      <c r="P240" s="926"/>
      <c r="Q240" s="926"/>
      <c r="R240" s="926"/>
      <c r="S240" s="926"/>
      <c r="T240" s="926"/>
    </row>
    <row r="241" spans="1:20">
      <c r="A241" s="926"/>
      <c r="B241" s="926"/>
      <c r="C241" s="926"/>
      <c r="D241" s="926"/>
      <c r="E241" s="926"/>
      <c r="F241" s="926"/>
      <c r="G241" s="926"/>
      <c r="H241" s="926"/>
      <c r="I241" s="926"/>
      <c r="J241" s="926"/>
      <c r="K241" s="927"/>
      <c r="L241" s="928"/>
      <c r="M241" s="926"/>
      <c r="N241" s="926"/>
      <c r="O241" s="926"/>
      <c r="P241" s="926"/>
      <c r="Q241" s="926"/>
      <c r="R241" s="926"/>
      <c r="S241" s="926"/>
      <c r="T241" s="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4.1093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30" s="347" customFormat="1" ht="28.5" customHeight="1">
      <c r="A1" s="343" t="s">
        <v>1867</v>
      </c>
      <c r="B1" s="344"/>
      <c r="C1" s="345" t="s">
        <v>1868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c r="AD1" s="346"/>
    </row>
    <row r="2" spans="1:30" s="347" customFormat="1" ht="28.5" customHeight="1">
      <c r="A2" s="196" t="s">
        <v>1462</v>
      </c>
      <c r="B2" s="611" t="e">
        <f>F65</f>
        <v>#DIV/0!</v>
      </c>
      <c r="C2" s="897"/>
      <c r="D2" s="897"/>
      <c r="E2" s="898"/>
      <c r="F2" s="899"/>
      <c r="G2" s="898"/>
      <c r="H2" s="898"/>
      <c r="I2" s="898"/>
      <c r="J2" s="898"/>
      <c r="K2" s="900"/>
      <c r="L2" s="2705"/>
      <c r="M2" s="2706"/>
      <c r="N2" s="2706"/>
      <c r="O2" s="2706"/>
      <c r="P2" s="691"/>
      <c r="Q2" s="691"/>
      <c r="R2" s="691"/>
      <c r="S2" s="691"/>
      <c r="T2" s="691"/>
      <c r="U2" s="691"/>
      <c r="V2" s="691"/>
      <c r="W2" s="691"/>
      <c r="X2" s="691"/>
      <c r="Y2" s="691"/>
      <c r="Z2" s="691"/>
      <c r="AA2" s="691"/>
      <c r="AB2" s="691"/>
      <c r="AC2" s="692"/>
      <c r="AD2" s="346"/>
    </row>
    <row r="3" spans="1:30" s="347" customFormat="1" ht="28.5" customHeight="1" thickBot="1">
      <c r="A3" s="198" t="s">
        <v>1464</v>
      </c>
      <c r="B3" s="550" t="e">
        <f>ROUND(IF(D3="",B2*10000/'数据-汇总表'!E3,B2*10000/D3),0)</f>
        <v>#DIV/0!</v>
      </c>
      <c r="C3" s="198" t="s">
        <v>1869</v>
      </c>
      <c r="D3" s="1180"/>
      <c r="E3" s="898"/>
      <c r="F3" s="899"/>
      <c r="G3" s="898"/>
      <c r="H3" s="898"/>
      <c r="I3" s="898"/>
      <c r="J3" s="898"/>
      <c r="K3" s="900"/>
      <c r="L3" s="2705"/>
      <c r="M3" s="2706"/>
      <c r="N3" s="2706"/>
      <c r="O3" s="2706"/>
      <c r="P3" s="691"/>
      <c r="Q3" s="691"/>
      <c r="R3" s="691"/>
      <c r="S3" s="691"/>
      <c r="T3" s="691"/>
      <c r="U3" s="691"/>
      <c r="V3" s="691"/>
      <c r="W3" s="691"/>
      <c r="X3" s="691"/>
      <c r="Y3" s="691"/>
      <c r="Z3" s="691"/>
      <c r="AA3" s="691"/>
      <c r="AB3" s="708"/>
      <c r="AC3" s="705"/>
    </row>
    <row r="4" spans="1:30" ht="14.4">
      <c r="A4" s="350" t="s">
        <v>1769</v>
      </c>
      <c r="B4" s="351"/>
      <c r="C4" s="4213" t="s">
        <v>1770</v>
      </c>
      <c r="D4" s="4214"/>
      <c r="E4" s="4215" t="s">
        <v>1771</v>
      </c>
      <c r="F4" s="4216"/>
      <c r="G4" s="4213" t="s">
        <v>1772</v>
      </c>
      <c r="H4" s="4214"/>
      <c r="I4" s="4213" t="s">
        <v>1773</v>
      </c>
      <c r="J4" s="4214"/>
      <c r="K4" s="551" t="s">
        <v>1774</v>
      </c>
      <c r="L4" s="2686"/>
      <c r="M4" s="2687"/>
      <c r="N4" s="2687"/>
      <c r="O4" s="2687"/>
      <c r="P4" s="4186" t="s">
        <v>1775</v>
      </c>
      <c r="Q4" s="4187"/>
      <c r="R4" s="4192" t="s">
        <v>1771</v>
      </c>
      <c r="S4" s="4193"/>
      <c r="T4" s="4192" t="s">
        <v>1772</v>
      </c>
      <c r="U4" s="4193"/>
      <c r="V4" s="4198" t="s">
        <v>1773</v>
      </c>
      <c r="W4" s="4198"/>
      <c r="X4" s="1342"/>
      <c r="Y4" s="4192" t="s">
        <v>1775</v>
      </c>
      <c r="Z4" s="4193"/>
      <c r="AA4" s="4179" t="s">
        <v>1771</v>
      </c>
      <c r="AB4" s="4180" t="s">
        <v>1772</v>
      </c>
      <c r="AC4" s="4179" t="s">
        <v>1773</v>
      </c>
    </row>
    <row r="5" spans="1:30">
      <c r="A5" s="353"/>
      <c r="B5" s="354"/>
      <c r="C5" s="4219" t="s">
        <v>1673</v>
      </c>
      <c r="D5" s="4220"/>
      <c r="E5" s="4223" t="s">
        <v>1674</v>
      </c>
      <c r="F5" s="4224"/>
      <c r="G5" s="4219" t="s">
        <v>1675</v>
      </c>
      <c r="H5" s="4220"/>
      <c r="I5" s="4219" t="s">
        <v>1676</v>
      </c>
      <c r="J5" s="4220"/>
      <c r="K5" s="551"/>
      <c r="L5" s="2686"/>
      <c r="M5" s="2687"/>
      <c r="N5" s="2687"/>
      <c r="O5" s="2687"/>
      <c r="P5" s="4188"/>
      <c r="Q5" s="4189"/>
      <c r="R5" s="4194"/>
      <c r="S5" s="4195"/>
      <c r="T5" s="4194"/>
      <c r="U5" s="4195"/>
      <c r="V5" s="4198"/>
      <c r="W5" s="4198"/>
      <c r="X5" s="1342"/>
      <c r="Y5" s="4194"/>
      <c r="Z5" s="4195"/>
      <c r="AA5" s="4180"/>
      <c r="AB5" s="4180"/>
      <c r="AC5" s="4180"/>
    </row>
    <row r="6" spans="1:30" ht="15" thickBot="1">
      <c r="A6" s="355"/>
      <c r="B6" s="356"/>
      <c r="C6" s="4217" t="s">
        <v>1677</v>
      </c>
      <c r="D6" s="4218"/>
      <c r="E6" s="4221" t="s">
        <v>1677</v>
      </c>
      <c r="F6" s="4222"/>
      <c r="G6" s="4217" t="s">
        <v>1677</v>
      </c>
      <c r="H6" s="4218"/>
      <c r="I6" s="4217" t="s">
        <v>1677</v>
      </c>
      <c r="J6" s="4218"/>
      <c r="K6" s="551" t="s">
        <v>1678</v>
      </c>
      <c r="L6" s="2686"/>
      <c r="M6" s="2687"/>
      <c r="N6" s="2687"/>
      <c r="O6" s="2687"/>
      <c r="P6" s="4190"/>
      <c r="Q6" s="4191"/>
      <c r="R6" s="4194"/>
      <c r="S6" s="4195"/>
      <c r="T6" s="4196"/>
      <c r="U6" s="4197"/>
      <c r="V6" s="4198"/>
      <c r="W6" s="4198"/>
      <c r="X6" s="1342"/>
      <c r="Y6" s="4196"/>
      <c r="Z6" s="4197"/>
      <c r="AA6" s="4181"/>
      <c r="AB6" s="4181"/>
      <c r="AC6" s="4181"/>
    </row>
    <row r="7" spans="1:30" s="108" customFormat="1" ht="15" thickBot="1">
      <c r="A7" s="357" t="s">
        <v>1679</v>
      </c>
      <c r="B7" s="358"/>
      <c r="C7" s="359">
        <f>'数据-取费表'!B2</f>
        <v>37917</v>
      </c>
      <c r="D7" s="360">
        <v>100</v>
      </c>
      <c r="E7" s="361"/>
      <c r="F7" s="362">
        <f>SUMIF(69:69,YEAR(E7)&amp;"-"&amp;INT((MONTH(E7)+2)/3),70:70)</f>
        <v>0</v>
      </c>
      <c r="G7" s="1946"/>
      <c r="H7" s="360">
        <f>SUMIF(69:69,YEAR(G7)&amp;"-"&amp;INT((MONTH(G7)+2)/3),70:70)</f>
        <v>0</v>
      </c>
      <c r="I7" s="1946"/>
      <c r="J7" s="360">
        <f>SUMIF(69:69,YEAR(I7)&amp;"-"&amp;INT((MONTH(I7)+2)/3),70:70)</f>
        <v>0</v>
      </c>
      <c r="K7" s="552"/>
      <c r="L7" s="2688"/>
      <c r="M7" s="2689"/>
      <c r="N7" s="2689"/>
      <c r="O7" s="2689"/>
      <c r="P7" s="4203" t="s">
        <v>1680</v>
      </c>
      <c r="Q7" s="4205"/>
      <c r="R7" s="693" t="s">
        <v>14</v>
      </c>
      <c r="S7" s="694">
        <f t="shared" ref="S7:S15" si="0">F7</f>
        <v>0</v>
      </c>
      <c r="T7" s="693" t="s">
        <v>14</v>
      </c>
      <c r="U7" s="694">
        <f t="shared" ref="U7:U15" si="1">H7</f>
        <v>0</v>
      </c>
      <c r="V7" s="693" t="s">
        <v>14</v>
      </c>
      <c r="W7" s="694">
        <f t="shared" ref="W7:W15" si="2">J7</f>
        <v>0</v>
      </c>
      <c r="X7" s="695"/>
      <c r="Y7" s="4203" t="s">
        <v>1680</v>
      </c>
      <c r="Z7" s="4204"/>
      <c r="AA7" s="696" t="e">
        <f>D7/F7</f>
        <v>#DIV/0!</v>
      </c>
      <c r="AB7" s="696" t="e">
        <f>D7/H7</f>
        <v>#DIV/0!</v>
      </c>
      <c r="AC7" s="696" t="e">
        <f>D7/J7</f>
        <v>#DIV/0!</v>
      </c>
    </row>
    <row r="8" spans="1:30" s="108" customFormat="1" ht="1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2"/>
      <c r="L8" s="2688"/>
      <c r="M8" s="2689"/>
      <c r="N8" s="2689"/>
      <c r="O8" s="2689"/>
      <c r="P8" s="4203" t="s">
        <v>1683</v>
      </c>
      <c r="Q8" s="4204"/>
      <c r="R8" s="693" t="s">
        <v>14</v>
      </c>
      <c r="S8" s="694">
        <f t="shared" si="0"/>
        <v>0</v>
      </c>
      <c r="T8" s="693" t="s">
        <v>14</v>
      </c>
      <c r="U8" s="694">
        <f t="shared" si="1"/>
        <v>0</v>
      </c>
      <c r="V8" s="693" t="s">
        <v>14</v>
      </c>
      <c r="W8" s="694">
        <f t="shared" si="2"/>
        <v>0</v>
      </c>
      <c r="X8" s="695"/>
      <c r="Y8" s="4203" t="s">
        <v>1683</v>
      </c>
      <c r="Z8" s="4204"/>
      <c r="AA8" s="696" t="e">
        <f t="shared" ref="AA8:AA45" si="3">D8/F8</f>
        <v>#DIV/0!</v>
      </c>
      <c r="AB8" s="696" t="e">
        <f t="shared" ref="AB8:AB45" si="4">D8/H8</f>
        <v>#DIV/0!</v>
      </c>
      <c r="AC8" s="696" t="e">
        <f t="shared" ref="AC8:AC45" si="5">D8/J8</f>
        <v>#DIV/0!</v>
      </c>
    </row>
    <row r="9" spans="1:30" s="108" customFormat="1" ht="14.4">
      <c r="A9" s="364" t="s">
        <v>1684</v>
      </c>
      <c r="B9" s="63" t="s">
        <v>1685</v>
      </c>
      <c r="C9" s="1949"/>
      <c r="D9" s="126">
        <v>100</v>
      </c>
      <c r="E9" s="1949"/>
      <c r="F9" s="126">
        <f>SUMIF(74:74,E9,75:75)-SUMIF(74:74,C9,75:75)+100</f>
        <v>100</v>
      </c>
      <c r="G9" s="1949"/>
      <c r="H9" s="126">
        <f>SUMIF(74:74,G9,75:75)-SUMIF(74:74,C9,75:75)+100</f>
        <v>100</v>
      </c>
      <c r="I9" s="1949"/>
      <c r="J9" s="126">
        <f>SUMIF(74:74,I9,75:75)-SUMIF(74:74,C9,75:75)+100</f>
        <v>100</v>
      </c>
      <c r="K9" s="552"/>
      <c r="L9" s="2688"/>
      <c r="M9" s="2689"/>
      <c r="N9" s="2689"/>
      <c r="O9" s="2743"/>
      <c r="P9" s="4166" t="s">
        <v>1686</v>
      </c>
      <c r="Q9" s="1330" t="str">
        <f t="shared" ref="Q9:Q15" si="6">B9</f>
        <v>用途</v>
      </c>
      <c r="R9" s="693" t="s">
        <v>14</v>
      </c>
      <c r="S9" s="694">
        <f t="shared" si="0"/>
        <v>100</v>
      </c>
      <c r="T9" s="693" t="s">
        <v>14</v>
      </c>
      <c r="U9" s="694">
        <f t="shared" si="1"/>
        <v>100</v>
      </c>
      <c r="V9" s="693" t="s">
        <v>14</v>
      </c>
      <c r="W9" s="694">
        <f t="shared" si="2"/>
        <v>100</v>
      </c>
      <c r="X9" s="695"/>
      <c r="Y9" s="4178" t="s">
        <v>1687</v>
      </c>
      <c r="Z9" s="52" t="str">
        <f t="shared" ref="Z9:Z15" si="7">Q9</f>
        <v>用途</v>
      </c>
      <c r="AA9" s="696">
        <f t="shared" si="3"/>
        <v>1</v>
      </c>
      <c r="AB9" s="696">
        <f t="shared" si="4"/>
        <v>1</v>
      </c>
      <c r="AC9" s="696">
        <f t="shared" si="5"/>
        <v>1</v>
      </c>
    </row>
    <row r="10" spans="1:30" s="373" customFormat="1" ht="28.8">
      <c r="A10" s="369"/>
      <c r="B10" s="370" t="s">
        <v>1688</v>
      </c>
      <c r="C10" s="378"/>
      <c r="D10" s="127">
        <v>100</v>
      </c>
      <c r="E10" s="411"/>
      <c r="F10" s="127" t="e">
        <f>ROUND(100/'数据-取费表'!G16,0)</f>
        <v>#DIV/0!</v>
      </c>
      <c r="G10" s="409"/>
      <c r="H10" s="127" t="e">
        <f>ROUND(100/'数据-取费表'!G16,0)</f>
        <v>#DIV/0!</v>
      </c>
      <c r="I10" s="409"/>
      <c r="J10" s="127" t="e">
        <f>ROUND(100/'数据-取费表'!G16,0)</f>
        <v>#DIV/0!</v>
      </c>
      <c r="K10" s="612"/>
      <c r="L10" s="2690"/>
      <c r="M10" s="2691"/>
      <c r="N10" s="2691"/>
      <c r="O10" s="2744"/>
      <c r="P10" s="4166"/>
      <c r="Q10" s="1330" t="str">
        <f t="shared" si="6"/>
        <v>土地使用年限（年）</v>
      </c>
      <c r="R10" s="693" t="s">
        <v>14</v>
      </c>
      <c r="S10" s="694" t="e">
        <f t="shared" si="0"/>
        <v>#DIV/0!</v>
      </c>
      <c r="T10" s="693" t="s">
        <v>14</v>
      </c>
      <c r="U10" s="694" t="e">
        <f t="shared" si="1"/>
        <v>#DIV/0!</v>
      </c>
      <c r="V10" s="693" t="s">
        <v>14</v>
      </c>
      <c r="W10" s="694" t="e">
        <f t="shared" si="2"/>
        <v>#DIV/0!</v>
      </c>
      <c r="X10" s="695"/>
      <c r="Y10" s="4178"/>
      <c r="Z10" s="52" t="str">
        <f t="shared" si="7"/>
        <v>土地使用年限（年）</v>
      </c>
      <c r="AA10" s="696" t="e">
        <f t="shared" si="3"/>
        <v>#DIV/0!</v>
      </c>
      <c r="AB10" s="696" t="e">
        <f t="shared" si="4"/>
        <v>#DIV/0!</v>
      </c>
      <c r="AC10" s="696" t="e">
        <f t="shared" si="5"/>
        <v>#DIV/0!</v>
      </c>
    </row>
    <row r="11" spans="1:30" ht="15">
      <c r="A11" s="374"/>
      <c r="B11" s="370" t="s">
        <v>1689</v>
      </c>
      <c r="C11" s="375"/>
      <c r="D11" s="127">
        <v>100</v>
      </c>
      <c r="E11" s="375"/>
      <c r="F11" s="127" t="e">
        <f>LOOKUP(E11,79:79,80:80)-LOOKUP(C11,79:79,80:80)+100</f>
        <v>#N/A</v>
      </c>
      <c r="G11" s="376"/>
      <c r="H11" s="127" t="e">
        <f>LOOKUP(G11,79:79,80:80)-LOOKUP(C11,79:79,80:80)+100</f>
        <v>#N/A</v>
      </c>
      <c r="I11" s="375"/>
      <c r="J11" s="127" t="e">
        <f>LOOKUP(I11,79:79,80:80)-LOOKUP(C11,79:79,80:80)+100</f>
        <v>#N/A</v>
      </c>
      <c r="K11" s="613"/>
      <c r="L11" s="2692"/>
      <c r="M11" s="2687"/>
      <c r="N11" s="2687"/>
      <c r="O11" s="2745"/>
      <c r="P11" s="4166"/>
      <c r="Q11" s="1330" t="str">
        <f t="shared" si="6"/>
        <v>容积率</v>
      </c>
      <c r="R11" s="693" t="s">
        <v>14</v>
      </c>
      <c r="S11" s="694" t="e">
        <f t="shared" si="0"/>
        <v>#N/A</v>
      </c>
      <c r="T11" s="693" t="s">
        <v>14</v>
      </c>
      <c r="U11" s="694" t="e">
        <f t="shared" si="1"/>
        <v>#N/A</v>
      </c>
      <c r="V11" s="693" t="s">
        <v>14</v>
      </c>
      <c r="W11" s="694" t="e">
        <f t="shared" si="2"/>
        <v>#N/A</v>
      </c>
      <c r="X11" s="695"/>
      <c r="Y11" s="4178"/>
      <c r="Z11" s="52" t="str">
        <f t="shared" si="7"/>
        <v>容积率</v>
      </c>
      <c r="AA11" s="696" t="e">
        <f t="shared" si="3"/>
        <v>#N/A</v>
      </c>
      <c r="AB11" s="696" t="e">
        <f t="shared" si="4"/>
        <v>#N/A</v>
      </c>
      <c r="AC11" s="696" t="e">
        <f t="shared" si="5"/>
        <v>#N/A</v>
      </c>
    </row>
    <row r="12" spans="1:30" s="108" customFormat="1" ht="15">
      <c r="A12" s="377"/>
      <c r="B12" s="1868" t="s">
        <v>1870</v>
      </c>
      <c r="C12" s="378"/>
      <c r="D12" s="379">
        <v>100</v>
      </c>
      <c r="E12" s="411"/>
      <c r="F12" s="127">
        <f>SUMIF(81:81,E12,82:82)-SUMIF(81:81,C12,82:82)+100</f>
        <v>100</v>
      </c>
      <c r="G12" s="409"/>
      <c r="H12" s="127">
        <f>SUMIF(81:81,G12,82:82)-SUMIF(81:81,C12,82:82)+100</f>
        <v>100</v>
      </c>
      <c r="I12" s="411"/>
      <c r="J12" s="127">
        <f>SUMIF(81:81,I12,82:82)-SUMIF(81:81,C12,82:82)+100</f>
        <v>100</v>
      </c>
      <c r="K12" s="612"/>
      <c r="L12" s="2688"/>
      <c r="M12" s="2689"/>
      <c r="N12" s="2689"/>
      <c r="O12" s="2743"/>
      <c r="P12" s="4166"/>
      <c r="Q12" s="1330" t="str">
        <f t="shared" si="6"/>
        <v>配建</v>
      </c>
      <c r="R12" s="693" t="s">
        <v>14</v>
      </c>
      <c r="S12" s="694">
        <f t="shared" si="0"/>
        <v>100</v>
      </c>
      <c r="T12" s="693" t="s">
        <v>14</v>
      </c>
      <c r="U12" s="694">
        <f t="shared" si="1"/>
        <v>100</v>
      </c>
      <c r="V12" s="693" t="s">
        <v>14</v>
      </c>
      <c r="W12" s="694">
        <f t="shared" si="2"/>
        <v>100</v>
      </c>
      <c r="X12" s="695"/>
      <c r="Y12" s="4178"/>
      <c r="Z12" s="52" t="str">
        <f t="shared" si="7"/>
        <v>配建</v>
      </c>
      <c r="AA12" s="696">
        <f>D12/F12</f>
        <v>1</v>
      </c>
      <c r="AB12" s="696">
        <f>D12/H12</f>
        <v>1</v>
      </c>
      <c r="AC12" s="696">
        <f>D12/J12</f>
        <v>1</v>
      </c>
    </row>
    <row r="13" spans="1:30" ht="15">
      <c r="A13" s="374"/>
      <c r="B13" s="1868">
        <v>111</v>
      </c>
      <c r="C13" s="380"/>
      <c r="D13" s="381">
        <v>100</v>
      </c>
      <c r="E13" s="493"/>
      <c r="F13" s="127">
        <f>SUMIF(83:83,E13,84:84)-SUMIF(83:83,C13,84:84)+100</f>
        <v>100</v>
      </c>
      <c r="G13" s="614"/>
      <c r="H13" s="381">
        <f>SUMIF(83:83,G13,84:84)-SUMIF(83:83,C13,84:84)+100</f>
        <v>100</v>
      </c>
      <c r="I13" s="614"/>
      <c r="J13" s="381">
        <f>SUMIF(83:83,I13,84:84)-SUMIF(83:83,C13,84:84)+100</f>
        <v>100</v>
      </c>
      <c r="K13" s="612"/>
      <c r="L13" s="2693"/>
      <c r="M13" s="2687"/>
      <c r="N13" s="2687"/>
      <c r="O13" s="2745"/>
      <c r="P13" s="4166"/>
      <c r="Q13" s="1330">
        <f t="shared" si="6"/>
        <v>111</v>
      </c>
      <c r="R13" s="693" t="s">
        <v>14</v>
      </c>
      <c r="S13" s="694">
        <f t="shared" si="0"/>
        <v>100</v>
      </c>
      <c r="T13" s="693" t="s">
        <v>14</v>
      </c>
      <c r="U13" s="694">
        <f t="shared" si="1"/>
        <v>100</v>
      </c>
      <c r="V13" s="693" t="s">
        <v>14</v>
      </c>
      <c r="W13" s="694">
        <f t="shared" si="2"/>
        <v>100</v>
      </c>
      <c r="X13" s="695"/>
      <c r="Y13" s="4178"/>
      <c r="Z13" s="52">
        <f t="shared" si="7"/>
        <v>111</v>
      </c>
      <c r="AA13" s="696">
        <f>D13/F13</f>
        <v>1</v>
      </c>
      <c r="AB13" s="696">
        <f>D13/H13</f>
        <v>1</v>
      </c>
      <c r="AC13" s="696">
        <f>D13/J13</f>
        <v>1</v>
      </c>
    </row>
    <row r="14" spans="1:30" ht="15.6" thickBot="1">
      <c r="A14" s="382"/>
      <c r="B14" s="1870">
        <v>111</v>
      </c>
      <c r="C14" s="383"/>
      <c r="D14" s="384">
        <v>100</v>
      </c>
      <c r="E14" s="493"/>
      <c r="F14" s="384">
        <f>SUMIF(85:85,E14,86:86)-SUMIF(85:85,C14,86:86)+100</f>
        <v>100</v>
      </c>
      <c r="G14" s="614"/>
      <c r="H14" s="384">
        <f>SUMIF(85:85,G14,86:86)-SUMIF(85:85,C14,86:86)+100</f>
        <v>100</v>
      </c>
      <c r="I14" s="614"/>
      <c r="J14" s="384">
        <f>SUMIF(85:85,I14,86:86)-SUMIF(85:85,C14,86:86)+100</f>
        <v>100</v>
      </c>
      <c r="K14" s="612"/>
      <c r="L14" s="2693"/>
      <c r="M14" s="2687"/>
      <c r="N14" s="2687"/>
      <c r="O14" s="2745"/>
      <c r="P14" s="4166"/>
      <c r="Q14" s="1330">
        <f t="shared" si="6"/>
        <v>111</v>
      </c>
      <c r="R14" s="693" t="s">
        <v>14</v>
      </c>
      <c r="S14" s="694">
        <f t="shared" si="0"/>
        <v>100</v>
      </c>
      <c r="T14" s="693" t="s">
        <v>14</v>
      </c>
      <c r="U14" s="694">
        <f t="shared" si="1"/>
        <v>100</v>
      </c>
      <c r="V14" s="693" t="s">
        <v>14</v>
      </c>
      <c r="W14" s="694">
        <f t="shared" si="2"/>
        <v>100</v>
      </c>
      <c r="X14" s="695"/>
      <c r="Y14" s="4178"/>
      <c r="Z14" s="52">
        <f t="shared" si="7"/>
        <v>111</v>
      </c>
      <c r="AA14" s="696">
        <f>D14/F14</f>
        <v>1</v>
      </c>
      <c r="AB14" s="696">
        <f>D14/H14</f>
        <v>1</v>
      </c>
      <c r="AC14" s="696">
        <f>D14/J14</f>
        <v>1</v>
      </c>
    </row>
    <row r="15" spans="1:30" ht="96.6">
      <c r="A15" s="386" t="s">
        <v>1690</v>
      </c>
      <c r="B15" s="61" t="s">
        <v>1257</v>
      </c>
      <c r="C15" s="1871"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3"/>
      <c r="L15" s="2693"/>
      <c r="M15" s="2687"/>
      <c r="N15" s="2687"/>
      <c r="O15" s="2745"/>
      <c r="P15" s="4168" t="s">
        <v>1691</v>
      </c>
      <c r="Q15" s="1339" t="str">
        <f t="shared" si="6"/>
        <v>居住社区成熟度</v>
      </c>
      <c r="R15" s="697" t="s">
        <v>14</v>
      </c>
      <c r="S15" s="698">
        <f t="shared" si="0"/>
        <v>100</v>
      </c>
      <c r="T15" s="697" t="s">
        <v>14</v>
      </c>
      <c r="U15" s="698">
        <f t="shared" si="1"/>
        <v>100</v>
      </c>
      <c r="V15" s="697" t="s">
        <v>14</v>
      </c>
      <c r="W15" s="698">
        <f t="shared" si="2"/>
        <v>100</v>
      </c>
      <c r="X15" s="1342"/>
      <c r="Y15" s="4168" t="s">
        <v>1691</v>
      </c>
      <c r="Z15" s="1343" t="str">
        <f t="shared" si="7"/>
        <v>居住社区成熟度</v>
      </c>
      <c r="AA15" s="1340">
        <f t="shared" si="3"/>
        <v>1</v>
      </c>
      <c r="AB15" s="1340">
        <f t="shared" si="4"/>
        <v>1</v>
      </c>
      <c r="AC15" s="1340">
        <f t="shared" si="5"/>
        <v>1</v>
      </c>
    </row>
    <row r="16" spans="1:30" ht="15">
      <c r="A16" s="374"/>
      <c r="B16" s="392"/>
      <c r="C16" s="393"/>
      <c r="D16" s="394"/>
      <c r="E16" s="1873"/>
      <c r="F16" s="394"/>
      <c r="G16" s="1873"/>
      <c r="H16" s="396"/>
      <c r="I16" s="1872"/>
      <c r="J16" s="394"/>
      <c r="K16" s="612"/>
      <c r="L16" s="2693"/>
      <c r="M16" s="2687"/>
      <c r="N16" s="2687"/>
      <c r="O16" s="2745"/>
      <c r="P16" s="4169"/>
      <c r="Q16" s="1339"/>
      <c r="R16" s="697"/>
      <c r="S16" s="698"/>
      <c r="T16" s="697"/>
      <c r="U16" s="698"/>
      <c r="V16" s="697"/>
      <c r="W16" s="698"/>
      <c r="X16" s="1342"/>
      <c r="Y16" s="4169"/>
      <c r="Z16" s="1343"/>
      <c r="AA16" s="1340">
        <v>1</v>
      </c>
      <c r="AB16" s="1340">
        <v>1</v>
      </c>
      <c r="AC16" s="1340">
        <v>1</v>
      </c>
    </row>
    <row r="17" spans="1:29" ht="82.8">
      <c r="A17" s="374"/>
      <c r="B17" s="397" t="s">
        <v>1777</v>
      </c>
      <c r="C17" s="1927"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3"/>
      <c r="L17" s="2693"/>
      <c r="M17" s="2687"/>
      <c r="N17" s="2687"/>
      <c r="O17" s="2745"/>
      <c r="P17" s="4169"/>
      <c r="Q17" s="1339" t="str">
        <f>B17</f>
        <v>商业繁华度</v>
      </c>
      <c r="R17" s="697" t="s">
        <v>14</v>
      </c>
      <c r="S17" s="698">
        <f>F17</f>
        <v>100</v>
      </c>
      <c r="T17" s="697" t="s">
        <v>14</v>
      </c>
      <c r="U17" s="698">
        <f>H17</f>
        <v>100</v>
      </c>
      <c r="V17" s="697" t="s">
        <v>14</v>
      </c>
      <c r="W17" s="698">
        <f>J17</f>
        <v>100</v>
      </c>
      <c r="X17" s="1342"/>
      <c r="Y17" s="4169"/>
      <c r="Z17" s="1343" t="str">
        <f>Q17</f>
        <v>商业繁华度</v>
      </c>
      <c r="AA17" s="1340">
        <f t="shared" si="3"/>
        <v>1</v>
      </c>
      <c r="AB17" s="1340">
        <f t="shared" si="4"/>
        <v>1</v>
      </c>
      <c r="AC17" s="1340">
        <f t="shared" si="5"/>
        <v>1</v>
      </c>
    </row>
    <row r="18" spans="1:29" ht="15">
      <c r="A18" s="374"/>
      <c r="B18" s="402"/>
      <c r="C18" s="1876"/>
      <c r="D18" s="396"/>
      <c r="E18" s="1878"/>
      <c r="F18" s="396"/>
      <c r="G18" s="1878"/>
      <c r="H18" s="394"/>
      <c r="I18" s="1877"/>
      <c r="J18" s="394"/>
      <c r="K18" s="612"/>
      <c r="L18" s="2693"/>
      <c r="M18" s="2687"/>
      <c r="N18" s="2687"/>
      <c r="O18" s="2745"/>
      <c r="P18" s="4169"/>
      <c r="Q18" s="1339"/>
      <c r="R18" s="697"/>
      <c r="S18" s="698"/>
      <c r="T18" s="697"/>
      <c r="U18" s="698"/>
      <c r="V18" s="697"/>
      <c r="W18" s="698"/>
      <c r="X18" s="1342"/>
      <c r="Y18" s="4169"/>
      <c r="Z18" s="1343"/>
      <c r="AA18" s="1340">
        <v>1</v>
      </c>
      <c r="AB18" s="1340">
        <v>1</v>
      </c>
      <c r="AC18" s="1340">
        <v>1</v>
      </c>
    </row>
    <row r="19" spans="1:29" ht="82.8">
      <c r="A19" s="374"/>
      <c r="B19" s="397" t="s">
        <v>1811</v>
      </c>
      <c r="C19" s="1927"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3"/>
      <c r="L19" s="2693"/>
      <c r="M19" s="2687"/>
      <c r="N19" s="2687"/>
      <c r="O19" s="2745"/>
      <c r="P19" s="4169"/>
      <c r="Q19" s="1339" t="str">
        <f>B19</f>
        <v>办公集聚程度</v>
      </c>
      <c r="R19" s="697" t="s">
        <v>14</v>
      </c>
      <c r="S19" s="698">
        <f>F19</f>
        <v>100</v>
      </c>
      <c r="T19" s="697" t="s">
        <v>14</v>
      </c>
      <c r="U19" s="698">
        <f>H19</f>
        <v>100</v>
      </c>
      <c r="V19" s="697" t="s">
        <v>14</v>
      </c>
      <c r="W19" s="698">
        <f>J19</f>
        <v>100</v>
      </c>
      <c r="X19" s="1342"/>
      <c r="Y19" s="4169"/>
      <c r="Z19" s="1343" t="str">
        <f>Q19</f>
        <v>办公集聚程度</v>
      </c>
      <c r="AA19" s="1340">
        <f t="shared" si="3"/>
        <v>1</v>
      </c>
      <c r="AB19" s="1340">
        <f t="shared" si="4"/>
        <v>1</v>
      </c>
      <c r="AC19" s="1340">
        <f t="shared" si="5"/>
        <v>1</v>
      </c>
    </row>
    <row r="20" spans="1:29" ht="15">
      <c r="A20" s="374"/>
      <c r="B20" s="402"/>
      <c r="C20" s="393"/>
      <c r="D20" s="394"/>
      <c r="E20" s="1873"/>
      <c r="F20" s="394"/>
      <c r="G20" s="1873"/>
      <c r="H20" s="394"/>
      <c r="I20" s="1872"/>
      <c r="J20" s="394"/>
      <c r="K20" s="612"/>
      <c r="L20" s="2693"/>
      <c r="M20" s="2687"/>
      <c r="N20" s="2687"/>
      <c r="O20" s="2745"/>
      <c r="P20" s="4169"/>
      <c r="Q20" s="1339"/>
      <c r="R20" s="697"/>
      <c r="S20" s="698"/>
      <c r="T20" s="697"/>
      <c r="U20" s="698"/>
      <c r="V20" s="697"/>
      <c r="W20" s="698"/>
      <c r="X20" s="1342"/>
      <c r="Y20" s="4169"/>
      <c r="Z20" s="1343"/>
      <c r="AA20" s="1340">
        <v>1</v>
      </c>
      <c r="AB20" s="1340">
        <v>1</v>
      </c>
      <c r="AC20" s="1340">
        <v>1</v>
      </c>
    </row>
    <row r="21" spans="1:29" ht="96.6">
      <c r="A21" s="374"/>
      <c r="B21" s="397" t="s">
        <v>1833</v>
      </c>
      <c r="C21" s="1875"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3"/>
      <c r="L21" s="2693"/>
      <c r="M21" s="2687"/>
      <c r="N21" s="2687"/>
      <c r="O21" s="2745"/>
      <c r="P21" s="4169"/>
      <c r="Q21" s="1339" t="str">
        <f>B21</f>
        <v>交通便捷度</v>
      </c>
      <c r="R21" s="697" t="s">
        <v>14</v>
      </c>
      <c r="S21" s="698">
        <f>F21</f>
        <v>100</v>
      </c>
      <c r="T21" s="697" t="s">
        <v>14</v>
      </c>
      <c r="U21" s="698">
        <f>H21</f>
        <v>100</v>
      </c>
      <c r="V21" s="697" t="s">
        <v>14</v>
      </c>
      <c r="W21" s="698">
        <f>J21</f>
        <v>100</v>
      </c>
      <c r="X21" s="1342"/>
      <c r="Y21" s="4169"/>
      <c r="Z21" s="1343" t="str">
        <f>Q21</f>
        <v>交通便捷度</v>
      </c>
      <c r="AA21" s="1340">
        <f t="shared" si="3"/>
        <v>1</v>
      </c>
      <c r="AB21" s="1340">
        <f t="shared" si="4"/>
        <v>1</v>
      </c>
      <c r="AC21" s="1340">
        <f t="shared" si="5"/>
        <v>1</v>
      </c>
    </row>
    <row r="22" spans="1:29" ht="15">
      <c r="A22" s="374"/>
      <c r="B22" s="1119"/>
      <c r="C22" s="393"/>
      <c r="D22" s="396"/>
      <c r="E22" s="1873"/>
      <c r="F22" s="394"/>
      <c r="G22" s="1873"/>
      <c r="H22" s="394"/>
      <c r="I22" s="1872"/>
      <c r="J22" s="394"/>
      <c r="K22" s="612"/>
      <c r="L22" s="2693"/>
      <c r="M22" s="2687"/>
      <c r="N22" s="2687"/>
      <c r="O22" s="2745"/>
      <c r="P22" s="4169"/>
      <c r="Q22" s="1339"/>
      <c r="R22" s="697"/>
      <c r="S22" s="698"/>
      <c r="T22" s="697"/>
      <c r="U22" s="698"/>
      <c r="V22" s="697"/>
      <c r="W22" s="698"/>
      <c r="X22" s="1342"/>
      <c r="Y22" s="4169"/>
      <c r="Z22" s="1343"/>
      <c r="AA22" s="1340">
        <v>1</v>
      </c>
      <c r="AB22" s="1340">
        <v>1</v>
      </c>
      <c r="AC22" s="1340">
        <v>1</v>
      </c>
    </row>
    <row r="23" spans="1:29" ht="28.8">
      <c r="A23" s="353"/>
      <c r="B23" s="397" t="s">
        <v>1871</v>
      </c>
      <c r="C23" s="1124">
        <f>估价对象房地状况!C19</f>
        <v>0</v>
      </c>
      <c r="D23" s="401">
        <v>100</v>
      </c>
      <c r="E23" s="398"/>
      <c r="F23" s="401">
        <f>SUMIF(95:95,E24,96:96)-SUMIF(95:95,C24,96:96)+100</f>
        <v>100</v>
      </c>
      <c r="G23" s="400"/>
      <c r="H23" s="401">
        <f>SUMIF(95:95,G24,96:96)-SUMIF(95:95,C24,96:96)+100</f>
        <v>100</v>
      </c>
      <c r="I23" s="400"/>
      <c r="J23" s="401">
        <f>SUMIF(95:95,I24,96:96)-SUMIF(95:95,C24,96:96)+100</f>
        <v>100</v>
      </c>
      <c r="K23" s="613"/>
      <c r="L23" s="2693"/>
      <c r="M23" s="2687"/>
      <c r="N23" s="2687"/>
      <c r="O23" s="2745"/>
      <c r="P23" s="4169"/>
      <c r="Q23" s="1339" t="str">
        <f t="shared" ref="Q23:Q37" si="8">B23</f>
        <v>区域土地利用方向</v>
      </c>
      <c r="R23" s="697" t="s">
        <v>14</v>
      </c>
      <c r="S23" s="698">
        <f>F23</f>
        <v>100</v>
      </c>
      <c r="T23" s="697" t="s">
        <v>14</v>
      </c>
      <c r="U23" s="698">
        <f>H23</f>
        <v>100</v>
      </c>
      <c r="V23" s="697" t="s">
        <v>14</v>
      </c>
      <c r="W23" s="698">
        <f>J23</f>
        <v>100</v>
      </c>
      <c r="X23" s="1342"/>
      <c r="Y23" s="4169"/>
      <c r="Z23" s="1343" t="str">
        <f>Q23</f>
        <v>区域土地利用方向</v>
      </c>
      <c r="AA23" s="1340">
        <f t="shared" si="3"/>
        <v>1</v>
      </c>
      <c r="AB23" s="1340">
        <f t="shared" si="4"/>
        <v>1</v>
      </c>
      <c r="AC23" s="1340">
        <f t="shared" si="5"/>
        <v>1</v>
      </c>
    </row>
    <row r="24" spans="1:29" ht="15">
      <c r="A24" s="353"/>
      <c r="B24" s="402"/>
      <c r="C24" s="557"/>
      <c r="D24" s="394"/>
      <c r="E24" s="1873"/>
      <c r="F24" s="394"/>
      <c r="G24" s="1872"/>
      <c r="H24" s="394"/>
      <c r="I24" s="1872"/>
      <c r="J24" s="394"/>
      <c r="K24" s="730"/>
      <c r="L24" s="2693"/>
      <c r="M24" s="2687"/>
      <c r="N24" s="2687"/>
      <c r="O24" s="2745"/>
      <c r="P24" s="4169"/>
      <c r="Q24" s="1339"/>
      <c r="R24" s="697"/>
      <c r="S24" s="698"/>
      <c r="T24" s="697"/>
      <c r="U24" s="698"/>
      <c r="V24" s="697"/>
      <c r="W24" s="698"/>
      <c r="X24" s="1342"/>
      <c r="Y24" s="4169"/>
      <c r="Z24" s="1343"/>
      <c r="AA24" s="1340"/>
      <c r="AB24" s="1340"/>
      <c r="AC24" s="1340"/>
    </row>
    <row r="25" spans="1:29" ht="55.2">
      <c r="A25" s="353"/>
      <c r="B25" s="1119" t="s">
        <v>1872</v>
      </c>
      <c r="C25" s="1927"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3"/>
      <c r="L25" s="2693"/>
      <c r="M25" s="2687"/>
      <c r="N25" s="2687"/>
      <c r="O25" s="2745"/>
      <c r="P25" s="4169"/>
      <c r="Q25" s="1339" t="str">
        <f t="shared" si="8"/>
        <v>自然及人文环境状况</v>
      </c>
      <c r="R25" s="697" t="s">
        <v>14</v>
      </c>
      <c r="S25" s="698">
        <f>F25</f>
        <v>100</v>
      </c>
      <c r="T25" s="697" t="s">
        <v>14</v>
      </c>
      <c r="U25" s="698">
        <f>H25</f>
        <v>100</v>
      </c>
      <c r="V25" s="697" t="s">
        <v>14</v>
      </c>
      <c r="W25" s="698">
        <f>J25</f>
        <v>100</v>
      </c>
      <c r="X25" s="1342"/>
      <c r="Y25" s="4169"/>
      <c r="Z25" s="1343" t="str">
        <f>Q25</f>
        <v>自然及人文环境状况</v>
      </c>
      <c r="AA25" s="1340">
        <f t="shared" si="3"/>
        <v>1</v>
      </c>
      <c r="AB25" s="1340">
        <f t="shared" si="4"/>
        <v>1</v>
      </c>
      <c r="AC25" s="1340">
        <f t="shared" si="5"/>
        <v>1</v>
      </c>
    </row>
    <row r="26" spans="1:29" ht="15">
      <c r="A26" s="353"/>
      <c r="B26" s="402"/>
      <c r="C26" s="393"/>
      <c r="D26" s="394"/>
      <c r="E26" s="1879"/>
      <c r="F26" s="394"/>
      <c r="G26" s="1879"/>
      <c r="H26" s="394"/>
      <c r="I26" s="393"/>
      <c r="J26" s="394"/>
      <c r="K26" s="612"/>
      <c r="L26" s="2693"/>
      <c r="M26" s="2687"/>
      <c r="N26" s="2687"/>
      <c r="O26" s="2745"/>
      <c r="P26" s="4169"/>
      <c r="Q26" s="1339"/>
      <c r="R26" s="697"/>
      <c r="S26" s="698"/>
      <c r="T26" s="697"/>
      <c r="U26" s="698"/>
      <c r="V26" s="697"/>
      <c r="W26" s="698"/>
      <c r="X26" s="1342"/>
      <c r="Y26" s="4169"/>
      <c r="Z26" s="1343"/>
      <c r="AA26" s="1340">
        <v>1</v>
      </c>
      <c r="AB26" s="1340">
        <v>1</v>
      </c>
      <c r="AC26" s="1340">
        <v>1</v>
      </c>
    </row>
    <row r="27" spans="1:29" s="108" customFormat="1" ht="41.4">
      <c r="A27" s="589"/>
      <c r="B27" s="1119" t="s">
        <v>1778</v>
      </c>
      <c r="C27" s="1875"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3"/>
      <c r="L27" s="2688"/>
      <c r="M27" s="2689"/>
      <c r="N27" s="2689"/>
      <c r="O27" s="2743"/>
      <c r="P27" s="4169"/>
      <c r="Q27" s="1330" t="str">
        <f t="shared" si="8"/>
        <v>公共配套设施</v>
      </c>
      <c r="R27" s="693" t="s">
        <v>14</v>
      </c>
      <c r="S27" s="694">
        <f>F27</f>
        <v>100</v>
      </c>
      <c r="T27" s="693" t="s">
        <v>14</v>
      </c>
      <c r="U27" s="694">
        <f>H27</f>
        <v>100</v>
      </c>
      <c r="V27" s="693" t="s">
        <v>14</v>
      </c>
      <c r="W27" s="694">
        <f>J27</f>
        <v>100</v>
      </c>
      <c r="X27" s="695"/>
      <c r="Y27" s="4169"/>
      <c r="Z27" s="52" t="str">
        <f>Q27</f>
        <v>公共配套设施</v>
      </c>
      <c r="AA27" s="1340">
        <f>D27/F27</f>
        <v>1</v>
      </c>
      <c r="AB27" s="1340">
        <f>D27/H27</f>
        <v>1</v>
      </c>
      <c r="AC27" s="1340">
        <f>D27/J27</f>
        <v>1</v>
      </c>
    </row>
    <row r="28" spans="1:29" s="108" customFormat="1" ht="15">
      <c r="A28" s="589"/>
      <c r="B28" s="402"/>
      <c r="C28" s="1950"/>
      <c r="D28" s="394"/>
      <c r="E28" s="1879"/>
      <c r="F28" s="394"/>
      <c r="G28" s="1879"/>
      <c r="H28" s="394"/>
      <c r="I28" s="393"/>
      <c r="J28" s="394"/>
      <c r="K28" s="612"/>
      <c r="L28" s="2688"/>
      <c r="M28" s="2689"/>
      <c r="N28" s="2689"/>
      <c r="O28" s="2743"/>
      <c r="P28" s="4169"/>
      <c r="Q28" s="1330"/>
      <c r="R28" s="693"/>
      <c r="S28" s="694"/>
      <c r="T28" s="693"/>
      <c r="U28" s="694"/>
      <c r="V28" s="693"/>
      <c r="W28" s="694"/>
      <c r="X28" s="695"/>
      <c r="Y28" s="4169"/>
      <c r="Z28" s="52"/>
      <c r="AA28" s="1340">
        <v>1</v>
      </c>
      <c r="AB28" s="1340">
        <v>1</v>
      </c>
      <c r="AC28" s="1340">
        <v>1</v>
      </c>
    </row>
    <row r="29" spans="1:29" s="108" customFormat="1" ht="41.4">
      <c r="A29" s="589"/>
      <c r="B29" s="1119" t="s">
        <v>1779</v>
      </c>
      <c r="C29" s="1875"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3"/>
      <c r="L29" s="2688"/>
      <c r="M29" s="2689"/>
      <c r="N29" s="2689"/>
      <c r="O29" s="2743"/>
      <c r="P29" s="4169"/>
      <c r="Q29" s="1330" t="str">
        <f t="shared" ref="Q29" si="9">B29</f>
        <v>基础设施水平</v>
      </c>
      <c r="R29" s="693" t="s">
        <v>14</v>
      </c>
      <c r="S29" s="694">
        <f>F29</f>
        <v>100</v>
      </c>
      <c r="T29" s="693" t="s">
        <v>14</v>
      </c>
      <c r="U29" s="694">
        <f>H29</f>
        <v>100</v>
      </c>
      <c r="V29" s="693" t="s">
        <v>14</v>
      </c>
      <c r="W29" s="694">
        <f>J29</f>
        <v>100</v>
      </c>
      <c r="X29" s="695"/>
      <c r="Y29" s="4169"/>
      <c r="Z29" s="52" t="str">
        <f>Q29</f>
        <v>基础设施水平</v>
      </c>
      <c r="AA29" s="1340">
        <f>D29/F29</f>
        <v>1</v>
      </c>
      <c r="AB29" s="1340">
        <f>D29/H29</f>
        <v>1</v>
      </c>
      <c r="AC29" s="1340">
        <f>D29/J29</f>
        <v>1</v>
      </c>
    </row>
    <row r="30" spans="1:29" s="108" customFormat="1" ht="15">
      <c r="A30" s="589"/>
      <c r="B30" s="402"/>
      <c r="C30" s="1950"/>
      <c r="D30" s="394"/>
      <c r="E30" s="1951"/>
      <c r="F30" s="394"/>
      <c r="G30" s="1951"/>
      <c r="H30" s="394"/>
      <c r="I30" s="1951"/>
      <c r="J30" s="394"/>
      <c r="K30" s="612"/>
      <c r="L30" s="2688"/>
      <c r="M30" s="2689"/>
      <c r="N30" s="2689"/>
      <c r="O30" s="2743"/>
      <c r="P30" s="4169"/>
      <c r="Q30" s="1330"/>
      <c r="R30" s="693"/>
      <c r="S30" s="694"/>
      <c r="T30" s="693"/>
      <c r="U30" s="694"/>
      <c r="V30" s="693"/>
      <c r="W30" s="694"/>
      <c r="X30" s="695"/>
      <c r="Y30" s="4169"/>
      <c r="Z30" s="52"/>
      <c r="AA30" s="1340">
        <v>1</v>
      </c>
      <c r="AB30" s="1340">
        <v>1</v>
      </c>
      <c r="AC30" s="1340">
        <v>1</v>
      </c>
    </row>
    <row r="31" spans="1:29" ht="15">
      <c r="A31" s="374"/>
      <c r="B31" s="402" t="s">
        <v>1780</v>
      </c>
      <c r="C31" s="557"/>
      <c r="D31" s="381">
        <v>100</v>
      </c>
      <c r="E31" s="574"/>
      <c r="F31" s="381">
        <f>SUMIF(103:103,E31,104:104)-SUMIF(103:103,C31,104:104)+100</f>
        <v>100</v>
      </c>
      <c r="G31" s="574"/>
      <c r="H31" s="381">
        <f>SUMIF(103:103,G31,104:104)-SUMIF(103:103,C31,104:104)+100</f>
        <v>100</v>
      </c>
      <c r="I31" s="574"/>
      <c r="J31" s="381">
        <f>SUMIF(103:103,I31,104:104)-SUMIF(103:103,C31,104:104)+100</f>
        <v>100</v>
      </c>
      <c r="K31" s="613"/>
      <c r="L31" s="2693"/>
      <c r="M31" s="2687"/>
      <c r="N31" s="2687"/>
      <c r="O31" s="2745"/>
      <c r="P31" s="4169"/>
      <c r="Q31" s="1339" t="str">
        <f t="shared" si="8"/>
        <v>临街状况</v>
      </c>
      <c r="R31" s="697" t="s">
        <v>14</v>
      </c>
      <c r="S31" s="698">
        <f t="shared" ref="S31:S45" si="10">F31</f>
        <v>100</v>
      </c>
      <c r="T31" s="697" t="s">
        <v>14</v>
      </c>
      <c r="U31" s="698">
        <f t="shared" ref="U31:U45" si="11">H31</f>
        <v>100</v>
      </c>
      <c r="V31" s="697" t="s">
        <v>14</v>
      </c>
      <c r="W31" s="698">
        <f t="shared" ref="W31:W45" si="12">J31</f>
        <v>100</v>
      </c>
      <c r="X31" s="1342"/>
      <c r="Y31" s="4169"/>
      <c r="Z31" s="1343" t="str">
        <f t="shared" ref="Z31:Z45" si="13">Q31</f>
        <v>临街状况</v>
      </c>
      <c r="AA31" s="1340">
        <f t="shared" si="3"/>
        <v>1</v>
      </c>
      <c r="AB31" s="1340">
        <f t="shared" si="4"/>
        <v>1</v>
      </c>
      <c r="AC31" s="1340">
        <f t="shared" si="5"/>
        <v>1</v>
      </c>
    </row>
    <row r="32" spans="1:29" ht="28.8">
      <c r="A32" s="374"/>
      <c r="B32" s="1119"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3"/>
      <c r="L32" s="2693"/>
      <c r="M32" s="2687"/>
      <c r="N32" s="2687"/>
      <c r="O32" s="2745"/>
      <c r="P32" s="4169"/>
      <c r="Q32" s="1339" t="str">
        <f t="shared" si="8"/>
        <v>毗邻道路的类型与等级</v>
      </c>
      <c r="R32" s="697" t="s">
        <v>14</v>
      </c>
      <c r="S32" s="698">
        <f t="shared" si="10"/>
        <v>100</v>
      </c>
      <c r="T32" s="697" t="s">
        <v>14</v>
      </c>
      <c r="U32" s="698">
        <f t="shared" si="11"/>
        <v>100</v>
      </c>
      <c r="V32" s="697" t="s">
        <v>14</v>
      </c>
      <c r="W32" s="698">
        <f t="shared" si="12"/>
        <v>100</v>
      </c>
      <c r="X32" s="1342"/>
      <c r="Y32" s="4169"/>
      <c r="Z32" s="1343" t="str">
        <f t="shared" si="13"/>
        <v>毗邻道路的类型与等级</v>
      </c>
      <c r="AA32" s="1340">
        <f t="shared" si="3"/>
        <v>1</v>
      </c>
      <c r="AB32" s="1340">
        <f t="shared" si="4"/>
        <v>1</v>
      </c>
      <c r="AC32" s="1340">
        <f t="shared" si="5"/>
        <v>1</v>
      </c>
    </row>
    <row r="33" spans="1:29" ht="15">
      <c r="A33" s="374"/>
      <c r="B33" s="402"/>
      <c r="C33" s="393"/>
      <c r="D33" s="394"/>
      <c r="E33" s="1879"/>
      <c r="F33" s="394"/>
      <c r="G33" s="1879"/>
      <c r="H33" s="394"/>
      <c r="I33" s="393"/>
      <c r="J33" s="394"/>
      <c r="K33" s="554"/>
      <c r="L33" s="2693"/>
      <c r="M33" s="2687"/>
      <c r="N33" s="2687"/>
      <c r="O33" s="2745"/>
      <c r="P33" s="4169"/>
      <c r="Q33" s="1339"/>
      <c r="R33" s="697"/>
      <c r="S33" s="698"/>
      <c r="T33" s="697"/>
      <c r="U33" s="698"/>
      <c r="V33" s="697"/>
      <c r="W33" s="698"/>
      <c r="X33" s="1342"/>
      <c r="Y33" s="4169"/>
      <c r="Z33" s="1343"/>
      <c r="AA33" s="1340">
        <v>1</v>
      </c>
      <c r="AB33" s="1340">
        <v>1</v>
      </c>
      <c r="AC33" s="1340">
        <v>1</v>
      </c>
    </row>
    <row r="34" spans="1:29" ht="15">
      <c r="A34" s="374"/>
      <c r="B34" s="370" t="s">
        <v>1873</v>
      </c>
      <c r="C34" s="557"/>
      <c r="D34" s="381">
        <v>100</v>
      </c>
      <c r="E34" s="574"/>
      <c r="F34" s="381">
        <f>SUMIF(107:107,E34,108:108)-SUMIF(107:107,C34,108:108)+100</f>
        <v>100</v>
      </c>
      <c r="G34" s="574"/>
      <c r="H34" s="381">
        <f>SUMIF(107:107,G34,108:108)-SUMIF(107:107,C34,108:108)+100</f>
        <v>100</v>
      </c>
      <c r="I34" s="557"/>
      <c r="J34" s="381">
        <f>SUMIF(107:107,I34,108:108)-SUMIF(107:107,C34,108:108)+100</f>
        <v>100</v>
      </c>
      <c r="K34" s="553"/>
      <c r="L34" s="2693"/>
      <c r="M34" s="2687"/>
      <c r="N34" s="2687"/>
      <c r="O34" s="2745"/>
      <c r="P34" s="4169"/>
      <c r="Q34" s="1339" t="str">
        <f t="shared" si="8"/>
        <v>土地级别</v>
      </c>
      <c r="R34" s="697" t="s">
        <v>14</v>
      </c>
      <c r="S34" s="698">
        <f t="shared" si="10"/>
        <v>100</v>
      </c>
      <c r="T34" s="697" t="s">
        <v>14</v>
      </c>
      <c r="U34" s="698">
        <f t="shared" si="11"/>
        <v>100</v>
      </c>
      <c r="V34" s="697" t="s">
        <v>14</v>
      </c>
      <c r="W34" s="698">
        <f t="shared" si="12"/>
        <v>100</v>
      </c>
      <c r="X34" s="1342"/>
      <c r="Y34" s="4169"/>
      <c r="Z34" s="1343" t="str">
        <f t="shared" si="13"/>
        <v>土地级别</v>
      </c>
      <c r="AA34" s="1340">
        <f t="shared" si="3"/>
        <v>1</v>
      </c>
      <c r="AB34" s="1340">
        <f t="shared" si="4"/>
        <v>1</v>
      </c>
      <c r="AC34" s="1340">
        <f t="shared" si="5"/>
        <v>1</v>
      </c>
    </row>
    <row r="35" spans="1:29" ht="15">
      <c r="A35" s="353"/>
      <c r="B35" s="1121">
        <v>111</v>
      </c>
      <c r="C35" s="614"/>
      <c r="D35" s="381">
        <v>100</v>
      </c>
      <c r="E35" s="423"/>
      <c r="F35" s="381">
        <f>SUMIF(109:109,E35,110:110)-SUMIF(109:109,C35,110:110)+100</f>
        <v>100</v>
      </c>
      <c r="G35" s="423"/>
      <c r="H35" s="381">
        <f>SUMIF(109:109,G35,110:110)-SUMIF(109:109,C35,110:110)+100</f>
        <v>100</v>
      </c>
      <c r="I35" s="614"/>
      <c r="J35" s="381">
        <f>SUMIF(109:109,I35,110:110)-SUMIF(109:109,C35,110:110)+100</f>
        <v>100</v>
      </c>
      <c r="K35" s="554"/>
      <c r="L35" s="2693"/>
      <c r="M35" s="2687"/>
      <c r="N35" s="2687"/>
      <c r="O35" s="2745"/>
      <c r="P35" s="4169"/>
      <c r="Q35" s="1339">
        <f t="shared" si="8"/>
        <v>111</v>
      </c>
      <c r="R35" s="697" t="s">
        <v>14</v>
      </c>
      <c r="S35" s="698">
        <f t="shared" si="10"/>
        <v>100</v>
      </c>
      <c r="T35" s="697" t="s">
        <v>14</v>
      </c>
      <c r="U35" s="698">
        <f t="shared" si="11"/>
        <v>100</v>
      </c>
      <c r="V35" s="697" t="s">
        <v>14</v>
      </c>
      <c r="W35" s="698">
        <f t="shared" si="12"/>
        <v>100</v>
      </c>
      <c r="X35" s="1342"/>
      <c r="Y35" s="4169"/>
      <c r="Z35" s="1343">
        <f t="shared" si="13"/>
        <v>111</v>
      </c>
      <c r="AA35" s="1340">
        <f t="shared" si="3"/>
        <v>1</v>
      </c>
      <c r="AB35" s="1340">
        <f t="shared" si="4"/>
        <v>1</v>
      </c>
      <c r="AC35" s="1340">
        <f t="shared" si="5"/>
        <v>1</v>
      </c>
    </row>
    <row r="36" spans="1:29" ht="15">
      <c r="A36" s="615"/>
      <c r="B36" s="1122">
        <v>111</v>
      </c>
      <c r="C36" s="614"/>
      <c r="D36" s="381">
        <v>100</v>
      </c>
      <c r="E36" s="423"/>
      <c r="F36" s="381">
        <f>SUMIF(111:111,E37,112:112)-SUMIF(111:111,C37,112:112)+100</f>
        <v>100</v>
      </c>
      <c r="G36" s="423"/>
      <c r="H36" s="381">
        <f>SUMIF(111:111,G36,112:112)-SUMIF(111:111,C36,112:112)+100</f>
        <v>100</v>
      </c>
      <c r="I36" s="614"/>
      <c r="J36" s="381">
        <f>SUMIF(111:111,I36,112:112)-SUMIF(111:111,C36,112:112)+100</f>
        <v>100</v>
      </c>
      <c r="K36" s="554"/>
      <c r="L36" s="2693"/>
      <c r="M36" s="2687"/>
      <c r="N36" s="2687"/>
      <c r="O36" s="2745"/>
      <c r="P36" s="4240" t="s">
        <v>1696</v>
      </c>
      <c r="Q36" s="1339">
        <f t="shared" si="8"/>
        <v>111</v>
      </c>
      <c r="R36" s="697" t="s">
        <v>14</v>
      </c>
      <c r="S36" s="698">
        <f t="shared" si="10"/>
        <v>100</v>
      </c>
      <c r="T36" s="697" t="s">
        <v>14</v>
      </c>
      <c r="U36" s="698">
        <f t="shared" si="11"/>
        <v>100</v>
      </c>
      <c r="V36" s="697" t="s">
        <v>14</v>
      </c>
      <c r="W36" s="698">
        <f t="shared" si="12"/>
        <v>100</v>
      </c>
      <c r="X36" s="1342"/>
      <c r="Y36" s="4173" t="s">
        <v>1696</v>
      </c>
      <c r="Z36" s="1343">
        <f t="shared" si="13"/>
        <v>111</v>
      </c>
      <c r="AA36" s="1340">
        <f t="shared" si="3"/>
        <v>1</v>
      </c>
      <c r="AB36" s="1340">
        <f t="shared" si="4"/>
        <v>1</v>
      </c>
      <c r="AC36" s="1340">
        <f t="shared" si="5"/>
        <v>1</v>
      </c>
    </row>
    <row r="37" spans="1:29" s="417" customFormat="1" ht="15.6" thickBot="1">
      <c r="A37" s="616"/>
      <c r="B37" s="1123">
        <v>111</v>
      </c>
      <c r="C37" s="618"/>
      <c r="D37" s="128">
        <v>100</v>
      </c>
      <c r="E37" s="641"/>
      <c r="F37" s="384">
        <f>SUMIF(113:113,E37,114:114)-SUMIF(113:113,C37,114:114)+100</f>
        <v>100</v>
      </c>
      <c r="G37" s="641"/>
      <c r="H37" s="384">
        <f>SUMIF(113:113,G37,114:114)-SUMIF(113:113,C37,114:114)+100</f>
        <v>100</v>
      </c>
      <c r="I37" s="618"/>
      <c r="J37" s="384">
        <f>SUMIF(113:113,I37,114:114)-SUMIF(113:113,C37,114:114)+100</f>
        <v>100</v>
      </c>
      <c r="K37" s="554"/>
      <c r="L37" s="2692"/>
      <c r="M37" s="2694"/>
      <c r="N37" s="2694"/>
      <c r="O37" s="2746"/>
      <c r="P37" s="4173"/>
      <c r="Q37" s="1339">
        <f t="shared" si="8"/>
        <v>111</v>
      </c>
      <c r="R37" s="700" t="s">
        <v>14</v>
      </c>
      <c r="S37" s="701">
        <f t="shared" si="10"/>
        <v>100</v>
      </c>
      <c r="T37" s="700" t="s">
        <v>14</v>
      </c>
      <c r="U37" s="701">
        <f t="shared" si="11"/>
        <v>100</v>
      </c>
      <c r="V37" s="700" t="s">
        <v>14</v>
      </c>
      <c r="W37" s="701">
        <f t="shared" si="12"/>
        <v>100</v>
      </c>
      <c r="X37" s="702"/>
      <c r="Y37" s="4173"/>
      <c r="Z37" s="703">
        <f t="shared" si="13"/>
        <v>111</v>
      </c>
      <c r="AA37" s="1340">
        <f t="shared" si="3"/>
        <v>1</v>
      </c>
      <c r="AB37" s="1340">
        <f t="shared" si="4"/>
        <v>1</v>
      </c>
      <c r="AC37" s="1340">
        <f t="shared" si="5"/>
        <v>1</v>
      </c>
    </row>
    <row r="38" spans="1:29" ht="15.6">
      <c r="A38" s="418" t="s">
        <v>1694</v>
      </c>
      <c r="B38" s="402" t="s">
        <v>1874</v>
      </c>
      <c r="C38" s="619"/>
      <c r="D38" s="413">
        <v>100</v>
      </c>
      <c r="E38" s="619"/>
      <c r="F38" s="413" t="e">
        <f>LOOKUP(E38,116:116,117:117)-LOOKUP(C38,116:116,117:117)+100</f>
        <v>#N/A</v>
      </c>
      <c r="G38" s="619"/>
      <c r="H38" s="413" t="e">
        <f>LOOKUP(G38,116:116,117:117)-LOOKUP(C38,116:116,117:117)+100</f>
        <v>#N/A</v>
      </c>
      <c r="I38" s="474"/>
      <c r="J38" s="413" t="e">
        <f>LOOKUP(I38,116:116,117:117)-LOOKUP(C38,116:116,117:117)+100</f>
        <v>#N/A</v>
      </c>
      <c r="K38" s="554"/>
      <c r="L38" s="2693"/>
      <c r="M38" s="2687"/>
      <c r="N38" s="2687"/>
      <c r="O38" s="2745"/>
      <c r="P38" s="4173"/>
      <c r="Q38" s="1339" t="str">
        <f>B38</f>
        <v>宗地面积</v>
      </c>
      <c r="R38" s="697" t="s">
        <v>14</v>
      </c>
      <c r="S38" s="698" t="e">
        <f t="shared" si="10"/>
        <v>#N/A</v>
      </c>
      <c r="T38" s="697" t="s">
        <v>14</v>
      </c>
      <c r="U38" s="698" t="e">
        <f t="shared" si="11"/>
        <v>#N/A</v>
      </c>
      <c r="V38" s="697" t="s">
        <v>14</v>
      </c>
      <c r="W38" s="698" t="e">
        <f t="shared" si="12"/>
        <v>#N/A</v>
      </c>
      <c r="X38" s="1342"/>
      <c r="Y38" s="4173"/>
      <c r="Z38" s="1343" t="str">
        <f t="shared" si="13"/>
        <v>宗地面积</v>
      </c>
      <c r="AA38" s="1340" t="e">
        <f t="shared" si="3"/>
        <v>#N/A</v>
      </c>
      <c r="AB38" s="1340" t="e">
        <f t="shared" si="4"/>
        <v>#N/A</v>
      </c>
      <c r="AC38" s="1340" t="e">
        <f t="shared" si="5"/>
        <v>#N/A</v>
      </c>
    </row>
    <row r="39" spans="1:29" ht="15">
      <c r="A39" s="418"/>
      <c r="B39" s="370" t="s">
        <v>1875</v>
      </c>
      <c r="C39" s="1881"/>
      <c r="D39" s="381">
        <v>100</v>
      </c>
      <c r="E39" s="1881"/>
      <c r="F39" s="381">
        <f>SUMIF(118:118,E39,119:119)-SUMIF(118:118,C39,119:119)+100</f>
        <v>100</v>
      </c>
      <c r="G39" s="1881"/>
      <c r="H39" s="381">
        <f>SUMIF(118:118,G39,119:119)-SUMIF(118:118,C39,119:119)+100</f>
        <v>100</v>
      </c>
      <c r="I39" s="1881"/>
      <c r="J39" s="381">
        <f>SUMIF(118:118,I39,119:119)-SUMIF(118:118,C39,119:119)+100</f>
        <v>100</v>
      </c>
      <c r="K39" s="553"/>
      <c r="L39" s="2693"/>
      <c r="M39" s="2687"/>
      <c r="N39" s="2687"/>
      <c r="O39" s="2745"/>
      <c r="P39" s="4173"/>
      <c r="Q39" s="1339" t="str">
        <f t="shared" ref="Q39:Q45" si="14">B39</f>
        <v>宗地形状</v>
      </c>
      <c r="R39" s="697" t="s">
        <v>14</v>
      </c>
      <c r="S39" s="698">
        <f t="shared" si="10"/>
        <v>100</v>
      </c>
      <c r="T39" s="697" t="s">
        <v>14</v>
      </c>
      <c r="U39" s="698">
        <f t="shared" si="11"/>
        <v>100</v>
      </c>
      <c r="V39" s="697" t="s">
        <v>14</v>
      </c>
      <c r="W39" s="698">
        <f t="shared" si="12"/>
        <v>100</v>
      </c>
      <c r="X39" s="1342"/>
      <c r="Y39" s="4173"/>
      <c r="Z39" s="1343" t="str">
        <f t="shared" si="13"/>
        <v>宗地形状</v>
      </c>
      <c r="AA39" s="1340">
        <f t="shared" si="3"/>
        <v>1</v>
      </c>
      <c r="AB39" s="1340">
        <f t="shared" si="4"/>
        <v>1</v>
      </c>
      <c r="AC39" s="1340">
        <f t="shared" si="5"/>
        <v>1</v>
      </c>
    </row>
    <row r="40" spans="1:29" ht="15">
      <c r="A40" s="418"/>
      <c r="B40" s="370" t="s">
        <v>1876</v>
      </c>
      <c r="C40" s="1881"/>
      <c r="D40" s="381">
        <v>100</v>
      </c>
      <c r="E40" s="1881"/>
      <c r="F40" s="381">
        <f>SUMIF(120:120,E40,121:121)-SUMIF(120:120,C40,121:121)+100</f>
        <v>100</v>
      </c>
      <c r="G40" s="1881"/>
      <c r="H40" s="381">
        <f>SUMIF(120:120,G40,121:121)-SUMIF(120:120,C40,121:121)+100</f>
        <v>100</v>
      </c>
      <c r="I40" s="1881"/>
      <c r="J40" s="381">
        <f>SUMIF(120:120,I40,121:121)-SUMIF(120:120,C40,121:121)+100</f>
        <v>100</v>
      </c>
      <c r="K40" s="553"/>
      <c r="L40" s="2693"/>
      <c r="M40" s="2687"/>
      <c r="N40" s="2687"/>
      <c r="O40" s="2745"/>
      <c r="P40" s="4173"/>
      <c r="Q40" s="1339" t="str">
        <f t="shared" si="14"/>
        <v>临街宽度及深度</v>
      </c>
      <c r="R40" s="697" t="s">
        <v>14</v>
      </c>
      <c r="S40" s="698">
        <f t="shared" si="10"/>
        <v>100</v>
      </c>
      <c r="T40" s="697" t="s">
        <v>14</v>
      </c>
      <c r="U40" s="698">
        <f t="shared" si="11"/>
        <v>100</v>
      </c>
      <c r="V40" s="697" t="s">
        <v>14</v>
      </c>
      <c r="W40" s="698">
        <f t="shared" si="12"/>
        <v>100</v>
      </c>
      <c r="X40" s="1342"/>
      <c r="Y40" s="4173"/>
      <c r="Z40" s="1343" t="str">
        <f t="shared" si="13"/>
        <v>临街宽度及深度</v>
      </c>
      <c r="AA40" s="1340">
        <f t="shared" si="3"/>
        <v>1</v>
      </c>
      <c r="AB40" s="1340">
        <f t="shared" si="4"/>
        <v>1</v>
      </c>
      <c r="AC40" s="1340">
        <f t="shared" si="5"/>
        <v>1</v>
      </c>
    </row>
    <row r="41" spans="1:29" s="108" customFormat="1" ht="15">
      <c r="A41" s="419"/>
      <c r="B41" s="370" t="s">
        <v>1877</v>
      </c>
      <c r="C41" s="1952"/>
      <c r="D41" s="127">
        <v>100</v>
      </c>
      <c r="E41" s="1952"/>
      <c r="F41" s="381">
        <f>SUMIF(122:122,E41,123:123)-SUMIF(122:122,C41,123:123)+100</f>
        <v>100</v>
      </c>
      <c r="G41" s="1952"/>
      <c r="H41" s="381">
        <f>SUMIF(122:122,G41,123:123)-SUMIF(122:122,C41,123:123)+100</f>
        <v>100</v>
      </c>
      <c r="I41" s="1952"/>
      <c r="J41" s="381">
        <f>SUMIF(122:122,I41,123:123)-SUMIF(122:122,C41,123:123)+100</f>
        <v>100</v>
      </c>
      <c r="K41" s="553"/>
      <c r="L41" s="2688"/>
      <c r="M41" s="2689"/>
      <c r="N41" s="2689"/>
      <c r="O41" s="2743"/>
      <c r="P41" s="4173"/>
      <c r="Q41" s="1339" t="str">
        <f t="shared" si="14"/>
        <v>宗地开发程度</v>
      </c>
      <c r="R41" s="693" t="s">
        <v>14</v>
      </c>
      <c r="S41" s="694">
        <f t="shared" si="10"/>
        <v>100</v>
      </c>
      <c r="T41" s="693" t="s">
        <v>14</v>
      </c>
      <c r="U41" s="694">
        <f t="shared" si="11"/>
        <v>100</v>
      </c>
      <c r="V41" s="693" t="s">
        <v>14</v>
      </c>
      <c r="W41" s="694">
        <f t="shared" si="12"/>
        <v>100</v>
      </c>
      <c r="X41" s="695"/>
      <c r="Y41" s="4173"/>
      <c r="Z41" s="52" t="str">
        <f t="shared" si="13"/>
        <v>宗地开发程度</v>
      </c>
      <c r="AA41" s="696">
        <f t="shared" si="3"/>
        <v>1</v>
      </c>
      <c r="AB41" s="696">
        <f t="shared" si="4"/>
        <v>1</v>
      </c>
      <c r="AC41" s="696">
        <f t="shared" si="5"/>
        <v>1</v>
      </c>
    </row>
    <row r="42" spans="1:29" ht="15">
      <c r="A42" s="418"/>
      <c r="B42" s="370" t="s">
        <v>1878</v>
      </c>
      <c r="C42" s="1881"/>
      <c r="D42" s="381">
        <v>100</v>
      </c>
      <c r="E42" s="1881"/>
      <c r="F42" s="381">
        <f>SUMIF(124:124,E42,125:125)-SUMIF(124:124,C42,125:125)+100</f>
        <v>100</v>
      </c>
      <c r="G42" s="1881"/>
      <c r="H42" s="381">
        <f>SUMIF(124:124,G42,125:125)-SUMIF(124:124,C42,125:125)+100</f>
        <v>100</v>
      </c>
      <c r="I42" s="1881"/>
      <c r="J42" s="381">
        <f>SUMIF(124:124,I42,125:125)-SUMIF(124:124,C42,125:125)+100</f>
        <v>100</v>
      </c>
      <c r="K42" s="553"/>
      <c r="L42" s="2693"/>
      <c r="M42" s="2687"/>
      <c r="N42" s="2687"/>
      <c r="O42" s="2745"/>
      <c r="P42" s="4173" t="s">
        <v>1696</v>
      </c>
      <c r="Q42" s="1339" t="str">
        <f t="shared" si="14"/>
        <v>工程地质条件</v>
      </c>
      <c r="R42" s="697" t="s">
        <v>14</v>
      </c>
      <c r="S42" s="698">
        <f t="shared" si="10"/>
        <v>100</v>
      </c>
      <c r="T42" s="697" t="s">
        <v>14</v>
      </c>
      <c r="U42" s="698">
        <f t="shared" si="11"/>
        <v>100</v>
      </c>
      <c r="V42" s="697" t="s">
        <v>14</v>
      </c>
      <c r="W42" s="698">
        <f t="shared" si="12"/>
        <v>100</v>
      </c>
      <c r="X42" s="1342"/>
      <c r="Y42" s="4173" t="s">
        <v>1696</v>
      </c>
      <c r="Z42" s="1343" t="str">
        <f t="shared" si="13"/>
        <v>工程地质条件</v>
      </c>
      <c r="AA42" s="1340">
        <f t="shared" si="3"/>
        <v>1</v>
      </c>
      <c r="AB42" s="1340">
        <f t="shared" si="4"/>
        <v>1</v>
      </c>
      <c r="AC42" s="1340">
        <f t="shared" si="5"/>
        <v>1</v>
      </c>
    </row>
    <row r="43" spans="1:29" ht="15">
      <c r="A43" s="418"/>
      <c r="B43" s="1122">
        <v>111</v>
      </c>
      <c r="C43" s="614"/>
      <c r="D43" s="381">
        <v>100</v>
      </c>
      <c r="E43" s="614"/>
      <c r="F43" s="381">
        <f>SUMIF(126:126,E43,127:127)-SUMIF(126:126,C43,127:127)+100</f>
        <v>100</v>
      </c>
      <c r="G43" s="614"/>
      <c r="H43" s="381">
        <f>SUMIF(126:126,G43,127:127)-SUMIF(126:126,C43,127:127)+100</f>
        <v>100</v>
      </c>
      <c r="I43" s="493"/>
      <c r="J43" s="381">
        <f>SUMIF(126:126,I43,127:127)-SUMIF(126:126,C43,127:127)+100</f>
        <v>100</v>
      </c>
      <c r="K43" s="554"/>
      <c r="L43" s="2693"/>
      <c r="M43" s="2687"/>
      <c r="N43" s="2687"/>
      <c r="O43" s="2745"/>
      <c r="P43" s="4173"/>
      <c r="Q43" s="1339">
        <f t="shared" si="14"/>
        <v>111</v>
      </c>
      <c r="R43" s="697" t="s">
        <v>14</v>
      </c>
      <c r="S43" s="698">
        <f t="shared" si="10"/>
        <v>100</v>
      </c>
      <c r="T43" s="697" t="s">
        <v>14</v>
      </c>
      <c r="U43" s="698">
        <f t="shared" si="11"/>
        <v>100</v>
      </c>
      <c r="V43" s="697" t="s">
        <v>14</v>
      </c>
      <c r="W43" s="698">
        <f t="shared" si="12"/>
        <v>100</v>
      </c>
      <c r="X43" s="1342"/>
      <c r="Y43" s="4173"/>
      <c r="Z43" s="1343">
        <f t="shared" si="13"/>
        <v>111</v>
      </c>
      <c r="AA43" s="1340">
        <f t="shared" si="3"/>
        <v>1</v>
      </c>
      <c r="AB43" s="1340">
        <f t="shared" si="4"/>
        <v>1</v>
      </c>
      <c r="AC43" s="1340">
        <f t="shared" si="5"/>
        <v>1</v>
      </c>
    </row>
    <row r="44" spans="1:29" ht="15">
      <c r="A44" s="418"/>
      <c r="B44" s="1122">
        <v>111</v>
      </c>
      <c r="C44" s="614"/>
      <c r="D44" s="381">
        <v>100</v>
      </c>
      <c r="E44" s="614"/>
      <c r="F44" s="381">
        <f>SUMIF(128:128,E44,129:129)-SUMIF(128:128,C44,129:129)+100</f>
        <v>100</v>
      </c>
      <c r="G44" s="614"/>
      <c r="H44" s="381">
        <f>SUMIF(128:128,G44,129:129)-SUMIF(128:128,C44,129:129)+100</f>
        <v>100</v>
      </c>
      <c r="I44" s="493"/>
      <c r="J44" s="381">
        <f>SUMIF(128:128,I44,129:129)-SUMIF(128:128,C44,129:129)+100</f>
        <v>100</v>
      </c>
      <c r="K44" s="554"/>
      <c r="L44" s="2693"/>
      <c r="M44" s="2687"/>
      <c r="N44" s="2687"/>
      <c r="O44" s="2745"/>
      <c r="P44" s="4173"/>
      <c r="Q44" s="1339">
        <f t="shared" si="14"/>
        <v>111</v>
      </c>
      <c r="R44" s="697" t="s">
        <v>14</v>
      </c>
      <c r="S44" s="698">
        <f t="shared" si="10"/>
        <v>100</v>
      </c>
      <c r="T44" s="697" t="s">
        <v>14</v>
      </c>
      <c r="U44" s="698">
        <f t="shared" si="11"/>
        <v>100</v>
      </c>
      <c r="V44" s="697" t="s">
        <v>14</v>
      </c>
      <c r="W44" s="698">
        <f t="shared" si="12"/>
        <v>100</v>
      </c>
      <c r="X44" s="1342"/>
      <c r="Y44" s="4173"/>
      <c r="Z44" s="1343">
        <f t="shared" si="13"/>
        <v>111</v>
      </c>
      <c r="AA44" s="1340">
        <f t="shared" si="3"/>
        <v>1</v>
      </c>
      <c r="AB44" s="1340">
        <f t="shared" si="4"/>
        <v>1</v>
      </c>
      <c r="AC44" s="1340">
        <f t="shared" si="5"/>
        <v>1</v>
      </c>
    </row>
    <row r="45" spans="1:29" s="417" customFormat="1" ht="15.6" thickBot="1">
      <c r="A45" s="414"/>
      <c r="B45" s="1122">
        <v>111</v>
      </c>
      <c r="C45" s="1953"/>
      <c r="D45" s="620">
        <v>100</v>
      </c>
      <c r="E45" s="614"/>
      <c r="F45" s="384">
        <f>SUMIF(130:130,E45,131:131)-SUMIF(130:130,C45,131:131)+100</f>
        <v>100</v>
      </c>
      <c r="G45" s="614"/>
      <c r="H45" s="384">
        <f>SUMIF(130:130,G45,131:131)-SUMIF(130:130,C45,131:131)+100</f>
        <v>100</v>
      </c>
      <c r="I45" s="614"/>
      <c r="J45" s="384">
        <f>SUMIF(130:130,I45,131:131)-SUMIF(130:130,C45,131:131)+100</f>
        <v>100</v>
      </c>
      <c r="K45" s="621"/>
      <c r="L45" s="2692"/>
      <c r="M45" s="2694"/>
      <c r="N45" s="2694"/>
      <c r="O45" s="2746"/>
      <c r="P45" s="4173"/>
      <c r="Q45" s="1339">
        <f t="shared" si="14"/>
        <v>111</v>
      </c>
      <c r="R45" s="700" t="s">
        <v>14</v>
      </c>
      <c r="S45" s="701">
        <f t="shared" si="10"/>
        <v>100</v>
      </c>
      <c r="T45" s="700" t="s">
        <v>14</v>
      </c>
      <c r="U45" s="701">
        <f t="shared" si="11"/>
        <v>100</v>
      </c>
      <c r="V45" s="700" t="s">
        <v>14</v>
      </c>
      <c r="W45" s="701">
        <f t="shared" si="12"/>
        <v>100</v>
      </c>
      <c r="X45" s="702"/>
      <c r="Y45" s="4173"/>
      <c r="Z45" s="703">
        <f t="shared" si="13"/>
        <v>111</v>
      </c>
      <c r="AA45" s="1340">
        <f t="shared" si="3"/>
        <v>1</v>
      </c>
      <c r="AB45" s="1340">
        <f t="shared" si="4"/>
        <v>1</v>
      </c>
      <c r="AC45" s="1340">
        <f t="shared" si="5"/>
        <v>1</v>
      </c>
    </row>
    <row r="46" spans="1:29" ht="14.4">
      <c r="A46" s="425" t="s">
        <v>1844</v>
      </c>
      <c r="B46" s="1954" t="s">
        <v>1879</v>
      </c>
      <c r="C46" s="622" t="s">
        <v>0</v>
      </c>
      <c r="D46" s="427"/>
      <c r="E46" s="428"/>
      <c r="F46" s="429"/>
      <c r="G46" s="430"/>
      <c r="H46" s="431"/>
      <c r="I46" s="428"/>
      <c r="J46" s="431"/>
      <c r="K46" s="706"/>
      <c r="L46" s="2695"/>
      <c r="M46" s="2696"/>
      <c r="N46" s="2687"/>
      <c r="O46" s="2696"/>
      <c r="P46" s="4166" t="str">
        <f>A46</f>
        <v>成交单价</v>
      </c>
      <c r="Q46" s="4166"/>
      <c r="R46" s="4198">
        <f>E46</f>
        <v>0</v>
      </c>
      <c r="S46" s="4198"/>
      <c r="T46" s="4198">
        <f>G46</f>
        <v>0</v>
      </c>
      <c r="U46" s="4198"/>
      <c r="V46" s="4198">
        <f>I46</f>
        <v>0</v>
      </c>
      <c r="W46" s="4198"/>
      <c r="X46" s="682"/>
      <c r="Y46" s="704"/>
      <c r="Z46" s="682"/>
      <c r="AA46" s="682"/>
      <c r="AB46" s="682"/>
      <c r="AC46" s="682"/>
    </row>
    <row r="47" spans="1:29" ht="15" thickBot="1">
      <c r="A47" s="432" t="s">
        <v>1793</v>
      </c>
      <c r="B47" s="623"/>
      <c r="C47" s="435" t="e">
        <f>R48</f>
        <v>#DIV/0!</v>
      </c>
      <c r="D47" s="2289" t="s">
        <v>2138</v>
      </c>
      <c r="E47" s="435" t="e">
        <f>R47</f>
        <v>#DIV/0!</v>
      </c>
      <c r="F47" s="2290"/>
      <c r="G47" s="434" t="e">
        <f>T47</f>
        <v>#DIV/0!</v>
      </c>
      <c r="H47" s="2290"/>
      <c r="I47" s="435" t="e">
        <f>V47</f>
        <v>#DIV/0!</v>
      </c>
      <c r="J47" s="2290"/>
      <c r="K47" s="2292">
        <f>F47+H47+J47</f>
        <v>0</v>
      </c>
      <c r="L47" s="2695"/>
      <c r="M47" s="2696"/>
      <c r="N47" s="2696"/>
      <c r="O47" s="2696"/>
      <c r="P47" s="4166" t="str">
        <f>A47</f>
        <v>比较价值（元/平方米）</v>
      </c>
      <c r="Q47" s="4166"/>
      <c r="R47" s="4242" t="e">
        <f>ROUND(PRODUCT(R46,AA7:AA45),0)</f>
        <v>#DIV/0!</v>
      </c>
      <c r="S47" s="4242"/>
      <c r="T47" s="4242" t="e">
        <f>ROUND(PRODUCT(T46,AB7:AB45),0)</f>
        <v>#DIV/0!</v>
      </c>
      <c r="U47" s="4242"/>
      <c r="V47" s="4242" t="e">
        <f>ROUND(PRODUCT(V46,AC7:AC45),0)</f>
        <v>#DIV/0!</v>
      </c>
      <c r="W47" s="4242"/>
      <c r="X47" s="682"/>
      <c r="Y47" s="682"/>
      <c r="Z47" s="682"/>
      <c r="AA47" s="682"/>
      <c r="AB47" s="682"/>
      <c r="AC47" s="682"/>
    </row>
    <row r="48" spans="1:29" ht="15" thickBot="1">
      <c r="A48" s="436" t="s">
        <v>1880</v>
      </c>
      <c r="B48" s="437"/>
      <c r="C48" s="438" t="e">
        <f>R48</f>
        <v>#DIV/0!</v>
      </c>
      <c r="D48" s="438"/>
      <c r="E48" s="438"/>
      <c r="F48" s="438"/>
      <c r="G48" s="438"/>
      <c r="H48" s="438"/>
      <c r="I48" s="438"/>
      <c r="J48" s="438"/>
      <c r="K48" s="707"/>
      <c r="L48" s="2695"/>
      <c r="M48" s="2696"/>
      <c r="N48" s="2696"/>
      <c r="O48" s="2696"/>
      <c r="P48" s="4163" t="str">
        <f>A48</f>
        <v>估价对象XX用房的比较价值（楼面单价，元/平方米）</v>
      </c>
      <c r="Q48" s="4164"/>
      <c r="R48" s="4243" t="e">
        <f>ROUND(IF(D47="简单平均",AVERAGE(R47:W47),R47*F47+T47*H47+V47*J47),0)</f>
        <v>#DIV/0!</v>
      </c>
      <c r="S48" s="4243"/>
      <c r="T48" s="4243"/>
      <c r="U48" s="4243"/>
      <c r="V48" s="4243"/>
      <c r="W48" s="4243"/>
      <c r="X48" s="682"/>
      <c r="Y48" s="682"/>
      <c r="Z48" s="682"/>
      <c r="AA48" s="682"/>
      <c r="AB48" s="682"/>
      <c r="AC48" s="682"/>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01"/>
      <c r="L52" s="2697"/>
      <c r="M52" s="2696"/>
      <c r="N52" s="2696"/>
      <c r="O52" s="2696"/>
      <c r="P52" s="2696"/>
      <c r="Q52" s="2696"/>
      <c r="R52" s="2696"/>
      <c r="S52" s="2696"/>
      <c r="T52" s="2696"/>
      <c r="U52" s="2696"/>
      <c r="V52" s="2696"/>
      <c r="W52" s="2696"/>
      <c r="X52" s="2696"/>
      <c r="Y52" s="2696"/>
      <c r="Z52" s="2696"/>
      <c r="AA52" s="2696"/>
      <c r="AB52" s="2696"/>
      <c r="AC52" s="2696"/>
    </row>
    <row r="53" spans="1:29" s="446" customFormat="1" ht="13.5" customHeight="1">
      <c r="A53" s="2699"/>
      <c r="B53" s="2699"/>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04"/>
      <c r="L53" s="2698"/>
      <c r="M53" s="2699"/>
      <c r="N53" s="2699"/>
      <c r="O53" s="2699"/>
      <c r="P53" s="2699"/>
      <c r="Q53" s="2699"/>
      <c r="R53" s="2699"/>
      <c r="S53" s="2699"/>
      <c r="T53" s="2699"/>
      <c r="U53" s="2699"/>
      <c r="V53" s="2699"/>
      <c r="W53" s="2699"/>
      <c r="X53" s="2699"/>
      <c r="Y53" s="2699"/>
      <c r="Z53" s="2699"/>
      <c r="AA53" s="2699"/>
      <c r="AB53" s="2699"/>
      <c r="AC53" s="2699"/>
    </row>
    <row r="54" spans="1:29" s="446" customFormat="1" ht="14.4" thickBot="1">
      <c r="A54" s="2699"/>
      <c r="B54" s="2702"/>
      <c r="C54" s="685"/>
      <c r="D54" s="683"/>
      <c r="E54" s="683"/>
      <c r="F54" s="683"/>
      <c r="G54" s="683"/>
      <c r="H54" s="683"/>
      <c r="I54" s="683"/>
      <c r="J54" s="683"/>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24" t="s">
        <v>1881</v>
      </c>
      <c r="B55" s="625" t="s">
        <v>1882</v>
      </c>
      <c r="C55" s="1955" t="s">
        <v>1883</v>
      </c>
      <c r="D55" s="1956" t="s">
        <v>1884</v>
      </c>
      <c r="E55" s="626" t="s">
        <v>1885</v>
      </c>
      <c r="F55" s="880" t="s">
        <v>1886</v>
      </c>
      <c r="G55" s="4213" t="s">
        <v>1887</v>
      </c>
      <c r="H55" s="4244"/>
      <c r="I55" s="132" t="s">
        <v>1888</v>
      </c>
      <c r="J55" s="1957" t="str">
        <f>项目基本情况!F35</f>
        <v>北京市海淀区西三环北路74号院C座2层4号</v>
      </c>
      <c r="K55" s="1958" t="s">
        <v>1889</v>
      </c>
      <c r="L55" s="2697"/>
      <c r="M55" s="2696"/>
      <c r="N55" s="2696"/>
      <c r="O55" s="2696"/>
      <c r="P55" s="2696"/>
      <c r="Q55" s="2696"/>
      <c r="R55" s="2696"/>
      <c r="S55" s="2696"/>
      <c r="T55" s="2696"/>
      <c r="U55" s="2696"/>
      <c r="V55" s="2696"/>
      <c r="W55" s="2696"/>
      <c r="X55" s="2696"/>
      <c r="Y55" s="2696"/>
      <c r="Z55" s="2696"/>
      <c r="AA55" s="2696"/>
      <c r="AB55" s="2696"/>
      <c r="AC55" s="2696"/>
    </row>
    <row r="56" spans="1:29" s="632" customFormat="1">
      <c r="A56" s="628" t="s">
        <v>1890</v>
      </c>
      <c r="B56" s="629" t="e">
        <f>C48</f>
        <v>#DIV/0!</v>
      </c>
      <c r="C56" s="630">
        <v>1</v>
      </c>
      <c r="D56" s="934">
        <v>1</v>
      </c>
      <c r="E56" s="630">
        <f>'数据-汇总表'!E8+'数据-汇总表'!E9</f>
        <v>88.78</v>
      </c>
      <c r="F56" s="876" t="e">
        <f t="shared" ref="F56:F64" si="15">ROUND(B56*E56/10000,0)</f>
        <v>#DIV/0!</v>
      </c>
      <c r="G56" s="4177"/>
      <c r="H56" s="4166"/>
      <c r="I56" s="881">
        <v>1</v>
      </c>
      <c r="J56" s="884">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32" customFormat="1">
      <c r="A57" s="633" t="s">
        <v>1891</v>
      </c>
      <c r="B57" s="213" t="e">
        <f>ROUND($C$48*C57*D57,0)</f>
        <v>#DIV/0!</v>
      </c>
      <c r="C57" s="166">
        <f t="shared" ref="C57:C64" si="16">IF($C$55="北京市系数",I57,J57)</f>
        <v>0</v>
      </c>
      <c r="D57" s="935">
        <v>0.25</v>
      </c>
      <c r="E57" s="634"/>
      <c r="F57" s="876" t="e">
        <f t="shared" si="15"/>
        <v>#DIV/0!</v>
      </c>
      <c r="G57" s="2977" t="s">
        <v>1892</v>
      </c>
      <c r="H57" s="877">
        <f>项目基本情况!B37</f>
        <v>0</v>
      </c>
      <c r="I57" s="881">
        <f>SUMIF(修正!A57:A68,H57,修正!B57:B68)</f>
        <v>0</v>
      </c>
      <c r="J57" s="885"/>
      <c r="K57" s="2696"/>
      <c r="L57" s="2753"/>
      <c r="M57" s="2753"/>
      <c r="N57" s="2753"/>
      <c r="O57" s="2753"/>
      <c r="P57" s="2753"/>
      <c r="Q57" s="2753"/>
      <c r="R57" s="2753"/>
      <c r="S57" s="2753"/>
      <c r="T57" s="2753"/>
      <c r="U57" s="2753"/>
      <c r="V57" s="2753"/>
      <c r="W57" s="2753"/>
      <c r="X57" s="2753"/>
      <c r="Y57" s="2753"/>
      <c r="Z57" s="2753"/>
      <c r="AA57" s="2753"/>
      <c r="AB57" s="2753"/>
      <c r="AC57" s="2753"/>
    </row>
    <row r="58" spans="1:29" s="632" customFormat="1">
      <c r="A58" s="633" t="s">
        <v>1893</v>
      </c>
      <c r="B58" s="213" t="e">
        <f t="shared" ref="B58:B64" si="17">ROUND($C$48*C58*D58,0)</f>
        <v>#DIV/0!</v>
      </c>
      <c r="C58" s="166">
        <f t="shared" si="16"/>
        <v>0</v>
      </c>
      <c r="D58" s="935">
        <v>0.25</v>
      </c>
      <c r="E58" s="634"/>
      <c r="F58" s="876" t="e">
        <f t="shared" si="15"/>
        <v>#DIV/0!</v>
      </c>
      <c r="G58" s="2978"/>
      <c r="H58" s="877">
        <f>项目基本情况!B37</f>
        <v>0</v>
      </c>
      <c r="I58" s="881">
        <f>SUMIF(修正!A57:A68,H58,修正!C57:C68)</f>
        <v>0</v>
      </c>
      <c r="J58" s="885"/>
      <c r="K58" s="2699"/>
      <c r="L58" s="2753"/>
      <c r="M58" s="2753"/>
      <c r="N58" s="2753"/>
      <c r="O58" s="2753"/>
      <c r="P58" s="2753"/>
      <c r="Q58" s="2753"/>
      <c r="R58" s="2753"/>
      <c r="S58" s="2753"/>
      <c r="T58" s="2753"/>
      <c r="U58" s="2753"/>
      <c r="V58" s="2753"/>
      <c r="W58" s="2753"/>
      <c r="X58" s="2753"/>
      <c r="Y58" s="2753"/>
      <c r="Z58" s="2753"/>
      <c r="AA58" s="2753"/>
      <c r="AB58" s="2753"/>
      <c r="AC58" s="2753"/>
    </row>
    <row r="59" spans="1:29" s="632" customFormat="1">
      <c r="A59" s="633" t="s">
        <v>1894</v>
      </c>
      <c r="B59" s="213" t="e">
        <f t="shared" si="17"/>
        <v>#DIV/0!</v>
      </c>
      <c r="C59" s="166">
        <f t="shared" si="16"/>
        <v>0</v>
      </c>
      <c r="D59" s="935">
        <v>0.25</v>
      </c>
      <c r="E59" s="634"/>
      <c r="F59" s="876" t="e">
        <f t="shared" si="15"/>
        <v>#DIV/0!</v>
      </c>
      <c r="G59" s="2978"/>
      <c r="H59" s="877">
        <f>项目基本情况!B37</f>
        <v>0</v>
      </c>
      <c r="I59" s="881">
        <f>SUMIF(修正!A57:A68,H59,修正!D57:D68)</f>
        <v>0</v>
      </c>
      <c r="J59" s="885"/>
      <c r="K59" s="2696"/>
      <c r="L59" s="2753"/>
      <c r="M59" s="2753"/>
      <c r="N59" s="2753"/>
      <c r="O59" s="2753"/>
      <c r="P59" s="2753"/>
      <c r="Q59" s="2753"/>
      <c r="R59" s="2753"/>
      <c r="S59" s="2753"/>
      <c r="T59" s="2753"/>
      <c r="U59" s="2753"/>
      <c r="V59" s="2753"/>
      <c r="W59" s="2753"/>
      <c r="X59" s="2753"/>
      <c r="Y59" s="2753"/>
      <c r="Z59" s="2753"/>
      <c r="AA59" s="2753"/>
      <c r="AB59" s="2753"/>
      <c r="AC59" s="2753"/>
    </row>
    <row r="60" spans="1:29" s="632" customFormat="1">
      <c r="A60" s="633" t="s">
        <v>1895</v>
      </c>
      <c r="B60" s="213" t="e">
        <f t="shared" si="17"/>
        <v>#DIV/0!</v>
      </c>
      <c r="C60" s="166">
        <f t="shared" si="16"/>
        <v>0</v>
      </c>
      <c r="D60" s="935">
        <v>0.25</v>
      </c>
      <c r="E60" s="212">
        <f>'数据-汇总表'!E11</f>
        <v>0</v>
      </c>
      <c r="F60" s="876" t="e">
        <f t="shared" si="15"/>
        <v>#DIV/0!</v>
      </c>
      <c r="G60" s="1959" t="s">
        <v>1896</v>
      </c>
      <c r="H60" s="877">
        <f>项目基本情况!C37</f>
        <v>0</v>
      </c>
      <c r="I60" s="881">
        <f>SUMIF(修正!A57:A68,H60,修正!E57:E68)</f>
        <v>0</v>
      </c>
      <c r="J60" s="885"/>
      <c r="K60" s="2696"/>
      <c r="L60" s="2753"/>
      <c r="M60" s="2753"/>
      <c r="N60" s="2753"/>
      <c r="O60" s="2753"/>
      <c r="P60" s="2753"/>
      <c r="Q60" s="2753"/>
      <c r="R60" s="2753"/>
      <c r="S60" s="2753"/>
      <c r="T60" s="2753"/>
      <c r="U60" s="2753"/>
      <c r="V60" s="2753"/>
      <c r="W60" s="2753"/>
      <c r="X60" s="2753"/>
      <c r="Y60" s="2753"/>
      <c r="Z60" s="2753"/>
      <c r="AA60" s="2753"/>
      <c r="AB60" s="2753"/>
      <c r="AC60" s="2753"/>
    </row>
    <row r="61" spans="1:29" s="632" customFormat="1">
      <c r="A61" s="633" t="s">
        <v>1897</v>
      </c>
      <c r="B61" s="213" t="e">
        <f t="shared" si="17"/>
        <v>#DIV/0!</v>
      </c>
      <c r="C61" s="166">
        <f t="shared" si="16"/>
        <v>0</v>
      </c>
      <c r="D61" s="935">
        <v>0.25</v>
      </c>
      <c r="E61" s="212">
        <f>'数据-汇总表'!E12</f>
        <v>0</v>
      </c>
      <c r="F61" s="876" t="e">
        <f t="shared" si="15"/>
        <v>#DIV/0!</v>
      </c>
      <c r="G61" s="882" t="s">
        <v>1898</v>
      </c>
      <c r="H61" s="877">
        <f>IF(G61="商业",项目基本情况!B37,IF(G61="办公",项目基本情况!C37,IF(G61="住宅",项目基本情况!D37,项目基本情况!E37)))</f>
        <v>0</v>
      </c>
      <c r="I61" s="881">
        <f>SUMIF(修正!A57:A68,H61,修正!F57:F68)</f>
        <v>0</v>
      </c>
      <c r="J61" s="885"/>
      <c r="K61" s="2699"/>
      <c r="L61" s="2753"/>
      <c r="M61" s="2753"/>
      <c r="N61" s="2753"/>
      <c r="O61" s="2753"/>
      <c r="P61" s="2753"/>
      <c r="Q61" s="2753"/>
      <c r="R61" s="2753"/>
      <c r="S61" s="2753"/>
      <c r="T61" s="2753"/>
      <c r="U61" s="2753"/>
      <c r="V61" s="2753"/>
      <c r="W61" s="2753"/>
      <c r="X61" s="2753"/>
      <c r="Y61" s="2753"/>
      <c r="Z61" s="2753"/>
      <c r="AA61" s="2753"/>
      <c r="AB61" s="2753"/>
      <c r="AC61" s="2753"/>
    </row>
    <row r="62" spans="1:29" s="632" customFormat="1">
      <c r="A62" s="633" t="s">
        <v>1899</v>
      </c>
      <c r="B62" s="213" t="e">
        <f t="shared" si="17"/>
        <v>#DIV/0!</v>
      </c>
      <c r="C62" s="166">
        <f t="shared" si="16"/>
        <v>0</v>
      </c>
      <c r="D62" s="935">
        <v>0.25</v>
      </c>
      <c r="E62" s="212">
        <f>'数据-汇总表'!E13</f>
        <v>0</v>
      </c>
      <c r="F62" s="876" t="e">
        <f t="shared" si="15"/>
        <v>#DIV/0!</v>
      </c>
      <c r="G62" s="882" t="s">
        <v>1900</v>
      </c>
      <c r="H62" s="877">
        <f>IF(G62="商业",项目基本情况!B37,IF(G62="办公",项目基本情况!C37,IF(G62="住宅",项目基本情况!D37,项目基本情况!E37)))</f>
        <v>0</v>
      </c>
      <c r="I62" s="881">
        <f>SUMIF(修正!A57:A68,H62,修正!G57:G68)</f>
        <v>0</v>
      </c>
      <c r="J62" s="885"/>
      <c r="K62" s="2696"/>
      <c r="L62" s="2753"/>
      <c r="M62" s="2753"/>
      <c r="N62" s="2753"/>
      <c r="O62" s="2753"/>
      <c r="P62" s="2753"/>
      <c r="Q62" s="2753"/>
      <c r="R62" s="2753"/>
      <c r="S62" s="2753"/>
      <c r="T62" s="2753"/>
      <c r="U62" s="2753"/>
      <c r="V62" s="2753"/>
      <c r="W62" s="2753"/>
      <c r="X62" s="2753"/>
      <c r="Y62" s="2753"/>
      <c r="Z62" s="2753"/>
      <c r="AA62" s="2753"/>
      <c r="AB62" s="2753"/>
      <c r="AC62" s="2753"/>
    </row>
    <row r="63" spans="1:29" s="632" customFormat="1">
      <c r="A63" s="633" t="s">
        <v>1901</v>
      </c>
      <c r="B63" s="213" t="e">
        <f t="shared" si="17"/>
        <v>#DIV/0!</v>
      </c>
      <c r="C63" s="166">
        <f t="shared" si="16"/>
        <v>0</v>
      </c>
      <c r="D63" s="935">
        <v>0.25</v>
      </c>
      <c r="E63" s="212">
        <f>'数据-汇总表'!E14</f>
        <v>0</v>
      </c>
      <c r="F63" s="876" t="e">
        <f t="shared" si="15"/>
        <v>#DIV/0!</v>
      </c>
      <c r="G63" s="1959" t="s">
        <v>1892</v>
      </c>
      <c r="H63" s="877">
        <f>项目基本情况!B37</f>
        <v>0</v>
      </c>
      <c r="I63" s="881">
        <f>SUMIF(修正!A57:A68,H63,修正!G57:G68)</f>
        <v>0</v>
      </c>
      <c r="J63" s="885"/>
      <c r="K63" s="2699"/>
      <c r="L63" s="2753"/>
      <c r="M63" s="2753"/>
      <c r="N63" s="2753"/>
      <c r="O63" s="2753"/>
      <c r="P63" s="2753"/>
      <c r="Q63" s="2753"/>
      <c r="R63" s="2753"/>
      <c r="S63" s="2753"/>
      <c r="T63" s="2753"/>
      <c r="U63" s="2753"/>
      <c r="V63" s="2753"/>
      <c r="W63" s="2753"/>
      <c r="X63" s="2753"/>
      <c r="Y63" s="2753"/>
      <c r="Z63" s="2753"/>
      <c r="AA63" s="2753"/>
      <c r="AB63" s="2753"/>
      <c r="AC63" s="2753"/>
    </row>
    <row r="64" spans="1:29" s="632" customFormat="1" ht="14.4" thickBot="1">
      <c r="A64" s="633" t="s">
        <v>1902</v>
      </c>
      <c r="B64" s="213" t="e">
        <f t="shared" si="17"/>
        <v>#DIV/0!</v>
      </c>
      <c r="C64" s="166">
        <f t="shared" si="16"/>
        <v>0</v>
      </c>
      <c r="D64" s="935">
        <v>0.25</v>
      </c>
      <c r="E64" s="212">
        <f>'数据-汇总表'!E15</f>
        <v>0</v>
      </c>
      <c r="F64" s="876" t="e">
        <f t="shared" si="15"/>
        <v>#DIV/0!</v>
      </c>
      <c r="G64" s="1960" t="s">
        <v>1896</v>
      </c>
      <c r="H64" s="887">
        <f>项目基本情况!C37</f>
        <v>0</v>
      </c>
      <c r="I64" s="883">
        <f>SUMIF(修正!A57:A68,H64,修正!G57:G68)</f>
        <v>0</v>
      </c>
      <c r="J64" s="886"/>
      <c r="K64" s="2696"/>
      <c r="L64" s="2753"/>
      <c r="M64" s="2753"/>
      <c r="N64" s="2753"/>
      <c r="O64" s="2753"/>
      <c r="P64" s="2753"/>
      <c r="Q64" s="2753"/>
      <c r="R64" s="2753"/>
      <c r="S64" s="2753"/>
      <c r="T64" s="2753"/>
      <c r="U64" s="2753"/>
      <c r="V64" s="2753"/>
      <c r="W64" s="2753"/>
      <c r="X64" s="2753"/>
      <c r="Y64" s="2753"/>
      <c r="Z64" s="2753"/>
      <c r="AA64" s="2753"/>
      <c r="AB64" s="2753"/>
      <c r="AC64" s="2753"/>
    </row>
    <row r="65" spans="1:29" s="632" customFormat="1" thickBot="1">
      <c r="A65" s="635" t="s">
        <v>1903</v>
      </c>
      <c r="B65" s="636" t="s">
        <v>22</v>
      </c>
      <c r="C65" s="636" t="s">
        <v>23</v>
      </c>
      <c r="D65" s="636" t="s">
        <v>392</v>
      </c>
      <c r="E65" s="636">
        <f>IF(B46="楼面地价",SUM(E56:E64),'数据-汇总表'!D3)</f>
        <v>88.78</v>
      </c>
      <c r="F65" s="637" t="e">
        <f>IF(B46="楼面地价",SUM(F56:F64),ROUND(C48*E65/10000,0))</f>
        <v>#DIV/0!</v>
      </c>
      <c r="G65" s="709"/>
      <c r="H65" s="709"/>
      <c r="I65" s="709"/>
      <c r="J65" s="709"/>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2"/>
      <c r="B66" s="684"/>
      <c r="C66" s="685"/>
      <c r="D66" s="682"/>
      <c r="E66" s="682"/>
      <c r="F66" s="682"/>
      <c r="G66" s="682"/>
      <c r="H66" s="682"/>
      <c r="I66" s="682"/>
      <c r="J66" s="917"/>
      <c r="K66" s="878"/>
      <c r="L66" s="879"/>
      <c r="M66" s="917"/>
      <c r="N66" s="917"/>
      <c r="O66" s="917"/>
      <c r="P66" s="2696"/>
      <c r="Q66" s="2696"/>
      <c r="R66" s="2696"/>
      <c r="S66" s="2696"/>
      <c r="T66" s="2696"/>
      <c r="U66" s="2696"/>
      <c r="V66" s="2696"/>
      <c r="W66" s="2696"/>
      <c r="X66" s="2696"/>
      <c r="Y66" s="2696"/>
      <c r="Z66" s="2696"/>
      <c r="AA66" s="2696"/>
      <c r="AB66" s="2696"/>
      <c r="AC66" s="2696"/>
    </row>
    <row r="67" spans="1:29">
      <c r="A67" s="682"/>
      <c r="B67" s="684"/>
      <c r="C67" s="684" t="str">
        <f>YEAR(C7)&amp;"-"&amp;MONTH(C7)&amp;"-1"</f>
        <v>2003-10-1</v>
      </c>
      <c r="D67" s="684">
        <f>EDATE(C67,-3)</f>
        <v>37803</v>
      </c>
      <c r="E67" s="684">
        <f>EDATE(D67,-3)</f>
        <v>37712</v>
      </c>
      <c r="F67" s="684">
        <f t="shared" ref="F67:O67" si="18">EDATE(E67,-3)</f>
        <v>37622</v>
      </c>
      <c r="G67" s="684">
        <f t="shared" si="18"/>
        <v>37530</v>
      </c>
      <c r="H67" s="684">
        <f t="shared" si="18"/>
        <v>37438</v>
      </c>
      <c r="I67" s="684">
        <f t="shared" si="18"/>
        <v>37347</v>
      </c>
      <c r="J67" s="684">
        <f t="shared" si="18"/>
        <v>37257</v>
      </c>
      <c r="K67" s="684">
        <f t="shared" si="18"/>
        <v>37165</v>
      </c>
      <c r="L67" s="684">
        <f t="shared" si="18"/>
        <v>37073</v>
      </c>
      <c r="M67" s="684">
        <f t="shared" si="18"/>
        <v>36982</v>
      </c>
      <c r="N67" s="684">
        <f t="shared" si="18"/>
        <v>36892</v>
      </c>
      <c r="O67" s="684">
        <f t="shared" si="18"/>
        <v>36800</v>
      </c>
      <c r="P67" s="2696"/>
      <c r="Q67" s="2696"/>
      <c r="R67" s="2696"/>
      <c r="S67" s="2696"/>
      <c r="T67" s="2696"/>
      <c r="U67" s="2696"/>
      <c r="V67" s="2696"/>
      <c r="W67" s="2696"/>
      <c r="X67" s="2696"/>
      <c r="Y67" s="2696"/>
      <c r="Z67" s="2696"/>
      <c r="AA67" s="2696"/>
      <c r="AB67" s="2696"/>
      <c r="AC67" s="2696"/>
    </row>
    <row r="68" spans="1:29" ht="22.2" thickBot="1">
      <c r="A68" s="686" t="s">
        <v>1798</v>
      </c>
      <c r="B68" s="682"/>
      <c r="C68" s="687"/>
      <c r="D68" s="687"/>
      <c r="E68" s="687"/>
      <c r="F68" s="688"/>
      <c r="G68" s="688"/>
      <c r="H68" s="687"/>
      <c r="I68" s="687"/>
      <c r="J68" s="930"/>
      <c r="K68" s="931"/>
      <c r="L68" s="932"/>
      <c r="M68" s="930"/>
      <c r="N68" s="2740"/>
      <c r="O68" s="2740"/>
      <c r="P68" s="2740"/>
      <c r="Q68" s="2710"/>
      <c r="R68" s="2696"/>
      <c r="S68" s="2696"/>
      <c r="T68" s="2696"/>
      <c r="U68" s="2696"/>
      <c r="V68" s="2696"/>
      <c r="W68" s="2696"/>
      <c r="X68" s="2696"/>
      <c r="Y68" s="2696"/>
      <c r="Z68" s="2696"/>
      <c r="AA68" s="2696"/>
      <c r="AB68" s="2696"/>
      <c r="AC68" s="2696"/>
    </row>
    <row r="69" spans="1:29" s="452" customFormat="1" ht="14.4">
      <c r="A69" s="1961" t="s">
        <v>1904</v>
      </c>
      <c r="B69" s="1099"/>
      <c r="C69" s="1169" t="str">
        <f>YEAR(C67)&amp;"-"&amp;ROUNDUP(MONTH(C67)/3,0)</f>
        <v>2003-4</v>
      </c>
      <c r="D69" s="1169" t="str">
        <f>YEAR(D67)&amp;"-"&amp;ROUNDUP(MONTH(D67)/3,0)</f>
        <v>2003-3</v>
      </c>
      <c r="E69" s="1169" t="str">
        <f t="shared" ref="E69:O69" si="19">YEAR(E67)&amp;"-"&amp;ROUNDUP(MONTH(E67)/3,0)</f>
        <v>2003-2</v>
      </c>
      <c r="F69" s="1169" t="str">
        <f t="shared" si="19"/>
        <v>2003-1</v>
      </c>
      <c r="G69" s="1169" t="str">
        <f t="shared" si="19"/>
        <v>2002-4</v>
      </c>
      <c r="H69" s="1169" t="str">
        <f t="shared" si="19"/>
        <v>2002-3</v>
      </c>
      <c r="I69" s="1169" t="str">
        <f t="shared" si="19"/>
        <v>2002-2</v>
      </c>
      <c r="J69" s="1169" t="str">
        <f t="shared" si="19"/>
        <v>2002-1</v>
      </c>
      <c r="K69" s="1169" t="str">
        <f t="shared" si="19"/>
        <v>2001-4</v>
      </c>
      <c r="L69" s="1169" t="str">
        <f t="shared" si="19"/>
        <v>2001-3</v>
      </c>
      <c r="M69" s="1169" t="str">
        <f t="shared" si="19"/>
        <v>2001-2</v>
      </c>
      <c r="N69" s="1169" t="str">
        <f t="shared" si="19"/>
        <v>2001-1</v>
      </c>
      <c r="O69" s="1169" t="str">
        <f t="shared" si="19"/>
        <v>2000-4</v>
      </c>
      <c r="P69" s="2747"/>
      <c r="Q69" s="2712"/>
      <c r="R69" s="2712"/>
      <c r="S69" s="2712"/>
      <c r="T69" s="2712"/>
      <c r="U69" s="2712"/>
      <c r="V69" s="2712"/>
      <c r="W69" s="2712"/>
      <c r="X69" s="2712"/>
      <c r="Y69" s="2712"/>
      <c r="Z69" s="2712"/>
      <c r="AA69" s="2712"/>
      <c r="AB69" s="2712"/>
      <c r="AC69" s="2712"/>
    </row>
    <row r="70" spans="1:29" s="108" customFormat="1" ht="30" customHeight="1">
      <c r="A70" s="1962"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5"/>
      <c r="N70" s="539"/>
      <c r="O70" s="1166"/>
      <c r="P70" s="2710"/>
      <c r="Q70" s="2632"/>
      <c r="R70" s="2632"/>
      <c r="S70" s="2632"/>
      <c r="T70" s="2632"/>
      <c r="U70" s="2632"/>
      <c r="V70" s="2632"/>
      <c r="W70" s="2632"/>
      <c r="X70" s="2632"/>
      <c r="Y70" s="2632"/>
      <c r="Z70" s="2632"/>
      <c r="AA70" s="2632"/>
      <c r="AB70" s="2632"/>
      <c r="AC70" s="2632"/>
    </row>
    <row r="71" spans="1:29" s="108" customFormat="1" ht="15" thickBot="1">
      <c r="A71" s="459" t="s">
        <v>1716</v>
      </c>
      <c r="B71" s="460"/>
      <c r="C71" s="461"/>
      <c r="D71" s="462"/>
      <c r="E71" s="462"/>
      <c r="F71" s="462"/>
      <c r="G71" s="462"/>
      <c r="H71" s="462"/>
      <c r="I71" s="462"/>
      <c r="J71" s="462"/>
      <c r="K71" s="462"/>
      <c r="L71" s="462"/>
      <c r="M71" s="463"/>
      <c r="N71" s="462"/>
      <c r="O71" s="933"/>
      <c r="P71" s="2710"/>
      <c r="Q71" s="2710"/>
      <c r="R71" s="2632"/>
      <c r="S71" s="2632"/>
      <c r="T71" s="2632"/>
      <c r="U71" s="2632"/>
      <c r="V71" s="2632"/>
      <c r="W71" s="2632"/>
      <c r="X71" s="2632"/>
      <c r="Y71" s="2632"/>
      <c r="Z71" s="2632"/>
      <c r="AA71" s="2632"/>
      <c r="AB71" s="2632"/>
      <c r="AC71" s="2632"/>
    </row>
    <row r="72" spans="1:29" s="108" customFormat="1" ht="14.4">
      <c r="A72" s="465" t="s">
        <v>1681</v>
      </c>
      <c r="B72" s="454"/>
      <c r="C72" s="466" t="s">
        <v>1776</v>
      </c>
      <c r="D72" s="467"/>
      <c r="E72" s="467"/>
      <c r="F72" s="467"/>
      <c r="G72" s="467"/>
      <c r="H72" s="467"/>
      <c r="I72" s="467"/>
      <c r="J72" s="467"/>
      <c r="K72" s="467"/>
      <c r="L72" s="468"/>
      <c r="M72" s="469"/>
      <c r="N72" s="2723"/>
      <c r="O72" s="2723"/>
      <c r="P72" s="2748"/>
      <c r="Q72" s="2710"/>
      <c r="R72" s="2632"/>
      <c r="S72" s="2632"/>
      <c r="T72" s="2632"/>
      <c r="U72" s="2632"/>
      <c r="V72" s="2632"/>
      <c r="W72" s="2632"/>
      <c r="X72" s="2632"/>
      <c r="Y72" s="2632"/>
      <c r="Z72" s="2632"/>
      <c r="AA72" s="2632"/>
      <c r="AB72" s="2632"/>
      <c r="AC72" s="2632"/>
    </row>
    <row r="73" spans="1:29" s="108" customFormat="1" ht="14.4" thickBot="1">
      <c r="A73" s="465"/>
      <c r="B73" s="454"/>
      <c r="C73" s="579">
        <v>100</v>
      </c>
      <c r="D73" s="456"/>
      <c r="E73" s="456"/>
      <c r="F73" s="456"/>
      <c r="G73" s="456"/>
      <c r="H73" s="456"/>
      <c r="I73" s="456"/>
      <c r="J73" s="456"/>
      <c r="K73" s="456"/>
      <c r="L73" s="456"/>
      <c r="M73" s="458"/>
      <c r="N73" s="2723"/>
      <c r="O73" s="2723"/>
      <c r="P73" s="2710"/>
      <c r="Q73" s="2710"/>
      <c r="R73" s="2632"/>
      <c r="S73" s="2632"/>
      <c r="T73" s="2632"/>
      <c r="U73" s="2632"/>
      <c r="V73" s="2632"/>
      <c r="W73" s="2632"/>
      <c r="X73" s="2632"/>
      <c r="Y73" s="2632"/>
      <c r="Z73" s="2632"/>
      <c r="AA73" s="2632"/>
      <c r="AB73" s="2632"/>
      <c r="AC73" s="2632"/>
    </row>
    <row r="74" spans="1:29" ht="14.4">
      <c r="A74" s="471" t="s">
        <v>1719</v>
      </c>
      <c r="B74" s="472" t="s">
        <v>1685</v>
      </c>
      <c r="C74" s="474"/>
      <c r="D74" s="474"/>
      <c r="E74" s="474"/>
      <c r="F74" s="474"/>
      <c r="G74" s="474"/>
      <c r="H74" s="474"/>
      <c r="I74" s="474"/>
      <c r="J74" s="474"/>
      <c r="K74" s="475"/>
      <c r="L74" s="476"/>
      <c r="M74" s="477"/>
      <c r="N74" s="2724"/>
      <c r="O74" s="2724"/>
      <c r="P74" s="2749"/>
      <c r="Q74" s="2710"/>
      <c r="R74" s="2696"/>
      <c r="S74" s="2696"/>
      <c r="T74" s="2696"/>
      <c r="U74" s="2696"/>
      <c r="V74" s="2696"/>
      <c r="W74" s="2696"/>
      <c r="X74" s="2696"/>
      <c r="Y74" s="2696"/>
      <c r="Z74" s="2696"/>
      <c r="AA74" s="2696"/>
      <c r="AB74" s="2696"/>
      <c r="AC74" s="2696"/>
    </row>
    <row r="75" spans="1:29" ht="14.4" thickBot="1">
      <c r="A75" s="478"/>
      <c r="B75" s="479"/>
      <c r="C75" s="480"/>
      <c r="D75" s="480"/>
      <c r="E75" s="480"/>
      <c r="F75" s="480"/>
      <c r="G75" s="480"/>
      <c r="H75" s="480"/>
      <c r="I75" s="480"/>
      <c r="J75" s="480"/>
      <c r="K75" s="480"/>
      <c r="L75" s="480"/>
      <c r="M75" s="481"/>
      <c r="N75" s="2725"/>
      <c r="O75" s="2725"/>
      <c r="P75" s="2749"/>
      <c r="Q75" s="2710"/>
      <c r="R75" s="2696"/>
      <c r="S75" s="2696"/>
      <c r="T75" s="2696"/>
      <c r="U75" s="2696"/>
      <c r="V75" s="2696"/>
      <c r="W75" s="2696"/>
      <c r="X75" s="2696"/>
      <c r="Y75" s="2696"/>
      <c r="Z75" s="2696"/>
      <c r="AA75" s="2696"/>
      <c r="AB75" s="2696"/>
      <c r="AC75" s="2696"/>
    </row>
    <row r="76" spans="1:29" ht="29.4" thickTop="1">
      <c r="A76" s="478"/>
      <c r="B76" s="482" t="s">
        <v>1688</v>
      </c>
      <c r="C76" s="483"/>
      <c r="D76" s="483"/>
      <c r="E76" s="483"/>
      <c r="F76" s="483"/>
      <c r="G76" s="483"/>
      <c r="H76" s="483"/>
      <c r="I76" s="483"/>
      <c r="J76" s="483"/>
      <c r="K76" s="484"/>
      <c r="L76" s="485"/>
      <c r="M76" s="486"/>
      <c r="N76" s="2724"/>
      <c r="O76" s="2724"/>
      <c r="P76" s="2749"/>
      <c r="Q76" s="2710"/>
      <c r="R76" s="2696"/>
      <c r="S76" s="2696"/>
      <c r="T76" s="2696"/>
      <c r="U76" s="2696"/>
      <c r="V76" s="2696"/>
      <c r="W76" s="2696"/>
      <c r="X76" s="2696"/>
      <c r="Y76" s="2696"/>
      <c r="Z76" s="2696"/>
      <c r="AA76" s="2696"/>
      <c r="AB76" s="2696"/>
      <c r="AC76" s="2696"/>
    </row>
    <row r="77" spans="1:29" ht="14.4" thickBot="1">
      <c r="A77" s="478"/>
      <c r="B77" s="487"/>
      <c r="C77" s="488"/>
      <c r="D77" s="488"/>
      <c r="E77" s="488"/>
      <c r="F77" s="488"/>
      <c r="G77" s="488"/>
      <c r="H77" s="488"/>
      <c r="I77" s="488"/>
      <c r="J77" s="488"/>
      <c r="K77" s="488"/>
      <c r="L77" s="488"/>
      <c r="M77" s="489"/>
      <c r="N77" s="2725"/>
      <c r="O77" s="2725"/>
      <c r="P77" s="2749"/>
      <c r="Q77" s="2710"/>
      <c r="R77" s="2696"/>
      <c r="S77" s="2696"/>
      <c r="T77" s="2696"/>
      <c r="U77" s="2696"/>
      <c r="V77" s="2696"/>
      <c r="W77" s="2696"/>
      <c r="X77" s="2696"/>
      <c r="Y77" s="2696"/>
      <c r="Z77" s="2696"/>
      <c r="AA77" s="2696"/>
      <c r="AB77" s="2696"/>
      <c r="AC77" s="2696"/>
    </row>
    <row r="78" spans="1:29" ht="1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25"/>
      <c r="O78" s="2725"/>
      <c r="P78" s="2749"/>
      <c r="Q78" s="2710"/>
      <c r="R78" s="2696"/>
      <c r="S78" s="2696"/>
      <c r="T78" s="2696"/>
      <c r="U78" s="2696"/>
      <c r="V78" s="2696"/>
      <c r="W78" s="2696"/>
      <c r="X78" s="2696"/>
      <c r="Y78" s="2696"/>
      <c r="Z78" s="2696"/>
      <c r="AA78" s="2696"/>
      <c r="AB78" s="2696"/>
      <c r="AC78" s="2696"/>
    </row>
    <row r="79" spans="1:29">
      <c r="A79" s="478"/>
      <c r="B79" s="492"/>
      <c r="C79" s="493"/>
      <c r="D79" s="493"/>
      <c r="E79" s="493"/>
      <c r="F79" s="493"/>
      <c r="G79" s="493"/>
      <c r="H79" s="493"/>
      <c r="I79" s="493"/>
      <c r="J79" s="493"/>
      <c r="K79" s="494"/>
      <c r="L79" s="495"/>
      <c r="M79" s="496"/>
      <c r="N79" s="2724"/>
      <c r="O79" s="2724"/>
      <c r="P79" s="2749"/>
      <c r="Q79" s="2710"/>
      <c r="R79" s="2696"/>
      <c r="S79" s="2696"/>
      <c r="T79" s="2696"/>
      <c r="U79" s="2696"/>
      <c r="V79" s="2696"/>
      <c r="W79" s="2696"/>
      <c r="X79" s="2696"/>
      <c r="Y79" s="2696"/>
      <c r="Z79" s="2696"/>
      <c r="AA79" s="2696"/>
      <c r="AB79" s="2696"/>
      <c r="AC79" s="2696"/>
    </row>
    <row r="80" spans="1:29" ht="14.4"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25"/>
      <c r="O80" s="2725"/>
      <c r="P80" s="2749"/>
      <c r="Q80" s="2710"/>
      <c r="R80" s="2696"/>
      <c r="S80" s="2696"/>
      <c r="T80" s="2696"/>
      <c r="U80" s="2696"/>
      <c r="V80" s="2696"/>
      <c r="W80" s="2696"/>
      <c r="X80" s="2696"/>
      <c r="Y80" s="2696"/>
      <c r="Z80" s="2696"/>
      <c r="AA80" s="2696"/>
      <c r="AB80" s="2696"/>
      <c r="AC80" s="2696"/>
    </row>
    <row r="81" spans="1:29" s="417" customFormat="1" ht="14.4" thickTop="1">
      <c r="A81" s="497"/>
      <c r="B81" s="482" t="str">
        <f>B12</f>
        <v>配建</v>
      </c>
      <c r="C81" s="498"/>
      <c r="D81" s="498"/>
      <c r="E81" s="498"/>
      <c r="F81" s="498"/>
      <c r="G81" s="498"/>
      <c r="H81" s="499"/>
      <c r="I81" s="499"/>
      <c r="J81" s="499"/>
      <c r="K81" s="499"/>
      <c r="L81" s="500"/>
      <c r="M81" s="501"/>
      <c r="N81" s="2726"/>
      <c r="O81" s="2726"/>
      <c r="P81" s="2750"/>
      <c r="Q81" s="2717"/>
      <c r="R81" s="2718"/>
      <c r="S81" s="2718"/>
      <c r="T81" s="2718"/>
      <c r="U81" s="2718"/>
      <c r="V81" s="2718"/>
      <c r="W81" s="2718"/>
      <c r="X81" s="2718"/>
      <c r="Y81" s="2718"/>
      <c r="Z81" s="2718"/>
      <c r="AA81" s="2718"/>
      <c r="AB81" s="2718"/>
      <c r="AC81" s="2718"/>
    </row>
    <row r="82" spans="1:29" s="417" customFormat="1" ht="14.4" thickBot="1">
      <c r="A82" s="497"/>
      <c r="B82" s="487"/>
      <c r="C82" s="504"/>
      <c r="D82" s="480"/>
      <c r="E82" s="480"/>
      <c r="F82" s="480"/>
      <c r="G82" s="480"/>
      <c r="H82" s="480"/>
      <c r="I82" s="480"/>
      <c r="J82" s="480"/>
      <c r="K82" s="480"/>
      <c r="L82" s="480"/>
      <c r="M82" s="481"/>
      <c r="N82" s="2725"/>
      <c r="O82" s="2725"/>
      <c r="P82" s="2750"/>
      <c r="Q82" s="2717"/>
      <c r="R82" s="2718"/>
      <c r="S82" s="2718"/>
      <c r="T82" s="2718"/>
      <c r="U82" s="2718"/>
      <c r="V82" s="2718"/>
      <c r="W82" s="2718"/>
      <c r="X82" s="2718"/>
      <c r="Y82" s="2718"/>
      <c r="Z82" s="2718"/>
      <c r="AA82" s="2718"/>
      <c r="AB82" s="2718"/>
      <c r="AC82" s="2718"/>
    </row>
    <row r="83" spans="1:29" s="417" customFormat="1" ht="14.4" thickTop="1">
      <c r="A83" s="497"/>
      <c r="B83" s="482">
        <f>B13</f>
        <v>111</v>
      </c>
      <c r="C83" s="498"/>
      <c r="D83" s="498"/>
      <c r="E83" s="498"/>
      <c r="F83" s="498"/>
      <c r="G83" s="498"/>
      <c r="H83" s="499"/>
      <c r="I83" s="499"/>
      <c r="J83" s="499"/>
      <c r="K83" s="499"/>
      <c r="L83" s="500"/>
      <c r="M83" s="501"/>
      <c r="N83" s="2726"/>
      <c r="O83" s="2726"/>
      <c r="P83" s="2694"/>
      <c r="Q83" s="2720"/>
      <c r="R83" s="2718"/>
      <c r="S83" s="2718"/>
      <c r="T83" s="2718"/>
      <c r="U83" s="2718"/>
      <c r="V83" s="2718"/>
      <c r="W83" s="2718"/>
      <c r="X83" s="2718"/>
      <c r="Y83" s="2718"/>
      <c r="Z83" s="2718"/>
      <c r="AA83" s="2718"/>
      <c r="AB83" s="2718"/>
      <c r="AC83" s="2718"/>
    </row>
    <row r="84" spans="1:29" s="417" customFormat="1" ht="14.4" thickBot="1">
      <c r="A84" s="497"/>
      <c r="B84" s="487"/>
      <c r="C84" s="504"/>
      <c r="D84" s="504"/>
      <c r="E84" s="504"/>
      <c r="F84" s="504"/>
      <c r="G84" s="504"/>
      <c r="H84" s="506"/>
      <c r="I84" s="506"/>
      <c r="J84" s="506"/>
      <c r="K84" s="506"/>
      <c r="L84" s="506"/>
      <c r="M84" s="507"/>
      <c r="N84" s="2726"/>
      <c r="O84" s="2726"/>
      <c r="P84" s="2750"/>
      <c r="Q84" s="2717"/>
      <c r="R84" s="2718"/>
      <c r="S84" s="2718"/>
      <c r="T84" s="2718"/>
      <c r="U84" s="2718"/>
      <c r="V84" s="2718"/>
      <c r="W84" s="2718"/>
      <c r="X84" s="2718"/>
      <c r="Y84" s="2718"/>
      <c r="Z84" s="2718"/>
      <c r="AA84" s="2718"/>
      <c r="AB84" s="2718"/>
      <c r="AC84" s="2718"/>
    </row>
    <row r="85" spans="1:29" s="417" customFormat="1" ht="14.4" thickTop="1">
      <c r="A85" s="497"/>
      <c r="B85" s="490">
        <f>B14</f>
        <v>111</v>
      </c>
      <c r="C85" s="467"/>
      <c r="D85" s="467"/>
      <c r="E85" s="467"/>
      <c r="F85" s="467"/>
      <c r="G85" s="467"/>
      <c r="H85" s="508"/>
      <c r="I85" s="508"/>
      <c r="J85" s="508"/>
      <c r="K85" s="508"/>
      <c r="L85" s="509"/>
      <c r="M85" s="510"/>
      <c r="N85" s="2726"/>
      <c r="O85" s="2726"/>
      <c r="P85" s="2755"/>
      <c r="Q85" s="2717"/>
      <c r="R85" s="2718"/>
      <c r="S85" s="2718"/>
      <c r="T85" s="2718"/>
      <c r="U85" s="2718"/>
      <c r="V85" s="2718"/>
      <c r="W85" s="2718"/>
      <c r="X85" s="2718"/>
      <c r="Y85" s="2718"/>
      <c r="Z85" s="2718"/>
      <c r="AA85" s="2718"/>
      <c r="AB85" s="2718"/>
      <c r="AC85" s="2718"/>
    </row>
    <row r="86" spans="1:29" s="417" customFormat="1" ht="14.4" thickBot="1">
      <c r="A86" s="512"/>
      <c r="B86" s="513"/>
      <c r="C86" s="514"/>
      <c r="D86" s="514"/>
      <c r="E86" s="514"/>
      <c r="F86" s="514"/>
      <c r="G86" s="514"/>
      <c r="H86" s="515"/>
      <c r="I86" s="515"/>
      <c r="J86" s="515"/>
      <c r="K86" s="515"/>
      <c r="L86" s="515"/>
      <c r="M86" s="516"/>
      <c r="N86" s="2726"/>
      <c r="O86" s="2726"/>
      <c r="P86" s="2750"/>
      <c r="Q86" s="2717"/>
      <c r="R86" s="2718"/>
      <c r="S86" s="2718"/>
      <c r="T86" s="2718"/>
      <c r="U86" s="2718"/>
      <c r="V86" s="2718"/>
      <c r="W86" s="2718"/>
      <c r="X86" s="2718"/>
      <c r="Y86" s="2718"/>
      <c r="Z86" s="2718"/>
      <c r="AA86" s="2718"/>
      <c r="AB86" s="2718"/>
      <c r="AC86" s="2718"/>
    </row>
    <row r="87" spans="1:29" ht="14.4">
      <c r="A87" s="471" t="s">
        <v>1690</v>
      </c>
      <c r="B87" s="472" t="s">
        <v>1720</v>
      </c>
      <c r="C87" s="517" t="s">
        <v>1721</v>
      </c>
      <c r="D87" s="517" t="s">
        <v>1722</v>
      </c>
      <c r="E87" s="517" t="s">
        <v>1723</v>
      </c>
      <c r="F87" s="517" t="s">
        <v>1724</v>
      </c>
      <c r="G87" s="517" t="s">
        <v>1725</v>
      </c>
      <c r="H87" s="473"/>
      <c r="I87" s="473"/>
      <c r="J87" s="473"/>
      <c r="K87" s="518"/>
      <c r="L87" s="519"/>
      <c r="M87" s="520"/>
      <c r="N87" s="2724"/>
      <c r="O87" s="2724"/>
      <c r="P87" s="2751"/>
      <c r="Q87" s="2710"/>
      <c r="R87" s="2696"/>
      <c r="S87" s="2696"/>
      <c r="T87" s="2696"/>
      <c r="U87" s="2696"/>
      <c r="V87" s="2696"/>
      <c r="W87" s="2696"/>
      <c r="X87" s="2696"/>
      <c r="Y87" s="2696"/>
      <c r="Z87" s="2696"/>
      <c r="AA87" s="2696"/>
      <c r="AB87" s="2696"/>
      <c r="AC87" s="2696"/>
    </row>
    <row r="88" spans="1:29" ht="14.4" thickBot="1">
      <c r="A88" s="478"/>
      <c r="B88" s="487"/>
      <c r="C88" s="488">
        <v>100</v>
      </c>
      <c r="D88" s="488">
        <f>C88-$K15</f>
        <v>100</v>
      </c>
      <c r="E88" s="488">
        <f>D88-$K15</f>
        <v>100</v>
      </c>
      <c r="F88" s="488">
        <f>E88-$K15</f>
        <v>100</v>
      </c>
      <c r="G88" s="488">
        <f>F88-$K15</f>
        <v>100</v>
      </c>
      <c r="H88" s="488"/>
      <c r="I88" s="488"/>
      <c r="J88" s="488"/>
      <c r="K88" s="488"/>
      <c r="L88" s="488"/>
      <c r="M88" s="489"/>
      <c r="N88" s="2725"/>
      <c r="O88" s="2725"/>
      <c r="P88" s="2749"/>
      <c r="Q88" s="2710"/>
      <c r="R88" s="2696"/>
      <c r="S88" s="2696"/>
      <c r="T88" s="2696"/>
      <c r="U88" s="2696"/>
      <c r="V88" s="2696"/>
      <c r="W88" s="2696"/>
      <c r="X88" s="2696"/>
      <c r="Y88" s="2696"/>
      <c r="Z88" s="2696"/>
      <c r="AA88" s="2696"/>
      <c r="AB88" s="2696"/>
      <c r="AC88" s="2696"/>
    </row>
    <row r="89" spans="1:29" ht="15" thickTop="1">
      <c r="A89" s="478"/>
      <c r="B89" s="482" t="s">
        <v>1906</v>
      </c>
      <c r="C89" s="522" t="s">
        <v>1721</v>
      </c>
      <c r="D89" s="522" t="s">
        <v>1722</v>
      </c>
      <c r="E89" s="522" t="s">
        <v>1723</v>
      </c>
      <c r="F89" s="522" t="s">
        <v>1724</v>
      </c>
      <c r="G89" s="522" t="s">
        <v>1725</v>
      </c>
      <c r="H89" s="483"/>
      <c r="I89" s="483"/>
      <c r="J89" s="483"/>
      <c r="K89" s="484"/>
      <c r="L89" s="485"/>
      <c r="M89" s="486"/>
      <c r="N89" s="2724"/>
      <c r="O89" s="2724"/>
      <c r="P89" s="2749"/>
      <c r="Q89" s="2710"/>
      <c r="R89" s="2696"/>
      <c r="S89" s="2696"/>
      <c r="T89" s="2696"/>
      <c r="U89" s="2696"/>
      <c r="V89" s="2696"/>
      <c r="W89" s="2696"/>
      <c r="X89" s="2696"/>
      <c r="Y89" s="2696"/>
      <c r="Z89" s="2696"/>
      <c r="AA89" s="2696"/>
      <c r="AB89" s="2696"/>
      <c r="AC89" s="2696"/>
    </row>
    <row r="90" spans="1:29" ht="14.4" thickBot="1">
      <c r="A90" s="478"/>
      <c r="B90" s="487"/>
      <c r="C90" s="488">
        <v>100</v>
      </c>
      <c r="D90" s="488">
        <f>C90-$K17</f>
        <v>100</v>
      </c>
      <c r="E90" s="488">
        <f>D90-$K17</f>
        <v>100</v>
      </c>
      <c r="F90" s="488">
        <f>E90-$K17</f>
        <v>100</v>
      </c>
      <c r="G90" s="488">
        <f>F90-$K17</f>
        <v>100</v>
      </c>
      <c r="H90" s="488"/>
      <c r="I90" s="488"/>
      <c r="J90" s="488"/>
      <c r="K90" s="488"/>
      <c r="L90" s="488"/>
      <c r="M90" s="489"/>
      <c r="N90" s="2725"/>
      <c r="O90" s="2725"/>
      <c r="P90" s="2749"/>
      <c r="Q90" s="2710"/>
      <c r="R90" s="2696"/>
      <c r="S90" s="2696"/>
      <c r="T90" s="2696"/>
      <c r="U90" s="2696"/>
      <c r="V90" s="2696"/>
      <c r="W90" s="2696"/>
      <c r="X90" s="2696"/>
      <c r="Y90" s="2696"/>
      <c r="Z90" s="2696"/>
      <c r="AA90" s="2696"/>
      <c r="AB90" s="2696"/>
      <c r="AC90" s="2696"/>
    </row>
    <row r="91" spans="1:29" ht="15" thickTop="1">
      <c r="A91" s="478"/>
      <c r="B91" s="482" t="s">
        <v>1821</v>
      </c>
      <c r="C91" s="522" t="s">
        <v>1721</v>
      </c>
      <c r="D91" s="522" t="s">
        <v>1722</v>
      </c>
      <c r="E91" s="522" t="s">
        <v>1723</v>
      </c>
      <c r="F91" s="522" t="s">
        <v>1724</v>
      </c>
      <c r="G91" s="522" t="s">
        <v>1725</v>
      </c>
      <c r="H91" s="483"/>
      <c r="I91" s="483"/>
      <c r="J91" s="483"/>
      <c r="K91" s="484"/>
      <c r="L91" s="485"/>
      <c r="M91" s="486"/>
      <c r="N91" s="2724"/>
      <c r="O91" s="2724"/>
      <c r="P91" s="2749"/>
      <c r="Q91" s="2710"/>
      <c r="R91" s="2696"/>
      <c r="S91" s="2696"/>
      <c r="T91" s="2696"/>
      <c r="U91" s="2696"/>
      <c r="V91" s="2696"/>
      <c r="W91" s="2696"/>
      <c r="X91" s="2696"/>
      <c r="Y91" s="2696"/>
      <c r="Z91" s="2696"/>
      <c r="AA91" s="2696"/>
      <c r="AB91" s="2696"/>
      <c r="AC91" s="2696"/>
    </row>
    <row r="92" spans="1:29" ht="14.4" thickBot="1">
      <c r="A92" s="478"/>
      <c r="B92" s="487"/>
      <c r="C92" s="488">
        <v>100</v>
      </c>
      <c r="D92" s="488">
        <f>C92-$K19</f>
        <v>100</v>
      </c>
      <c r="E92" s="488">
        <f>D92-$K19</f>
        <v>100</v>
      </c>
      <c r="F92" s="488">
        <f>E92-$K19</f>
        <v>100</v>
      </c>
      <c r="G92" s="488">
        <f>F92-$K19</f>
        <v>100</v>
      </c>
      <c r="H92" s="488"/>
      <c r="I92" s="488"/>
      <c r="J92" s="488"/>
      <c r="K92" s="488"/>
      <c r="L92" s="488"/>
      <c r="M92" s="489"/>
      <c r="N92" s="2725"/>
      <c r="O92" s="2725"/>
      <c r="P92" s="2749"/>
      <c r="Q92" s="2710"/>
      <c r="R92" s="2696"/>
      <c r="S92" s="2696"/>
      <c r="T92" s="2696"/>
      <c r="U92" s="2696"/>
      <c r="V92" s="2696"/>
      <c r="W92" s="2696"/>
      <c r="X92" s="2696"/>
      <c r="Y92" s="2696"/>
      <c r="Z92" s="2696"/>
      <c r="AA92" s="2696"/>
      <c r="AB92" s="2696"/>
      <c r="AC92" s="2696"/>
    </row>
    <row r="93" spans="1:29" ht="15" thickTop="1">
      <c r="A93" s="478"/>
      <c r="B93" s="482" t="s">
        <v>1726</v>
      </c>
      <c r="C93" s="522" t="s">
        <v>1721</v>
      </c>
      <c r="D93" s="522" t="s">
        <v>1722</v>
      </c>
      <c r="E93" s="522" t="s">
        <v>1723</v>
      </c>
      <c r="F93" s="522" t="s">
        <v>1724</v>
      </c>
      <c r="G93" s="522" t="s">
        <v>1725</v>
      </c>
      <c r="H93" s="483"/>
      <c r="I93" s="483"/>
      <c r="J93" s="483"/>
      <c r="K93" s="484"/>
      <c r="L93" s="485"/>
      <c r="M93" s="486"/>
      <c r="N93" s="2724"/>
      <c r="O93" s="2724"/>
      <c r="P93" s="2749"/>
      <c r="Q93" s="2710"/>
      <c r="R93" s="2696"/>
      <c r="S93" s="2696"/>
      <c r="T93" s="2696"/>
      <c r="U93" s="2696"/>
      <c r="V93" s="2696"/>
      <c r="W93" s="2696"/>
      <c r="X93" s="2696"/>
      <c r="Y93" s="2696"/>
      <c r="Z93" s="2696"/>
      <c r="AA93" s="2696"/>
      <c r="AB93" s="2696"/>
      <c r="AC93" s="2696"/>
    </row>
    <row r="94" spans="1:29" ht="14.4" thickBot="1">
      <c r="A94" s="478"/>
      <c r="B94" s="487"/>
      <c r="C94" s="488">
        <v>100</v>
      </c>
      <c r="D94" s="488">
        <f>C94-$K21</f>
        <v>100</v>
      </c>
      <c r="E94" s="488">
        <f>D94-$K21</f>
        <v>100</v>
      </c>
      <c r="F94" s="488">
        <f>E94-$K21</f>
        <v>100</v>
      </c>
      <c r="G94" s="488">
        <f>F94-$K21</f>
        <v>100</v>
      </c>
      <c r="H94" s="488"/>
      <c r="I94" s="488"/>
      <c r="J94" s="488"/>
      <c r="K94" s="488"/>
      <c r="L94" s="488"/>
      <c r="M94" s="489"/>
      <c r="N94" s="2725"/>
      <c r="O94" s="2725"/>
      <c r="P94" s="2749"/>
      <c r="Q94" s="2710"/>
      <c r="R94" s="2696"/>
      <c r="S94" s="2696"/>
      <c r="T94" s="2696"/>
      <c r="U94" s="2696"/>
      <c r="V94" s="2696"/>
      <c r="W94" s="2696"/>
      <c r="X94" s="2696"/>
      <c r="Y94" s="2696"/>
      <c r="Z94" s="2696"/>
      <c r="AA94" s="2696"/>
      <c r="AB94" s="2696"/>
      <c r="AC94" s="2696"/>
    </row>
    <row r="95" spans="1:29" s="108" customFormat="1" ht="29.4" thickTop="1">
      <c r="A95" s="523"/>
      <c r="B95" s="482" t="s">
        <v>1907</v>
      </c>
      <c r="C95" s="522" t="s">
        <v>1721</v>
      </c>
      <c r="D95" s="522" t="s">
        <v>1722</v>
      </c>
      <c r="E95" s="522" t="s">
        <v>1723</v>
      </c>
      <c r="F95" s="522" t="s">
        <v>1724</v>
      </c>
      <c r="G95" s="522" t="s">
        <v>1725</v>
      </c>
      <c r="H95" s="522"/>
      <c r="I95" s="522"/>
      <c r="J95" s="522"/>
      <c r="K95" s="522"/>
      <c r="L95" s="638"/>
      <c r="M95" s="562"/>
      <c r="N95" s="2723"/>
      <c r="O95" s="2723"/>
      <c r="P95" s="2749"/>
      <c r="Q95" s="2710"/>
      <c r="R95" s="2632"/>
      <c r="S95" s="2632"/>
      <c r="T95" s="2632"/>
      <c r="U95" s="2632"/>
      <c r="V95" s="2632"/>
      <c r="W95" s="2632"/>
      <c r="X95" s="2632"/>
      <c r="Y95" s="2632"/>
      <c r="Z95" s="2632"/>
      <c r="AA95" s="2632"/>
      <c r="AB95" s="2632"/>
      <c r="AC95" s="2632"/>
    </row>
    <row r="96" spans="1:29" s="108" customFormat="1" ht="14.4" thickBot="1">
      <c r="A96" s="523"/>
      <c r="B96" s="487"/>
      <c r="C96" s="526">
        <v>100</v>
      </c>
      <c r="D96" s="488">
        <f>C96-$K23</f>
        <v>100</v>
      </c>
      <c r="E96" s="488">
        <f>D96-$K23</f>
        <v>100</v>
      </c>
      <c r="F96" s="488">
        <f>E96-$K23</f>
        <v>100</v>
      </c>
      <c r="G96" s="488">
        <f>F96-$K23</f>
        <v>100</v>
      </c>
      <c r="H96" s="488"/>
      <c r="I96" s="488"/>
      <c r="J96" s="488"/>
      <c r="K96" s="488"/>
      <c r="L96" s="488"/>
      <c r="M96" s="489"/>
      <c r="N96" s="2725"/>
      <c r="O96" s="2725"/>
      <c r="P96" s="2749"/>
      <c r="Q96" s="2710"/>
      <c r="R96" s="2632"/>
      <c r="S96" s="2632"/>
      <c r="T96" s="2632"/>
      <c r="U96" s="2632"/>
      <c r="V96" s="2632"/>
      <c r="W96" s="2632"/>
      <c r="X96" s="2632"/>
      <c r="Y96" s="2632"/>
      <c r="Z96" s="2632"/>
      <c r="AA96" s="2632"/>
      <c r="AB96" s="2632"/>
      <c r="AC96" s="2632"/>
    </row>
    <row r="97" spans="1:29" s="108" customFormat="1" ht="29.4" thickTop="1">
      <c r="A97" s="523"/>
      <c r="B97" s="482" t="s">
        <v>1908</v>
      </c>
      <c r="C97" s="517" t="s">
        <v>1721</v>
      </c>
      <c r="D97" s="517" t="s">
        <v>1722</v>
      </c>
      <c r="E97" s="517" t="s">
        <v>1723</v>
      </c>
      <c r="F97" s="517" t="s">
        <v>1724</v>
      </c>
      <c r="G97" s="517" t="s">
        <v>1725</v>
      </c>
      <c r="H97" s="522"/>
      <c r="I97" s="522"/>
      <c r="J97" s="522"/>
      <c r="K97" s="522"/>
      <c r="L97" s="522"/>
      <c r="M97" s="562"/>
      <c r="N97" s="2723"/>
      <c r="O97" s="2723"/>
      <c r="P97" s="2749"/>
      <c r="Q97" s="2710"/>
      <c r="R97" s="2632"/>
      <c r="S97" s="2632"/>
      <c r="T97" s="2632"/>
      <c r="U97" s="2632"/>
      <c r="V97" s="2632"/>
      <c r="W97" s="2632"/>
      <c r="X97" s="2632"/>
      <c r="Y97" s="2632"/>
      <c r="Z97" s="2632"/>
      <c r="AA97" s="2632"/>
      <c r="AB97" s="2632"/>
      <c r="AC97" s="2632"/>
    </row>
    <row r="98" spans="1:29" s="108" customFormat="1" ht="14.4" thickBot="1">
      <c r="A98" s="523"/>
      <c r="B98" s="487"/>
      <c r="C98" s="488">
        <v>100</v>
      </c>
      <c r="D98" s="488">
        <f>C98-$K25</f>
        <v>100</v>
      </c>
      <c r="E98" s="488">
        <f>D98-$K25</f>
        <v>100</v>
      </c>
      <c r="F98" s="488">
        <f>E98-$K25</f>
        <v>100</v>
      </c>
      <c r="G98" s="488">
        <f>F98-$K25</f>
        <v>100</v>
      </c>
      <c r="H98" s="488"/>
      <c r="I98" s="488"/>
      <c r="J98" s="488"/>
      <c r="K98" s="488"/>
      <c r="L98" s="488"/>
      <c r="M98" s="489"/>
      <c r="N98" s="2725"/>
      <c r="O98" s="2725"/>
      <c r="P98" s="2749"/>
      <c r="Q98" s="2710"/>
      <c r="R98" s="2632"/>
      <c r="S98" s="2632"/>
      <c r="T98" s="2632"/>
      <c r="U98" s="2632"/>
      <c r="V98" s="2632"/>
      <c r="W98" s="2632"/>
      <c r="X98" s="2632"/>
      <c r="Y98" s="2632"/>
      <c r="Z98" s="2632"/>
      <c r="AA98" s="2632"/>
      <c r="AB98" s="2632"/>
      <c r="AC98" s="2632"/>
    </row>
    <row r="99" spans="1:29" s="417" customFormat="1" ht="15" thickTop="1">
      <c r="A99" s="497"/>
      <c r="B99" s="482" t="s">
        <v>1778</v>
      </c>
      <c r="C99" s="517" t="s">
        <v>1721</v>
      </c>
      <c r="D99" s="517" t="s">
        <v>1722</v>
      </c>
      <c r="E99" s="517" t="s">
        <v>1723</v>
      </c>
      <c r="F99" s="517" t="s">
        <v>1724</v>
      </c>
      <c r="G99" s="517" t="s">
        <v>1725</v>
      </c>
      <c r="H99" s="544"/>
      <c r="I99" s="544"/>
      <c r="J99" s="544"/>
      <c r="K99" s="544"/>
      <c r="L99" s="545"/>
      <c r="M99" s="546"/>
      <c r="N99" s="2726"/>
      <c r="O99" s="2726"/>
      <c r="P99" s="2750"/>
      <c r="Q99" s="2717"/>
      <c r="R99" s="2718"/>
      <c r="S99" s="2718"/>
      <c r="T99" s="2718"/>
      <c r="U99" s="2718"/>
      <c r="V99" s="2718"/>
      <c r="W99" s="2718"/>
      <c r="X99" s="2718"/>
      <c r="Y99" s="2718"/>
      <c r="Z99" s="2718"/>
      <c r="AA99" s="2718"/>
      <c r="AB99" s="2718"/>
      <c r="AC99" s="2718"/>
    </row>
    <row r="100" spans="1:29" s="417" customFormat="1" ht="14.4" thickBot="1">
      <c r="A100" s="497"/>
      <c r="B100" s="487"/>
      <c r="C100" s="488">
        <v>100</v>
      </c>
      <c r="D100" s="488">
        <f>C100-$K27</f>
        <v>100</v>
      </c>
      <c r="E100" s="488">
        <f>D100-$K27</f>
        <v>100</v>
      </c>
      <c r="F100" s="488">
        <f>E100-$K27</f>
        <v>100</v>
      </c>
      <c r="G100" s="488">
        <f>F100-$K27</f>
        <v>100</v>
      </c>
      <c r="H100" s="548"/>
      <c r="I100" s="548"/>
      <c r="J100" s="548"/>
      <c r="K100" s="548"/>
      <c r="L100" s="548"/>
      <c r="M100" s="549"/>
      <c r="N100" s="2726"/>
      <c r="O100" s="2726"/>
      <c r="P100" s="2750"/>
      <c r="Q100" s="2717"/>
      <c r="R100" s="2718"/>
      <c r="S100" s="2718"/>
      <c r="T100" s="2718"/>
      <c r="U100" s="2718"/>
      <c r="V100" s="2718"/>
      <c r="W100" s="2718"/>
      <c r="X100" s="2718"/>
      <c r="Y100" s="2718"/>
      <c r="Z100" s="2718"/>
      <c r="AA100" s="2718"/>
      <c r="AB100" s="2718"/>
      <c r="AC100" s="2718"/>
    </row>
    <row r="101" spans="1:29" s="417" customFormat="1" ht="15" thickTop="1">
      <c r="A101" s="497"/>
      <c r="B101" s="490" t="s">
        <v>1779</v>
      </c>
      <c r="C101" s="600" t="s">
        <v>1799</v>
      </c>
      <c r="D101" s="600" t="s">
        <v>1800</v>
      </c>
      <c r="E101" s="600" t="s">
        <v>1801</v>
      </c>
      <c r="F101" s="600" t="s">
        <v>1802</v>
      </c>
      <c r="G101" s="600" t="s">
        <v>1803</v>
      </c>
      <c r="H101" s="544"/>
      <c r="I101" s="544"/>
      <c r="J101" s="544"/>
      <c r="K101" s="544"/>
      <c r="L101" s="544"/>
      <c r="M101" s="1120"/>
      <c r="N101" s="2726"/>
      <c r="O101" s="2726"/>
      <c r="P101" s="2750"/>
      <c r="Q101" s="2717"/>
      <c r="R101" s="2718"/>
      <c r="S101" s="2718"/>
      <c r="T101" s="2718"/>
      <c r="U101" s="2718"/>
      <c r="V101" s="2718"/>
      <c r="W101" s="2718"/>
      <c r="X101" s="2718"/>
      <c r="Y101" s="2718"/>
      <c r="Z101" s="2718"/>
      <c r="AA101" s="2718"/>
      <c r="AB101" s="2718"/>
      <c r="AC101" s="2718"/>
    </row>
    <row r="102" spans="1:29" s="417" customFormat="1" ht="14.4" thickBot="1">
      <c r="A102" s="497"/>
      <c r="B102" s="490"/>
      <c r="C102" s="488">
        <v>100</v>
      </c>
      <c r="D102" s="488">
        <f>C102-$K29</f>
        <v>100</v>
      </c>
      <c r="E102" s="488">
        <f>D102-$K29</f>
        <v>100</v>
      </c>
      <c r="F102" s="488">
        <f>E102-$K29</f>
        <v>100</v>
      </c>
      <c r="G102" s="488">
        <f>F102-$K29</f>
        <v>100</v>
      </c>
      <c r="H102" s="492"/>
      <c r="I102" s="492"/>
      <c r="J102" s="492"/>
      <c r="K102" s="492"/>
      <c r="L102" s="492"/>
      <c r="M102" s="1120"/>
      <c r="N102" s="2726"/>
      <c r="O102" s="2726"/>
      <c r="P102" s="2750"/>
      <c r="Q102" s="2717"/>
      <c r="R102" s="2718"/>
      <c r="S102" s="2718"/>
      <c r="T102" s="2718"/>
      <c r="U102" s="2718"/>
      <c r="V102" s="2718"/>
      <c r="W102" s="2718"/>
      <c r="X102" s="2718"/>
      <c r="Y102" s="2718"/>
      <c r="Z102" s="2718"/>
      <c r="AA102" s="2718"/>
      <c r="AB102" s="2718"/>
      <c r="AC102" s="2718"/>
    </row>
    <row r="103" spans="1:29" ht="15" thickTop="1">
      <c r="A103" s="478"/>
      <c r="B103" s="482" t="str">
        <f>B31</f>
        <v>临街状况</v>
      </c>
      <c r="C103" s="483" t="s">
        <v>1909</v>
      </c>
      <c r="D103" s="483" t="s">
        <v>1910</v>
      </c>
      <c r="E103" s="483" t="s">
        <v>1911</v>
      </c>
      <c r="F103" s="483" t="s">
        <v>1912</v>
      </c>
      <c r="G103" s="483"/>
      <c r="H103" s="483"/>
      <c r="I103" s="483"/>
      <c r="J103" s="483"/>
      <c r="K103" s="484"/>
      <c r="L103" s="485"/>
      <c r="M103" s="486"/>
      <c r="N103" s="2724"/>
      <c r="O103" s="2724"/>
      <c r="P103" s="2749"/>
      <c r="Q103" s="2710"/>
      <c r="R103" s="2696"/>
      <c r="S103" s="2696"/>
      <c r="T103" s="2696"/>
      <c r="U103" s="2696"/>
      <c r="V103" s="2696"/>
      <c r="W103" s="2696"/>
      <c r="X103" s="2696"/>
      <c r="Y103" s="2696"/>
      <c r="Z103" s="2696"/>
      <c r="AA103" s="2696"/>
      <c r="AB103" s="2696"/>
      <c r="AC103" s="2696"/>
    </row>
    <row r="104" spans="1:29" ht="14.4"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25"/>
      <c r="O104" s="2725"/>
      <c r="P104" s="2749"/>
      <c r="Q104" s="2710"/>
      <c r="R104" s="2696"/>
      <c r="S104" s="2696"/>
      <c r="T104" s="2696"/>
      <c r="U104" s="2696"/>
      <c r="V104" s="2696"/>
      <c r="W104" s="2696"/>
      <c r="X104" s="2696"/>
      <c r="Y104" s="2696"/>
      <c r="Z104" s="2696"/>
      <c r="AA104" s="2696"/>
      <c r="AB104" s="2696"/>
      <c r="AC104" s="2696"/>
    </row>
    <row r="105" spans="1:29" ht="29.4" thickTop="1">
      <c r="A105" s="478"/>
      <c r="B105" s="482" t="s">
        <v>1815</v>
      </c>
      <c r="C105" s="498"/>
      <c r="D105" s="498"/>
      <c r="E105" s="498"/>
      <c r="F105" s="498"/>
      <c r="G105" s="498"/>
      <c r="H105" s="527"/>
      <c r="I105" s="527"/>
      <c r="J105" s="527"/>
      <c r="K105" s="528"/>
      <c r="L105" s="529"/>
      <c r="M105" s="530"/>
      <c r="N105" s="2724"/>
      <c r="O105" s="2724"/>
      <c r="P105" s="2749"/>
      <c r="Q105" s="2710"/>
      <c r="R105" s="2696"/>
      <c r="S105" s="2696"/>
      <c r="T105" s="2696"/>
      <c r="U105" s="2696"/>
      <c r="V105" s="2696"/>
      <c r="W105" s="2696"/>
      <c r="X105" s="2696"/>
      <c r="Y105" s="2696"/>
      <c r="Z105" s="2696"/>
      <c r="AA105" s="2696"/>
      <c r="AB105" s="2696"/>
      <c r="AC105" s="2696"/>
    </row>
    <row r="106" spans="1:29" ht="14.4"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25"/>
      <c r="O106" s="2725"/>
      <c r="P106" s="2749"/>
      <c r="Q106" s="2710"/>
      <c r="R106" s="2696"/>
      <c r="S106" s="2696"/>
      <c r="T106" s="2696"/>
      <c r="U106" s="2696"/>
      <c r="V106" s="2696"/>
      <c r="W106" s="2696"/>
      <c r="X106" s="2696"/>
      <c r="Y106" s="2696"/>
      <c r="Z106" s="2696"/>
      <c r="AA106" s="2696"/>
      <c r="AB106" s="2696"/>
      <c r="AC106" s="2696"/>
    </row>
    <row r="107" spans="1:29" ht="15" thickTop="1">
      <c r="A107" s="478"/>
      <c r="B107" s="482" t="s">
        <v>1873</v>
      </c>
      <c r="C107" s="527"/>
      <c r="D107" s="527"/>
      <c r="E107" s="527"/>
      <c r="F107" s="527"/>
      <c r="G107" s="527"/>
      <c r="H107" s="527"/>
      <c r="I107" s="527"/>
      <c r="J107" s="527"/>
      <c r="K107" s="528"/>
      <c r="L107" s="529"/>
      <c r="M107" s="530"/>
      <c r="N107" s="2724"/>
      <c r="O107" s="2724"/>
      <c r="P107" s="2749"/>
      <c r="Q107" s="2710"/>
      <c r="R107" s="2696"/>
      <c r="S107" s="2696"/>
      <c r="T107" s="2696"/>
      <c r="U107" s="2696"/>
      <c r="V107" s="2696"/>
      <c r="W107" s="2696"/>
      <c r="X107" s="2696"/>
      <c r="Y107" s="2696"/>
      <c r="Z107" s="2696"/>
      <c r="AA107" s="2696"/>
      <c r="AB107" s="2696"/>
      <c r="AC107" s="2696"/>
    </row>
    <row r="108" spans="1:29" ht="14.4"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25"/>
      <c r="O108" s="2725"/>
      <c r="P108" s="2749"/>
      <c r="Q108" s="2710"/>
      <c r="R108" s="2696"/>
      <c r="S108" s="2696"/>
      <c r="T108" s="2696"/>
      <c r="U108" s="2696"/>
      <c r="V108" s="2696"/>
      <c r="W108" s="2696"/>
      <c r="X108" s="2696"/>
      <c r="Y108" s="2696"/>
      <c r="Z108" s="2696"/>
      <c r="AA108" s="2696"/>
      <c r="AB108" s="2696"/>
      <c r="AC108" s="2696"/>
    </row>
    <row r="109" spans="1:29" ht="14.4" thickTop="1">
      <c r="A109" s="478"/>
      <c r="B109" s="490">
        <f>B35</f>
        <v>111</v>
      </c>
      <c r="C109" s="498"/>
      <c r="D109" s="498"/>
      <c r="E109" s="498"/>
      <c r="F109" s="498"/>
      <c r="G109" s="531"/>
      <c r="H109" s="531"/>
      <c r="I109" s="531"/>
      <c r="J109" s="531"/>
      <c r="K109" s="532"/>
      <c r="L109" s="533"/>
      <c r="M109" s="534"/>
      <c r="N109" s="2724"/>
      <c r="O109" s="2724"/>
      <c r="P109" s="2749"/>
      <c r="Q109" s="2710"/>
      <c r="R109" s="2696"/>
      <c r="S109" s="2696"/>
      <c r="T109" s="2696"/>
      <c r="U109" s="2696"/>
      <c r="V109" s="2696"/>
      <c r="W109" s="2696"/>
      <c r="X109" s="2696"/>
      <c r="Y109" s="2696"/>
      <c r="Z109" s="2696"/>
      <c r="AA109" s="2696"/>
      <c r="AB109" s="2696"/>
      <c r="AC109" s="2696"/>
    </row>
    <row r="110" spans="1:29" ht="14.4" thickBot="1">
      <c r="A110" s="478"/>
      <c r="B110" s="513"/>
      <c r="C110" s="504"/>
      <c r="D110" s="504"/>
      <c r="E110" s="504"/>
      <c r="F110" s="504"/>
      <c r="G110" s="535"/>
      <c r="H110" s="535"/>
      <c r="I110" s="535"/>
      <c r="J110" s="535"/>
      <c r="K110" s="535"/>
      <c r="L110" s="535"/>
      <c r="M110" s="536"/>
      <c r="N110" s="2725"/>
      <c r="O110" s="2725"/>
      <c r="P110" s="2749"/>
      <c r="Q110" s="2710"/>
      <c r="R110" s="2696"/>
      <c r="S110" s="2696"/>
      <c r="T110" s="2696"/>
      <c r="U110" s="2696"/>
      <c r="V110" s="2696"/>
      <c r="W110" s="2696"/>
      <c r="X110" s="2696"/>
      <c r="Y110" s="2696"/>
      <c r="Z110" s="2696"/>
      <c r="AA110" s="2696"/>
      <c r="AB110" s="2696"/>
      <c r="AC110" s="2696"/>
    </row>
    <row r="111" spans="1:29" ht="14.4" thickTop="1">
      <c r="A111" s="615"/>
      <c r="B111" s="482">
        <f>B36</f>
        <v>111</v>
      </c>
      <c r="C111" s="467"/>
      <c r="D111" s="467"/>
      <c r="E111" s="467"/>
      <c r="F111" s="467"/>
      <c r="G111" s="527"/>
      <c r="H111" s="527"/>
      <c r="I111" s="527"/>
      <c r="J111" s="527"/>
      <c r="K111" s="528"/>
      <c r="L111" s="529"/>
      <c r="M111" s="530"/>
      <c r="N111" s="2724"/>
      <c r="O111" s="2724"/>
      <c r="P111" s="2749"/>
      <c r="Q111" s="2710"/>
      <c r="R111" s="2696"/>
      <c r="S111" s="2696"/>
      <c r="T111" s="2696"/>
      <c r="U111" s="2696"/>
      <c r="V111" s="2696"/>
      <c r="W111" s="2696"/>
      <c r="X111" s="2696"/>
      <c r="Y111" s="2696"/>
      <c r="Z111" s="2696"/>
      <c r="AA111" s="2696"/>
      <c r="AB111" s="2696"/>
      <c r="AC111" s="2696"/>
    </row>
    <row r="112" spans="1:29" ht="14.4" thickBot="1">
      <c r="A112" s="478"/>
      <c r="B112" s="487"/>
      <c r="C112" s="514"/>
      <c r="D112" s="514"/>
      <c r="E112" s="514"/>
      <c r="F112" s="514"/>
      <c r="G112" s="480"/>
      <c r="H112" s="480"/>
      <c r="I112" s="480"/>
      <c r="J112" s="480"/>
      <c r="K112" s="480"/>
      <c r="L112" s="480"/>
      <c r="M112" s="481"/>
      <c r="N112" s="2725"/>
      <c r="O112" s="2725"/>
      <c r="P112" s="2749"/>
      <c r="Q112" s="2710"/>
      <c r="R112" s="2696"/>
      <c r="S112" s="2696"/>
      <c r="T112" s="2696"/>
      <c r="U112" s="2696"/>
      <c r="V112" s="2696"/>
      <c r="W112" s="2696"/>
      <c r="X112" s="2696"/>
      <c r="Y112" s="2696"/>
      <c r="Z112" s="2696"/>
      <c r="AA112" s="2696"/>
      <c r="AB112" s="2696"/>
      <c r="AC112" s="2696"/>
    </row>
    <row r="113" spans="1:29" s="417" customFormat="1" ht="14.4" thickTop="1">
      <c r="A113" s="537"/>
      <c r="B113" s="538">
        <f>B37</f>
        <v>111</v>
      </c>
      <c r="C113" s="539"/>
      <c r="D113" s="539"/>
      <c r="E113" s="539"/>
      <c r="F113" s="539"/>
      <c r="G113" s="539"/>
      <c r="H113" s="539"/>
      <c r="I113" s="539"/>
      <c r="J113" s="540"/>
      <c r="K113" s="540"/>
      <c r="L113" s="541"/>
      <c r="M113" s="542"/>
      <c r="N113" s="2726"/>
      <c r="O113" s="2726"/>
      <c r="P113" s="2750"/>
      <c r="Q113" s="2717"/>
      <c r="R113" s="2718"/>
      <c r="S113" s="2718"/>
      <c r="T113" s="2718"/>
      <c r="U113" s="2718"/>
      <c r="V113" s="2718"/>
      <c r="W113" s="2718"/>
      <c r="X113" s="2718"/>
      <c r="Y113" s="2718"/>
      <c r="Z113" s="2718"/>
      <c r="AA113" s="2718"/>
      <c r="AB113" s="2718"/>
      <c r="AC113" s="2718"/>
    </row>
    <row r="114" spans="1:29" s="417" customFormat="1" ht="14.4" thickBot="1">
      <c r="A114" s="497"/>
      <c r="B114" s="490"/>
      <c r="C114" s="456"/>
      <c r="D114" s="617"/>
      <c r="E114" s="617"/>
      <c r="F114" s="617"/>
      <c r="G114" s="617"/>
      <c r="H114" s="617"/>
      <c r="I114" s="617"/>
      <c r="J114" s="617"/>
      <c r="K114" s="617"/>
      <c r="L114" s="617"/>
      <c r="M114" s="639"/>
      <c r="N114" s="2725"/>
      <c r="O114" s="2725"/>
      <c r="P114" s="2750"/>
      <c r="Q114" s="2717"/>
      <c r="R114" s="2718"/>
      <c r="S114" s="2718"/>
      <c r="T114" s="2718"/>
      <c r="U114" s="2718"/>
      <c r="V114" s="2718"/>
      <c r="W114" s="2718"/>
      <c r="X114" s="2718"/>
      <c r="Y114" s="2718"/>
      <c r="Z114" s="2718"/>
      <c r="AA114" s="2718"/>
      <c r="AB114" s="2718"/>
      <c r="AC114" s="2718"/>
    </row>
    <row r="115" spans="1:29" ht="14.4">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24"/>
      <c r="O115" s="2724"/>
      <c r="P115" s="2749"/>
      <c r="Q115" s="2710"/>
      <c r="R115" s="2696"/>
      <c r="S115" s="2696"/>
      <c r="T115" s="2696"/>
      <c r="U115" s="2696"/>
      <c r="V115" s="2696"/>
      <c r="W115" s="2696"/>
      <c r="X115" s="2696"/>
      <c r="Y115" s="2696"/>
      <c r="Z115" s="2696"/>
      <c r="AA115" s="2696"/>
      <c r="AB115" s="2696"/>
      <c r="AC115" s="2696"/>
    </row>
    <row r="116" spans="1:29">
      <c r="A116" s="478"/>
      <c r="B116" s="490"/>
      <c r="C116" s="539"/>
      <c r="D116" s="539"/>
      <c r="E116" s="539"/>
      <c r="F116" s="539"/>
      <c r="G116" s="539"/>
      <c r="H116" s="539"/>
      <c r="I116" s="539"/>
      <c r="J116" s="540"/>
      <c r="K116" s="540"/>
      <c r="L116" s="541"/>
      <c r="M116" s="542"/>
      <c r="N116" s="2724"/>
      <c r="O116" s="2724"/>
      <c r="P116" s="2749"/>
      <c r="Q116" s="2710"/>
      <c r="R116" s="2696"/>
      <c r="S116" s="2696"/>
      <c r="T116" s="2696"/>
      <c r="U116" s="2696"/>
      <c r="V116" s="2696"/>
      <c r="W116" s="2696"/>
      <c r="X116" s="2696"/>
      <c r="Y116" s="2696"/>
      <c r="Z116" s="2696"/>
      <c r="AA116" s="2696"/>
      <c r="AB116" s="2696"/>
      <c r="AC116" s="2696"/>
    </row>
    <row r="117" spans="1:29" ht="14.4" thickBot="1">
      <c r="A117" s="478"/>
      <c r="B117" s="487"/>
      <c r="C117" s="514"/>
      <c r="D117" s="535"/>
      <c r="E117" s="535"/>
      <c r="F117" s="535"/>
      <c r="G117" s="535"/>
      <c r="H117" s="535"/>
      <c r="I117" s="535"/>
      <c r="J117" s="535"/>
      <c r="K117" s="535"/>
      <c r="L117" s="535"/>
      <c r="M117" s="536"/>
      <c r="N117" s="2725"/>
      <c r="O117" s="2725"/>
      <c r="P117" s="2749"/>
      <c r="Q117" s="2710"/>
      <c r="R117" s="2696"/>
      <c r="S117" s="2696"/>
      <c r="T117" s="2696"/>
      <c r="U117" s="2696"/>
      <c r="V117" s="2696"/>
      <c r="W117" s="2696"/>
      <c r="X117" s="2696"/>
      <c r="Y117" s="2696"/>
      <c r="Z117" s="2696"/>
      <c r="AA117" s="2696"/>
      <c r="AB117" s="2696"/>
      <c r="AC117" s="2696"/>
    </row>
    <row r="118" spans="1:29" ht="15" thickTop="1">
      <c r="A118" s="543"/>
      <c r="B118" s="482" t="s">
        <v>1914</v>
      </c>
      <c r="C118" s="527"/>
      <c r="D118" s="527"/>
      <c r="E118" s="527"/>
      <c r="F118" s="527"/>
      <c r="G118" s="527"/>
      <c r="H118" s="527"/>
      <c r="I118" s="527"/>
      <c r="J118" s="527"/>
      <c r="K118" s="528"/>
      <c r="L118" s="529"/>
      <c r="M118" s="530"/>
      <c r="N118" s="2724"/>
      <c r="O118" s="2724"/>
      <c r="P118" s="2749"/>
      <c r="Q118" s="2710"/>
      <c r="R118" s="2696"/>
      <c r="S118" s="2696"/>
      <c r="T118" s="2696"/>
      <c r="U118" s="2696"/>
      <c r="V118" s="2696"/>
      <c r="W118" s="2696"/>
      <c r="X118" s="2696"/>
      <c r="Y118" s="2696"/>
      <c r="Z118" s="2696"/>
      <c r="AA118" s="2696"/>
      <c r="AB118" s="2696"/>
      <c r="AC118" s="2696"/>
    </row>
    <row r="119" spans="1:29" ht="14.4"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3"/>
      <c r="B120" s="482" t="s">
        <v>1915</v>
      </c>
      <c r="C120" s="498"/>
      <c r="D120" s="498"/>
      <c r="E120" s="498"/>
      <c r="F120" s="527"/>
      <c r="G120" s="527"/>
      <c r="H120" s="527"/>
      <c r="I120" s="527"/>
      <c r="J120" s="527"/>
      <c r="K120" s="528"/>
      <c r="L120" s="529"/>
      <c r="M120" s="530"/>
      <c r="N120" s="2724"/>
      <c r="O120" s="2724"/>
      <c r="P120" s="2749"/>
      <c r="Q120" s="2710"/>
      <c r="R120" s="2696"/>
      <c r="S120" s="2696"/>
      <c r="T120" s="2696"/>
      <c r="U120" s="2696"/>
      <c r="V120" s="2696"/>
      <c r="W120" s="2696"/>
      <c r="X120" s="2696"/>
      <c r="Y120" s="2696"/>
      <c r="Z120" s="2696"/>
      <c r="AA120" s="2696"/>
      <c r="AB120" s="2696"/>
      <c r="AC120" s="2696"/>
    </row>
    <row r="121" spans="1:29" ht="14.4"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25"/>
      <c r="O121" s="2725"/>
      <c r="P121" s="2749"/>
      <c r="Q121" s="2710"/>
      <c r="R121" s="2696"/>
      <c r="S121" s="2696"/>
      <c r="T121" s="2696"/>
      <c r="U121" s="2696"/>
      <c r="V121" s="2696"/>
      <c r="W121" s="2696"/>
      <c r="X121" s="2696"/>
      <c r="Y121" s="2696"/>
      <c r="Z121" s="2696"/>
      <c r="AA121" s="2696"/>
      <c r="AB121" s="2696"/>
      <c r="AC121" s="2696"/>
    </row>
    <row r="122" spans="1:29" s="417" customFormat="1" ht="15" thickTop="1">
      <c r="A122" s="537"/>
      <c r="B122" s="482" t="s">
        <v>1916</v>
      </c>
      <c r="C122" s="498"/>
      <c r="D122" s="498"/>
      <c r="E122" s="498"/>
      <c r="F122" s="498"/>
      <c r="G122" s="498"/>
      <c r="H122" s="527"/>
      <c r="I122" s="527"/>
      <c r="J122" s="527"/>
      <c r="K122" s="528"/>
      <c r="L122" s="529"/>
      <c r="M122" s="530"/>
      <c r="N122" s="2726"/>
      <c r="O122" s="2726"/>
      <c r="P122" s="2750"/>
      <c r="Q122" s="2717"/>
      <c r="R122" s="2718"/>
      <c r="S122" s="2718"/>
      <c r="T122" s="2718"/>
      <c r="U122" s="2718"/>
      <c r="V122" s="2718"/>
      <c r="W122" s="2718"/>
      <c r="X122" s="2718"/>
      <c r="Y122" s="2718"/>
      <c r="Z122" s="2718"/>
      <c r="AA122" s="2718"/>
      <c r="AB122" s="2718"/>
      <c r="AC122" s="2718"/>
    </row>
    <row r="123" spans="1:29" s="417" customFormat="1" ht="14.4"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3"/>
      <c r="B124" s="482" t="s">
        <v>1917</v>
      </c>
      <c r="C124" s="498"/>
      <c r="D124" s="498"/>
      <c r="E124" s="527"/>
      <c r="F124" s="527"/>
      <c r="G124" s="527"/>
      <c r="H124" s="527"/>
      <c r="I124" s="527"/>
      <c r="J124" s="527"/>
      <c r="K124" s="528"/>
      <c r="L124" s="529"/>
      <c r="M124" s="530"/>
      <c r="N124" s="2724"/>
      <c r="O124" s="2724"/>
      <c r="P124" s="2749"/>
      <c r="Q124" s="2710"/>
      <c r="R124" s="2696"/>
      <c r="S124" s="2696"/>
      <c r="T124" s="2696"/>
      <c r="U124" s="2696"/>
      <c r="V124" s="2696"/>
      <c r="W124" s="2696"/>
      <c r="X124" s="2696"/>
      <c r="Y124" s="2696"/>
      <c r="Z124" s="2696"/>
      <c r="AA124" s="2696"/>
      <c r="AB124" s="2696"/>
      <c r="AC124" s="2696"/>
    </row>
    <row r="125" spans="1:29" ht="14.4"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25"/>
      <c r="O125" s="2725"/>
      <c r="P125" s="2749"/>
      <c r="Q125" s="2710"/>
      <c r="R125" s="2696"/>
      <c r="S125" s="2696"/>
      <c r="T125" s="2696"/>
      <c r="U125" s="2696"/>
      <c r="V125" s="2696"/>
      <c r="W125" s="2696"/>
      <c r="X125" s="2696"/>
      <c r="Y125" s="2696"/>
      <c r="Z125" s="2696"/>
      <c r="AA125" s="2696"/>
      <c r="AB125" s="2696"/>
      <c r="AC125" s="2696"/>
    </row>
    <row r="126" spans="1:29" ht="14.4" thickTop="1">
      <c r="A126" s="543"/>
      <c r="B126" s="482">
        <f>B43</f>
        <v>111</v>
      </c>
      <c r="C126" s="498"/>
      <c r="D126" s="498"/>
      <c r="E126" s="498"/>
      <c r="F126" s="498"/>
      <c r="G126" s="498"/>
      <c r="H126" s="527"/>
      <c r="I126" s="527"/>
      <c r="J126" s="527"/>
      <c r="K126" s="528"/>
      <c r="L126" s="529"/>
      <c r="M126" s="530"/>
      <c r="N126" s="2724"/>
      <c r="O126" s="2724"/>
      <c r="P126" s="2749"/>
      <c r="Q126" s="2710"/>
      <c r="R126" s="2696"/>
      <c r="S126" s="2696"/>
      <c r="T126" s="2696"/>
      <c r="U126" s="2696"/>
      <c r="V126" s="2696"/>
      <c r="W126" s="2696"/>
      <c r="X126" s="2696"/>
      <c r="Y126" s="2696"/>
      <c r="Z126" s="2696"/>
      <c r="AA126" s="2696"/>
      <c r="AB126" s="2696"/>
      <c r="AC126" s="2696"/>
    </row>
    <row r="127" spans="1:29" ht="14.4" thickBot="1">
      <c r="A127" s="478"/>
      <c r="B127" s="487"/>
      <c r="C127" s="504"/>
      <c r="D127" s="504"/>
      <c r="E127" s="504"/>
      <c r="F127" s="504"/>
      <c r="G127" s="480"/>
      <c r="H127" s="480"/>
      <c r="I127" s="480"/>
      <c r="J127" s="480"/>
      <c r="K127" s="480"/>
      <c r="L127" s="480"/>
      <c r="M127" s="481"/>
      <c r="N127" s="2725"/>
      <c r="O127" s="2725"/>
      <c r="P127" s="2749"/>
      <c r="Q127" s="2710"/>
      <c r="R127" s="2696"/>
      <c r="S127" s="2696"/>
      <c r="T127" s="2696"/>
      <c r="U127" s="2696"/>
      <c r="V127" s="2696"/>
      <c r="W127" s="2696"/>
      <c r="X127" s="2696"/>
      <c r="Y127" s="2696"/>
      <c r="Z127" s="2696"/>
      <c r="AA127" s="2696"/>
      <c r="AB127" s="2696"/>
      <c r="AC127" s="2696"/>
    </row>
    <row r="128" spans="1:29" ht="14.4" thickTop="1">
      <c r="A128" s="543"/>
      <c r="B128" s="482">
        <f>B44</f>
        <v>111</v>
      </c>
      <c r="C128" s="467"/>
      <c r="D128" s="467"/>
      <c r="E128" s="467"/>
      <c r="F128" s="467"/>
      <c r="G128" s="527"/>
      <c r="H128" s="527"/>
      <c r="I128" s="527"/>
      <c r="J128" s="527"/>
      <c r="K128" s="528"/>
      <c r="L128" s="529"/>
      <c r="M128" s="530"/>
      <c r="N128" s="2724"/>
      <c r="O128" s="2724"/>
      <c r="P128" s="2749"/>
      <c r="Q128" s="2710"/>
      <c r="R128" s="2696"/>
      <c r="S128" s="2696"/>
      <c r="T128" s="2696"/>
      <c r="U128" s="2696"/>
      <c r="V128" s="2696"/>
      <c r="W128" s="2696"/>
      <c r="X128" s="2696"/>
      <c r="Y128" s="2696"/>
      <c r="Z128" s="2696"/>
      <c r="AA128" s="2696"/>
      <c r="AB128" s="2696"/>
      <c r="AC128" s="2696"/>
    </row>
    <row r="129" spans="1:29" ht="14.4" thickBot="1">
      <c r="A129" s="478"/>
      <c r="B129" s="487"/>
      <c r="C129" s="514"/>
      <c r="D129" s="514"/>
      <c r="E129" s="514"/>
      <c r="F129" s="514"/>
      <c r="G129" s="480"/>
      <c r="H129" s="480"/>
      <c r="I129" s="480"/>
      <c r="J129" s="480"/>
      <c r="K129" s="480"/>
      <c r="L129" s="480"/>
      <c r="M129" s="481"/>
      <c r="N129" s="2725"/>
      <c r="O129" s="2725"/>
      <c r="P129" s="2749"/>
      <c r="Q129" s="2710"/>
      <c r="R129" s="2696"/>
      <c r="S129" s="2696"/>
      <c r="T129" s="2696"/>
      <c r="U129" s="2696"/>
      <c r="V129" s="2696"/>
      <c r="W129" s="2696"/>
      <c r="X129" s="2696"/>
      <c r="Y129" s="2696"/>
      <c r="Z129" s="2696"/>
      <c r="AA129" s="2696"/>
      <c r="AB129" s="2696"/>
      <c r="AC129" s="2696"/>
    </row>
    <row r="130" spans="1:29" s="417" customFormat="1" ht="14.4" thickTop="1">
      <c r="A130" s="537"/>
      <c r="B130" s="482">
        <f>B45</f>
        <v>111</v>
      </c>
      <c r="C130" s="467"/>
      <c r="D130" s="467"/>
      <c r="E130" s="467"/>
      <c r="F130" s="467"/>
      <c r="G130" s="499"/>
      <c r="H130" s="499"/>
      <c r="I130" s="499"/>
      <c r="J130" s="499"/>
      <c r="K130" s="499"/>
      <c r="L130" s="500"/>
      <c r="M130" s="501"/>
      <c r="N130" s="2726"/>
      <c r="O130" s="2726"/>
      <c r="P130" s="2750"/>
      <c r="Q130" s="2717"/>
      <c r="R130" s="2718"/>
      <c r="S130" s="2718"/>
      <c r="T130" s="2718"/>
      <c r="U130" s="2718"/>
      <c r="V130" s="2718"/>
      <c r="W130" s="2718"/>
      <c r="X130" s="2718"/>
      <c r="Y130" s="2718"/>
      <c r="Z130" s="2718"/>
      <c r="AA130" s="2718"/>
      <c r="AB130" s="2718"/>
      <c r="AC130" s="2718"/>
    </row>
    <row r="131" spans="1:29" s="417" customFormat="1" ht="14.4" thickBot="1">
      <c r="A131" s="512"/>
      <c r="B131" s="640"/>
      <c r="C131" s="514"/>
      <c r="D131" s="514"/>
      <c r="E131" s="514"/>
      <c r="F131" s="514"/>
      <c r="G131" s="535"/>
      <c r="H131" s="535"/>
      <c r="I131" s="535"/>
      <c r="J131" s="535"/>
      <c r="K131" s="535"/>
      <c r="L131" s="535"/>
      <c r="M131" s="536"/>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3" t="s">
        <v>1867</v>
      </c>
      <c r="B1" s="344"/>
      <c r="C1" s="345" t="s">
        <v>1918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7" customFormat="1" ht="28.5" customHeight="1">
      <c r="A2" s="196" t="s">
        <v>1462</v>
      </c>
      <c r="B2" s="611" t="e">
        <f>F61</f>
        <v>#DIV/0!</v>
      </c>
      <c r="C2" s="898"/>
      <c r="D2" s="898"/>
      <c r="E2" s="898"/>
      <c r="F2" s="899"/>
      <c r="G2" s="898"/>
      <c r="H2" s="898"/>
      <c r="I2" s="898"/>
      <c r="J2" s="898"/>
      <c r="K2" s="900"/>
      <c r="L2" s="2705"/>
      <c r="M2" s="2706"/>
      <c r="N2" s="2706"/>
      <c r="O2" s="2706"/>
      <c r="P2" s="691"/>
      <c r="Q2" s="691"/>
      <c r="R2" s="691"/>
      <c r="S2" s="691"/>
      <c r="T2" s="691"/>
      <c r="U2" s="691"/>
      <c r="V2" s="691"/>
      <c r="W2" s="691"/>
      <c r="X2" s="691"/>
      <c r="Y2" s="691"/>
      <c r="Z2" s="691"/>
      <c r="AA2" s="691"/>
      <c r="AB2" s="691"/>
      <c r="AC2" s="692"/>
    </row>
    <row r="3" spans="1:29" s="347" customFormat="1" ht="28.5" customHeight="1" thickBot="1">
      <c r="A3" s="198" t="s">
        <v>1464</v>
      </c>
      <c r="B3" s="550" t="e">
        <f>ROUND(IF(D3="",B2*10000/'数据-汇总表'!E3,B2*10000/D3),0)</f>
        <v>#DIV/0!</v>
      </c>
      <c r="C3" s="198" t="s">
        <v>1869</v>
      </c>
      <c r="D3" s="1180"/>
      <c r="E3" s="898"/>
      <c r="F3" s="899"/>
      <c r="G3" s="898"/>
      <c r="H3" s="898"/>
      <c r="I3" s="898"/>
      <c r="J3" s="898"/>
      <c r="K3" s="900"/>
      <c r="L3" s="2705"/>
      <c r="M3" s="2706"/>
      <c r="N3" s="2706"/>
      <c r="O3" s="2706"/>
      <c r="P3" s="691"/>
      <c r="Q3" s="691"/>
      <c r="R3" s="691"/>
      <c r="S3" s="691"/>
      <c r="T3" s="691"/>
      <c r="U3" s="691"/>
      <c r="V3" s="691"/>
      <c r="W3" s="691"/>
      <c r="X3" s="691"/>
      <c r="Y3" s="691"/>
      <c r="Z3" s="691"/>
      <c r="AA3" s="691"/>
      <c r="AB3" s="708"/>
      <c r="AC3" s="705"/>
    </row>
    <row r="4" spans="1:29" ht="14.4">
      <c r="A4" s="350" t="s">
        <v>1769</v>
      </c>
      <c r="B4" s="351"/>
      <c r="C4" s="4213" t="s">
        <v>1770</v>
      </c>
      <c r="D4" s="4214"/>
      <c r="E4" s="4215" t="s">
        <v>1771</v>
      </c>
      <c r="F4" s="4216"/>
      <c r="G4" s="4213" t="s">
        <v>1772</v>
      </c>
      <c r="H4" s="4214"/>
      <c r="I4" s="4213" t="s">
        <v>1773</v>
      </c>
      <c r="J4" s="4214"/>
      <c r="K4" s="551" t="s">
        <v>1774</v>
      </c>
      <c r="L4" s="2686"/>
      <c r="M4" s="2687"/>
      <c r="N4" s="2687"/>
      <c r="O4" s="2687"/>
      <c r="P4" s="4186" t="s">
        <v>1775</v>
      </c>
      <c r="Q4" s="4187"/>
      <c r="R4" s="4192" t="s">
        <v>1771</v>
      </c>
      <c r="S4" s="4193"/>
      <c r="T4" s="4192" t="s">
        <v>1772</v>
      </c>
      <c r="U4" s="4193"/>
      <c r="V4" s="4198" t="s">
        <v>1773</v>
      </c>
      <c r="W4" s="4198"/>
      <c r="X4" s="1342"/>
      <c r="Y4" s="4192" t="s">
        <v>1775</v>
      </c>
      <c r="Z4" s="4193"/>
      <c r="AA4" s="4179" t="s">
        <v>1771</v>
      </c>
      <c r="AB4" s="4180" t="s">
        <v>1772</v>
      </c>
      <c r="AC4" s="4179" t="s">
        <v>1773</v>
      </c>
    </row>
    <row r="5" spans="1:29">
      <c r="A5" s="353"/>
      <c r="B5" s="354"/>
      <c r="C5" s="4219" t="s">
        <v>1673</v>
      </c>
      <c r="D5" s="4220"/>
      <c r="E5" s="4223" t="s">
        <v>1674</v>
      </c>
      <c r="F5" s="4224"/>
      <c r="G5" s="4219" t="s">
        <v>1675</v>
      </c>
      <c r="H5" s="4220"/>
      <c r="I5" s="4219" t="s">
        <v>1676</v>
      </c>
      <c r="J5" s="4220"/>
      <c r="K5" s="551"/>
      <c r="L5" s="2686"/>
      <c r="M5" s="2687"/>
      <c r="N5" s="2687"/>
      <c r="O5" s="2687"/>
      <c r="P5" s="4188"/>
      <c r="Q5" s="4189"/>
      <c r="R5" s="4194"/>
      <c r="S5" s="4195"/>
      <c r="T5" s="4194"/>
      <c r="U5" s="4195"/>
      <c r="V5" s="4198"/>
      <c r="W5" s="4198"/>
      <c r="X5" s="1342"/>
      <c r="Y5" s="4194"/>
      <c r="Z5" s="4195"/>
      <c r="AA5" s="4180"/>
      <c r="AB5" s="4180"/>
      <c r="AC5" s="4180"/>
    </row>
    <row r="6" spans="1:29" ht="15" thickBot="1">
      <c r="A6" s="355"/>
      <c r="B6" s="356"/>
      <c r="C6" s="4245" t="s">
        <v>1919</v>
      </c>
      <c r="D6" s="4246"/>
      <c r="E6" s="4247" t="s">
        <v>1919</v>
      </c>
      <c r="F6" s="4248"/>
      <c r="G6" s="4245" t="s">
        <v>1919</v>
      </c>
      <c r="H6" s="4246"/>
      <c r="I6" s="4245" t="s">
        <v>1919</v>
      </c>
      <c r="J6" s="4246"/>
      <c r="K6" s="551" t="s">
        <v>1678</v>
      </c>
      <c r="L6" s="2686"/>
      <c r="M6" s="2687"/>
      <c r="N6" s="2687"/>
      <c r="O6" s="2687"/>
      <c r="P6" s="4190"/>
      <c r="Q6" s="4191"/>
      <c r="R6" s="4194"/>
      <c r="S6" s="4195"/>
      <c r="T6" s="4196"/>
      <c r="U6" s="4197"/>
      <c r="V6" s="4198"/>
      <c r="W6" s="4198"/>
      <c r="X6" s="1342"/>
      <c r="Y6" s="4196"/>
      <c r="Z6" s="4197"/>
      <c r="AA6" s="4181"/>
      <c r="AB6" s="4181"/>
      <c r="AC6" s="4181"/>
    </row>
    <row r="7" spans="1:29" s="108" customFormat="1" ht="15" thickBot="1">
      <c r="A7" s="357" t="s">
        <v>1679</v>
      </c>
      <c r="B7" s="358"/>
      <c r="C7" s="359">
        <f>'数据-取费表'!B2</f>
        <v>37917</v>
      </c>
      <c r="D7" s="360">
        <v>100</v>
      </c>
      <c r="E7" s="361"/>
      <c r="F7" s="362">
        <f>SUMIF(65:65,YEAR(E7)&amp;"-"&amp;INT((MONTH(E7)+2)/3),66:66)</f>
        <v>0</v>
      </c>
      <c r="G7" s="1946"/>
      <c r="H7" s="360">
        <f>SUMIF(65:65,YEAR(G7)&amp;"-"&amp;INT((MONTH(G7)+2)/3),66:66)</f>
        <v>0</v>
      </c>
      <c r="I7" s="1946"/>
      <c r="J7" s="360">
        <f>SUMIF(65:65,YEAR(I7)&amp;"-"&amp;INT((MONTH(I7)+2)/3),66:66)</f>
        <v>0</v>
      </c>
      <c r="K7" s="552"/>
      <c r="L7" s="2688"/>
      <c r="M7" s="2689"/>
      <c r="N7" s="2689"/>
      <c r="O7" s="2689"/>
      <c r="P7" s="4203" t="s">
        <v>1680</v>
      </c>
      <c r="Q7" s="4205"/>
      <c r="R7" s="693" t="s">
        <v>14</v>
      </c>
      <c r="S7" s="694">
        <f t="shared" ref="S7:S15" si="0">F7</f>
        <v>0</v>
      </c>
      <c r="T7" s="693" t="s">
        <v>14</v>
      </c>
      <c r="U7" s="694">
        <f t="shared" ref="U7:U15" si="1">H7</f>
        <v>0</v>
      </c>
      <c r="V7" s="693" t="s">
        <v>14</v>
      </c>
      <c r="W7" s="694">
        <f t="shared" ref="W7:W15" si="2">J7</f>
        <v>0</v>
      </c>
      <c r="X7" s="695"/>
      <c r="Y7" s="4203" t="s">
        <v>1680</v>
      </c>
      <c r="Z7" s="4204"/>
      <c r="AA7" s="696" t="e">
        <f>D7/F7</f>
        <v>#DIV/0!</v>
      </c>
      <c r="AB7" s="696" t="e">
        <f>D7/H7</f>
        <v>#DIV/0!</v>
      </c>
      <c r="AC7" s="696" t="e">
        <f>D7/J7</f>
        <v>#DIV/0!</v>
      </c>
    </row>
    <row r="8" spans="1:29" s="108" customFormat="1" ht="1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2"/>
      <c r="L8" s="2688"/>
      <c r="M8" s="2689"/>
      <c r="N8" s="2689"/>
      <c r="O8" s="2689"/>
      <c r="P8" s="4203" t="s">
        <v>1683</v>
      </c>
      <c r="Q8" s="4204"/>
      <c r="R8" s="693" t="s">
        <v>14</v>
      </c>
      <c r="S8" s="694">
        <f t="shared" si="0"/>
        <v>0</v>
      </c>
      <c r="T8" s="693" t="s">
        <v>14</v>
      </c>
      <c r="U8" s="694">
        <f t="shared" si="1"/>
        <v>0</v>
      </c>
      <c r="V8" s="693" t="s">
        <v>14</v>
      </c>
      <c r="W8" s="694">
        <f t="shared" si="2"/>
        <v>0</v>
      </c>
      <c r="X8" s="695"/>
      <c r="Y8" s="4203" t="s">
        <v>1683</v>
      </c>
      <c r="Z8" s="4204"/>
      <c r="AA8" s="696" t="e">
        <f t="shared" ref="AA8:AA40" si="3">D8/F8</f>
        <v>#DIV/0!</v>
      </c>
      <c r="AB8" s="696" t="e">
        <f t="shared" ref="AB8:AB40" si="4">D8/H8</f>
        <v>#DIV/0!</v>
      </c>
      <c r="AC8" s="696" t="e">
        <f t="shared" ref="AC8:AC40" si="5">D8/J8</f>
        <v>#DIV/0!</v>
      </c>
    </row>
    <row r="9" spans="1:29" s="108" customFormat="1" ht="14.4">
      <c r="A9" s="364" t="s">
        <v>1684</v>
      </c>
      <c r="B9" s="63" t="s">
        <v>1685</v>
      </c>
      <c r="C9" s="1949"/>
      <c r="D9" s="126">
        <v>100</v>
      </c>
      <c r="E9" s="1949"/>
      <c r="F9" s="126">
        <f>SUMIF(70:70,E9,71:71)-SUMIF(70:70,C9,71:71)+100</f>
        <v>100</v>
      </c>
      <c r="G9" s="1949"/>
      <c r="H9" s="126">
        <f>SUMIF(70:70,G9,71:71)-SUMIF(70:70,C9,71:71)+100</f>
        <v>100</v>
      </c>
      <c r="I9" s="1949"/>
      <c r="J9" s="126">
        <f>SUMIF(70:70,I9,71:71)-SUMIF(70:70,C9,71:71)+100</f>
        <v>100</v>
      </c>
      <c r="K9" s="552"/>
      <c r="L9" s="2688"/>
      <c r="M9" s="2689"/>
      <c r="N9" s="2689"/>
      <c r="O9" s="2743"/>
      <c r="P9" s="4166" t="s">
        <v>1686</v>
      </c>
      <c r="Q9" s="1330" t="str">
        <f t="shared" ref="Q9:Q15" si="6">B9</f>
        <v>用途</v>
      </c>
      <c r="R9" s="693" t="s">
        <v>14</v>
      </c>
      <c r="S9" s="694">
        <f t="shared" si="0"/>
        <v>100</v>
      </c>
      <c r="T9" s="693" t="s">
        <v>14</v>
      </c>
      <c r="U9" s="694">
        <f t="shared" si="1"/>
        <v>100</v>
      </c>
      <c r="V9" s="693" t="s">
        <v>14</v>
      </c>
      <c r="W9" s="694">
        <f t="shared" si="2"/>
        <v>100</v>
      </c>
      <c r="X9" s="695"/>
      <c r="Y9" s="4178" t="s">
        <v>1687</v>
      </c>
      <c r="Z9" s="52" t="str">
        <f t="shared" ref="Z9:Z15" si="7">Q9</f>
        <v>用途</v>
      </c>
      <c r="AA9" s="696">
        <f t="shared" si="3"/>
        <v>1</v>
      </c>
      <c r="AB9" s="696">
        <f t="shared" si="4"/>
        <v>1</v>
      </c>
      <c r="AC9" s="696">
        <f t="shared" si="5"/>
        <v>1</v>
      </c>
    </row>
    <row r="10" spans="1:29" s="373" customFormat="1" ht="28.8">
      <c r="A10" s="369"/>
      <c r="B10" s="370" t="s">
        <v>1688</v>
      </c>
      <c r="C10" s="378"/>
      <c r="D10" s="127">
        <v>100</v>
      </c>
      <c r="E10" s="378"/>
      <c r="F10" s="127" t="e">
        <f>ROUND(100/'数据-取费表'!G16,0)</f>
        <v>#DIV/0!</v>
      </c>
      <c r="G10" s="378"/>
      <c r="H10" s="127" t="e">
        <f>ROUND(100/'数据-取费表'!G16,0)</f>
        <v>#DIV/0!</v>
      </c>
      <c r="I10" s="378"/>
      <c r="J10" s="127" t="e">
        <f>ROUND(100/'数据-取费表'!G16,0)</f>
        <v>#DIV/0!</v>
      </c>
      <c r="K10" s="612"/>
      <c r="L10" s="2690"/>
      <c r="M10" s="2691"/>
      <c r="N10" s="2691"/>
      <c r="O10" s="2744"/>
      <c r="P10" s="4166"/>
      <c r="Q10" s="1330" t="str">
        <f t="shared" si="6"/>
        <v>土地使用年限（年）</v>
      </c>
      <c r="R10" s="693" t="s">
        <v>14</v>
      </c>
      <c r="S10" s="694" t="e">
        <f t="shared" si="0"/>
        <v>#DIV/0!</v>
      </c>
      <c r="T10" s="693" t="s">
        <v>14</v>
      </c>
      <c r="U10" s="694" t="e">
        <f t="shared" si="1"/>
        <v>#DIV/0!</v>
      </c>
      <c r="V10" s="693" t="s">
        <v>14</v>
      </c>
      <c r="W10" s="694" t="e">
        <f t="shared" si="2"/>
        <v>#DIV/0!</v>
      </c>
      <c r="X10" s="695"/>
      <c r="Y10" s="4178"/>
      <c r="Z10" s="52" t="str">
        <f t="shared" si="7"/>
        <v>土地使用年限（年）</v>
      </c>
      <c r="AA10" s="696" t="e">
        <f t="shared" si="3"/>
        <v>#DIV/0!</v>
      </c>
      <c r="AB10" s="696" t="e">
        <f t="shared" si="4"/>
        <v>#DIV/0!</v>
      </c>
      <c r="AC10" s="696" t="e">
        <f t="shared" si="5"/>
        <v>#DIV/0!</v>
      </c>
    </row>
    <row r="11" spans="1:29" ht="15">
      <c r="A11" s="374"/>
      <c r="B11" s="370" t="s">
        <v>1689</v>
      </c>
      <c r="C11" s="375"/>
      <c r="D11" s="127">
        <v>100</v>
      </c>
      <c r="E11" s="375"/>
      <c r="F11" s="127" t="e">
        <f>LOOKUP(E11,75:75,76:76)-LOOKUP(C11,75:75,76:76)+100</f>
        <v>#N/A</v>
      </c>
      <c r="G11" s="376"/>
      <c r="H11" s="127" t="e">
        <f>LOOKUP(G11,75:75,76:76)-LOOKUP(C11,75:75,76:76)+100</f>
        <v>#N/A</v>
      </c>
      <c r="I11" s="375"/>
      <c r="J11" s="127" t="e">
        <f>LOOKUP(I11,75:75,76:76)-LOOKUP(C11,75:75,76:76)+100</f>
        <v>#N/A</v>
      </c>
      <c r="K11" s="613"/>
      <c r="L11" s="2692"/>
      <c r="M11" s="2687"/>
      <c r="N11" s="2687"/>
      <c r="O11" s="2745"/>
      <c r="P11" s="4166"/>
      <c r="Q11" s="1330" t="str">
        <f t="shared" si="6"/>
        <v>容积率</v>
      </c>
      <c r="R11" s="693" t="s">
        <v>14</v>
      </c>
      <c r="S11" s="694" t="e">
        <f t="shared" si="0"/>
        <v>#N/A</v>
      </c>
      <c r="T11" s="693" t="s">
        <v>14</v>
      </c>
      <c r="U11" s="694" t="e">
        <f t="shared" si="1"/>
        <v>#N/A</v>
      </c>
      <c r="V11" s="693" t="s">
        <v>14</v>
      </c>
      <c r="W11" s="694" t="e">
        <f t="shared" si="2"/>
        <v>#N/A</v>
      </c>
      <c r="X11" s="695"/>
      <c r="Y11" s="4178"/>
      <c r="Z11" s="52" t="str">
        <f t="shared" si="7"/>
        <v>容积率</v>
      </c>
      <c r="AA11" s="696" t="e">
        <f t="shared" si="3"/>
        <v>#N/A</v>
      </c>
      <c r="AB11" s="696" t="e">
        <f t="shared" si="4"/>
        <v>#N/A</v>
      </c>
      <c r="AC11" s="696" t="e">
        <f t="shared" si="5"/>
        <v>#N/A</v>
      </c>
    </row>
    <row r="12" spans="1:29" s="108" customFormat="1" ht="15">
      <c r="A12" s="377"/>
      <c r="B12" s="1868">
        <v>111</v>
      </c>
      <c r="C12" s="378"/>
      <c r="D12" s="379">
        <v>100</v>
      </c>
      <c r="E12" s="493"/>
      <c r="F12" s="127">
        <f>SUMIF(77:77,E12,78:78)-SUMIF(77:77,C12,78:78)+100</f>
        <v>100</v>
      </c>
      <c r="G12" s="614"/>
      <c r="H12" s="127">
        <f>SUMIF(77:77,G12,78:78)-SUMIF(77:77,C12,78:78)+100</f>
        <v>100</v>
      </c>
      <c r="I12" s="493"/>
      <c r="J12" s="127">
        <f>SUMIF(77:77,I12,78:78)-SUMIF(77:77,C12,78:78)+100</f>
        <v>100</v>
      </c>
      <c r="K12" s="612"/>
      <c r="L12" s="2688"/>
      <c r="M12" s="2689"/>
      <c r="N12" s="2689"/>
      <c r="O12" s="2743"/>
      <c r="P12" s="4166"/>
      <c r="Q12" s="1330">
        <f t="shared" si="6"/>
        <v>111</v>
      </c>
      <c r="R12" s="693" t="s">
        <v>14</v>
      </c>
      <c r="S12" s="694">
        <f t="shared" si="0"/>
        <v>100</v>
      </c>
      <c r="T12" s="693" t="s">
        <v>14</v>
      </c>
      <c r="U12" s="694">
        <f t="shared" si="1"/>
        <v>100</v>
      </c>
      <c r="V12" s="693" t="s">
        <v>14</v>
      </c>
      <c r="W12" s="694">
        <f t="shared" si="2"/>
        <v>100</v>
      </c>
      <c r="X12" s="695"/>
      <c r="Y12" s="4178"/>
      <c r="Z12" s="52">
        <f t="shared" si="7"/>
        <v>111</v>
      </c>
      <c r="AA12" s="696">
        <f>D12/F12</f>
        <v>1</v>
      </c>
      <c r="AB12" s="696">
        <f>D12/H12</f>
        <v>1</v>
      </c>
      <c r="AC12" s="696">
        <f>D12/J12</f>
        <v>1</v>
      </c>
    </row>
    <row r="13" spans="1:29" ht="15">
      <c r="A13" s="374"/>
      <c r="B13" s="1868">
        <v>111</v>
      </c>
      <c r="C13" s="380"/>
      <c r="D13" s="381">
        <v>100</v>
      </c>
      <c r="E13" s="493"/>
      <c r="F13" s="127">
        <f>SUMIF(79:79,E13,80:80)-SUMIF(79:79,C13,80:80)+100</f>
        <v>100</v>
      </c>
      <c r="G13" s="614"/>
      <c r="H13" s="381">
        <f>SUMIF(79:79,G13,80:80)-SUMIF(79:79,C13,80:80)+100</f>
        <v>100</v>
      </c>
      <c r="I13" s="493"/>
      <c r="J13" s="381">
        <f>SUMIF(79:79,I13,80:80)-SUMIF(79:79,C13,80:80)+100</f>
        <v>100</v>
      </c>
      <c r="K13" s="612"/>
      <c r="L13" s="2693"/>
      <c r="M13" s="2687"/>
      <c r="N13" s="2687"/>
      <c r="O13" s="2745"/>
      <c r="P13" s="4166"/>
      <c r="Q13" s="1330">
        <f t="shared" si="6"/>
        <v>111</v>
      </c>
      <c r="R13" s="693" t="s">
        <v>14</v>
      </c>
      <c r="S13" s="694">
        <f t="shared" si="0"/>
        <v>100</v>
      </c>
      <c r="T13" s="693" t="s">
        <v>14</v>
      </c>
      <c r="U13" s="694">
        <f t="shared" si="1"/>
        <v>100</v>
      </c>
      <c r="V13" s="693" t="s">
        <v>14</v>
      </c>
      <c r="W13" s="694">
        <f t="shared" si="2"/>
        <v>100</v>
      </c>
      <c r="X13" s="695"/>
      <c r="Y13" s="4178"/>
      <c r="Z13" s="52">
        <f t="shared" si="7"/>
        <v>111</v>
      </c>
      <c r="AA13" s="696">
        <f t="shared" si="3"/>
        <v>1</v>
      </c>
      <c r="AB13" s="696">
        <f t="shared" si="4"/>
        <v>1</v>
      </c>
      <c r="AC13" s="696">
        <f t="shared" si="5"/>
        <v>1</v>
      </c>
    </row>
    <row r="14" spans="1:29" ht="15.6" thickBot="1">
      <c r="A14" s="382"/>
      <c r="B14" s="1870">
        <v>111</v>
      </c>
      <c r="C14" s="383"/>
      <c r="D14" s="384">
        <v>100</v>
      </c>
      <c r="E14" s="493"/>
      <c r="F14" s="384">
        <f>SUMIF(81:81,E14,82:82)-SUMIF(81:81,C14,82:82)+100</f>
        <v>100</v>
      </c>
      <c r="G14" s="614"/>
      <c r="H14" s="384">
        <f>SUMIF(81:81,G14,82:82)-SUMIF(81:81,C14,82:82)+100</f>
        <v>100</v>
      </c>
      <c r="I14" s="493"/>
      <c r="J14" s="384">
        <f>SUMIF(81:81,I14,82:82)-SUMIF(81:81,C14,82:82)+100</f>
        <v>100</v>
      </c>
      <c r="K14" s="612"/>
      <c r="L14" s="2693"/>
      <c r="M14" s="2687"/>
      <c r="N14" s="2687"/>
      <c r="O14" s="2745"/>
      <c r="P14" s="4166"/>
      <c r="Q14" s="1330">
        <f t="shared" si="6"/>
        <v>111</v>
      </c>
      <c r="R14" s="693" t="s">
        <v>14</v>
      </c>
      <c r="S14" s="694">
        <f t="shared" si="0"/>
        <v>100</v>
      </c>
      <c r="T14" s="693" t="s">
        <v>14</v>
      </c>
      <c r="U14" s="694">
        <f t="shared" si="1"/>
        <v>100</v>
      </c>
      <c r="V14" s="693" t="s">
        <v>14</v>
      </c>
      <c r="W14" s="694">
        <f t="shared" si="2"/>
        <v>100</v>
      </c>
      <c r="X14" s="695"/>
      <c r="Y14" s="4178"/>
      <c r="Z14" s="52">
        <f t="shared" si="7"/>
        <v>111</v>
      </c>
      <c r="AA14" s="696">
        <f t="shared" si="3"/>
        <v>1</v>
      </c>
      <c r="AB14" s="696">
        <f t="shared" si="4"/>
        <v>1</v>
      </c>
      <c r="AC14" s="696">
        <f t="shared" si="5"/>
        <v>1</v>
      </c>
    </row>
    <row r="15" spans="1:29" ht="69">
      <c r="A15" s="386" t="s">
        <v>1690</v>
      </c>
      <c r="B15" s="569" t="s">
        <v>1920</v>
      </c>
      <c r="C15" s="1943"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3"/>
      <c r="L15" s="2693"/>
      <c r="M15" s="2687"/>
      <c r="N15" s="2687"/>
      <c r="O15" s="2745"/>
      <c r="P15" s="4168" t="s">
        <v>1691</v>
      </c>
      <c r="Q15" s="1339" t="str">
        <f t="shared" si="6"/>
        <v>产业集聚程度</v>
      </c>
      <c r="R15" s="697" t="s">
        <v>14</v>
      </c>
      <c r="S15" s="698">
        <f t="shared" si="0"/>
        <v>100</v>
      </c>
      <c r="T15" s="697" t="s">
        <v>14</v>
      </c>
      <c r="U15" s="698">
        <f t="shared" si="1"/>
        <v>100</v>
      </c>
      <c r="V15" s="697" t="s">
        <v>14</v>
      </c>
      <c r="W15" s="698">
        <f t="shared" si="2"/>
        <v>100</v>
      </c>
      <c r="X15" s="1342"/>
      <c r="Y15" s="4168" t="s">
        <v>1691</v>
      </c>
      <c r="Z15" s="1343" t="str">
        <f t="shared" si="7"/>
        <v>产业集聚程度</v>
      </c>
      <c r="AA15" s="1340">
        <f t="shared" si="3"/>
        <v>1</v>
      </c>
      <c r="AB15" s="1340">
        <f t="shared" si="4"/>
        <v>1</v>
      </c>
      <c r="AC15" s="1340">
        <f t="shared" si="5"/>
        <v>1</v>
      </c>
    </row>
    <row r="16" spans="1:29" ht="15">
      <c r="A16" s="374"/>
      <c r="B16" s="570"/>
      <c r="C16" s="393"/>
      <c r="D16" s="394"/>
      <c r="E16" s="1879"/>
      <c r="F16" s="394"/>
      <c r="G16" s="1879"/>
      <c r="H16" s="396"/>
      <c r="I16" s="1879"/>
      <c r="J16" s="394"/>
      <c r="K16" s="612"/>
      <c r="L16" s="2693"/>
      <c r="M16" s="2687"/>
      <c r="N16" s="2687"/>
      <c r="O16" s="2745"/>
      <c r="P16" s="4169"/>
      <c r="Q16" s="1339"/>
      <c r="R16" s="697"/>
      <c r="S16" s="698"/>
      <c r="T16" s="697"/>
      <c r="U16" s="698"/>
      <c r="V16" s="697"/>
      <c r="W16" s="698"/>
      <c r="X16" s="1342"/>
      <c r="Y16" s="4169"/>
      <c r="Z16" s="1343"/>
      <c r="AA16" s="1340">
        <v>1</v>
      </c>
      <c r="AB16" s="1340">
        <v>1</v>
      </c>
      <c r="AC16" s="1340">
        <v>1</v>
      </c>
    </row>
    <row r="17" spans="1:29" ht="96.6">
      <c r="A17" s="374"/>
      <c r="B17" s="571" t="s">
        <v>1833</v>
      </c>
      <c r="C17" s="1875"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3"/>
      <c r="L17" s="2693"/>
      <c r="M17" s="2687"/>
      <c r="N17" s="2687"/>
      <c r="O17" s="2745"/>
      <c r="P17" s="4169"/>
      <c r="Q17" s="1339" t="str">
        <f>B17</f>
        <v>交通便捷度</v>
      </c>
      <c r="R17" s="697" t="s">
        <v>14</v>
      </c>
      <c r="S17" s="698">
        <f>F17</f>
        <v>100</v>
      </c>
      <c r="T17" s="697" t="s">
        <v>14</v>
      </c>
      <c r="U17" s="698">
        <f>H17</f>
        <v>100</v>
      </c>
      <c r="V17" s="697" t="s">
        <v>14</v>
      </c>
      <c r="W17" s="698">
        <f>J17</f>
        <v>100</v>
      </c>
      <c r="X17" s="1342"/>
      <c r="Y17" s="4169"/>
      <c r="Z17" s="1343" t="str">
        <f>Q17</f>
        <v>交通便捷度</v>
      </c>
      <c r="AA17" s="1340">
        <f t="shared" si="3"/>
        <v>1</v>
      </c>
      <c r="AB17" s="1340">
        <f t="shared" si="4"/>
        <v>1</v>
      </c>
      <c r="AC17" s="1340">
        <f t="shared" si="5"/>
        <v>1</v>
      </c>
    </row>
    <row r="18" spans="1:29" ht="15">
      <c r="A18" s="374"/>
      <c r="B18" s="572"/>
      <c r="C18" s="393"/>
      <c r="D18" s="394"/>
      <c r="E18" s="1873"/>
      <c r="F18" s="394"/>
      <c r="G18" s="1873"/>
      <c r="H18" s="394"/>
      <c r="I18" s="1872"/>
      <c r="J18" s="394"/>
      <c r="K18" s="612"/>
      <c r="L18" s="2693"/>
      <c r="M18" s="2687"/>
      <c r="N18" s="2687"/>
      <c r="O18" s="2745"/>
      <c r="P18" s="4169"/>
      <c r="Q18" s="1339"/>
      <c r="R18" s="697"/>
      <c r="S18" s="698"/>
      <c r="T18" s="697"/>
      <c r="U18" s="698"/>
      <c r="V18" s="697"/>
      <c r="W18" s="698"/>
      <c r="X18" s="1342"/>
      <c r="Y18" s="4169"/>
      <c r="Z18" s="1343"/>
      <c r="AA18" s="1340">
        <v>1</v>
      </c>
      <c r="AB18" s="1340">
        <v>1</v>
      </c>
      <c r="AC18" s="1340">
        <v>1</v>
      </c>
    </row>
    <row r="19" spans="1:29" ht="28.8">
      <c r="A19" s="374"/>
      <c r="B19" s="571" t="s">
        <v>1871</v>
      </c>
      <c r="C19" s="1875">
        <f>估价对象房地状况!G17</f>
        <v>0</v>
      </c>
      <c r="D19" s="396">
        <v>100</v>
      </c>
      <c r="E19" s="398"/>
      <c r="F19" s="401">
        <f>SUMIF(87:87,E20,88:88)-SUMIF(87:87,C20,88:88)+100</f>
        <v>100</v>
      </c>
      <c r="G19" s="398"/>
      <c r="H19" s="401">
        <f>SUMIF(87:87,G20,88:88)-SUMIF(87:87,C20,88:88)+100</f>
        <v>100</v>
      </c>
      <c r="I19" s="398"/>
      <c r="J19" s="401">
        <f>SUMIF(87:87,I20,88:88)-SUMIF(87:87,C20,88:88)+100</f>
        <v>100</v>
      </c>
      <c r="K19" s="613"/>
      <c r="L19" s="2693"/>
      <c r="M19" s="2687"/>
      <c r="N19" s="2687"/>
      <c r="O19" s="2745"/>
      <c r="P19" s="4169"/>
      <c r="Q19" s="1339" t="str">
        <f t="shared" ref="Q19:Q33" si="8">B19</f>
        <v>区域土地利用方向</v>
      </c>
      <c r="R19" s="697" t="s">
        <v>14</v>
      </c>
      <c r="S19" s="698">
        <f>F19</f>
        <v>100</v>
      </c>
      <c r="T19" s="697" t="s">
        <v>14</v>
      </c>
      <c r="U19" s="698">
        <f>H19</f>
        <v>100</v>
      </c>
      <c r="V19" s="697" t="s">
        <v>14</v>
      </c>
      <c r="W19" s="698">
        <f>J19</f>
        <v>100</v>
      </c>
      <c r="X19" s="1342"/>
      <c r="Y19" s="4169"/>
      <c r="Z19" s="1343" t="str">
        <f>Q19</f>
        <v>区域土地利用方向</v>
      </c>
      <c r="AA19" s="1340">
        <f t="shared" si="3"/>
        <v>1</v>
      </c>
      <c r="AB19" s="1340">
        <f t="shared" si="4"/>
        <v>1</v>
      </c>
      <c r="AC19" s="1340">
        <f t="shared" si="5"/>
        <v>1</v>
      </c>
    </row>
    <row r="20" spans="1:29" ht="15">
      <c r="A20" s="353"/>
      <c r="B20" s="572"/>
      <c r="C20" s="393"/>
      <c r="D20" s="394"/>
      <c r="E20" s="1873"/>
      <c r="F20" s="394"/>
      <c r="G20" s="1873"/>
      <c r="H20" s="394"/>
      <c r="I20" s="1873"/>
      <c r="J20" s="394"/>
      <c r="K20" s="730"/>
      <c r="L20" s="2693"/>
      <c r="M20" s="2687"/>
      <c r="N20" s="2687"/>
      <c r="O20" s="2745"/>
      <c r="P20" s="4169"/>
      <c r="Q20" s="1339"/>
      <c r="R20" s="697"/>
      <c r="S20" s="698"/>
      <c r="T20" s="697"/>
      <c r="U20" s="698"/>
      <c r="V20" s="697"/>
      <c r="W20" s="698"/>
      <c r="X20" s="1342"/>
      <c r="Y20" s="4169"/>
      <c r="Z20" s="1343"/>
      <c r="AA20" s="1340"/>
      <c r="AB20" s="1340"/>
      <c r="AC20" s="1340"/>
    </row>
    <row r="21" spans="1:29" ht="82.8">
      <c r="A21" s="353"/>
      <c r="B21" s="571" t="s">
        <v>1921</v>
      </c>
      <c r="C21" s="1875"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3"/>
      <c r="L21" s="2693"/>
      <c r="M21" s="2687"/>
      <c r="N21" s="2687"/>
      <c r="O21" s="2745"/>
      <c r="P21" s="4169"/>
      <c r="Q21" s="1339" t="str">
        <f t="shared" si="8"/>
        <v>环境状况</v>
      </c>
      <c r="R21" s="697" t="s">
        <v>14</v>
      </c>
      <c r="S21" s="698">
        <f>F21</f>
        <v>100</v>
      </c>
      <c r="T21" s="697" t="s">
        <v>14</v>
      </c>
      <c r="U21" s="698">
        <f>H21</f>
        <v>100</v>
      </c>
      <c r="V21" s="697" t="s">
        <v>14</v>
      </c>
      <c r="W21" s="698">
        <f>J21</f>
        <v>100</v>
      </c>
      <c r="X21" s="1342"/>
      <c r="Y21" s="4169"/>
      <c r="Z21" s="1343" t="str">
        <f>Q21</f>
        <v>环境状况</v>
      </c>
      <c r="AA21" s="1340">
        <f t="shared" si="3"/>
        <v>1</v>
      </c>
      <c r="AB21" s="1340">
        <f t="shared" si="4"/>
        <v>1</v>
      </c>
      <c r="AC21" s="1340">
        <f t="shared" si="5"/>
        <v>1</v>
      </c>
    </row>
    <row r="22" spans="1:29" ht="15">
      <c r="A22" s="353"/>
      <c r="B22" s="572"/>
      <c r="C22" s="393"/>
      <c r="D22" s="394"/>
      <c r="E22" s="1879"/>
      <c r="F22" s="394"/>
      <c r="G22" s="1879"/>
      <c r="H22" s="394"/>
      <c r="I22" s="393"/>
      <c r="J22" s="394"/>
      <c r="K22" s="612"/>
      <c r="L22" s="2693"/>
      <c r="M22" s="2687"/>
      <c r="N22" s="2687"/>
      <c r="O22" s="2745"/>
      <c r="P22" s="4169"/>
      <c r="Q22" s="1339"/>
      <c r="R22" s="697"/>
      <c r="S22" s="698"/>
      <c r="T22" s="697"/>
      <c r="U22" s="698"/>
      <c r="V22" s="697"/>
      <c r="W22" s="698"/>
      <c r="X22" s="1342"/>
      <c r="Y22" s="4169"/>
      <c r="Z22" s="1343"/>
      <c r="AA22" s="1340">
        <v>1</v>
      </c>
      <c r="AB22" s="1340">
        <v>1</v>
      </c>
      <c r="AC22" s="1340">
        <v>1</v>
      </c>
    </row>
    <row r="23" spans="1:29" s="108" customFormat="1" ht="41.4">
      <c r="A23" s="589"/>
      <c r="B23" s="573" t="s">
        <v>1778</v>
      </c>
      <c r="C23" s="1875"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3"/>
      <c r="L23" s="2688"/>
      <c r="M23" s="2689"/>
      <c r="N23" s="2689"/>
      <c r="O23" s="2743"/>
      <c r="P23" s="4169"/>
      <c r="Q23" s="1330" t="str">
        <f t="shared" si="8"/>
        <v>公共配套设施</v>
      </c>
      <c r="R23" s="693" t="s">
        <v>14</v>
      </c>
      <c r="S23" s="694">
        <f>F23</f>
        <v>100</v>
      </c>
      <c r="T23" s="693" t="s">
        <v>14</v>
      </c>
      <c r="U23" s="694">
        <f>H23</f>
        <v>100</v>
      </c>
      <c r="V23" s="693" t="s">
        <v>14</v>
      </c>
      <c r="W23" s="694">
        <f>J23</f>
        <v>100</v>
      </c>
      <c r="X23" s="695"/>
      <c r="Y23" s="4169"/>
      <c r="Z23" s="52" t="str">
        <f>Q23</f>
        <v>公共配套设施</v>
      </c>
      <c r="AA23" s="1340">
        <f>D23/F23</f>
        <v>1</v>
      </c>
      <c r="AB23" s="1340">
        <f>D23/H23</f>
        <v>1</v>
      </c>
      <c r="AC23" s="1340">
        <f>D23/J23</f>
        <v>1</v>
      </c>
    </row>
    <row r="24" spans="1:29" s="108" customFormat="1" ht="15">
      <c r="A24" s="589"/>
      <c r="B24" s="572"/>
      <c r="C24" s="1950"/>
      <c r="D24" s="394"/>
      <c r="E24" s="1879"/>
      <c r="F24" s="394"/>
      <c r="G24" s="1879"/>
      <c r="H24" s="394"/>
      <c r="I24" s="393"/>
      <c r="J24" s="394"/>
      <c r="K24" s="612"/>
      <c r="L24" s="2688"/>
      <c r="M24" s="2689"/>
      <c r="N24" s="2689"/>
      <c r="O24" s="2743"/>
      <c r="P24" s="4169"/>
      <c r="Q24" s="1330"/>
      <c r="R24" s="693"/>
      <c r="S24" s="694"/>
      <c r="T24" s="693"/>
      <c r="U24" s="694"/>
      <c r="V24" s="693"/>
      <c r="W24" s="694"/>
      <c r="X24" s="695"/>
      <c r="Y24" s="4169"/>
      <c r="Z24" s="52"/>
      <c r="AA24" s="696">
        <v>1</v>
      </c>
      <c r="AB24" s="696">
        <v>1</v>
      </c>
      <c r="AC24" s="696">
        <v>1</v>
      </c>
    </row>
    <row r="25" spans="1:29" s="108" customFormat="1" ht="41.4">
      <c r="A25" s="589"/>
      <c r="B25" s="573" t="s">
        <v>1779</v>
      </c>
      <c r="C25" s="1875"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3"/>
      <c r="L25" s="2688"/>
      <c r="M25" s="2689"/>
      <c r="N25" s="2689"/>
      <c r="O25" s="2743"/>
      <c r="P25" s="4169"/>
      <c r="Q25" s="1330" t="str">
        <f t="shared" ref="Q25" si="9">B25</f>
        <v>基础设施水平</v>
      </c>
      <c r="R25" s="693" t="s">
        <v>14</v>
      </c>
      <c r="S25" s="694">
        <f>F25</f>
        <v>100</v>
      </c>
      <c r="T25" s="693" t="s">
        <v>14</v>
      </c>
      <c r="U25" s="694">
        <f>H25</f>
        <v>100</v>
      </c>
      <c r="V25" s="693" t="s">
        <v>14</v>
      </c>
      <c r="W25" s="694">
        <f>J25</f>
        <v>100</v>
      </c>
      <c r="X25" s="695"/>
      <c r="Y25" s="4169"/>
      <c r="Z25" s="52" t="str">
        <f>Q25</f>
        <v>基础设施水平</v>
      </c>
      <c r="AA25" s="1340">
        <f>D25/F25</f>
        <v>1</v>
      </c>
      <c r="AB25" s="1340">
        <f>D25/H25</f>
        <v>1</v>
      </c>
      <c r="AC25" s="1340">
        <f>D25/J25</f>
        <v>1</v>
      </c>
    </row>
    <row r="26" spans="1:29" s="108" customFormat="1" ht="15">
      <c r="A26" s="589"/>
      <c r="B26" s="572"/>
      <c r="C26" s="1950"/>
      <c r="D26" s="394"/>
      <c r="E26" s="1951"/>
      <c r="F26" s="394"/>
      <c r="G26" s="1951"/>
      <c r="H26" s="394"/>
      <c r="I26" s="1951"/>
      <c r="J26" s="394"/>
      <c r="K26" s="612"/>
      <c r="L26" s="2688"/>
      <c r="M26" s="2689"/>
      <c r="N26" s="2689"/>
      <c r="O26" s="2743"/>
      <c r="P26" s="4169"/>
      <c r="Q26" s="1330"/>
      <c r="R26" s="693"/>
      <c r="S26" s="694"/>
      <c r="T26" s="693"/>
      <c r="U26" s="694"/>
      <c r="V26" s="693"/>
      <c r="W26" s="694"/>
      <c r="X26" s="695"/>
      <c r="Y26" s="4169"/>
      <c r="Z26" s="52"/>
      <c r="AA26" s="696">
        <v>1</v>
      </c>
      <c r="AB26" s="696">
        <v>1</v>
      </c>
      <c r="AC26" s="696">
        <v>1</v>
      </c>
    </row>
    <row r="27" spans="1:29" ht="15">
      <c r="A27" s="374"/>
      <c r="B27" s="572" t="s">
        <v>1780</v>
      </c>
      <c r="C27" s="557"/>
      <c r="D27" s="381">
        <v>100</v>
      </c>
      <c r="E27" s="574"/>
      <c r="F27" s="381">
        <f>SUMIF(95:95,E27,96:96)-SUMIF(95:95,C27,96:96)+100</f>
        <v>100</v>
      </c>
      <c r="G27" s="574"/>
      <c r="H27" s="381">
        <f>SUMIF(95:95,G27,96:96)-SUMIF(95:95,C27,96:96)+100</f>
        <v>100</v>
      </c>
      <c r="I27" s="574"/>
      <c r="J27" s="381">
        <f>SUMIF(95:95,I27,96:96)-SUMIF(95:95,C27,96:96)+100</f>
        <v>100</v>
      </c>
      <c r="K27" s="613"/>
      <c r="L27" s="2693"/>
      <c r="M27" s="2687"/>
      <c r="N27" s="2687"/>
      <c r="O27" s="2745"/>
      <c r="P27" s="4169"/>
      <c r="Q27" s="1339" t="str">
        <f t="shared" si="8"/>
        <v>临街状况</v>
      </c>
      <c r="R27" s="697" t="s">
        <v>14</v>
      </c>
      <c r="S27" s="698">
        <f t="shared" ref="S27:S40" si="10">F27</f>
        <v>100</v>
      </c>
      <c r="T27" s="697" t="s">
        <v>14</v>
      </c>
      <c r="U27" s="698">
        <f t="shared" ref="U27:U40" si="11">H27</f>
        <v>100</v>
      </c>
      <c r="V27" s="697" t="s">
        <v>14</v>
      </c>
      <c r="W27" s="698">
        <f t="shared" ref="W27:W40" si="12">J27</f>
        <v>100</v>
      </c>
      <c r="X27" s="1342"/>
      <c r="Y27" s="4169"/>
      <c r="Z27" s="1343" t="str">
        <f t="shared" ref="Z27:Z40" si="13">Q27</f>
        <v>临街状况</v>
      </c>
      <c r="AA27" s="1340">
        <f t="shared" si="3"/>
        <v>1</v>
      </c>
      <c r="AB27" s="1340">
        <f t="shared" si="4"/>
        <v>1</v>
      </c>
      <c r="AC27" s="1340">
        <f t="shared" si="5"/>
        <v>1</v>
      </c>
    </row>
    <row r="28" spans="1:29" ht="28.8">
      <c r="A28" s="374"/>
      <c r="B28" s="573" t="s">
        <v>1815</v>
      </c>
      <c r="C28" s="1963">
        <f>估价对象房地状况!G22</f>
        <v>0</v>
      </c>
      <c r="D28" s="396">
        <v>100</v>
      </c>
      <c r="E28" s="398"/>
      <c r="F28" s="396">
        <f>SUMIF(97:97,E29,98:98)-SUMIF(97:97,C29,98:98)+100</f>
        <v>100</v>
      </c>
      <c r="G28" s="398"/>
      <c r="H28" s="396">
        <f>SUMIF(97:97,G29,98:98)-SUMIF(97:97,C29,98:98)+100</f>
        <v>100</v>
      </c>
      <c r="I28" s="400"/>
      <c r="J28" s="396">
        <f>SUMIF(97:97,I29,98:98)-SUMIF(97:97,C29,98:98)+100</f>
        <v>100</v>
      </c>
      <c r="K28" s="613"/>
      <c r="L28" s="2693"/>
      <c r="M28" s="2687"/>
      <c r="N28" s="2687"/>
      <c r="O28" s="2745"/>
      <c r="P28" s="4169"/>
      <c r="Q28" s="1339" t="str">
        <f t="shared" si="8"/>
        <v>毗邻道路的类型与等级</v>
      </c>
      <c r="R28" s="697" t="s">
        <v>14</v>
      </c>
      <c r="S28" s="698">
        <f t="shared" si="10"/>
        <v>100</v>
      </c>
      <c r="T28" s="697" t="s">
        <v>14</v>
      </c>
      <c r="U28" s="698">
        <f t="shared" si="11"/>
        <v>100</v>
      </c>
      <c r="V28" s="697" t="s">
        <v>14</v>
      </c>
      <c r="W28" s="698">
        <f t="shared" si="12"/>
        <v>100</v>
      </c>
      <c r="X28" s="1342"/>
      <c r="Y28" s="4169"/>
      <c r="Z28" s="1343" t="str">
        <f t="shared" si="13"/>
        <v>毗邻道路的类型与等级</v>
      </c>
      <c r="AA28" s="1340">
        <f t="shared" si="3"/>
        <v>1</v>
      </c>
      <c r="AB28" s="1340">
        <f t="shared" si="4"/>
        <v>1</v>
      </c>
      <c r="AC28" s="1340">
        <f t="shared" si="5"/>
        <v>1</v>
      </c>
    </row>
    <row r="29" spans="1:29" ht="15">
      <c r="A29" s="374"/>
      <c r="B29" s="572"/>
      <c r="C29" s="393"/>
      <c r="D29" s="394"/>
      <c r="E29" s="1879"/>
      <c r="F29" s="394"/>
      <c r="G29" s="1879"/>
      <c r="H29" s="394"/>
      <c r="I29" s="1879"/>
      <c r="J29" s="394"/>
      <c r="K29" s="554"/>
      <c r="L29" s="2693"/>
      <c r="M29" s="2687"/>
      <c r="N29" s="2687"/>
      <c r="O29" s="2745"/>
      <c r="P29" s="4169"/>
      <c r="Q29" s="1339"/>
      <c r="R29" s="697"/>
      <c r="S29" s="698"/>
      <c r="T29" s="697"/>
      <c r="U29" s="698"/>
      <c r="V29" s="697"/>
      <c r="W29" s="698"/>
      <c r="X29" s="1342"/>
      <c r="Y29" s="4169"/>
      <c r="Z29" s="1343"/>
      <c r="AA29" s="1340">
        <v>1</v>
      </c>
      <c r="AB29" s="1340">
        <v>1</v>
      </c>
      <c r="AC29" s="1340">
        <v>1</v>
      </c>
    </row>
    <row r="30" spans="1:29" ht="15">
      <c r="A30" s="374"/>
      <c r="B30" s="594" t="s">
        <v>1873</v>
      </c>
      <c r="C30" s="1124">
        <f>估价对象房地状况!G23</f>
        <v>0</v>
      </c>
      <c r="D30" s="381">
        <v>100</v>
      </c>
      <c r="E30" s="574"/>
      <c r="F30" s="381">
        <f>SUMIF(99:99,E30,100:100)-SUMIF(99:99,C30,100:100)+100</f>
        <v>100</v>
      </c>
      <c r="G30" s="574"/>
      <c r="H30" s="381">
        <f>SUMIF(99:99,G30,100:100)-SUMIF(99:99,C30,100:100)+100</f>
        <v>100</v>
      </c>
      <c r="I30" s="574"/>
      <c r="J30" s="381">
        <f>SUMIF(99:99,I30,100:100)-SUMIF(99:99,C30,100:100)+100</f>
        <v>100</v>
      </c>
      <c r="K30" s="553"/>
      <c r="L30" s="2693"/>
      <c r="M30" s="2687"/>
      <c r="N30" s="2687"/>
      <c r="O30" s="2745"/>
      <c r="P30" s="4169"/>
      <c r="Q30" s="1339" t="str">
        <f t="shared" si="8"/>
        <v>土地级别</v>
      </c>
      <c r="R30" s="697" t="s">
        <v>14</v>
      </c>
      <c r="S30" s="698">
        <f t="shared" si="10"/>
        <v>100</v>
      </c>
      <c r="T30" s="697" t="s">
        <v>14</v>
      </c>
      <c r="U30" s="698">
        <f t="shared" si="11"/>
        <v>100</v>
      </c>
      <c r="V30" s="697" t="s">
        <v>14</v>
      </c>
      <c r="W30" s="698">
        <f t="shared" si="12"/>
        <v>100</v>
      </c>
      <c r="X30" s="1342"/>
      <c r="Y30" s="4169"/>
      <c r="Z30" s="1343" t="str">
        <f t="shared" si="13"/>
        <v>土地级别</v>
      </c>
      <c r="AA30" s="1340">
        <f t="shared" si="3"/>
        <v>1</v>
      </c>
      <c r="AB30" s="1340">
        <f t="shared" si="4"/>
        <v>1</v>
      </c>
      <c r="AC30" s="1340">
        <f t="shared" si="5"/>
        <v>1</v>
      </c>
    </row>
    <row r="31" spans="1:29" ht="15">
      <c r="A31" s="353"/>
      <c r="B31" s="1938">
        <v>111</v>
      </c>
      <c r="C31" s="614"/>
      <c r="D31" s="381">
        <v>100</v>
      </c>
      <c r="E31" s="423"/>
      <c r="F31" s="381">
        <f>SUMIF(101:101,E31,102:102)-SUMIF(101:101,C31,102:102)+100</f>
        <v>100</v>
      </c>
      <c r="G31" s="423"/>
      <c r="H31" s="381">
        <f>SUMIF(101:101,G31,102:102)-SUMIF(101:101,C31,102:102)+100</f>
        <v>100</v>
      </c>
      <c r="I31" s="493"/>
      <c r="J31" s="381">
        <f>SUMIF(101:101,I31,102:102)-SUMIF(101:101,C31,102:102)+100</f>
        <v>100</v>
      </c>
      <c r="K31" s="554"/>
      <c r="L31" s="2693"/>
      <c r="M31" s="2687"/>
      <c r="N31" s="2687"/>
      <c r="O31" s="2745"/>
      <c r="P31" s="4169"/>
      <c r="Q31" s="1339">
        <f t="shared" si="8"/>
        <v>111</v>
      </c>
      <c r="R31" s="697" t="s">
        <v>14</v>
      </c>
      <c r="S31" s="698">
        <f t="shared" si="10"/>
        <v>100</v>
      </c>
      <c r="T31" s="697" t="s">
        <v>14</v>
      </c>
      <c r="U31" s="698">
        <f t="shared" si="11"/>
        <v>100</v>
      </c>
      <c r="V31" s="697" t="s">
        <v>14</v>
      </c>
      <c r="W31" s="698">
        <f t="shared" si="12"/>
        <v>100</v>
      </c>
      <c r="X31" s="1342"/>
      <c r="Y31" s="4169"/>
      <c r="Z31" s="1343">
        <f t="shared" si="13"/>
        <v>111</v>
      </c>
      <c r="AA31" s="1340">
        <f t="shared" si="3"/>
        <v>1</v>
      </c>
      <c r="AB31" s="1340">
        <f t="shared" si="4"/>
        <v>1</v>
      </c>
      <c r="AC31" s="1340">
        <f t="shared" si="5"/>
        <v>1</v>
      </c>
    </row>
    <row r="32" spans="1:29" ht="15">
      <c r="A32" s="615"/>
      <c r="B32" s="1964">
        <v>111</v>
      </c>
      <c r="C32" s="614"/>
      <c r="D32" s="381">
        <v>100</v>
      </c>
      <c r="E32" s="423"/>
      <c r="F32" s="381">
        <f>SUMIF(103:103,E33,104:104)-SUMIF(103:103,C33,104:104)+100</f>
        <v>100</v>
      </c>
      <c r="G32" s="423"/>
      <c r="H32" s="381">
        <f>SUMIF(103:103,G32,104:104)-SUMIF(103:103,C32,104:104)+100</f>
        <v>100</v>
      </c>
      <c r="I32" s="614"/>
      <c r="J32" s="381">
        <f>SUMIF(103:103,I32,104:104)-SUMIF(103:103,C32,104:104)+100</f>
        <v>100</v>
      </c>
      <c r="K32" s="554"/>
      <c r="L32" s="2693"/>
      <c r="M32" s="2687"/>
      <c r="N32" s="2687"/>
      <c r="O32" s="2745"/>
      <c r="P32" s="4240" t="s">
        <v>1696</v>
      </c>
      <c r="Q32" s="1339">
        <f t="shared" si="8"/>
        <v>111</v>
      </c>
      <c r="R32" s="697" t="s">
        <v>14</v>
      </c>
      <c r="S32" s="698">
        <f t="shared" si="10"/>
        <v>100</v>
      </c>
      <c r="T32" s="697" t="s">
        <v>14</v>
      </c>
      <c r="U32" s="698">
        <f t="shared" si="11"/>
        <v>100</v>
      </c>
      <c r="V32" s="697" t="s">
        <v>14</v>
      </c>
      <c r="W32" s="698">
        <f t="shared" si="12"/>
        <v>100</v>
      </c>
      <c r="X32" s="1342"/>
      <c r="Y32" s="4173" t="s">
        <v>1696</v>
      </c>
      <c r="Z32" s="1343">
        <f t="shared" si="13"/>
        <v>111</v>
      </c>
      <c r="AA32" s="1340">
        <f t="shared" si="3"/>
        <v>1</v>
      </c>
      <c r="AB32" s="1340">
        <f t="shared" si="4"/>
        <v>1</v>
      </c>
      <c r="AC32" s="1340">
        <f t="shared" si="5"/>
        <v>1</v>
      </c>
    </row>
    <row r="33" spans="1:31" s="417" customFormat="1" ht="15.6" thickBot="1">
      <c r="A33" s="616"/>
      <c r="B33" s="1965">
        <v>111</v>
      </c>
      <c r="C33" s="618"/>
      <c r="D33" s="128">
        <v>100</v>
      </c>
      <c r="E33" s="641"/>
      <c r="F33" s="384">
        <f>SUMIF(105:105,E33,106:106)-SUMIF(105:105,C33,106:106)+100</f>
        <v>100</v>
      </c>
      <c r="G33" s="641"/>
      <c r="H33" s="384">
        <f>SUMIF(105:105,G33,106:106)-SUMIF(105:105,C33,106:106)+100</f>
        <v>100</v>
      </c>
      <c r="I33" s="618"/>
      <c r="J33" s="384">
        <f>SUMIF(105:105,I33,106:106)-SUMIF(105:105,C33,106:106)+100</f>
        <v>100</v>
      </c>
      <c r="K33" s="554"/>
      <c r="L33" s="2692"/>
      <c r="M33" s="2694"/>
      <c r="N33" s="2694"/>
      <c r="O33" s="2746"/>
      <c r="P33" s="4173"/>
      <c r="Q33" s="1339">
        <f t="shared" si="8"/>
        <v>111</v>
      </c>
      <c r="R33" s="700" t="s">
        <v>14</v>
      </c>
      <c r="S33" s="701">
        <f t="shared" si="10"/>
        <v>100</v>
      </c>
      <c r="T33" s="700" t="s">
        <v>14</v>
      </c>
      <c r="U33" s="701">
        <f t="shared" si="11"/>
        <v>100</v>
      </c>
      <c r="V33" s="700" t="s">
        <v>14</v>
      </c>
      <c r="W33" s="701">
        <f t="shared" si="12"/>
        <v>100</v>
      </c>
      <c r="X33" s="702"/>
      <c r="Y33" s="4173"/>
      <c r="Z33" s="703">
        <f t="shared" si="13"/>
        <v>111</v>
      </c>
      <c r="AA33" s="1340">
        <f t="shared" si="3"/>
        <v>1</v>
      </c>
      <c r="AB33" s="1340">
        <f t="shared" si="4"/>
        <v>1</v>
      </c>
      <c r="AC33" s="1340">
        <f t="shared" si="5"/>
        <v>1</v>
      </c>
    </row>
    <row r="34" spans="1:31" ht="15">
      <c r="A34" s="386" t="s">
        <v>1694</v>
      </c>
      <c r="B34" s="402" t="s">
        <v>1874</v>
      </c>
      <c r="C34" s="619"/>
      <c r="D34" s="413">
        <v>100</v>
      </c>
      <c r="E34" s="619"/>
      <c r="F34" s="413" t="e">
        <f>LOOKUP(E34,108:108,109:109)-LOOKUP(C34,108:108,109:109)+100</f>
        <v>#N/A</v>
      </c>
      <c r="G34" s="619"/>
      <c r="H34" s="413" t="e">
        <f>LOOKUP(G34,108:108,109:109)-LOOKUP(C34,108:108,109:109)+100</f>
        <v>#N/A</v>
      </c>
      <c r="I34" s="474"/>
      <c r="J34" s="413" t="e">
        <f>LOOKUP(I34,108:108,109:109)-LOOKUP(C34,108:108,109:109)+100</f>
        <v>#N/A</v>
      </c>
      <c r="K34" s="554"/>
      <c r="L34" s="2693"/>
      <c r="M34" s="2687"/>
      <c r="N34" s="2687"/>
      <c r="O34" s="2745"/>
      <c r="P34" s="4173"/>
      <c r="Q34" s="1339" t="str">
        <f>B34</f>
        <v>宗地面积</v>
      </c>
      <c r="R34" s="697" t="s">
        <v>14</v>
      </c>
      <c r="S34" s="698" t="e">
        <f t="shared" si="10"/>
        <v>#N/A</v>
      </c>
      <c r="T34" s="697" t="s">
        <v>14</v>
      </c>
      <c r="U34" s="698" t="e">
        <f t="shared" si="11"/>
        <v>#N/A</v>
      </c>
      <c r="V34" s="697" t="s">
        <v>14</v>
      </c>
      <c r="W34" s="698" t="e">
        <f t="shared" si="12"/>
        <v>#N/A</v>
      </c>
      <c r="X34" s="1342"/>
      <c r="Y34" s="4173"/>
      <c r="Z34" s="1343" t="str">
        <f t="shared" si="13"/>
        <v>宗地面积</v>
      </c>
      <c r="AA34" s="1340" t="e">
        <f t="shared" si="3"/>
        <v>#N/A</v>
      </c>
      <c r="AB34" s="1340" t="e">
        <f t="shared" si="4"/>
        <v>#N/A</v>
      </c>
      <c r="AC34" s="1340" t="e">
        <f t="shared" si="5"/>
        <v>#N/A</v>
      </c>
    </row>
    <row r="35" spans="1:31" ht="15">
      <c r="A35" s="418"/>
      <c r="B35" s="370" t="s">
        <v>1875</v>
      </c>
      <c r="C35" s="1881"/>
      <c r="D35" s="381">
        <v>100</v>
      </c>
      <c r="E35" s="1881"/>
      <c r="F35" s="381">
        <f>SUMIF(110:110,E35,111:111)-SUMIF(110:110,C35,111:111)+100</f>
        <v>100</v>
      </c>
      <c r="G35" s="1881"/>
      <c r="H35" s="381">
        <f>SUMIF(110:110,G35,111:111)-SUMIF(110:110,C35,111:111)+100</f>
        <v>100</v>
      </c>
      <c r="I35" s="1881"/>
      <c r="J35" s="381">
        <f>SUMIF(110:110,I35,111:111)-SUMIF(110:110,C35,111:111)+100</f>
        <v>100</v>
      </c>
      <c r="K35" s="553"/>
      <c r="L35" s="2693"/>
      <c r="M35" s="2687"/>
      <c r="N35" s="2687"/>
      <c r="O35" s="2745"/>
      <c r="P35" s="4173"/>
      <c r="Q35" s="1339" t="str">
        <f t="shared" ref="Q35:Q40" si="14">B35</f>
        <v>宗地形状</v>
      </c>
      <c r="R35" s="697" t="s">
        <v>14</v>
      </c>
      <c r="S35" s="698">
        <f t="shared" si="10"/>
        <v>100</v>
      </c>
      <c r="T35" s="697" t="s">
        <v>14</v>
      </c>
      <c r="U35" s="698">
        <f t="shared" si="11"/>
        <v>100</v>
      </c>
      <c r="V35" s="697" t="s">
        <v>14</v>
      </c>
      <c r="W35" s="698">
        <f t="shared" si="12"/>
        <v>100</v>
      </c>
      <c r="X35" s="1342"/>
      <c r="Y35" s="4173"/>
      <c r="Z35" s="1343" t="str">
        <f t="shared" si="13"/>
        <v>宗地形状</v>
      </c>
      <c r="AA35" s="1340">
        <f t="shared" si="3"/>
        <v>1</v>
      </c>
      <c r="AB35" s="1340">
        <f t="shared" si="4"/>
        <v>1</v>
      </c>
      <c r="AC35" s="1340">
        <f t="shared" si="5"/>
        <v>1</v>
      </c>
    </row>
    <row r="36" spans="1:31" s="108" customFormat="1" ht="15">
      <c r="A36" s="419"/>
      <c r="B36" s="370" t="s">
        <v>1877</v>
      </c>
      <c r="C36" s="1952"/>
      <c r="D36" s="127">
        <v>100</v>
      </c>
      <c r="E36" s="1952"/>
      <c r="F36" s="381">
        <f>SUMIF(112:112,E36,113:113)-SUMIF(112:112,C36,113:113)+100</f>
        <v>100</v>
      </c>
      <c r="G36" s="1952"/>
      <c r="H36" s="381">
        <f>SUMIF(112:112,G36,113:113)-SUMIF(112:112,C36,113:113)+100</f>
        <v>100</v>
      </c>
      <c r="I36" s="1952"/>
      <c r="J36" s="381">
        <f>SUMIF(112:112,I36,113:113)-SUMIF(112:112,C36,113:113)+100</f>
        <v>100</v>
      </c>
      <c r="K36" s="553"/>
      <c r="L36" s="2688"/>
      <c r="M36" s="2689"/>
      <c r="N36" s="2689"/>
      <c r="O36" s="2743"/>
      <c r="P36" s="4173"/>
      <c r="Q36" s="1339" t="str">
        <f t="shared" si="14"/>
        <v>宗地开发程度</v>
      </c>
      <c r="R36" s="693" t="s">
        <v>14</v>
      </c>
      <c r="S36" s="694">
        <f t="shared" si="10"/>
        <v>100</v>
      </c>
      <c r="T36" s="693" t="s">
        <v>14</v>
      </c>
      <c r="U36" s="694">
        <f t="shared" si="11"/>
        <v>100</v>
      </c>
      <c r="V36" s="693" t="s">
        <v>14</v>
      </c>
      <c r="W36" s="694">
        <f t="shared" si="12"/>
        <v>100</v>
      </c>
      <c r="X36" s="695"/>
      <c r="Y36" s="4173"/>
      <c r="Z36" s="52" t="str">
        <f t="shared" si="13"/>
        <v>宗地开发程度</v>
      </c>
      <c r="AA36" s="696">
        <f t="shared" si="3"/>
        <v>1</v>
      </c>
      <c r="AB36" s="696">
        <f t="shared" si="4"/>
        <v>1</v>
      </c>
      <c r="AC36" s="696">
        <f t="shared" si="5"/>
        <v>1</v>
      </c>
    </row>
    <row r="37" spans="1:31" ht="15">
      <c r="A37" s="418"/>
      <c r="B37" s="370" t="s">
        <v>1878</v>
      </c>
      <c r="C37" s="1881"/>
      <c r="D37" s="381">
        <v>100</v>
      </c>
      <c r="E37" s="1881"/>
      <c r="F37" s="381">
        <f>SUMIF(114:114,E37,115:115)-SUMIF(114:114,C37,115:115)+100</f>
        <v>100</v>
      </c>
      <c r="G37" s="1881"/>
      <c r="H37" s="381">
        <f>SUMIF(114:114,G37,115:115)-SUMIF(114:114,C37,115:115)+100</f>
        <v>100</v>
      </c>
      <c r="I37" s="1881"/>
      <c r="J37" s="381">
        <f>SUMIF(114:114,I37,115:115)-SUMIF(114:114,C37,115:115)+100</f>
        <v>100</v>
      </c>
      <c r="K37" s="553"/>
      <c r="L37" s="2693"/>
      <c r="M37" s="2687"/>
      <c r="N37" s="2687"/>
      <c r="O37" s="2745"/>
      <c r="P37" s="4173" t="s">
        <v>1696</v>
      </c>
      <c r="Q37" s="1339" t="str">
        <f t="shared" si="14"/>
        <v>工程地质条件</v>
      </c>
      <c r="R37" s="697" t="s">
        <v>14</v>
      </c>
      <c r="S37" s="698">
        <f t="shared" si="10"/>
        <v>100</v>
      </c>
      <c r="T37" s="697" t="s">
        <v>14</v>
      </c>
      <c r="U37" s="698">
        <f t="shared" si="11"/>
        <v>100</v>
      </c>
      <c r="V37" s="697" t="s">
        <v>14</v>
      </c>
      <c r="W37" s="698">
        <f t="shared" si="12"/>
        <v>100</v>
      </c>
      <c r="X37" s="1342"/>
      <c r="Y37" s="4173" t="s">
        <v>1696</v>
      </c>
      <c r="Z37" s="1343" t="str">
        <f t="shared" si="13"/>
        <v>工程地质条件</v>
      </c>
      <c r="AA37" s="1340">
        <f t="shared" si="3"/>
        <v>1</v>
      </c>
      <c r="AB37" s="1340">
        <f t="shared" si="4"/>
        <v>1</v>
      </c>
      <c r="AC37" s="1340">
        <f t="shared" si="5"/>
        <v>1</v>
      </c>
    </row>
    <row r="38" spans="1:31" ht="15">
      <c r="A38" s="418"/>
      <c r="B38" s="1122">
        <v>111</v>
      </c>
      <c r="C38" s="614"/>
      <c r="D38" s="381">
        <v>100</v>
      </c>
      <c r="E38" s="614"/>
      <c r="F38" s="381">
        <f>SUMIF(116:116,E38,117:117)-SUMIF(116:116,C38,117:117)+100</f>
        <v>100</v>
      </c>
      <c r="G38" s="614"/>
      <c r="H38" s="381">
        <f>SUMIF(116:116,G38,117:117)-SUMIF(116:116,C38,117:117)+100</f>
        <v>100</v>
      </c>
      <c r="I38" s="493"/>
      <c r="J38" s="381">
        <f>SUMIF(116:116,I38,117:117)-SUMIF(116:116,C38,117:117)+100</f>
        <v>100</v>
      </c>
      <c r="K38" s="554"/>
      <c r="L38" s="2693"/>
      <c r="M38" s="2687"/>
      <c r="N38" s="2687"/>
      <c r="O38" s="2745"/>
      <c r="P38" s="4173"/>
      <c r="Q38" s="1339">
        <f t="shared" si="14"/>
        <v>111</v>
      </c>
      <c r="R38" s="697" t="s">
        <v>14</v>
      </c>
      <c r="S38" s="698">
        <f t="shared" si="10"/>
        <v>100</v>
      </c>
      <c r="T38" s="697" t="s">
        <v>14</v>
      </c>
      <c r="U38" s="698">
        <f t="shared" si="11"/>
        <v>100</v>
      </c>
      <c r="V38" s="697" t="s">
        <v>14</v>
      </c>
      <c r="W38" s="698">
        <f t="shared" si="12"/>
        <v>100</v>
      </c>
      <c r="X38" s="1342"/>
      <c r="Y38" s="4173"/>
      <c r="Z38" s="1343">
        <f t="shared" si="13"/>
        <v>111</v>
      </c>
      <c r="AA38" s="1340">
        <f t="shared" si="3"/>
        <v>1</v>
      </c>
      <c r="AB38" s="1340">
        <f t="shared" si="4"/>
        <v>1</v>
      </c>
      <c r="AC38" s="1340">
        <f t="shared" si="5"/>
        <v>1</v>
      </c>
    </row>
    <row r="39" spans="1:31" ht="15">
      <c r="A39" s="418"/>
      <c r="B39" s="1122">
        <v>111</v>
      </c>
      <c r="C39" s="614"/>
      <c r="D39" s="381">
        <v>100</v>
      </c>
      <c r="E39" s="614"/>
      <c r="F39" s="381">
        <f>SUMIF(118:118,E39,119:119)-SUMIF(118:118,C39,119:119)+100</f>
        <v>100</v>
      </c>
      <c r="G39" s="614"/>
      <c r="H39" s="381">
        <f>SUMIF(118:118,G39,119:119)-SUMIF(118:118,C39,119:119)+100</f>
        <v>100</v>
      </c>
      <c r="I39" s="493"/>
      <c r="J39" s="381">
        <f>SUMIF(118:118,I39,119:119)-SUMIF(118:118,C39,119:119)+100</f>
        <v>100</v>
      </c>
      <c r="K39" s="554"/>
      <c r="L39" s="2693"/>
      <c r="M39" s="2687"/>
      <c r="N39" s="2687"/>
      <c r="O39" s="2745"/>
      <c r="P39" s="4173"/>
      <c r="Q39" s="1339">
        <f t="shared" si="14"/>
        <v>111</v>
      </c>
      <c r="R39" s="697" t="s">
        <v>14</v>
      </c>
      <c r="S39" s="698">
        <f t="shared" si="10"/>
        <v>100</v>
      </c>
      <c r="T39" s="697" t="s">
        <v>14</v>
      </c>
      <c r="U39" s="698">
        <f t="shared" si="11"/>
        <v>100</v>
      </c>
      <c r="V39" s="697" t="s">
        <v>14</v>
      </c>
      <c r="W39" s="698">
        <f t="shared" si="12"/>
        <v>100</v>
      </c>
      <c r="X39" s="1342"/>
      <c r="Y39" s="4173"/>
      <c r="Z39" s="1343">
        <f t="shared" si="13"/>
        <v>111</v>
      </c>
      <c r="AA39" s="1340">
        <f t="shared" si="3"/>
        <v>1</v>
      </c>
      <c r="AB39" s="1340">
        <f t="shared" si="4"/>
        <v>1</v>
      </c>
      <c r="AC39" s="1340">
        <f t="shared" si="5"/>
        <v>1</v>
      </c>
    </row>
    <row r="40" spans="1:31" s="417" customFormat="1" ht="15.6" thickBot="1">
      <c r="A40" s="414"/>
      <c r="B40" s="1122">
        <v>111</v>
      </c>
      <c r="C40" s="1953"/>
      <c r="D40" s="128">
        <v>100</v>
      </c>
      <c r="E40" s="614"/>
      <c r="F40" s="384">
        <f>SUMIF(120:120,E40,121:121)-SUMIF(120:120,C40,121:121)+100</f>
        <v>100</v>
      </c>
      <c r="G40" s="614"/>
      <c r="H40" s="384">
        <f>SUMIF(120:120,G40,121:121)-SUMIF(120:120,C40,121:121)+100</f>
        <v>100</v>
      </c>
      <c r="I40" s="493"/>
      <c r="J40" s="384">
        <f>SUMIF(120:120,I40,121:121)-SUMIF(120:120,C40,121:121)+100</f>
        <v>100</v>
      </c>
      <c r="K40" s="621"/>
      <c r="L40" s="2692"/>
      <c r="M40" s="2694"/>
      <c r="N40" s="2694"/>
      <c r="O40" s="2746"/>
      <c r="P40" s="4173"/>
      <c r="Q40" s="1339">
        <f t="shared" si="14"/>
        <v>111</v>
      </c>
      <c r="R40" s="700" t="s">
        <v>14</v>
      </c>
      <c r="S40" s="701">
        <f t="shared" si="10"/>
        <v>100</v>
      </c>
      <c r="T40" s="700" t="s">
        <v>14</v>
      </c>
      <c r="U40" s="701">
        <f t="shared" si="11"/>
        <v>100</v>
      </c>
      <c r="V40" s="700" t="s">
        <v>14</v>
      </c>
      <c r="W40" s="701">
        <f t="shared" si="12"/>
        <v>100</v>
      </c>
      <c r="X40" s="702"/>
      <c r="Y40" s="4173"/>
      <c r="Z40" s="703">
        <f t="shared" si="13"/>
        <v>111</v>
      </c>
      <c r="AA40" s="1340">
        <f t="shared" si="3"/>
        <v>1</v>
      </c>
      <c r="AB40" s="1340">
        <f t="shared" si="4"/>
        <v>1</v>
      </c>
      <c r="AC40" s="1340">
        <f t="shared" si="5"/>
        <v>1</v>
      </c>
    </row>
    <row r="41" spans="1:31" ht="14.4">
      <c r="A41" s="425" t="s">
        <v>1844</v>
      </c>
      <c r="B41" s="1954" t="s">
        <v>1922</v>
      </c>
      <c r="C41" s="622" t="s">
        <v>0</v>
      </c>
      <c r="D41" s="427"/>
      <c r="E41" s="428"/>
      <c r="F41" s="429"/>
      <c r="G41" s="430"/>
      <c r="H41" s="431"/>
      <c r="I41" s="428"/>
      <c r="J41" s="431"/>
      <c r="K41" s="706"/>
      <c r="L41" s="2695"/>
      <c r="M41" s="2687"/>
      <c r="N41" s="2687"/>
      <c r="O41" s="2696"/>
      <c r="P41" s="4166" t="str">
        <f>A41</f>
        <v>成交单价</v>
      </c>
      <c r="Q41" s="4166"/>
      <c r="R41" s="4198">
        <f>E41</f>
        <v>0</v>
      </c>
      <c r="S41" s="4198"/>
      <c r="T41" s="4198">
        <f>G41</f>
        <v>0</v>
      </c>
      <c r="U41" s="4198"/>
      <c r="V41" s="4198">
        <f>I41</f>
        <v>0</v>
      </c>
      <c r="W41" s="4198"/>
      <c r="X41" s="682"/>
      <c r="Y41" s="704"/>
      <c r="Z41" s="682"/>
      <c r="AA41" s="682"/>
      <c r="AB41" s="682"/>
      <c r="AC41" s="682"/>
    </row>
    <row r="42" spans="1:31" ht="15" thickBot="1">
      <c r="A42" s="432" t="s">
        <v>1793</v>
      </c>
      <c r="B42" s="623"/>
      <c r="C42" s="435" t="e">
        <f>R43</f>
        <v>#DIV/0!</v>
      </c>
      <c r="D42" s="2289" t="s">
        <v>2138</v>
      </c>
      <c r="E42" s="435" t="e">
        <f>R42</f>
        <v>#DIV/0!</v>
      </c>
      <c r="F42" s="2290"/>
      <c r="G42" s="434" t="e">
        <f>T42</f>
        <v>#DIV/0!</v>
      </c>
      <c r="H42" s="2290"/>
      <c r="I42" s="435" t="e">
        <f>V42</f>
        <v>#DIV/0!</v>
      </c>
      <c r="J42" s="2290"/>
      <c r="K42" s="2292">
        <f>F42+H42+J42</f>
        <v>0</v>
      </c>
      <c r="L42" s="2695"/>
      <c r="M42" s="2687"/>
      <c r="N42" s="2687"/>
      <c r="O42" s="2696"/>
      <c r="P42" s="4166" t="str">
        <f>A42</f>
        <v>比较价值（元/平方米）</v>
      </c>
      <c r="Q42" s="4166"/>
      <c r="R42" s="4242" t="e">
        <f>ROUND(PRODUCT(R41,AA7:AA40),0)</f>
        <v>#DIV/0!</v>
      </c>
      <c r="S42" s="4242"/>
      <c r="T42" s="4242" t="e">
        <f>ROUND(PRODUCT(T41,AB7:AB40),0)</f>
        <v>#DIV/0!</v>
      </c>
      <c r="U42" s="4242"/>
      <c r="V42" s="4242" t="e">
        <f>ROUND(PRODUCT(V41,AC7:AC40),0)</f>
        <v>#DIV/0!</v>
      </c>
      <c r="W42" s="4242"/>
      <c r="X42" s="682"/>
      <c r="Y42" s="682"/>
      <c r="Z42" s="682"/>
      <c r="AA42" s="682"/>
      <c r="AB42" s="682"/>
      <c r="AC42" s="682"/>
    </row>
    <row r="43" spans="1:31" ht="15" thickBot="1">
      <c r="A43" s="436" t="s">
        <v>1794</v>
      </c>
      <c r="B43" s="437"/>
      <c r="C43" s="438" t="e">
        <f>R43</f>
        <v>#DIV/0!</v>
      </c>
      <c r="D43" s="438"/>
      <c r="E43" s="438"/>
      <c r="F43" s="438"/>
      <c r="G43" s="438"/>
      <c r="H43" s="438"/>
      <c r="I43" s="438"/>
      <c r="J43" s="438"/>
      <c r="K43" s="707"/>
      <c r="L43" s="2695"/>
      <c r="M43" s="2687"/>
      <c r="N43" s="2687"/>
      <c r="O43" s="2696"/>
      <c r="P43" s="4163" t="str">
        <f>A43</f>
        <v>估价对象XX用房的比较价值（楼面单价，元/平方米）</v>
      </c>
      <c r="Q43" s="4164"/>
      <c r="R43" s="4243" t="e">
        <f>ROUND(IF(D42="简单平均",AVERAGE(R42:W42),R42*F42+T42*H42+V42*J42),0)</f>
        <v>#DIV/0!</v>
      </c>
      <c r="S43" s="4243"/>
      <c r="T43" s="4243"/>
      <c r="U43" s="4243"/>
      <c r="V43" s="4243"/>
      <c r="W43" s="4243"/>
      <c r="X43" s="682"/>
      <c r="Y43" s="682"/>
      <c r="Z43" s="682"/>
      <c r="AA43" s="682"/>
      <c r="AB43" s="682"/>
      <c r="AC43" s="682"/>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46" customFormat="1" ht="13.5" customHeight="1">
      <c r="A48" s="2699"/>
      <c r="B48" s="2699"/>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46" customFormat="1" ht="14.4" thickBot="1">
      <c r="A49" s="2699"/>
      <c r="B49" s="2702"/>
      <c r="C49" s="685"/>
      <c r="D49" s="683"/>
      <c r="E49" s="683"/>
      <c r="F49" s="683"/>
      <c r="G49" s="683"/>
      <c r="H49" s="683"/>
      <c r="I49" s="683"/>
      <c r="J49" s="683"/>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8.8">
      <c r="A50" s="624" t="s">
        <v>1881</v>
      </c>
      <c r="B50" s="625" t="s">
        <v>1882</v>
      </c>
      <c r="C50" s="1955" t="s">
        <v>1883</v>
      </c>
      <c r="D50" s="1956" t="s">
        <v>1884</v>
      </c>
      <c r="E50" s="626" t="s">
        <v>1885</v>
      </c>
      <c r="F50" s="627" t="s">
        <v>1886</v>
      </c>
      <c r="G50" s="4213" t="s">
        <v>1887</v>
      </c>
      <c r="H50" s="4244"/>
      <c r="I50" s="1343" t="s">
        <v>1923</v>
      </c>
      <c r="J50" s="1343" t="str">
        <f>项目基本情况!F35</f>
        <v>北京市海淀区西三环北路74号院C座2层4号</v>
      </c>
      <c r="K50" s="1958" t="s">
        <v>1889</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32" customFormat="1">
      <c r="A51" s="628" t="s">
        <v>1890</v>
      </c>
      <c r="B51" s="629" t="e">
        <f>C43</f>
        <v>#DIV/0!</v>
      </c>
      <c r="C51" s="630">
        <v>1</v>
      </c>
      <c r="D51" s="934">
        <v>1</v>
      </c>
      <c r="E51" s="630">
        <f>'数据-汇总表'!E8+'数据-汇总表'!E9</f>
        <v>88.78</v>
      </c>
      <c r="F51" s="631" t="e">
        <f t="shared" ref="F51:F60" si="15">ROUND(B51*E51/10000,0)</f>
        <v>#DIV/0!</v>
      </c>
      <c r="G51" s="4177"/>
      <c r="H51" s="4166"/>
      <c r="I51" s="763">
        <v>1</v>
      </c>
      <c r="J51" s="763">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32" customFormat="1">
      <c r="A52" s="633" t="s">
        <v>1891</v>
      </c>
      <c r="B52" s="213" t="e">
        <f>ROUND($C$43*C52*D52,0)</f>
        <v>#DIV/0!</v>
      </c>
      <c r="C52" s="166">
        <f t="shared" ref="C52:C60" si="16">IF($C$50="北京市系数",I52,J52)</f>
        <v>0</v>
      </c>
      <c r="D52" s="935">
        <v>0.25</v>
      </c>
      <c r="E52" s="634"/>
      <c r="F52" s="631" t="e">
        <f t="shared" si="15"/>
        <v>#DIV/0!</v>
      </c>
      <c r="G52" s="2977" t="s">
        <v>1892</v>
      </c>
      <c r="H52" s="877">
        <f>项目基本情况!B37</f>
        <v>0</v>
      </c>
      <c r="I52" s="763">
        <f>SUMIF(修正!A57:A68,H52,修正!B57:B68)</f>
        <v>0</v>
      </c>
      <c r="J52" s="764"/>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32" customFormat="1">
      <c r="A53" s="633" t="s">
        <v>1893</v>
      </c>
      <c r="B53" s="213" t="e">
        <f t="shared" ref="B53:B60" si="17">ROUND($C$43*C53*D53,0)</f>
        <v>#DIV/0!</v>
      </c>
      <c r="C53" s="166">
        <f t="shared" si="16"/>
        <v>0</v>
      </c>
      <c r="D53" s="935">
        <v>0.25</v>
      </c>
      <c r="E53" s="634"/>
      <c r="F53" s="631" t="e">
        <f t="shared" si="15"/>
        <v>#DIV/0!</v>
      </c>
      <c r="G53" s="2978"/>
      <c r="H53" s="877">
        <f>项目基本情况!B37</f>
        <v>0</v>
      </c>
      <c r="I53" s="763">
        <f>SUMIF(修正!A57:A68,H53,修正!C57:C68)</f>
        <v>0</v>
      </c>
      <c r="J53" s="764"/>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32" customFormat="1">
      <c r="A54" s="633" t="s">
        <v>1894</v>
      </c>
      <c r="B54" s="213" t="e">
        <f t="shared" si="17"/>
        <v>#DIV/0!</v>
      </c>
      <c r="C54" s="166">
        <f t="shared" si="16"/>
        <v>0</v>
      </c>
      <c r="D54" s="935">
        <v>0.25</v>
      </c>
      <c r="E54" s="634"/>
      <c r="F54" s="631" t="e">
        <f t="shared" si="15"/>
        <v>#DIV/0!</v>
      </c>
      <c r="G54" s="2978"/>
      <c r="H54" s="877">
        <f>项目基本情况!B37</f>
        <v>0</v>
      </c>
      <c r="I54" s="763">
        <f>SUMIF(修正!A57:A68,H54,修正!D57:D68)</f>
        <v>0</v>
      </c>
      <c r="J54" s="764"/>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32" customFormat="1" hidden="1">
      <c r="A55" s="633"/>
      <c r="B55" s="213"/>
      <c r="C55" s="166"/>
      <c r="D55" s="935"/>
      <c r="E55" s="634"/>
      <c r="F55" s="631"/>
      <c r="G55" s="2979"/>
      <c r="H55" s="877"/>
      <c r="I55" s="763"/>
      <c r="J55" s="764"/>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32" customFormat="1">
      <c r="A56" s="633" t="s">
        <v>1895</v>
      </c>
      <c r="B56" s="213" t="e">
        <f t="shared" si="17"/>
        <v>#DIV/0!</v>
      </c>
      <c r="C56" s="166">
        <f t="shared" si="16"/>
        <v>0</v>
      </c>
      <c r="D56" s="935">
        <v>0.25</v>
      </c>
      <c r="E56" s="212">
        <f>'数据-汇总表'!E11</f>
        <v>0</v>
      </c>
      <c r="F56" s="631" t="e">
        <f t="shared" si="15"/>
        <v>#DIV/0!</v>
      </c>
      <c r="G56" s="1959" t="s">
        <v>1896</v>
      </c>
      <c r="H56" s="877">
        <f>项目基本情况!C37</f>
        <v>0</v>
      </c>
      <c r="I56" s="763">
        <f>SUMIF(修正!A57:A68,H56,修正!E57:E68)</f>
        <v>0</v>
      </c>
      <c r="J56" s="764"/>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32" customFormat="1">
      <c r="A57" s="633" t="s">
        <v>1897</v>
      </c>
      <c r="B57" s="213" t="e">
        <f t="shared" si="17"/>
        <v>#DIV/0!</v>
      </c>
      <c r="C57" s="166">
        <f t="shared" si="16"/>
        <v>0</v>
      </c>
      <c r="D57" s="935">
        <v>0.25</v>
      </c>
      <c r="E57" s="212">
        <f>'数据-汇总表'!E12</f>
        <v>0</v>
      </c>
      <c r="F57" s="631" t="e">
        <f t="shared" si="15"/>
        <v>#DIV/0!</v>
      </c>
      <c r="G57" s="882" t="s">
        <v>1898</v>
      </c>
      <c r="H57" s="877">
        <f>IF(G57="商业",项目基本情况!B37,IF(G57="办公",项目基本情况!C37,IF(G57="住宅",项目基本情况!D37,项目基本情况!E37)))</f>
        <v>0</v>
      </c>
      <c r="I57" s="763">
        <f>SUMIF(修正!A57:A68,H57,修正!F57:F68)</f>
        <v>0</v>
      </c>
      <c r="J57" s="764"/>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32" customFormat="1">
      <c r="A58" s="633" t="s">
        <v>1899</v>
      </c>
      <c r="B58" s="213" t="e">
        <f t="shared" si="17"/>
        <v>#DIV/0!</v>
      </c>
      <c r="C58" s="166">
        <f t="shared" si="16"/>
        <v>0</v>
      </c>
      <c r="D58" s="935">
        <v>0.25</v>
      </c>
      <c r="E58" s="212">
        <f>'数据-汇总表'!E13</f>
        <v>0</v>
      </c>
      <c r="F58" s="631" t="e">
        <f t="shared" si="15"/>
        <v>#DIV/0!</v>
      </c>
      <c r="G58" s="882" t="s">
        <v>1900</v>
      </c>
      <c r="H58" s="877">
        <f>IF(G58="商业",项目基本情况!B37,IF(G58="办公",项目基本情况!C37,IF(G58="住宅",项目基本情况!D37,项目基本情况!E37)))</f>
        <v>0</v>
      </c>
      <c r="I58" s="763">
        <f>SUMIF(修正!A57:A68,H58,修正!G57:G68)</f>
        <v>0</v>
      </c>
      <c r="J58" s="764"/>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32" customFormat="1">
      <c r="A59" s="633" t="s">
        <v>1901</v>
      </c>
      <c r="B59" s="213" t="e">
        <f t="shared" si="17"/>
        <v>#DIV/0!</v>
      </c>
      <c r="C59" s="166">
        <f t="shared" si="16"/>
        <v>0</v>
      </c>
      <c r="D59" s="935">
        <v>0.25</v>
      </c>
      <c r="E59" s="212">
        <f>'数据-汇总表'!E14</f>
        <v>0</v>
      </c>
      <c r="F59" s="631" t="e">
        <f t="shared" si="15"/>
        <v>#DIV/0!</v>
      </c>
      <c r="G59" s="1959" t="s">
        <v>1892</v>
      </c>
      <c r="H59" s="877">
        <f>项目基本情况!B37</f>
        <v>0</v>
      </c>
      <c r="I59" s="763">
        <f>SUMIF(修正!A57:A68,H59,修正!G57:G68)</f>
        <v>0</v>
      </c>
      <c r="J59" s="764"/>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32" customFormat="1" ht="14.4" thickBot="1">
      <c r="A60" s="633" t="s">
        <v>1902</v>
      </c>
      <c r="B60" s="213" t="e">
        <f t="shared" si="17"/>
        <v>#DIV/0!</v>
      </c>
      <c r="C60" s="166">
        <f t="shared" si="16"/>
        <v>0</v>
      </c>
      <c r="D60" s="935">
        <v>0.25</v>
      </c>
      <c r="E60" s="212">
        <f>'数据-汇总表'!E15</f>
        <v>0</v>
      </c>
      <c r="F60" s="631" t="e">
        <f t="shared" si="15"/>
        <v>#DIV/0!</v>
      </c>
      <c r="G60" s="1960" t="s">
        <v>1896</v>
      </c>
      <c r="H60" s="887">
        <f>项目基本情况!C37</f>
        <v>0</v>
      </c>
      <c r="I60" s="763">
        <f>SUMIF(修正!A57:A68,H60,修正!G57:G68)</f>
        <v>0</v>
      </c>
      <c r="J60" s="764"/>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32" customFormat="1" ht="14.4" thickBot="1">
      <c r="A61" s="635" t="s">
        <v>1903</v>
      </c>
      <c r="B61" s="636" t="s">
        <v>22</v>
      </c>
      <c r="C61" s="636" t="s">
        <v>23</v>
      </c>
      <c r="D61" s="636" t="s">
        <v>392</v>
      </c>
      <c r="E61" s="636">
        <f>IF(B41="楼面地价",SUM(E51:E60),'数据-汇总表'!D3)</f>
        <v>0</v>
      </c>
      <c r="F61" s="637" t="e">
        <f>IF(B41="楼面地价",SUM(F51:F60),ROUND(C43*E61/10000,0))</f>
        <v>#DIV/0!</v>
      </c>
      <c r="G61" s="929"/>
      <c r="H61" s="929"/>
      <c r="I61" s="929"/>
      <c r="J61" s="929"/>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17"/>
      <c r="B62" s="919"/>
      <c r="C62" s="921"/>
      <c r="D62" s="917"/>
      <c r="E62" s="917"/>
      <c r="F62" s="917"/>
      <c r="G62" s="917"/>
      <c r="H62" s="917"/>
      <c r="I62" s="917"/>
      <c r="J62" s="917"/>
      <c r="K62" s="878"/>
      <c r="L62" s="879"/>
      <c r="M62" s="917"/>
      <c r="N62" s="917"/>
      <c r="O62" s="917"/>
      <c r="P62" s="2696"/>
      <c r="Q62" s="2696"/>
      <c r="R62" s="2696"/>
      <c r="S62" s="2696"/>
      <c r="T62" s="2696"/>
      <c r="U62" s="2696"/>
      <c r="V62" s="2696"/>
      <c r="W62" s="2696"/>
      <c r="X62" s="2696"/>
      <c r="Y62" s="2696"/>
      <c r="Z62" s="2696"/>
      <c r="AA62" s="2696"/>
      <c r="AB62" s="2696"/>
      <c r="AC62" s="2696"/>
      <c r="AD62" s="2696"/>
      <c r="AE62" s="2696"/>
    </row>
    <row r="63" spans="1:31">
      <c r="A63" s="917"/>
      <c r="B63" s="919"/>
      <c r="C63" s="684" t="str">
        <f>YEAR(C7)&amp;"-"&amp;MONTH(C7)&amp;"-1"</f>
        <v>2003-10-1</v>
      </c>
      <c r="D63" s="684">
        <f>EDATE(C63,-3)</f>
        <v>37803</v>
      </c>
      <c r="E63" s="684">
        <f>EDATE(D63,-3)</f>
        <v>37712</v>
      </c>
      <c r="F63" s="684">
        <f t="shared" ref="F63:O63" si="18">EDATE(E63,-3)</f>
        <v>37622</v>
      </c>
      <c r="G63" s="684">
        <f t="shared" si="18"/>
        <v>37530</v>
      </c>
      <c r="H63" s="684">
        <f t="shared" si="18"/>
        <v>37438</v>
      </c>
      <c r="I63" s="684">
        <f t="shared" si="18"/>
        <v>37347</v>
      </c>
      <c r="J63" s="684">
        <f t="shared" si="18"/>
        <v>37257</v>
      </c>
      <c r="K63" s="684">
        <f t="shared" si="18"/>
        <v>37165</v>
      </c>
      <c r="L63" s="684">
        <f t="shared" si="18"/>
        <v>37073</v>
      </c>
      <c r="M63" s="684">
        <f t="shared" si="18"/>
        <v>36982</v>
      </c>
      <c r="N63" s="684">
        <f t="shared" si="18"/>
        <v>36892</v>
      </c>
      <c r="O63" s="684">
        <f t="shared" si="18"/>
        <v>36800</v>
      </c>
      <c r="P63" s="2696"/>
      <c r="Q63" s="2696"/>
      <c r="R63" s="2696"/>
      <c r="S63" s="2696"/>
      <c r="T63" s="2696"/>
      <c r="U63" s="2696"/>
      <c r="V63" s="2696"/>
      <c r="W63" s="2696"/>
      <c r="X63" s="2696"/>
      <c r="Y63" s="2696"/>
      <c r="Z63" s="2696"/>
      <c r="AA63" s="2696"/>
      <c r="AB63" s="2696"/>
      <c r="AC63" s="2696"/>
      <c r="AD63" s="2696"/>
      <c r="AE63" s="2696"/>
    </row>
    <row r="64" spans="1:31" ht="22.2" thickBot="1">
      <c r="A64" s="686" t="s">
        <v>1798</v>
      </c>
      <c r="B64" s="682"/>
      <c r="C64" s="687"/>
      <c r="D64" s="687"/>
      <c r="E64" s="687"/>
      <c r="F64" s="688"/>
      <c r="G64" s="688"/>
      <c r="H64" s="687"/>
      <c r="I64" s="687"/>
      <c r="J64" s="687"/>
      <c r="K64" s="689"/>
      <c r="L64" s="690"/>
      <c r="M64" s="687"/>
      <c r="N64" s="687"/>
      <c r="O64" s="930"/>
      <c r="P64" s="2740"/>
      <c r="Q64" s="2710"/>
      <c r="R64" s="2696"/>
      <c r="S64" s="2696"/>
      <c r="T64" s="2696"/>
      <c r="U64" s="2696"/>
      <c r="V64" s="2696"/>
      <c r="W64" s="2696"/>
      <c r="X64" s="2696"/>
      <c r="Y64" s="2696"/>
      <c r="Z64" s="2696"/>
      <c r="AA64" s="2696"/>
      <c r="AB64" s="2696"/>
      <c r="AC64" s="2696"/>
      <c r="AD64" s="2696"/>
      <c r="AE64" s="2696"/>
    </row>
    <row r="65" spans="1:31" s="452" customFormat="1" ht="14.4">
      <c r="A65" s="1961" t="s">
        <v>1904</v>
      </c>
      <c r="B65" s="1099"/>
      <c r="C65" s="1169" t="str">
        <f>YEAR(C63)&amp;"-"&amp;ROUNDUP(MONTH(C63)/3,0)</f>
        <v>2003-4</v>
      </c>
      <c r="D65" s="1169" t="str">
        <f t="shared" ref="D65:O65" si="19">YEAR(D63)&amp;"-"&amp;ROUNDUP(MONTH(D63)/3,0)</f>
        <v>2003-3</v>
      </c>
      <c r="E65" s="1169" t="str">
        <f t="shared" si="19"/>
        <v>2003-2</v>
      </c>
      <c r="F65" s="1169" t="str">
        <f t="shared" si="19"/>
        <v>2003-1</v>
      </c>
      <c r="G65" s="1169" t="str">
        <f t="shared" si="19"/>
        <v>2002-4</v>
      </c>
      <c r="H65" s="1169" t="str">
        <f t="shared" si="19"/>
        <v>2002-3</v>
      </c>
      <c r="I65" s="1169" t="str">
        <f t="shared" si="19"/>
        <v>2002-2</v>
      </c>
      <c r="J65" s="1169" t="str">
        <f t="shared" si="19"/>
        <v>2002-1</v>
      </c>
      <c r="K65" s="1169" t="str">
        <f t="shared" si="19"/>
        <v>2001-4</v>
      </c>
      <c r="L65" s="1169" t="str">
        <f t="shared" si="19"/>
        <v>2001-3</v>
      </c>
      <c r="M65" s="1169" t="str">
        <f t="shared" si="19"/>
        <v>2001-2</v>
      </c>
      <c r="N65" s="1169" t="str">
        <f t="shared" si="19"/>
        <v>2001-1</v>
      </c>
      <c r="O65" s="1169" t="str">
        <f t="shared" si="19"/>
        <v>2000-4</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66" t="s">
        <v>1924</v>
      </c>
      <c r="B66" s="283" t="str">
        <f>"北京市平均增长率"&amp;TEXT(基准地价修正!P28,"0.00%")</f>
        <v>北京市平均增长率0.00%</v>
      </c>
      <c r="C66" s="547">
        <v>100</v>
      </c>
      <c r="D66" s="539"/>
      <c r="E66" s="539"/>
      <c r="F66" s="539"/>
      <c r="G66" s="539"/>
      <c r="H66" s="539"/>
      <c r="I66" s="539"/>
      <c r="J66" s="539"/>
      <c r="K66" s="539"/>
      <c r="L66" s="539"/>
      <c r="M66" s="1165"/>
      <c r="N66" s="1165"/>
      <c r="O66" s="1167"/>
      <c r="P66" s="2710"/>
      <c r="Q66" s="2632"/>
      <c r="R66" s="2632"/>
      <c r="S66" s="2632"/>
      <c r="T66" s="2632"/>
      <c r="U66" s="2632"/>
      <c r="V66" s="2632"/>
      <c r="W66" s="2632"/>
      <c r="X66" s="2632"/>
      <c r="Y66" s="2632"/>
      <c r="Z66" s="2632"/>
      <c r="AA66" s="2632"/>
      <c r="AB66" s="2632"/>
      <c r="AC66" s="2632"/>
      <c r="AD66" s="2632"/>
      <c r="AE66" s="2632"/>
    </row>
    <row r="67" spans="1:31" s="108" customFormat="1" ht="15" thickBot="1">
      <c r="A67" s="459" t="s">
        <v>1716</v>
      </c>
      <c r="B67" s="460"/>
      <c r="C67" s="461"/>
      <c r="D67" s="462"/>
      <c r="E67" s="462"/>
      <c r="F67" s="462"/>
      <c r="G67" s="462"/>
      <c r="H67" s="462"/>
      <c r="I67" s="462"/>
      <c r="J67" s="462"/>
      <c r="K67" s="462"/>
      <c r="L67" s="462"/>
      <c r="M67" s="463"/>
      <c r="N67" s="463"/>
      <c r="O67" s="464"/>
      <c r="P67" s="2710"/>
      <c r="Q67" s="2710"/>
      <c r="R67" s="2632"/>
      <c r="S67" s="2632"/>
      <c r="T67" s="2632"/>
      <c r="U67" s="2632"/>
      <c r="V67" s="2632"/>
      <c r="W67" s="2632"/>
      <c r="X67" s="2632"/>
      <c r="Y67" s="2632"/>
      <c r="Z67" s="2632"/>
      <c r="AA67" s="2632"/>
      <c r="AB67" s="2632"/>
      <c r="AC67" s="2632"/>
      <c r="AD67" s="2632"/>
      <c r="AE67" s="2632"/>
    </row>
    <row r="68" spans="1:31" s="108" customFormat="1" ht="14.4">
      <c r="A68" s="465" t="s">
        <v>1681</v>
      </c>
      <c r="B68" s="454"/>
      <c r="C68" s="466" t="s">
        <v>1776</v>
      </c>
      <c r="D68" s="467"/>
      <c r="E68" s="467"/>
      <c r="F68" s="467"/>
      <c r="G68" s="467"/>
      <c r="H68" s="467"/>
      <c r="I68" s="467"/>
      <c r="J68" s="467"/>
      <c r="K68" s="467"/>
      <c r="L68" s="468"/>
      <c r="M68" s="469"/>
      <c r="N68" s="2723"/>
      <c r="O68" s="2723"/>
      <c r="P68" s="2748"/>
      <c r="Q68" s="2710"/>
      <c r="R68" s="2632"/>
      <c r="S68" s="2632"/>
      <c r="T68" s="2632"/>
      <c r="U68" s="2632"/>
      <c r="V68" s="2632"/>
      <c r="W68" s="2632"/>
      <c r="X68" s="2632"/>
      <c r="Y68" s="2632"/>
      <c r="Z68" s="2632"/>
      <c r="AA68" s="2632"/>
      <c r="AB68" s="2632"/>
      <c r="AC68" s="2632"/>
      <c r="AD68" s="2632"/>
      <c r="AE68" s="2632"/>
    </row>
    <row r="69" spans="1:31" s="108" customFormat="1" ht="14.4" thickBot="1">
      <c r="A69" s="465"/>
      <c r="B69" s="454"/>
      <c r="C69" s="579">
        <v>100</v>
      </c>
      <c r="D69" s="456"/>
      <c r="E69" s="456"/>
      <c r="F69" s="456"/>
      <c r="G69" s="456"/>
      <c r="H69" s="456"/>
      <c r="I69" s="456"/>
      <c r="J69" s="456"/>
      <c r="K69" s="456"/>
      <c r="L69" s="456"/>
      <c r="M69" s="458"/>
      <c r="N69" s="2723"/>
      <c r="O69" s="2723"/>
      <c r="P69" s="2710"/>
      <c r="Q69" s="2710"/>
      <c r="R69" s="2632"/>
      <c r="S69" s="2632"/>
      <c r="T69" s="2632"/>
      <c r="U69" s="2632"/>
      <c r="V69" s="2632"/>
      <c r="W69" s="2632"/>
      <c r="X69" s="2632"/>
      <c r="Y69" s="2632"/>
      <c r="Z69" s="2632"/>
      <c r="AA69" s="2632"/>
      <c r="AB69" s="2632"/>
      <c r="AC69" s="2632"/>
      <c r="AD69" s="2632"/>
      <c r="AE69" s="2632"/>
    </row>
    <row r="70" spans="1:31" ht="14.4">
      <c r="A70" s="471" t="s">
        <v>1719</v>
      </c>
      <c r="B70" s="472" t="s">
        <v>1685</v>
      </c>
      <c r="C70" s="474"/>
      <c r="D70" s="474"/>
      <c r="E70" s="474"/>
      <c r="F70" s="474"/>
      <c r="G70" s="474"/>
      <c r="H70" s="474"/>
      <c r="I70" s="474"/>
      <c r="J70" s="474"/>
      <c r="K70" s="475"/>
      <c r="L70" s="476"/>
      <c r="M70" s="477"/>
      <c r="N70" s="2724"/>
      <c r="O70" s="2724"/>
      <c r="P70" s="2749"/>
      <c r="Q70" s="2710"/>
      <c r="R70" s="2696"/>
      <c r="S70" s="2696"/>
      <c r="T70" s="2696"/>
      <c r="U70" s="2696"/>
      <c r="V70" s="2696"/>
      <c r="W70" s="2696"/>
      <c r="X70" s="2696"/>
      <c r="Y70" s="2696"/>
      <c r="Z70" s="2696"/>
      <c r="AA70" s="2696"/>
      <c r="AB70" s="2696"/>
      <c r="AC70" s="2696"/>
      <c r="AD70" s="2696"/>
      <c r="AE70" s="2696"/>
    </row>
    <row r="71" spans="1:31" ht="14.4" thickBot="1">
      <c r="A71" s="478"/>
      <c r="B71" s="479"/>
      <c r="C71" s="480"/>
      <c r="D71" s="480"/>
      <c r="E71" s="480"/>
      <c r="F71" s="480"/>
      <c r="G71" s="480"/>
      <c r="H71" s="480"/>
      <c r="I71" s="480"/>
      <c r="J71" s="480"/>
      <c r="K71" s="480"/>
      <c r="L71" s="480"/>
      <c r="M71" s="481"/>
      <c r="N71" s="2725"/>
      <c r="O71" s="2725"/>
      <c r="P71" s="2749"/>
      <c r="Q71" s="2710"/>
      <c r="R71" s="2696"/>
      <c r="S71" s="2696"/>
      <c r="T71" s="2696"/>
      <c r="U71" s="2696"/>
      <c r="V71" s="2696"/>
      <c r="W71" s="2696"/>
      <c r="X71" s="2696"/>
      <c r="Y71" s="2696"/>
      <c r="Z71" s="2696"/>
      <c r="AA71" s="2696"/>
      <c r="AB71" s="2696"/>
      <c r="AC71" s="2696"/>
      <c r="AD71" s="2696"/>
      <c r="AE71" s="2696"/>
    </row>
    <row r="72" spans="1:31" ht="29.4" thickTop="1">
      <c r="A72" s="478"/>
      <c r="B72" s="482" t="s">
        <v>1688</v>
      </c>
      <c r="C72" s="483"/>
      <c r="D72" s="483"/>
      <c r="E72" s="483"/>
      <c r="F72" s="483"/>
      <c r="G72" s="483"/>
      <c r="H72" s="483"/>
      <c r="I72" s="483"/>
      <c r="J72" s="483"/>
      <c r="K72" s="484"/>
      <c r="L72" s="485"/>
      <c r="M72" s="486"/>
      <c r="N72" s="2724"/>
      <c r="O72" s="2724"/>
      <c r="P72" s="2749"/>
      <c r="Q72" s="2710"/>
      <c r="R72" s="2696"/>
      <c r="S72" s="2696"/>
      <c r="T72" s="2696"/>
      <c r="U72" s="2696"/>
      <c r="V72" s="2696"/>
      <c r="W72" s="2696"/>
      <c r="X72" s="2696"/>
      <c r="Y72" s="2696"/>
      <c r="Z72" s="2696"/>
      <c r="AA72" s="2696"/>
      <c r="AB72" s="2696"/>
      <c r="AC72" s="2696"/>
      <c r="AD72" s="2696"/>
      <c r="AE72" s="2696"/>
    </row>
    <row r="73" spans="1:31" ht="14.4" thickBot="1">
      <c r="A73" s="478"/>
      <c r="B73" s="487"/>
      <c r="C73" s="488"/>
      <c r="D73" s="488"/>
      <c r="E73" s="488"/>
      <c r="F73" s="488"/>
      <c r="G73" s="488"/>
      <c r="H73" s="488"/>
      <c r="I73" s="488"/>
      <c r="J73" s="488"/>
      <c r="K73" s="488"/>
      <c r="L73" s="488"/>
      <c r="M73" s="489"/>
      <c r="N73" s="2725"/>
      <c r="O73" s="2725"/>
      <c r="P73" s="2749"/>
      <c r="Q73" s="2710"/>
      <c r="R73" s="2696"/>
      <c r="S73" s="2696"/>
      <c r="T73" s="2696"/>
      <c r="U73" s="2696"/>
      <c r="V73" s="2696"/>
      <c r="W73" s="2696"/>
      <c r="X73" s="2696"/>
      <c r="Y73" s="2696"/>
      <c r="Z73" s="2696"/>
      <c r="AA73" s="2696"/>
      <c r="AB73" s="2696"/>
      <c r="AC73" s="2696"/>
      <c r="AD73" s="2696"/>
      <c r="AE73" s="2696"/>
    </row>
    <row r="74" spans="1:31" ht="1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c r="A75" s="478"/>
      <c r="B75" s="492"/>
      <c r="C75" s="493"/>
      <c r="D75" s="493"/>
      <c r="E75" s="493"/>
      <c r="F75" s="493"/>
      <c r="G75" s="493"/>
      <c r="H75" s="493"/>
      <c r="I75" s="493"/>
      <c r="J75" s="493"/>
      <c r="K75" s="494"/>
      <c r="L75" s="495"/>
      <c r="M75" s="496"/>
      <c r="N75" s="2724"/>
      <c r="O75" s="2724"/>
      <c r="P75" s="2749"/>
      <c r="Q75" s="2710"/>
      <c r="R75" s="2696"/>
      <c r="S75" s="2696"/>
      <c r="T75" s="2696"/>
      <c r="U75" s="2696"/>
      <c r="V75" s="2696"/>
      <c r="W75" s="2696"/>
      <c r="X75" s="2696"/>
      <c r="Y75" s="2696"/>
      <c r="Z75" s="2696"/>
      <c r="AA75" s="2696"/>
      <c r="AB75" s="2696"/>
      <c r="AC75" s="2696"/>
      <c r="AD75" s="2696"/>
      <c r="AE75" s="2696"/>
    </row>
    <row r="76" spans="1:31" ht="14.4"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17" customFormat="1" ht="14.4" thickTop="1">
      <c r="A77" s="497"/>
      <c r="B77" s="482">
        <f>B12</f>
        <v>111</v>
      </c>
      <c r="C77" s="498"/>
      <c r="D77" s="498"/>
      <c r="E77" s="498"/>
      <c r="F77" s="498"/>
      <c r="G77" s="498"/>
      <c r="H77" s="499"/>
      <c r="I77" s="499"/>
      <c r="J77" s="499"/>
      <c r="K77" s="499"/>
      <c r="L77" s="500"/>
      <c r="M77" s="501"/>
      <c r="N77" s="2726"/>
      <c r="O77" s="2726"/>
      <c r="P77" s="2750"/>
      <c r="Q77" s="2717"/>
      <c r="R77" s="2718"/>
      <c r="S77" s="2718"/>
      <c r="T77" s="2718"/>
      <c r="U77" s="2718"/>
      <c r="V77" s="2718"/>
      <c r="W77" s="2718"/>
      <c r="X77" s="2718"/>
      <c r="Y77" s="2718"/>
      <c r="Z77" s="2718"/>
      <c r="AA77" s="2718"/>
      <c r="AB77" s="2718"/>
      <c r="AC77" s="2718"/>
      <c r="AD77" s="2718"/>
      <c r="AE77" s="2718"/>
    </row>
    <row r="78" spans="1:31" s="417" customFormat="1" ht="14.4" thickBot="1">
      <c r="A78" s="497"/>
      <c r="B78" s="487"/>
      <c r="C78" s="504"/>
      <c r="D78" s="480"/>
      <c r="E78" s="480"/>
      <c r="F78" s="480"/>
      <c r="G78" s="480"/>
      <c r="H78" s="480"/>
      <c r="I78" s="480"/>
      <c r="J78" s="480"/>
      <c r="K78" s="480"/>
      <c r="L78" s="480"/>
      <c r="M78" s="481"/>
      <c r="N78" s="2725"/>
      <c r="O78" s="2725"/>
      <c r="P78" s="2750"/>
      <c r="Q78" s="2717"/>
      <c r="R78" s="2718"/>
      <c r="S78" s="2718"/>
      <c r="T78" s="2718"/>
      <c r="U78" s="2718"/>
      <c r="V78" s="2718"/>
      <c r="W78" s="2718"/>
      <c r="X78" s="2718"/>
      <c r="Y78" s="2718"/>
      <c r="Z78" s="2718"/>
      <c r="AA78" s="2718"/>
      <c r="AB78" s="2718"/>
      <c r="AC78" s="2718"/>
      <c r="AD78" s="2718"/>
      <c r="AE78" s="2718"/>
    </row>
    <row r="79" spans="1:31" s="417" customFormat="1" ht="14.4" thickTop="1">
      <c r="A79" s="497"/>
      <c r="B79" s="482">
        <f>B13</f>
        <v>111</v>
      </c>
      <c r="C79" s="498"/>
      <c r="D79" s="498"/>
      <c r="E79" s="498"/>
      <c r="F79" s="498"/>
      <c r="G79" s="498"/>
      <c r="H79" s="499"/>
      <c r="I79" s="499"/>
      <c r="J79" s="499"/>
      <c r="K79" s="499"/>
      <c r="L79" s="500"/>
      <c r="M79" s="501"/>
      <c r="N79" s="2726"/>
      <c r="O79" s="2726"/>
      <c r="P79" s="2694"/>
      <c r="Q79" s="2720"/>
      <c r="R79" s="2718"/>
      <c r="S79" s="2718"/>
      <c r="T79" s="2718"/>
      <c r="U79" s="2718"/>
      <c r="V79" s="2718"/>
      <c r="W79" s="2718"/>
      <c r="X79" s="2718"/>
      <c r="Y79" s="2718"/>
      <c r="Z79" s="2718"/>
      <c r="AA79" s="2718"/>
      <c r="AB79" s="2718"/>
      <c r="AC79" s="2718"/>
      <c r="AD79" s="2718"/>
      <c r="AE79" s="2718"/>
    </row>
    <row r="80" spans="1:31" s="417" customFormat="1" ht="14.4" thickBot="1">
      <c r="A80" s="497"/>
      <c r="B80" s="487"/>
      <c r="C80" s="504"/>
      <c r="D80" s="504"/>
      <c r="E80" s="504"/>
      <c r="F80" s="504"/>
      <c r="G80" s="504"/>
      <c r="H80" s="506"/>
      <c r="I80" s="506"/>
      <c r="J80" s="506"/>
      <c r="K80" s="506"/>
      <c r="L80" s="506"/>
      <c r="M80" s="507"/>
      <c r="N80" s="2726"/>
      <c r="O80" s="2726"/>
      <c r="P80" s="2750"/>
      <c r="Q80" s="2717"/>
      <c r="R80" s="2718"/>
      <c r="S80" s="2718"/>
      <c r="T80" s="2718"/>
      <c r="U80" s="2718"/>
      <c r="V80" s="2718"/>
      <c r="W80" s="2718"/>
      <c r="X80" s="2718"/>
      <c r="Y80" s="2718"/>
      <c r="Z80" s="2718"/>
      <c r="AA80" s="2718"/>
      <c r="AB80" s="2718"/>
      <c r="AC80" s="2718"/>
      <c r="AD80" s="2718"/>
      <c r="AE80" s="2718"/>
    </row>
    <row r="81" spans="1:31" s="417" customFormat="1" ht="14.4" thickTop="1">
      <c r="A81" s="497"/>
      <c r="B81" s="490">
        <f>B14</f>
        <v>111</v>
      </c>
      <c r="C81" s="467"/>
      <c r="D81" s="467"/>
      <c r="E81" s="467"/>
      <c r="F81" s="467"/>
      <c r="G81" s="467"/>
      <c r="H81" s="508"/>
      <c r="I81" s="508"/>
      <c r="J81" s="508"/>
      <c r="K81" s="508"/>
      <c r="L81" s="509"/>
      <c r="M81" s="510"/>
      <c r="N81" s="2726"/>
      <c r="O81" s="2726"/>
      <c r="P81" s="2755"/>
      <c r="Q81" s="2717"/>
      <c r="R81" s="2718"/>
      <c r="S81" s="2718"/>
      <c r="T81" s="2718"/>
      <c r="U81" s="2718"/>
      <c r="V81" s="2718"/>
      <c r="W81" s="2718"/>
      <c r="X81" s="2718"/>
      <c r="Y81" s="2718"/>
      <c r="Z81" s="2718"/>
      <c r="AA81" s="2718"/>
      <c r="AB81" s="2718"/>
      <c r="AC81" s="2718"/>
      <c r="AD81" s="2718"/>
      <c r="AE81" s="2718"/>
    </row>
    <row r="82" spans="1:31" s="417" customFormat="1" ht="14.4" thickBot="1">
      <c r="A82" s="512"/>
      <c r="B82" s="513"/>
      <c r="C82" s="514"/>
      <c r="D82" s="514"/>
      <c r="E82" s="514"/>
      <c r="F82" s="514"/>
      <c r="G82" s="514"/>
      <c r="H82" s="515"/>
      <c r="I82" s="515"/>
      <c r="J82" s="515"/>
      <c r="K82" s="515"/>
      <c r="L82" s="515"/>
      <c r="M82" s="516"/>
      <c r="N82" s="2726"/>
      <c r="O82" s="2726"/>
      <c r="P82" s="2750"/>
      <c r="Q82" s="2717"/>
      <c r="R82" s="2718"/>
      <c r="S82" s="2718"/>
      <c r="T82" s="2718"/>
      <c r="U82" s="2718"/>
      <c r="V82" s="2718"/>
      <c r="W82" s="2718"/>
      <c r="X82" s="2718"/>
      <c r="Y82" s="2718"/>
      <c r="Z82" s="2718"/>
      <c r="AA82" s="2718"/>
      <c r="AB82" s="2718"/>
      <c r="AC82" s="2718"/>
      <c r="AD82" s="2718"/>
      <c r="AE82" s="2718"/>
    </row>
    <row r="83" spans="1:31" ht="14.4">
      <c r="A83" s="471" t="s">
        <v>1690</v>
      </c>
      <c r="B83" s="472" t="s">
        <v>1829</v>
      </c>
      <c r="C83" s="517" t="s">
        <v>1721</v>
      </c>
      <c r="D83" s="517" t="s">
        <v>1722</v>
      </c>
      <c r="E83" s="517" t="s">
        <v>1723</v>
      </c>
      <c r="F83" s="517" t="s">
        <v>1724</v>
      </c>
      <c r="G83" s="517" t="s">
        <v>1725</v>
      </c>
      <c r="H83" s="473"/>
      <c r="I83" s="473"/>
      <c r="J83" s="473"/>
      <c r="K83" s="518"/>
      <c r="L83" s="519"/>
      <c r="M83" s="520"/>
      <c r="N83" s="2724"/>
      <c r="O83" s="2724"/>
      <c r="P83" s="2751"/>
      <c r="Q83" s="2710"/>
      <c r="R83" s="2696"/>
      <c r="S83" s="2696"/>
      <c r="T83" s="2696"/>
      <c r="U83" s="2696"/>
      <c r="V83" s="2696"/>
      <c r="W83" s="2696"/>
      <c r="X83" s="2696"/>
      <c r="Y83" s="2696"/>
      <c r="Z83" s="2696"/>
      <c r="AA83" s="2696"/>
      <c r="AB83" s="2696"/>
      <c r="AC83" s="2696"/>
      <c r="AD83" s="2696"/>
      <c r="AE83" s="2696"/>
    </row>
    <row r="84" spans="1:31" ht="14.4" thickBot="1">
      <c r="A84" s="478"/>
      <c r="B84" s="487"/>
      <c r="C84" s="488">
        <v>100</v>
      </c>
      <c r="D84" s="488">
        <f>C84-$K15</f>
        <v>100</v>
      </c>
      <c r="E84" s="488">
        <f>D84-$K15</f>
        <v>100</v>
      </c>
      <c r="F84" s="488">
        <f>E84-$K15</f>
        <v>100</v>
      </c>
      <c r="G84" s="488">
        <f>F84-$K15</f>
        <v>100</v>
      </c>
      <c r="H84" s="488"/>
      <c r="I84" s="488"/>
      <c r="J84" s="488"/>
      <c r="K84" s="488"/>
      <c r="L84" s="488"/>
      <c r="M84" s="489"/>
      <c r="N84" s="2725"/>
      <c r="O84" s="2725"/>
      <c r="P84" s="2749"/>
      <c r="Q84" s="2710"/>
      <c r="R84" s="2696"/>
      <c r="S84" s="2696"/>
      <c r="T84" s="2696"/>
      <c r="U84" s="2696"/>
      <c r="V84" s="2696"/>
      <c r="W84" s="2696"/>
      <c r="X84" s="2696"/>
      <c r="Y84" s="2696"/>
      <c r="Z84" s="2696"/>
      <c r="AA84" s="2696"/>
      <c r="AB84" s="2696"/>
      <c r="AC84" s="2696"/>
      <c r="AD84" s="2696"/>
      <c r="AE84" s="2696"/>
    </row>
    <row r="85" spans="1:31" ht="15" thickTop="1">
      <c r="A85" s="478"/>
      <c r="B85" s="482" t="s">
        <v>1726</v>
      </c>
      <c r="C85" s="522" t="s">
        <v>1721</v>
      </c>
      <c r="D85" s="522" t="s">
        <v>1722</v>
      </c>
      <c r="E85" s="522" t="s">
        <v>1723</v>
      </c>
      <c r="F85" s="522" t="s">
        <v>1724</v>
      </c>
      <c r="G85" s="522" t="s">
        <v>1725</v>
      </c>
      <c r="H85" s="483"/>
      <c r="I85" s="483"/>
      <c r="J85" s="483"/>
      <c r="K85" s="484"/>
      <c r="L85" s="485"/>
      <c r="M85" s="486"/>
      <c r="N85" s="2724"/>
      <c r="O85" s="2724"/>
      <c r="P85" s="2749"/>
      <c r="Q85" s="2710"/>
      <c r="R85" s="2696"/>
      <c r="S85" s="2696"/>
      <c r="T85" s="2696"/>
      <c r="U85" s="2696"/>
      <c r="V85" s="2696"/>
      <c r="W85" s="2696"/>
      <c r="X85" s="2696"/>
      <c r="Y85" s="2696"/>
      <c r="Z85" s="2696"/>
      <c r="AA85" s="2696"/>
      <c r="AB85" s="2696"/>
      <c r="AC85" s="2696"/>
      <c r="AD85" s="2696"/>
      <c r="AE85" s="2696"/>
    </row>
    <row r="86" spans="1:31" ht="14.4" thickBot="1">
      <c r="A86" s="478"/>
      <c r="B86" s="487"/>
      <c r="C86" s="488">
        <v>100</v>
      </c>
      <c r="D86" s="488">
        <f>C86-$K17</f>
        <v>100</v>
      </c>
      <c r="E86" s="488">
        <f>D86-$K17</f>
        <v>100</v>
      </c>
      <c r="F86" s="488">
        <f>E86-$K17</f>
        <v>100</v>
      </c>
      <c r="G86" s="488">
        <f>F86-$K17</f>
        <v>100</v>
      </c>
      <c r="H86" s="488"/>
      <c r="I86" s="488"/>
      <c r="J86" s="488"/>
      <c r="K86" s="488"/>
      <c r="L86" s="488"/>
      <c r="M86" s="489"/>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29.4" thickTop="1">
      <c r="A87" s="523"/>
      <c r="B87" s="482" t="s">
        <v>1907</v>
      </c>
      <c r="C87" s="517" t="s">
        <v>1721</v>
      </c>
      <c r="D87" s="517" t="s">
        <v>1722</v>
      </c>
      <c r="E87" s="517" t="s">
        <v>1723</v>
      </c>
      <c r="F87" s="517" t="s">
        <v>1724</v>
      </c>
      <c r="G87" s="517" t="s">
        <v>1725</v>
      </c>
      <c r="H87" s="522"/>
      <c r="I87" s="522"/>
      <c r="J87" s="522"/>
      <c r="K87" s="522"/>
      <c r="L87" s="638"/>
      <c r="M87" s="562"/>
      <c r="N87" s="2723"/>
      <c r="O87" s="2723"/>
      <c r="P87" s="2749"/>
      <c r="Q87" s="2710"/>
      <c r="R87" s="2632"/>
      <c r="S87" s="2632"/>
      <c r="T87" s="2632"/>
      <c r="U87" s="2632"/>
      <c r="V87" s="2632"/>
      <c r="W87" s="2632"/>
      <c r="X87" s="2632"/>
      <c r="Y87" s="2632"/>
      <c r="Z87" s="2632"/>
      <c r="AA87" s="2632"/>
      <c r="AB87" s="2632"/>
      <c r="AC87" s="2632"/>
      <c r="AD87" s="2632"/>
      <c r="AE87" s="2632"/>
    </row>
    <row r="88" spans="1:31" s="108" customFormat="1" ht="14.4" thickBot="1">
      <c r="A88" s="523"/>
      <c r="B88" s="487"/>
      <c r="C88" s="526">
        <v>100</v>
      </c>
      <c r="D88" s="488">
        <f>C88-$K19</f>
        <v>100</v>
      </c>
      <c r="E88" s="488">
        <f>D88-$K19</f>
        <v>100</v>
      </c>
      <c r="F88" s="488">
        <f>E88-$K19</f>
        <v>100</v>
      </c>
      <c r="G88" s="488">
        <f>F88-$K19</f>
        <v>100</v>
      </c>
      <c r="H88" s="488"/>
      <c r="I88" s="488"/>
      <c r="J88" s="488"/>
      <c r="K88" s="488"/>
      <c r="L88" s="488"/>
      <c r="M88" s="489"/>
      <c r="N88" s="2725"/>
      <c r="O88" s="2725"/>
      <c r="P88" s="2749"/>
      <c r="Q88" s="2710"/>
      <c r="R88" s="2632"/>
      <c r="S88" s="2632"/>
      <c r="T88" s="2632"/>
      <c r="U88" s="2632"/>
      <c r="V88" s="2632"/>
      <c r="W88" s="2632"/>
      <c r="X88" s="2632"/>
      <c r="Y88" s="2632"/>
      <c r="Z88" s="2632"/>
      <c r="AA88" s="2632"/>
      <c r="AB88" s="2632"/>
      <c r="AC88" s="2632"/>
      <c r="AD88" s="2632"/>
      <c r="AE88" s="2632"/>
    </row>
    <row r="89" spans="1:31" s="108" customFormat="1" ht="29.4" thickTop="1">
      <c r="A89" s="523"/>
      <c r="B89" s="482" t="s">
        <v>1908</v>
      </c>
      <c r="C89" s="517" t="s">
        <v>1721</v>
      </c>
      <c r="D89" s="517" t="s">
        <v>1722</v>
      </c>
      <c r="E89" s="517" t="s">
        <v>1723</v>
      </c>
      <c r="F89" s="517" t="s">
        <v>1724</v>
      </c>
      <c r="G89" s="517" t="s">
        <v>1725</v>
      </c>
      <c r="H89" s="522"/>
      <c r="I89" s="522"/>
      <c r="J89" s="522"/>
      <c r="K89" s="522"/>
      <c r="L89" s="522"/>
      <c r="M89" s="562"/>
      <c r="N89" s="2723"/>
      <c r="O89" s="2723"/>
      <c r="P89" s="2749"/>
      <c r="Q89" s="2710"/>
      <c r="R89" s="2632"/>
      <c r="S89" s="2632"/>
      <c r="T89" s="2632"/>
      <c r="U89" s="2632"/>
      <c r="V89" s="2632"/>
      <c r="W89" s="2632"/>
      <c r="X89" s="2632"/>
      <c r="Y89" s="2632"/>
      <c r="Z89" s="2632"/>
      <c r="AA89" s="2632"/>
      <c r="AB89" s="2632"/>
      <c r="AC89" s="2632"/>
      <c r="AD89" s="2632"/>
      <c r="AE89" s="2632"/>
    </row>
    <row r="90" spans="1:31" s="108" customFormat="1" ht="14.4" thickBot="1">
      <c r="A90" s="523"/>
      <c r="B90" s="487"/>
      <c r="C90" s="488">
        <v>100</v>
      </c>
      <c r="D90" s="488">
        <f>C90-$K21</f>
        <v>100</v>
      </c>
      <c r="E90" s="488">
        <f>D90-$K21</f>
        <v>100</v>
      </c>
      <c r="F90" s="488">
        <f>E90-$K21</f>
        <v>100</v>
      </c>
      <c r="G90" s="488">
        <f>F90-$K21</f>
        <v>100</v>
      </c>
      <c r="H90" s="488"/>
      <c r="I90" s="488"/>
      <c r="J90" s="488"/>
      <c r="K90" s="488"/>
      <c r="L90" s="488"/>
      <c r="M90" s="489"/>
      <c r="N90" s="2725"/>
      <c r="O90" s="2725"/>
      <c r="P90" s="2749"/>
      <c r="Q90" s="2710"/>
      <c r="R90" s="2632"/>
      <c r="S90" s="2632"/>
      <c r="T90" s="2632"/>
      <c r="U90" s="2632"/>
      <c r="V90" s="2632"/>
      <c r="W90" s="2632"/>
      <c r="X90" s="2632"/>
      <c r="Y90" s="2632"/>
      <c r="Z90" s="2632"/>
      <c r="AA90" s="2632"/>
      <c r="AB90" s="2632"/>
      <c r="AC90" s="2632"/>
      <c r="AD90" s="2632"/>
      <c r="AE90" s="2632"/>
    </row>
    <row r="91" spans="1:31" s="417" customFormat="1" ht="15" thickTop="1">
      <c r="A91" s="497"/>
      <c r="B91" s="482" t="s">
        <v>1778</v>
      </c>
      <c r="C91" s="517" t="s">
        <v>1721</v>
      </c>
      <c r="D91" s="517" t="s">
        <v>1722</v>
      </c>
      <c r="E91" s="517" t="s">
        <v>1723</v>
      </c>
      <c r="F91" s="517" t="s">
        <v>1724</v>
      </c>
      <c r="G91" s="517" t="s">
        <v>1725</v>
      </c>
      <c r="H91" s="544"/>
      <c r="I91" s="544"/>
      <c r="J91" s="544"/>
      <c r="K91" s="544"/>
      <c r="L91" s="545"/>
      <c r="M91" s="546"/>
      <c r="N91" s="2726"/>
      <c r="O91" s="2726"/>
      <c r="P91" s="2750"/>
      <c r="Q91" s="2717"/>
      <c r="R91" s="2718"/>
      <c r="S91" s="2718"/>
      <c r="T91" s="2718"/>
      <c r="U91" s="2718"/>
      <c r="V91" s="2718"/>
      <c r="W91" s="2718"/>
      <c r="X91" s="2718"/>
      <c r="Y91" s="2718"/>
      <c r="Z91" s="2718"/>
      <c r="AA91" s="2718"/>
      <c r="AB91" s="2718"/>
      <c r="AC91" s="2718"/>
      <c r="AD91" s="2718"/>
      <c r="AE91" s="2718"/>
    </row>
    <row r="92" spans="1:31" s="417" customFormat="1" ht="14.4" thickBot="1">
      <c r="A92" s="497"/>
      <c r="B92" s="487"/>
      <c r="C92" s="488">
        <v>100</v>
      </c>
      <c r="D92" s="488">
        <f>C92-$K23</f>
        <v>100</v>
      </c>
      <c r="E92" s="488">
        <f>D92-$K23</f>
        <v>100</v>
      </c>
      <c r="F92" s="488">
        <f>E92-$K23</f>
        <v>100</v>
      </c>
      <c r="G92" s="488">
        <f>F92-$K23</f>
        <v>100</v>
      </c>
      <c r="H92" s="548"/>
      <c r="I92" s="548"/>
      <c r="J92" s="548"/>
      <c r="K92" s="548"/>
      <c r="L92" s="548"/>
      <c r="M92" s="549"/>
      <c r="N92" s="2726"/>
      <c r="O92" s="2726"/>
      <c r="P92" s="2750"/>
      <c r="Q92" s="2717"/>
      <c r="R92" s="2718"/>
      <c r="S92" s="2718"/>
      <c r="T92" s="2718"/>
      <c r="U92" s="2718"/>
      <c r="V92" s="2718"/>
      <c r="W92" s="2718"/>
      <c r="X92" s="2718"/>
      <c r="Y92" s="2718"/>
      <c r="Z92" s="2718"/>
      <c r="AA92" s="2718"/>
      <c r="AB92" s="2718"/>
      <c r="AC92" s="2718"/>
      <c r="AD92" s="2718"/>
      <c r="AE92" s="2718"/>
    </row>
    <row r="93" spans="1:31" s="417" customFormat="1" ht="15" thickTop="1">
      <c r="A93" s="497"/>
      <c r="B93" s="490" t="s">
        <v>1925</v>
      </c>
      <c r="C93" s="600" t="s">
        <v>1799</v>
      </c>
      <c r="D93" s="600" t="s">
        <v>1800</v>
      </c>
      <c r="E93" s="600" t="s">
        <v>1801</v>
      </c>
      <c r="F93" s="600" t="s">
        <v>1802</v>
      </c>
      <c r="G93" s="600" t="s">
        <v>1803</v>
      </c>
      <c r="H93" s="544"/>
      <c r="I93" s="544"/>
      <c r="J93" s="544"/>
      <c r="K93" s="544"/>
      <c r="L93" s="544"/>
      <c r="M93" s="546"/>
      <c r="N93" s="2726"/>
      <c r="O93" s="2726"/>
      <c r="P93" s="2750"/>
      <c r="Q93" s="2717"/>
      <c r="R93" s="2718"/>
      <c r="S93" s="2718"/>
      <c r="T93" s="2718"/>
      <c r="U93" s="2718"/>
      <c r="V93" s="2718"/>
      <c r="W93" s="2718"/>
      <c r="X93" s="2718"/>
      <c r="Y93" s="2718"/>
      <c r="Z93" s="2718"/>
      <c r="AA93" s="2718"/>
      <c r="AB93" s="2718"/>
      <c r="AC93" s="2718"/>
      <c r="AD93" s="2718"/>
      <c r="AE93" s="2718"/>
    </row>
    <row r="94" spans="1:31" s="417" customFormat="1" ht="14.4" thickBot="1">
      <c r="A94" s="497"/>
      <c r="B94" s="490"/>
      <c r="C94" s="488">
        <v>100</v>
      </c>
      <c r="D94" s="488">
        <f>C94-$K25</f>
        <v>100</v>
      </c>
      <c r="E94" s="488">
        <f>D94-$K25</f>
        <v>100</v>
      </c>
      <c r="F94" s="488">
        <f>E94-$K25</f>
        <v>100</v>
      </c>
      <c r="G94" s="488">
        <f>F94-$K25</f>
        <v>100</v>
      </c>
      <c r="H94" s="492"/>
      <c r="I94" s="492"/>
      <c r="J94" s="492"/>
      <c r="K94" s="492"/>
      <c r="L94" s="492"/>
      <c r="M94" s="1120"/>
      <c r="N94" s="2726"/>
      <c r="O94" s="2726"/>
      <c r="P94" s="2750"/>
      <c r="Q94" s="2717"/>
      <c r="R94" s="2718"/>
      <c r="S94" s="2718"/>
      <c r="T94" s="2718"/>
      <c r="U94" s="2718"/>
      <c r="V94" s="2718"/>
      <c r="W94" s="2718"/>
      <c r="X94" s="2718"/>
      <c r="Y94" s="2718"/>
      <c r="Z94" s="2718"/>
      <c r="AA94" s="2718"/>
      <c r="AB94" s="2718"/>
      <c r="AC94" s="2718"/>
      <c r="AD94" s="2718"/>
      <c r="AE94" s="2718"/>
    </row>
    <row r="95" spans="1:31" ht="15" thickTop="1">
      <c r="A95" s="478"/>
      <c r="B95" s="482" t="str">
        <f>B27</f>
        <v>临街状况</v>
      </c>
      <c r="C95" s="483" t="s">
        <v>1909</v>
      </c>
      <c r="D95" s="483" t="s">
        <v>1910</v>
      </c>
      <c r="E95" s="483" t="s">
        <v>1911</v>
      </c>
      <c r="F95" s="483" t="s">
        <v>1912</v>
      </c>
      <c r="G95" s="483"/>
      <c r="H95" s="483"/>
      <c r="I95" s="483"/>
      <c r="J95" s="483"/>
      <c r="K95" s="484"/>
      <c r="L95" s="485"/>
      <c r="M95" s="486"/>
      <c r="N95" s="2724"/>
      <c r="O95" s="2724"/>
      <c r="P95" s="2749"/>
      <c r="Q95" s="2710"/>
      <c r="R95" s="2696"/>
      <c r="S95" s="2696"/>
      <c r="T95" s="2696"/>
      <c r="U95" s="2696"/>
      <c r="V95" s="2696"/>
      <c r="W95" s="2696"/>
      <c r="X95" s="2696"/>
      <c r="Y95" s="2696"/>
      <c r="Z95" s="2696"/>
      <c r="AA95" s="2696"/>
      <c r="AB95" s="2696"/>
      <c r="AC95" s="2696"/>
      <c r="AD95" s="2696"/>
      <c r="AE95" s="2696"/>
    </row>
    <row r="96" spans="1:31" ht="14.4"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9.4" thickTop="1">
      <c r="A97" s="478"/>
      <c r="B97" s="482" t="s">
        <v>1815</v>
      </c>
      <c r="C97" s="498"/>
      <c r="D97" s="498"/>
      <c r="E97" s="498"/>
      <c r="F97" s="498"/>
      <c r="G97" s="498"/>
      <c r="H97" s="527"/>
      <c r="I97" s="527"/>
      <c r="J97" s="527"/>
      <c r="K97" s="528"/>
      <c r="L97" s="529"/>
      <c r="M97" s="530"/>
      <c r="N97" s="2724"/>
      <c r="O97" s="2724"/>
      <c r="P97" s="2749"/>
      <c r="Q97" s="2710"/>
      <c r="R97" s="2696"/>
      <c r="S97" s="2696"/>
      <c r="T97" s="2696"/>
      <c r="U97" s="2696"/>
      <c r="V97" s="2696"/>
      <c r="W97" s="2696"/>
      <c r="X97" s="2696"/>
      <c r="Y97" s="2696"/>
      <c r="Z97" s="2696"/>
      <c r="AA97" s="2696"/>
      <c r="AB97" s="2696"/>
      <c r="AC97" s="2696"/>
      <c r="AD97" s="2696"/>
      <c r="AE97" s="2696"/>
    </row>
    <row r="98" spans="1:31" ht="14.4"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 thickTop="1">
      <c r="A99" s="478"/>
      <c r="B99" s="482" t="s">
        <v>1873</v>
      </c>
      <c r="C99" s="527"/>
      <c r="D99" s="527"/>
      <c r="E99" s="527"/>
      <c r="F99" s="527"/>
      <c r="G99" s="527"/>
      <c r="H99" s="527"/>
      <c r="I99" s="527"/>
      <c r="J99" s="527"/>
      <c r="K99" s="528"/>
      <c r="L99" s="529"/>
      <c r="M99" s="530"/>
      <c r="N99" s="2724"/>
      <c r="O99" s="2724"/>
      <c r="P99" s="2749"/>
      <c r="Q99" s="2710"/>
      <c r="R99" s="2696"/>
      <c r="S99" s="2696"/>
      <c r="T99" s="2696"/>
      <c r="U99" s="2696"/>
      <c r="V99" s="2696"/>
      <c r="W99" s="2696"/>
      <c r="X99" s="2696"/>
      <c r="Y99" s="2696"/>
      <c r="Z99" s="2696"/>
      <c r="AA99" s="2696"/>
      <c r="AB99" s="2696"/>
      <c r="AC99" s="2696"/>
      <c r="AD99" s="2696"/>
      <c r="AE99" s="2696"/>
    </row>
    <row r="100" spans="1:31" ht="14.4"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4.4" thickTop="1">
      <c r="A101" s="478"/>
      <c r="B101" s="490">
        <f>B31</f>
        <v>111</v>
      </c>
      <c r="C101" s="498"/>
      <c r="D101" s="498"/>
      <c r="E101" s="498"/>
      <c r="F101" s="498"/>
      <c r="G101" s="531"/>
      <c r="H101" s="531"/>
      <c r="I101" s="531"/>
      <c r="J101" s="531"/>
      <c r="K101" s="532"/>
      <c r="L101" s="533"/>
      <c r="M101" s="534"/>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4.4" thickBot="1">
      <c r="A102" s="478"/>
      <c r="B102" s="513"/>
      <c r="C102" s="504"/>
      <c r="D102" s="480"/>
      <c r="E102" s="480"/>
      <c r="F102" s="480"/>
      <c r="G102" s="535"/>
      <c r="H102" s="535"/>
      <c r="I102" s="535"/>
      <c r="J102" s="535"/>
      <c r="K102" s="535"/>
      <c r="L102" s="535"/>
      <c r="M102" s="536"/>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4.4" thickTop="1">
      <c r="A103" s="615"/>
      <c r="B103" s="482">
        <f>B32</f>
        <v>111</v>
      </c>
      <c r="C103" s="498"/>
      <c r="D103" s="498"/>
      <c r="E103" s="498"/>
      <c r="F103" s="498"/>
      <c r="G103" s="527"/>
      <c r="H103" s="527"/>
      <c r="I103" s="527"/>
      <c r="J103" s="527"/>
      <c r="K103" s="528"/>
      <c r="L103" s="529"/>
      <c r="M103" s="530"/>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4.4" thickBot="1">
      <c r="A104" s="478"/>
      <c r="B104" s="487"/>
      <c r="C104" s="504"/>
      <c r="D104" s="504"/>
      <c r="E104" s="504"/>
      <c r="F104" s="504"/>
      <c r="G104" s="480"/>
      <c r="H104" s="480"/>
      <c r="I104" s="480"/>
      <c r="J104" s="480"/>
      <c r="K104" s="480"/>
      <c r="L104" s="480"/>
      <c r="M104" s="481"/>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17" customFormat="1" ht="14.4" thickTop="1">
      <c r="A105" s="537"/>
      <c r="B105" s="538">
        <f>B33</f>
        <v>111</v>
      </c>
      <c r="C105" s="467"/>
      <c r="D105" s="467"/>
      <c r="E105" s="467"/>
      <c r="F105" s="467"/>
      <c r="G105" s="539"/>
      <c r="H105" s="539"/>
      <c r="I105" s="539"/>
      <c r="J105" s="540"/>
      <c r="K105" s="540"/>
      <c r="L105" s="541"/>
      <c r="M105" s="542"/>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17" customFormat="1" ht="14.4" thickBot="1">
      <c r="A106" s="497"/>
      <c r="B106" s="490"/>
      <c r="C106" s="514"/>
      <c r="D106" s="514"/>
      <c r="E106" s="514"/>
      <c r="F106" s="514"/>
      <c r="G106" s="617"/>
      <c r="H106" s="617"/>
      <c r="I106" s="617"/>
      <c r="J106" s="617"/>
      <c r="K106" s="617"/>
      <c r="L106" s="617"/>
      <c r="M106" s="639"/>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ht="14.4">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0" t="str">
        <f t="shared" si="25"/>
        <v>(含)-</v>
      </c>
      <c r="L107" s="1320" t="str">
        <f t="shared" si="25"/>
        <v>(含)-</v>
      </c>
      <c r="M107" s="1321"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c r="A108" s="478"/>
      <c r="B108" s="490"/>
      <c r="C108" s="539"/>
      <c r="D108" s="539"/>
      <c r="E108" s="539"/>
      <c r="F108" s="539"/>
      <c r="G108" s="539"/>
      <c r="H108" s="539"/>
      <c r="I108" s="539"/>
      <c r="J108" s="540"/>
      <c r="K108" s="540"/>
      <c r="L108" s="541"/>
      <c r="M108" s="542"/>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4.4" thickBot="1">
      <c r="A109" s="478"/>
      <c r="B109" s="487"/>
      <c r="C109" s="514"/>
      <c r="D109" s="535"/>
      <c r="E109" s="535"/>
      <c r="F109" s="535"/>
      <c r="G109" s="535"/>
      <c r="H109" s="535"/>
      <c r="I109" s="535"/>
      <c r="J109" s="535"/>
      <c r="K109" s="535"/>
      <c r="L109" s="535"/>
      <c r="M109" s="536"/>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3"/>
      <c r="B110" s="482" t="s">
        <v>1914</v>
      </c>
      <c r="C110" s="527"/>
      <c r="D110" s="527"/>
      <c r="E110" s="527"/>
      <c r="F110" s="527"/>
      <c r="G110" s="527"/>
      <c r="H110" s="527"/>
      <c r="I110" s="527"/>
      <c r="J110" s="527"/>
      <c r="K110" s="528"/>
      <c r="L110" s="529"/>
      <c r="M110" s="530"/>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4.4"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17" customFormat="1" ht="15" thickTop="1">
      <c r="A112" s="537"/>
      <c r="B112" s="482" t="s">
        <v>1916</v>
      </c>
      <c r="C112" s="498"/>
      <c r="D112" s="498"/>
      <c r="E112" s="498"/>
      <c r="F112" s="498"/>
      <c r="G112" s="498"/>
      <c r="H112" s="527"/>
      <c r="I112" s="527"/>
      <c r="J112" s="527"/>
      <c r="K112" s="528"/>
      <c r="L112" s="529"/>
      <c r="M112" s="530"/>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17" customFormat="1" ht="14.4"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3"/>
      <c r="B114" s="482" t="s">
        <v>1917</v>
      </c>
      <c r="C114" s="498"/>
      <c r="D114" s="498"/>
      <c r="E114" s="527"/>
      <c r="F114" s="527"/>
      <c r="G114" s="527"/>
      <c r="H114" s="527"/>
      <c r="I114" s="527"/>
      <c r="J114" s="527"/>
      <c r="K114" s="528"/>
      <c r="L114" s="529"/>
      <c r="M114" s="530"/>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4.4"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4.4" thickTop="1">
      <c r="A116" s="543"/>
      <c r="B116" s="482">
        <f>B38</f>
        <v>111</v>
      </c>
      <c r="C116" s="498"/>
      <c r="D116" s="498"/>
      <c r="E116" s="498"/>
      <c r="F116" s="498"/>
      <c r="G116" s="498"/>
      <c r="H116" s="527"/>
      <c r="I116" s="527"/>
      <c r="J116" s="527"/>
      <c r="K116" s="528"/>
      <c r="L116" s="529"/>
      <c r="M116" s="530"/>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4.4" thickBot="1">
      <c r="A117" s="478"/>
      <c r="B117" s="487"/>
      <c r="C117" s="504"/>
      <c r="D117" s="480"/>
      <c r="E117" s="480"/>
      <c r="F117" s="480"/>
      <c r="G117" s="480"/>
      <c r="H117" s="480"/>
      <c r="I117" s="480"/>
      <c r="J117" s="480"/>
      <c r="K117" s="480"/>
      <c r="L117" s="480"/>
      <c r="M117" s="481"/>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4.4" thickTop="1">
      <c r="A118" s="543"/>
      <c r="B118" s="482">
        <f>B39</f>
        <v>111</v>
      </c>
      <c r="C118" s="498"/>
      <c r="D118" s="498"/>
      <c r="E118" s="498"/>
      <c r="F118" s="498"/>
      <c r="G118" s="527"/>
      <c r="H118" s="527"/>
      <c r="I118" s="527"/>
      <c r="J118" s="527"/>
      <c r="K118" s="528"/>
      <c r="L118" s="529"/>
      <c r="M118" s="530"/>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4.4" thickBot="1">
      <c r="A119" s="478"/>
      <c r="B119" s="487"/>
      <c r="C119" s="504"/>
      <c r="D119" s="504"/>
      <c r="E119" s="504"/>
      <c r="F119" s="504"/>
      <c r="G119" s="480"/>
      <c r="H119" s="480"/>
      <c r="I119" s="480"/>
      <c r="J119" s="480"/>
      <c r="K119" s="480"/>
      <c r="L119" s="480"/>
      <c r="M119" s="481"/>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17" customFormat="1" ht="14.4" thickTop="1">
      <c r="A120" s="537"/>
      <c r="B120" s="482">
        <f>B40</f>
        <v>111</v>
      </c>
      <c r="C120" s="467"/>
      <c r="D120" s="467"/>
      <c r="E120" s="467"/>
      <c r="F120" s="467"/>
      <c r="G120" s="499"/>
      <c r="H120" s="499"/>
      <c r="I120" s="499"/>
      <c r="J120" s="499"/>
      <c r="K120" s="499"/>
      <c r="L120" s="500"/>
      <c r="M120" s="501"/>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17" customFormat="1" ht="14.4" thickBot="1">
      <c r="A121" s="512"/>
      <c r="B121" s="640"/>
      <c r="C121" s="514"/>
      <c r="D121" s="514"/>
      <c r="E121" s="514"/>
      <c r="F121" s="514"/>
      <c r="G121" s="535"/>
      <c r="H121" s="535"/>
      <c r="I121" s="535"/>
      <c r="J121" s="535"/>
      <c r="K121" s="535"/>
      <c r="L121" s="535"/>
      <c r="M121" s="536"/>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2"/>
    <col min="19" max="19" width="9" style="130"/>
    <col min="20" max="45" width="9" style="715"/>
    <col min="46" max="16384" width="9" style="130"/>
  </cols>
  <sheetData>
    <row r="1" spans="1:45" ht="14.25" customHeight="1" thickBot="1">
      <c r="A1" s="141"/>
      <c r="B1" s="973" t="s">
        <v>2083</v>
      </c>
      <c r="C1" s="4252" t="s">
        <v>2084</v>
      </c>
      <c r="D1" s="4253"/>
      <c r="E1" s="4253"/>
      <c r="F1" s="4253"/>
      <c r="G1" s="4253"/>
      <c r="H1" s="4253"/>
      <c r="I1" s="4253"/>
      <c r="J1" s="4253"/>
      <c r="K1" s="4253"/>
      <c r="L1" s="4253"/>
      <c r="M1" s="4253"/>
      <c r="N1" s="4253"/>
      <c r="O1" s="4253"/>
      <c r="P1" s="4253"/>
      <c r="Q1" s="4253"/>
      <c r="R1" s="4253"/>
      <c r="S1" s="4254"/>
      <c r="T1" s="973" t="s">
        <v>2085</v>
      </c>
    </row>
    <row r="2" spans="1:45" s="647" customFormat="1">
      <c r="A2" s="974"/>
      <c r="B2" s="643" t="s">
        <v>2086</v>
      </c>
      <c r="C2" s="644" t="str">
        <f t="shared" ref="C2:L2" si="0">C3&amp;"(含)"&amp;"-"&amp;D3</f>
        <v>(含)-</v>
      </c>
      <c r="D2" s="645" t="str">
        <f t="shared" si="0"/>
        <v>(含)-</v>
      </c>
      <c r="E2" s="645" t="str">
        <f t="shared" si="0"/>
        <v>(含)-</v>
      </c>
      <c r="F2" s="645" t="str">
        <f t="shared" si="0"/>
        <v>(含)-</v>
      </c>
      <c r="G2" s="645" t="str">
        <f t="shared" si="0"/>
        <v>(含)-</v>
      </c>
      <c r="H2" s="645" t="str">
        <f t="shared" si="0"/>
        <v>(含)-</v>
      </c>
      <c r="I2" s="645" t="str">
        <f t="shared" si="0"/>
        <v>(含)-</v>
      </c>
      <c r="J2" s="645" t="str">
        <f t="shared" si="0"/>
        <v>(含)-</v>
      </c>
      <c r="K2" s="645" t="str">
        <f t="shared" si="0"/>
        <v>(含)-</v>
      </c>
      <c r="L2" s="645" t="str">
        <f t="shared" si="0"/>
        <v>(含)-</v>
      </c>
      <c r="M2" s="645" t="str">
        <f t="shared" ref="M2" si="1">M3&amp;"(含)"&amp;"-"&amp;N3</f>
        <v>(含)-</v>
      </c>
      <c r="N2" s="645" t="str">
        <f t="shared" ref="N2" si="2">N3&amp;"(含)"&amp;"-"&amp;O3</f>
        <v>(含)-</v>
      </c>
      <c r="O2" s="645" t="str">
        <f t="shared" ref="O2" si="3">O3&amp;"(含)"&amp;"-"&amp;P3</f>
        <v>(含)-</v>
      </c>
      <c r="P2" s="645" t="str">
        <f t="shared" ref="P2" si="4">P3&amp;"(含)"&amp;"-"&amp;Q3</f>
        <v>(含)-</v>
      </c>
      <c r="Q2" s="645" t="str">
        <f t="shared" ref="Q2" si="5">Q3&amp;"(含)"&amp;"-"&amp;R3</f>
        <v>(含)-</v>
      </c>
      <c r="R2" s="645" t="str">
        <f t="shared" ref="R2" si="6">R3&amp;"(含)"&amp;"-"&amp;S3</f>
        <v>(含)-</v>
      </c>
      <c r="S2" s="975" t="str">
        <f>S3&amp;"(含)"&amp;"-"</f>
        <v>(含)-</v>
      </c>
      <c r="T2" s="64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row>
    <row r="3" spans="1:45" s="652" customFormat="1">
      <c r="A3" s="976"/>
      <c r="B3" s="648"/>
      <c r="C3" s="649"/>
      <c r="D3" s="650"/>
      <c r="E3" s="650"/>
      <c r="F3" s="1292"/>
      <c r="G3" s="1292"/>
      <c r="H3" s="1292"/>
      <c r="I3" s="1292"/>
      <c r="J3" s="1292"/>
      <c r="K3" s="1292"/>
      <c r="L3" s="1293"/>
      <c r="M3" s="1294"/>
      <c r="N3" s="1294"/>
      <c r="O3" s="1292"/>
      <c r="P3" s="1292"/>
      <c r="Q3" s="1292"/>
      <c r="R3" s="1292"/>
      <c r="S3" s="1295"/>
      <c r="T3" s="651"/>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row>
    <row r="4" spans="1:45" s="652" customFormat="1" ht="13.8" thickBot="1">
      <c r="A4" s="977"/>
      <c r="B4" s="978"/>
      <c r="C4" s="979"/>
      <c r="D4" s="980"/>
      <c r="E4" s="980"/>
      <c r="F4" s="1296"/>
      <c r="G4" s="1296"/>
      <c r="H4" s="1296"/>
      <c r="I4" s="1296"/>
      <c r="J4" s="1296"/>
      <c r="K4" s="1296"/>
      <c r="L4" s="1296"/>
      <c r="M4" s="1297"/>
      <c r="N4" s="1297"/>
      <c r="O4" s="1296"/>
      <c r="P4" s="1296"/>
      <c r="Q4" s="1296"/>
      <c r="R4" s="1296"/>
      <c r="S4" s="1298"/>
      <c r="T4" s="983"/>
      <c r="U4" s="717"/>
      <c r="V4" s="717"/>
      <c r="W4" s="717"/>
      <c r="X4" s="717"/>
      <c r="Y4" s="717"/>
      <c r="Z4" s="717"/>
      <c r="AA4" s="717"/>
      <c r="AB4" s="717"/>
      <c r="AC4" s="717"/>
      <c r="AD4" s="717"/>
      <c r="AE4" s="717"/>
      <c r="AF4" s="717"/>
      <c r="AG4" s="717"/>
      <c r="AH4" s="717"/>
      <c r="AI4" s="717"/>
      <c r="AJ4" s="717"/>
      <c r="AK4" s="717"/>
      <c r="AL4" s="717"/>
      <c r="AM4" s="717"/>
      <c r="AN4" s="717"/>
      <c r="AO4" s="717"/>
      <c r="AP4" s="717"/>
      <c r="AQ4" s="717"/>
      <c r="AR4" s="717"/>
      <c r="AS4" s="717"/>
    </row>
    <row r="5" spans="1:45" s="109" customFormat="1">
      <c r="A5" s="984"/>
      <c r="B5" s="1323" t="s">
        <v>2087</v>
      </c>
      <c r="C5" s="985"/>
      <c r="D5" s="986"/>
      <c r="E5" s="986"/>
      <c r="F5" s="1299"/>
      <c r="G5" s="1299"/>
      <c r="H5" s="1299"/>
      <c r="I5" s="1299"/>
      <c r="J5" s="1299"/>
      <c r="K5" s="1299"/>
      <c r="L5" s="1300"/>
      <c r="M5" s="1301"/>
      <c r="N5" s="1301"/>
      <c r="O5" s="1299"/>
      <c r="P5" s="1299"/>
      <c r="Q5" s="1299"/>
      <c r="R5" s="1299"/>
      <c r="S5" s="1302"/>
      <c r="T5" s="988"/>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row>
    <row r="6" spans="1:45" s="109" customFormat="1" ht="13.8" thickBot="1">
      <c r="A6" s="984"/>
      <c r="B6" s="889"/>
      <c r="C6" s="895">
        <v>100</v>
      </c>
      <c r="D6" s="892">
        <f>C6-$T5</f>
        <v>100</v>
      </c>
      <c r="E6" s="892">
        <f t="shared" ref="E6:S6" si="7">D6-$T5</f>
        <v>100</v>
      </c>
      <c r="F6" s="1303">
        <f t="shared" si="7"/>
        <v>100</v>
      </c>
      <c r="G6" s="1303">
        <f t="shared" si="7"/>
        <v>100</v>
      </c>
      <c r="H6" s="1303">
        <f t="shared" si="7"/>
        <v>100</v>
      </c>
      <c r="I6" s="1303">
        <f t="shared" si="7"/>
        <v>100</v>
      </c>
      <c r="J6" s="1303">
        <f t="shared" si="7"/>
        <v>100</v>
      </c>
      <c r="K6" s="1303">
        <f t="shared" si="7"/>
        <v>100</v>
      </c>
      <c r="L6" s="1303">
        <f t="shared" si="7"/>
        <v>100</v>
      </c>
      <c r="M6" s="1303">
        <f t="shared" si="7"/>
        <v>100</v>
      </c>
      <c r="N6" s="1303">
        <f t="shared" si="7"/>
        <v>100</v>
      </c>
      <c r="O6" s="1303">
        <f t="shared" si="7"/>
        <v>100</v>
      </c>
      <c r="P6" s="1303">
        <f t="shared" si="7"/>
        <v>100</v>
      </c>
      <c r="Q6" s="1303">
        <f t="shared" si="7"/>
        <v>100</v>
      </c>
      <c r="R6" s="1303">
        <f t="shared" si="7"/>
        <v>100</v>
      </c>
      <c r="S6" s="1303">
        <f t="shared" si="7"/>
        <v>100</v>
      </c>
      <c r="T6" s="891"/>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row>
    <row r="7" spans="1:45" s="109" customFormat="1">
      <c r="A7" s="984"/>
      <c r="B7" s="1324" t="s">
        <v>2088</v>
      </c>
      <c r="C7" s="894"/>
      <c r="D7" s="888"/>
      <c r="E7" s="888"/>
      <c r="F7" s="1304"/>
      <c r="G7" s="1304"/>
      <c r="H7" s="1304"/>
      <c r="I7" s="1304"/>
      <c r="J7" s="1304"/>
      <c r="K7" s="1304"/>
      <c r="L7" s="1304"/>
      <c r="M7" s="1305"/>
      <c r="N7" s="1306"/>
      <c r="O7" s="1307"/>
      <c r="P7" s="1308"/>
      <c r="Q7" s="1309"/>
      <c r="R7" s="1310"/>
      <c r="S7" s="1311"/>
      <c r="T7" s="653"/>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row>
    <row r="8" spans="1:45" s="109" customFormat="1" ht="13.8" thickBot="1">
      <c r="A8" s="984"/>
      <c r="B8" s="889"/>
      <c r="C8" s="895">
        <v>100</v>
      </c>
      <c r="D8" s="892">
        <f>C8-$T7</f>
        <v>100</v>
      </c>
      <c r="E8" s="892">
        <f t="shared" ref="E8:S8" si="8">D8-$T7</f>
        <v>100</v>
      </c>
      <c r="F8" s="1303">
        <f t="shared" si="8"/>
        <v>100</v>
      </c>
      <c r="G8" s="1303">
        <f t="shared" si="8"/>
        <v>100</v>
      </c>
      <c r="H8" s="1303">
        <f t="shared" si="8"/>
        <v>100</v>
      </c>
      <c r="I8" s="1303">
        <f t="shared" si="8"/>
        <v>100</v>
      </c>
      <c r="J8" s="1303">
        <f t="shared" si="8"/>
        <v>100</v>
      </c>
      <c r="K8" s="1303">
        <f t="shared" si="8"/>
        <v>100</v>
      </c>
      <c r="L8" s="1303">
        <f t="shared" si="8"/>
        <v>100</v>
      </c>
      <c r="M8" s="1303">
        <f t="shared" si="8"/>
        <v>100</v>
      </c>
      <c r="N8" s="1303">
        <f t="shared" si="8"/>
        <v>100</v>
      </c>
      <c r="O8" s="1303">
        <f t="shared" si="8"/>
        <v>100</v>
      </c>
      <c r="P8" s="1303">
        <f t="shared" si="8"/>
        <v>100</v>
      </c>
      <c r="Q8" s="1303">
        <f t="shared" si="8"/>
        <v>100</v>
      </c>
      <c r="R8" s="1303">
        <f t="shared" si="8"/>
        <v>100</v>
      </c>
      <c r="S8" s="1303">
        <f t="shared" si="8"/>
        <v>100</v>
      </c>
      <c r="T8" s="891"/>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row>
    <row r="9" spans="1:45" s="109" customFormat="1">
      <c r="A9" s="984"/>
      <c r="B9" s="1324" t="s">
        <v>2089</v>
      </c>
      <c r="C9" s="894"/>
      <c r="D9" s="888"/>
      <c r="E9" s="888"/>
      <c r="F9" s="1304"/>
      <c r="G9" s="1304"/>
      <c r="H9" s="1304"/>
      <c r="I9" s="1304"/>
      <c r="J9" s="1304"/>
      <c r="K9" s="1304"/>
      <c r="L9" s="1312"/>
      <c r="M9" s="1305"/>
      <c r="N9" s="1306"/>
      <c r="O9" s="1307"/>
      <c r="P9" s="1308"/>
      <c r="Q9" s="1309"/>
      <c r="R9" s="1310"/>
      <c r="S9" s="1311"/>
      <c r="T9" s="653"/>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row>
    <row r="10" spans="1:45" s="109" customFormat="1" ht="13.8" thickBot="1">
      <c r="A10" s="984"/>
      <c r="B10" s="978"/>
      <c r="C10" s="989">
        <v>100</v>
      </c>
      <c r="D10" s="990">
        <f>C10-$T9</f>
        <v>100</v>
      </c>
      <c r="E10" s="990">
        <f t="shared" ref="E10:S10" si="9">D10-$T9</f>
        <v>100</v>
      </c>
      <c r="F10" s="1313">
        <f t="shared" si="9"/>
        <v>100</v>
      </c>
      <c r="G10" s="1313">
        <f t="shared" si="9"/>
        <v>100</v>
      </c>
      <c r="H10" s="1313">
        <f t="shared" si="9"/>
        <v>100</v>
      </c>
      <c r="I10" s="1313">
        <f t="shared" si="9"/>
        <v>100</v>
      </c>
      <c r="J10" s="1313">
        <f t="shared" si="9"/>
        <v>100</v>
      </c>
      <c r="K10" s="1313">
        <f t="shared" si="9"/>
        <v>100</v>
      </c>
      <c r="L10" s="1313">
        <f t="shared" si="9"/>
        <v>100</v>
      </c>
      <c r="M10" s="1313">
        <f t="shared" si="9"/>
        <v>100</v>
      </c>
      <c r="N10" s="1313">
        <f t="shared" si="9"/>
        <v>100</v>
      </c>
      <c r="O10" s="1313">
        <f t="shared" si="9"/>
        <v>100</v>
      </c>
      <c r="P10" s="1313">
        <f t="shared" si="9"/>
        <v>100</v>
      </c>
      <c r="Q10" s="1313">
        <f t="shared" si="9"/>
        <v>100</v>
      </c>
      <c r="R10" s="1313">
        <f t="shared" si="9"/>
        <v>100</v>
      </c>
      <c r="S10" s="1313">
        <f t="shared" si="9"/>
        <v>100</v>
      </c>
      <c r="T10" s="983"/>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row>
    <row r="11" spans="1:45" s="109" customFormat="1">
      <c r="A11" s="984"/>
      <c r="B11" s="1323" t="s">
        <v>2090</v>
      </c>
      <c r="C11" s="985"/>
      <c r="D11" s="986"/>
      <c r="E11" s="986"/>
      <c r="F11" s="986"/>
      <c r="G11" s="986"/>
      <c r="H11" s="986"/>
      <c r="I11" s="986"/>
      <c r="J11" s="986"/>
      <c r="K11" s="986"/>
      <c r="L11" s="986"/>
      <c r="M11" s="987"/>
      <c r="N11" s="991"/>
      <c r="O11" s="992"/>
      <c r="P11" s="993"/>
      <c r="Q11" s="994"/>
      <c r="R11" s="995"/>
      <c r="S11" s="996"/>
      <c r="T11" s="98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row>
    <row r="12" spans="1:45" s="109" customFormat="1" ht="13.8" thickBot="1">
      <c r="A12" s="984"/>
      <c r="B12" s="889"/>
      <c r="C12" s="895">
        <v>100</v>
      </c>
      <c r="D12" s="892">
        <f>C12-$T11</f>
        <v>100</v>
      </c>
      <c r="E12" s="892">
        <f t="shared" ref="E12:S12" si="10">D12-$T11</f>
        <v>100</v>
      </c>
      <c r="F12" s="892">
        <f t="shared" si="10"/>
        <v>100</v>
      </c>
      <c r="G12" s="892">
        <f t="shared" si="10"/>
        <v>100</v>
      </c>
      <c r="H12" s="892">
        <f t="shared" si="10"/>
        <v>100</v>
      </c>
      <c r="I12" s="892">
        <f t="shared" si="10"/>
        <v>100</v>
      </c>
      <c r="J12" s="892">
        <f t="shared" si="10"/>
        <v>100</v>
      </c>
      <c r="K12" s="892">
        <f t="shared" si="10"/>
        <v>100</v>
      </c>
      <c r="L12" s="892">
        <f t="shared" si="10"/>
        <v>100</v>
      </c>
      <c r="M12" s="892">
        <f t="shared" si="10"/>
        <v>100</v>
      </c>
      <c r="N12" s="892">
        <f t="shared" si="10"/>
        <v>100</v>
      </c>
      <c r="O12" s="892">
        <f t="shared" si="10"/>
        <v>100</v>
      </c>
      <c r="P12" s="892">
        <f t="shared" si="10"/>
        <v>100</v>
      </c>
      <c r="Q12" s="892">
        <f t="shared" si="10"/>
        <v>100</v>
      </c>
      <c r="R12" s="892">
        <f>Q12-$T11</f>
        <v>100</v>
      </c>
      <c r="S12" s="892">
        <f t="shared" si="10"/>
        <v>100</v>
      </c>
      <c r="T12" s="891"/>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row>
    <row r="13" spans="1:45" s="109" customFormat="1">
      <c r="A13" s="984"/>
      <c r="B13" s="1323" t="s">
        <v>2091</v>
      </c>
      <c r="C13" s="985"/>
      <c r="D13" s="986"/>
      <c r="E13" s="986"/>
      <c r="F13" s="986"/>
      <c r="G13" s="986"/>
      <c r="H13" s="986"/>
      <c r="I13" s="986"/>
      <c r="J13" s="986"/>
      <c r="K13" s="986"/>
      <c r="L13" s="986"/>
      <c r="M13" s="987"/>
      <c r="N13" s="991"/>
      <c r="O13" s="992"/>
      <c r="P13" s="993"/>
      <c r="Q13" s="994"/>
      <c r="R13" s="995"/>
      <c r="S13" s="996"/>
      <c r="T13" s="997"/>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row>
    <row r="14" spans="1:45" s="109" customFormat="1" ht="13.8" thickBot="1">
      <c r="A14" s="984"/>
      <c r="B14" s="889"/>
      <c r="C14" s="893"/>
      <c r="D14" s="890"/>
      <c r="E14" s="890"/>
      <c r="F14" s="890"/>
      <c r="G14" s="890"/>
      <c r="H14" s="890"/>
      <c r="I14" s="890"/>
      <c r="J14" s="890"/>
      <c r="K14" s="890"/>
      <c r="L14" s="890"/>
      <c r="M14" s="998"/>
      <c r="N14" s="998"/>
      <c r="O14" s="890"/>
      <c r="P14" s="890"/>
      <c r="Q14" s="890"/>
      <c r="R14" s="890"/>
      <c r="S14" s="999"/>
      <c r="T14" s="891"/>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row>
    <row r="15" spans="1:45" s="109" customFormat="1">
      <c r="A15" s="984"/>
      <c r="B15" s="1323" t="s">
        <v>2092</v>
      </c>
      <c r="C15" s="985"/>
      <c r="D15" s="986"/>
      <c r="E15" s="986"/>
      <c r="F15" s="986"/>
      <c r="G15" s="986"/>
      <c r="H15" s="986"/>
      <c r="I15" s="986"/>
      <c r="J15" s="986"/>
      <c r="K15" s="986"/>
      <c r="L15" s="986"/>
      <c r="M15" s="987"/>
      <c r="N15" s="991"/>
      <c r="O15" s="992"/>
      <c r="P15" s="993"/>
      <c r="Q15" s="994"/>
      <c r="R15" s="995"/>
      <c r="S15" s="996"/>
      <c r="T15" s="997"/>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row>
    <row r="16" spans="1:45" s="109" customFormat="1" ht="13.8" thickBot="1">
      <c r="A16" s="984"/>
      <c r="B16" s="978"/>
      <c r="C16" s="979"/>
      <c r="D16" s="980"/>
      <c r="E16" s="980"/>
      <c r="F16" s="980"/>
      <c r="G16" s="980"/>
      <c r="H16" s="980"/>
      <c r="I16" s="980"/>
      <c r="J16" s="980"/>
      <c r="K16" s="980"/>
      <c r="L16" s="980"/>
      <c r="M16" s="981"/>
      <c r="N16" s="981"/>
      <c r="O16" s="980"/>
      <c r="P16" s="980"/>
      <c r="Q16" s="980"/>
      <c r="R16" s="980"/>
      <c r="S16" s="982"/>
      <c r="T16" s="983"/>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row>
    <row r="17" spans="1:45" s="647" customFormat="1">
      <c r="A17" s="2120" t="s">
        <v>2093</v>
      </c>
      <c r="B17" s="2121" t="s">
        <v>2094</v>
      </c>
      <c r="C17" s="1000"/>
      <c r="D17" s="1001"/>
      <c r="E17" s="1001"/>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6"/>
      <c r="AS17" s="716"/>
    </row>
    <row r="18" spans="1:45" s="647" customFormat="1" ht="13.8" thickBot="1">
      <c r="A18" s="1010"/>
      <c r="B18" s="1011"/>
      <c r="C18" s="1012"/>
      <c r="D18" s="1013"/>
      <c r="E18" s="1013"/>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6"/>
      <c r="AS18" s="716"/>
    </row>
    <row r="19" spans="1:45">
      <c r="A19" s="129"/>
      <c r="B19" s="154"/>
      <c r="C19" s="154"/>
      <c r="D19" s="2122" t="s">
        <v>2095</v>
      </c>
      <c r="E19" s="1327"/>
      <c r="F19" s="1327"/>
      <c r="G19" s="1327"/>
      <c r="H19" s="1049"/>
      <c r="I19" s="154"/>
      <c r="J19" s="154"/>
      <c r="K19" s="154"/>
      <c r="L19" s="154"/>
      <c r="M19" s="154"/>
      <c r="N19" s="154"/>
      <c r="O19" s="154"/>
      <c r="P19" s="154"/>
      <c r="Q19" s="154"/>
      <c r="R19" s="710"/>
      <c r="S19" s="129"/>
    </row>
    <row r="20" spans="1:45" ht="16.2" thickBot="1">
      <c r="A20" s="654" t="s">
        <v>2096</v>
      </c>
      <c r="B20" s="289" t="e">
        <f ca="1">IF(D20="——",S22,S22-F20)</f>
        <v>#REF!</v>
      </c>
      <c r="C20" s="154"/>
      <c r="D20" s="2123"/>
      <c r="E20" s="1328"/>
      <c r="F20" s="973" t="e">
        <f ca="1">SUMIF(INDIRECT("'"&amp;H20&amp;"'"&amp;"!A:A"),"承租人权益价值",INDIRECT("'"&amp;H20&amp;"'"&amp;"!c:c"))</f>
        <v>#REF!</v>
      </c>
      <c r="G20" s="973" t="s">
        <v>2097</v>
      </c>
      <c r="H20" s="2124"/>
      <c r="I20" s="154"/>
      <c r="J20" s="154"/>
      <c r="K20" s="154"/>
      <c r="L20" s="154"/>
      <c r="M20" s="154"/>
      <c r="N20" s="154"/>
      <c r="O20" s="154"/>
      <c r="P20" s="154"/>
      <c r="Q20" s="154"/>
      <c r="R20" s="710"/>
      <c r="S20" s="129"/>
    </row>
    <row r="21" spans="1:45" ht="15.6">
      <c r="A21" s="654" t="s">
        <v>2098</v>
      </c>
      <c r="B21" s="289" t="e">
        <f ca="1">ROUND(B20*10000/B22,0)</f>
        <v>#REF!</v>
      </c>
      <c r="C21" s="154"/>
      <c r="D21" s="154"/>
      <c r="E21" s="154"/>
      <c r="F21" s="154"/>
      <c r="G21" s="154"/>
      <c r="H21" s="154"/>
      <c r="I21" s="154"/>
      <c r="J21" s="154"/>
      <c r="K21" s="154"/>
      <c r="L21" s="154"/>
      <c r="M21" s="154"/>
      <c r="N21" s="154"/>
      <c r="O21" s="154"/>
      <c r="P21" s="154"/>
      <c r="Q21" s="154"/>
      <c r="R21" s="710"/>
      <c r="S21" s="129"/>
    </row>
    <row r="22" spans="1:45">
      <c r="A22" s="311" t="s">
        <v>2099</v>
      </c>
      <c r="B22" s="21">
        <f>SUM(B24:B10000)</f>
        <v>0</v>
      </c>
      <c r="C22" s="4249" t="s">
        <v>27</v>
      </c>
      <c r="D22" s="4250"/>
      <c r="E22" s="4250"/>
      <c r="F22" s="4250"/>
      <c r="G22" s="4250"/>
      <c r="H22" s="4250"/>
      <c r="I22" s="4250"/>
      <c r="J22" s="4250"/>
      <c r="K22" s="4250"/>
      <c r="L22" s="4250"/>
      <c r="M22" s="4250"/>
      <c r="N22" s="4250"/>
      <c r="O22" s="4250"/>
      <c r="P22" s="4250"/>
      <c r="Q22" s="4251"/>
      <c r="R22" s="655"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6" t="s">
        <v>2103</v>
      </c>
      <c r="S23" s="8" t="s">
        <v>2104</v>
      </c>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19"/>
      <c r="AQ23" s="719"/>
      <c r="AR23" s="719"/>
      <c r="AS23" s="719"/>
    </row>
    <row r="24" spans="1:45" s="661" customFormat="1">
      <c r="A24" s="657" t="s">
        <v>2105</v>
      </c>
      <c r="B24" s="657"/>
      <c r="C24" s="2781">
        <v>1</v>
      </c>
      <c r="D24" s="2782"/>
      <c r="E24" s="2781">
        <v>1</v>
      </c>
      <c r="F24" s="2782"/>
      <c r="G24" s="2781">
        <v>1</v>
      </c>
      <c r="H24" s="2782"/>
      <c r="I24" s="2781">
        <v>1</v>
      </c>
      <c r="J24" s="2782"/>
      <c r="K24" s="2781">
        <v>1</v>
      </c>
      <c r="L24" s="2782"/>
      <c r="M24" s="2781">
        <v>1</v>
      </c>
      <c r="N24" s="2782"/>
      <c r="O24" s="2781">
        <v>1</v>
      </c>
      <c r="P24" s="2782"/>
      <c r="Q24" s="2781">
        <v>1</v>
      </c>
      <c r="R24" s="660"/>
      <c r="S24" s="658">
        <f t="shared" ref="S24:S54" si="11">ROUND(R24*B24/10000,0)</f>
        <v>0</v>
      </c>
      <c r="T24" s="720"/>
      <c r="U24" s="720"/>
      <c r="V24" s="720"/>
      <c r="W24" s="720"/>
      <c r="X24" s="720"/>
      <c r="Y24" s="720"/>
      <c r="Z24" s="720"/>
      <c r="AA24" s="720"/>
      <c r="AB24" s="720"/>
      <c r="AC24" s="720"/>
      <c r="AD24" s="720"/>
      <c r="AE24" s="720"/>
      <c r="AF24" s="720"/>
      <c r="AG24" s="720"/>
      <c r="AH24" s="720"/>
      <c r="AI24" s="720"/>
      <c r="AJ24" s="720"/>
      <c r="AK24" s="720"/>
      <c r="AL24" s="720"/>
      <c r="AM24" s="720"/>
      <c r="AN24" s="720"/>
      <c r="AO24" s="720"/>
      <c r="AP24" s="720"/>
      <c r="AQ24" s="720"/>
      <c r="AR24" s="720"/>
      <c r="AS24" s="720"/>
    </row>
    <row r="25" spans="1:45">
      <c r="A25" s="145"/>
      <c r="B25" s="54"/>
      <c r="C25" s="21">
        <f>IF(B25="",1,(LOOKUP(B25,$3:$3,$4:$4)-LOOKUP($B$24,$3:$3,$4:$4)+100)/100)</f>
        <v>1</v>
      </c>
      <c r="D25" s="659"/>
      <c r="E25" s="21">
        <f>(SUMIF($5:$5,D25,$6:$6)-SUMIF($5:$5,$D$24,$6:$6)+100)/100</f>
        <v>1</v>
      </c>
      <c r="F25" s="659"/>
      <c r="G25" s="21">
        <f>(SUMIF($7:$7,F25,$8:$8)-SUMIF($7:$7,$F$24,$8:$8)+100)/100</f>
        <v>1</v>
      </c>
      <c r="H25" s="659"/>
      <c r="I25" s="21">
        <f>(SUMIF($9:$9,H25,$10:$10)-SUMIF($9:$9,$H$24,$10:$10)+100)/100</f>
        <v>1</v>
      </c>
      <c r="J25" s="659"/>
      <c r="K25" s="21">
        <f>(SUMIF($11:$11,J25,$12:$12)-SUMIF($11:$11,$J$24,$12:$12)+100)/100</f>
        <v>1</v>
      </c>
      <c r="L25" s="659"/>
      <c r="M25" s="21">
        <f>(SUMIF($13:$13,L25,$14:$14)-SUMIF($13:$13,$L$24,$14:$14)+100)/100</f>
        <v>1</v>
      </c>
      <c r="N25" s="659"/>
      <c r="O25" s="21">
        <f>(SUMIF($15:$15,N25,$16:$16)-SUMIF($15:$15,$N$24,$16:$16)+100)/100</f>
        <v>1</v>
      </c>
      <c r="P25" s="659"/>
      <c r="Q25" s="21">
        <f>(SUMIF($17:$17,P25,$18:$18)-SUMIF($17:$17,$P$24,$18:$18)+100)/100</f>
        <v>1</v>
      </c>
      <c r="R25" s="655">
        <f>IF(B25="",0,ROUND($R$24*C25*E25*G25*I25*K25*M25*O25*Q25,0))</f>
        <v>0</v>
      </c>
      <c r="S25" s="311">
        <f t="shared" si="11"/>
        <v>0</v>
      </c>
    </row>
    <row r="26" spans="1:45">
      <c r="A26" s="145"/>
      <c r="B26" s="54"/>
      <c r="C26" s="21">
        <f t="shared" ref="C26:C89" si="12">IF(B26="",1,(LOOKUP(B26,$3:$3,$4:$4)-LOOKUP($B$24,$3:$3,$4:$4)+100)/100)</f>
        <v>1</v>
      </c>
      <c r="D26" s="659"/>
      <c r="E26" s="21">
        <f t="shared" ref="E26:E89" si="13">(SUMIF($5:$5,D26,$6:$6)-SUMIF($5:$5,$D$24,$6:$6)+100)/100</f>
        <v>1</v>
      </c>
      <c r="F26" s="659"/>
      <c r="G26" s="21">
        <f t="shared" ref="G26:G89" si="14">(SUMIF($7:$7,F26,$8:$8)-SUMIF($7:$7,$F$24,$8:$8)+100)/100</f>
        <v>1</v>
      </c>
      <c r="H26" s="659"/>
      <c r="I26" s="21">
        <f t="shared" ref="I26:I89" si="15">(SUMIF($9:$9,H26,$10:$10)-SUMIF($9:$9,$H$24,$10:$10)+100)/100</f>
        <v>1</v>
      </c>
      <c r="J26" s="659"/>
      <c r="K26" s="21">
        <f t="shared" ref="K26:K89" si="16">(SUMIF($11:$11,J26,$12:$12)-SUMIF($11:$11,$J$24,$12:$12)+100)/100</f>
        <v>1</v>
      </c>
      <c r="L26" s="659"/>
      <c r="M26" s="21">
        <f t="shared" ref="M26:M89" si="17">(SUMIF($13:$13,L26,$14:$14)-SUMIF($13:$13,$L$24,$14:$14)+100)/100</f>
        <v>1</v>
      </c>
      <c r="N26" s="659"/>
      <c r="O26" s="21">
        <f t="shared" ref="O26:O89" si="18">(SUMIF($15:$15,N26,$16:$16)-SUMIF($15:$15,$N$24,$16:$16)+100)/100</f>
        <v>1</v>
      </c>
      <c r="P26" s="659"/>
      <c r="Q26" s="21">
        <f t="shared" ref="Q26:Q89" si="19">(SUMIF($17:$17,P26,$18:$18)-SUMIF($17:$17,$P$24,$18:$18)+100)/100</f>
        <v>1</v>
      </c>
      <c r="R26" s="655">
        <f t="shared" ref="R26:R89" si="20">IF(B26="",0,ROUND($R$24*C26*E26*G26*I26*K26*M26*O26*Q26,0))</f>
        <v>0</v>
      </c>
      <c r="S26" s="311">
        <f t="shared" si="11"/>
        <v>0</v>
      </c>
    </row>
    <row r="27" spans="1:45">
      <c r="A27" s="145"/>
      <c r="B27" s="54"/>
      <c r="C27" s="21">
        <f t="shared" si="12"/>
        <v>1</v>
      </c>
      <c r="D27" s="659"/>
      <c r="E27" s="21">
        <f t="shared" si="13"/>
        <v>1</v>
      </c>
      <c r="F27" s="659"/>
      <c r="G27" s="21">
        <f t="shared" si="14"/>
        <v>1</v>
      </c>
      <c r="H27" s="659"/>
      <c r="I27" s="21">
        <f t="shared" si="15"/>
        <v>1</v>
      </c>
      <c r="J27" s="659"/>
      <c r="K27" s="21">
        <f t="shared" si="16"/>
        <v>1</v>
      </c>
      <c r="L27" s="659"/>
      <c r="M27" s="21">
        <f t="shared" si="17"/>
        <v>1</v>
      </c>
      <c r="N27" s="659"/>
      <c r="O27" s="21">
        <f t="shared" si="18"/>
        <v>1</v>
      </c>
      <c r="P27" s="659"/>
      <c r="Q27" s="21">
        <f t="shared" si="19"/>
        <v>1</v>
      </c>
      <c r="R27" s="655">
        <f t="shared" si="20"/>
        <v>0</v>
      </c>
      <c r="S27" s="311">
        <f t="shared" si="11"/>
        <v>0</v>
      </c>
    </row>
    <row r="28" spans="1:45">
      <c r="A28" s="145"/>
      <c r="B28" s="54"/>
      <c r="C28" s="21">
        <f t="shared" si="12"/>
        <v>1</v>
      </c>
      <c r="D28" s="659"/>
      <c r="E28" s="21">
        <f t="shared" si="13"/>
        <v>1</v>
      </c>
      <c r="F28" s="659"/>
      <c r="G28" s="21">
        <f t="shared" si="14"/>
        <v>1</v>
      </c>
      <c r="H28" s="659"/>
      <c r="I28" s="21">
        <f t="shared" si="15"/>
        <v>1</v>
      </c>
      <c r="J28" s="659"/>
      <c r="K28" s="21">
        <f t="shared" si="16"/>
        <v>1</v>
      </c>
      <c r="L28" s="659"/>
      <c r="M28" s="21">
        <f t="shared" si="17"/>
        <v>1</v>
      </c>
      <c r="N28" s="659"/>
      <c r="O28" s="21">
        <f t="shared" si="18"/>
        <v>1</v>
      </c>
      <c r="P28" s="659"/>
      <c r="Q28" s="21">
        <f t="shared" si="19"/>
        <v>1</v>
      </c>
      <c r="R28" s="655">
        <f t="shared" si="20"/>
        <v>0</v>
      </c>
      <c r="S28" s="311">
        <f t="shared" si="11"/>
        <v>0</v>
      </c>
    </row>
    <row r="29" spans="1:45">
      <c r="A29" s="145"/>
      <c r="B29" s="54"/>
      <c r="C29" s="21">
        <f t="shared" si="12"/>
        <v>1</v>
      </c>
      <c r="D29" s="659"/>
      <c r="E29" s="21">
        <f t="shared" si="13"/>
        <v>1</v>
      </c>
      <c r="F29" s="659"/>
      <c r="G29" s="21">
        <f t="shared" si="14"/>
        <v>1</v>
      </c>
      <c r="H29" s="659"/>
      <c r="I29" s="21">
        <f t="shared" si="15"/>
        <v>1</v>
      </c>
      <c r="J29" s="659"/>
      <c r="K29" s="21">
        <f t="shared" si="16"/>
        <v>1</v>
      </c>
      <c r="L29" s="659"/>
      <c r="M29" s="21">
        <f t="shared" si="17"/>
        <v>1</v>
      </c>
      <c r="N29" s="659"/>
      <c r="O29" s="21">
        <f t="shared" si="18"/>
        <v>1</v>
      </c>
      <c r="P29" s="659"/>
      <c r="Q29" s="21">
        <f t="shared" si="19"/>
        <v>1</v>
      </c>
      <c r="R29" s="655">
        <f t="shared" si="20"/>
        <v>0</v>
      </c>
      <c r="S29" s="311">
        <f t="shared" si="11"/>
        <v>0</v>
      </c>
    </row>
    <row r="30" spans="1:45">
      <c r="A30" s="145"/>
      <c r="B30" s="54"/>
      <c r="C30" s="21">
        <f t="shared" si="12"/>
        <v>1</v>
      </c>
      <c r="D30" s="659"/>
      <c r="E30" s="21">
        <f t="shared" si="13"/>
        <v>1</v>
      </c>
      <c r="F30" s="659"/>
      <c r="G30" s="21">
        <f t="shared" si="14"/>
        <v>1</v>
      </c>
      <c r="H30" s="659"/>
      <c r="I30" s="21">
        <f t="shared" si="15"/>
        <v>1</v>
      </c>
      <c r="J30" s="659"/>
      <c r="K30" s="21">
        <f t="shared" si="16"/>
        <v>1</v>
      </c>
      <c r="L30" s="659"/>
      <c r="M30" s="21">
        <f t="shared" si="17"/>
        <v>1</v>
      </c>
      <c r="N30" s="659"/>
      <c r="O30" s="21">
        <f t="shared" si="18"/>
        <v>1</v>
      </c>
      <c r="P30" s="659"/>
      <c r="Q30" s="21">
        <f t="shared" si="19"/>
        <v>1</v>
      </c>
      <c r="R30" s="655">
        <f t="shared" si="20"/>
        <v>0</v>
      </c>
      <c r="S30" s="311">
        <f t="shared" si="11"/>
        <v>0</v>
      </c>
    </row>
    <row r="31" spans="1:45">
      <c r="A31" s="145"/>
      <c r="B31" s="54"/>
      <c r="C31" s="21">
        <f t="shared" si="12"/>
        <v>1</v>
      </c>
      <c r="D31" s="659"/>
      <c r="E31" s="21">
        <f t="shared" si="13"/>
        <v>1</v>
      </c>
      <c r="F31" s="659"/>
      <c r="G31" s="21">
        <f t="shared" si="14"/>
        <v>1</v>
      </c>
      <c r="H31" s="659"/>
      <c r="I31" s="21">
        <f t="shared" si="15"/>
        <v>1</v>
      </c>
      <c r="J31" s="659"/>
      <c r="K31" s="21">
        <f t="shared" si="16"/>
        <v>1</v>
      </c>
      <c r="L31" s="659"/>
      <c r="M31" s="21">
        <f t="shared" si="17"/>
        <v>1</v>
      </c>
      <c r="N31" s="659"/>
      <c r="O31" s="21">
        <f t="shared" si="18"/>
        <v>1</v>
      </c>
      <c r="P31" s="659"/>
      <c r="Q31" s="21">
        <f t="shared" si="19"/>
        <v>1</v>
      </c>
      <c r="R31" s="655">
        <f t="shared" si="20"/>
        <v>0</v>
      </c>
      <c r="S31" s="311">
        <f t="shared" si="11"/>
        <v>0</v>
      </c>
    </row>
    <row r="32" spans="1:45">
      <c r="A32" s="145"/>
      <c r="B32" s="54"/>
      <c r="C32" s="21">
        <f t="shared" si="12"/>
        <v>1</v>
      </c>
      <c r="D32" s="659"/>
      <c r="E32" s="21">
        <f t="shared" si="13"/>
        <v>1</v>
      </c>
      <c r="F32" s="659"/>
      <c r="G32" s="21">
        <f t="shared" si="14"/>
        <v>1</v>
      </c>
      <c r="H32" s="659"/>
      <c r="I32" s="21">
        <f t="shared" si="15"/>
        <v>1</v>
      </c>
      <c r="J32" s="659"/>
      <c r="K32" s="21">
        <f t="shared" si="16"/>
        <v>1</v>
      </c>
      <c r="L32" s="659"/>
      <c r="M32" s="21">
        <f t="shared" si="17"/>
        <v>1</v>
      </c>
      <c r="N32" s="659"/>
      <c r="O32" s="21">
        <f t="shared" si="18"/>
        <v>1</v>
      </c>
      <c r="P32" s="659"/>
      <c r="Q32" s="21">
        <f t="shared" si="19"/>
        <v>1</v>
      </c>
      <c r="R32" s="655">
        <f t="shared" si="20"/>
        <v>0</v>
      </c>
      <c r="S32" s="311">
        <f t="shared" si="11"/>
        <v>0</v>
      </c>
    </row>
    <row r="33" spans="1:19">
      <c r="A33" s="145"/>
      <c r="B33" s="54"/>
      <c r="C33" s="21">
        <f t="shared" si="12"/>
        <v>1</v>
      </c>
      <c r="D33" s="659"/>
      <c r="E33" s="21">
        <f t="shared" si="13"/>
        <v>1</v>
      </c>
      <c r="F33" s="659"/>
      <c r="G33" s="21">
        <f t="shared" si="14"/>
        <v>1</v>
      </c>
      <c r="H33" s="659"/>
      <c r="I33" s="21">
        <f t="shared" si="15"/>
        <v>1</v>
      </c>
      <c r="J33" s="659"/>
      <c r="K33" s="21">
        <f t="shared" si="16"/>
        <v>1</v>
      </c>
      <c r="L33" s="659"/>
      <c r="M33" s="21">
        <f t="shared" si="17"/>
        <v>1</v>
      </c>
      <c r="N33" s="659"/>
      <c r="O33" s="21">
        <f t="shared" si="18"/>
        <v>1</v>
      </c>
      <c r="P33" s="659"/>
      <c r="Q33" s="21">
        <f t="shared" si="19"/>
        <v>1</v>
      </c>
      <c r="R33" s="655">
        <f t="shared" si="20"/>
        <v>0</v>
      </c>
      <c r="S33" s="311">
        <f t="shared" si="11"/>
        <v>0</v>
      </c>
    </row>
    <row r="34" spans="1:19">
      <c r="A34" s="145"/>
      <c r="B34" s="54"/>
      <c r="C34" s="21">
        <f t="shared" si="12"/>
        <v>1</v>
      </c>
      <c r="D34" s="659"/>
      <c r="E34" s="21">
        <f t="shared" si="13"/>
        <v>1</v>
      </c>
      <c r="F34" s="659"/>
      <c r="G34" s="21">
        <f t="shared" si="14"/>
        <v>1</v>
      </c>
      <c r="H34" s="659"/>
      <c r="I34" s="21">
        <f t="shared" si="15"/>
        <v>1</v>
      </c>
      <c r="J34" s="659"/>
      <c r="K34" s="21">
        <f t="shared" si="16"/>
        <v>1</v>
      </c>
      <c r="L34" s="659"/>
      <c r="M34" s="21">
        <f t="shared" si="17"/>
        <v>1</v>
      </c>
      <c r="N34" s="659"/>
      <c r="O34" s="21">
        <f t="shared" si="18"/>
        <v>1</v>
      </c>
      <c r="P34" s="659"/>
      <c r="Q34" s="21">
        <f t="shared" si="19"/>
        <v>1</v>
      </c>
      <c r="R34" s="655">
        <f t="shared" si="20"/>
        <v>0</v>
      </c>
      <c r="S34" s="311">
        <f t="shared" si="11"/>
        <v>0</v>
      </c>
    </row>
    <row r="35" spans="1:19">
      <c r="A35" s="145"/>
      <c r="B35" s="54"/>
      <c r="C35" s="21">
        <f t="shared" si="12"/>
        <v>1</v>
      </c>
      <c r="D35" s="659"/>
      <c r="E35" s="21">
        <f t="shared" si="13"/>
        <v>1</v>
      </c>
      <c r="F35" s="659"/>
      <c r="G35" s="21">
        <f t="shared" si="14"/>
        <v>1</v>
      </c>
      <c r="H35" s="659"/>
      <c r="I35" s="21">
        <f t="shared" si="15"/>
        <v>1</v>
      </c>
      <c r="J35" s="659"/>
      <c r="K35" s="21">
        <f t="shared" si="16"/>
        <v>1</v>
      </c>
      <c r="L35" s="659"/>
      <c r="M35" s="21">
        <f t="shared" si="17"/>
        <v>1</v>
      </c>
      <c r="N35" s="659"/>
      <c r="O35" s="21">
        <f t="shared" si="18"/>
        <v>1</v>
      </c>
      <c r="P35" s="659"/>
      <c r="Q35" s="21">
        <f t="shared" si="19"/>
        <v>1</v>
      </c>
      <c r="R35" s="655">
        <f t="shared" si="20"/>
        <v>0</v>
      </c>
      <c r="S35" s="311">
        <f t="shared" si="11"/>
        <v>0</v>
      </c>
    </row>
    <row r="36" spans="1:19">
      <c r="A36" s="145"/>
      <c r="B36" s="54"/>
      <c r="C36" s="21">
        <f t="shared" si="12"/>
        <v>1</v>
      </c>
      <c r="D36" s="659"/>
      <c r="E36" s="21">
        <f t="shared" si="13"/>
        <v>1</v>
      </c>
      <c r="F36" s="659"/>
      <c r="G36" s="21">
        <f t="shared" si="14"/>
        <v>1</v>
      </c>
      <c r="H36" s="659"/>
      <c r="I36" s="21">
        <f t="shared" si="15"/>
        <v>1</v>
      </c>
      <c r="J36" s="659"/>
      <c r="K36" s="21">
        <f t="shared" si="16"/>
        <v>1</v>
      </c>
      <c r="L36" s="659"/>
      <c r="M36" s="21">
        <f t="shared" si="17"/>
        <v>1</v>
      </c>
      <c r="N36" s="659"/>
      <c r="O36" s="21">
        <f t="shared" si="18"/>
        <v>1</v>
      </c>
      <c r="P36" s="659"/>
      <c r="Q36" s="21">
        <f t="shared" si="19"/>
        <v>1</v>
      </c>
      <c r="R36" s="655">
        <f t="shared" si="20"/>
        <v>0</v>
      </c>
      <c r="S36" s="311">
        <f t="shared" si="11"/>
        <v>0</v>
      </c>
    </row>
    <row r="37" spans="1:19">
      <c r="A37" s="145"/>
      <c r="B37" s="54"/>
      <c r="C37" s="21">
        <f t="shared" si="12"/>
        <v>1</v>
      </c>
      <c r="D37" s="659"/>
      <c r="E37" s="21">
        <f t="shared" si="13"/>
        <v>1</v>
      </c>
      <c r="F37" s="659"/>
      <c r="G37" s="21">
        <f t="shared" si="14"/>
        <v>1</v>
      </c>
      <c r="H37" s="659"/>
      <c r="I37" s="21">
        <f t="shared" si="15"/>
        <v>1</v>
      </c>
      <c r="J37" s="659"/>
      <c r="K37" s="21">
        <f t="shared" si="16"/>
        <v>1</v>
      </c>
      <c r="L37" s="659"/>
      <c r="M37" s="21">
        <f t="shared" si="17"/>
        <v>1</v>
      </c>
      <c r="N37" s="659"/>
      <c r="O37" s="21">
        <f t="shared" si="18"/>
        <v>1</v>
      </c>
      <c r="P37" s="659"/>
      <c r="Q37" s="21">
        <f t="shared" si="19"/>
        <v>1</v>
      </c>
      <c r="R37" s="655">
        <f t="shared" si="20"/>
        <v>0</v>
      </c>
      <c r="S37" s="311">
        <f t="shared" si="11"/>
        <v>0</v>
      </c>
    </row>
    <row r="38" spans="1:19">
      <c r="A38" s="145"/>
      <c r="B38" s="54"/>
      <c r="C38" s="21">
        <f t="shared" si="12"/>
        <v>1</v>
      </c>
      <c r="D38" s="659"/>
      <c r="E38" s="21">
        <f t="shared" si="13"/>
        <v>1</v>
      </c>
      <c r="F38" s="659"/>
      <c r="G38" s="21">
        <f t="shared" si="14"/>
        <v>1</v>
      </c>
      <c r="H38" s="659"/>
      <c r="I38" s="21">
        <f t="shared" si="15"/>
        <v>1</v>
      </c>
      <c r="J38" s="659"/>
      <c r="K38" s="21">
        <f t="shared" si="16"/>
        <v>1</v>
      </c>
      <c r="L38" s="659"/>
      <c r="M38" s="21">
        <f t="shared" si="17"/>
        <v>1</v>
      </c>
      <c r="N38" s="659"/>
      <c r="O38" s="21">
        <f t="shared" si="18"/>
        <v>1</v>
      </c>
      <c r="P38" s="659"/>
      <c r="Q38" s="21">
        <f t="shared" si="19"/>
        <v>1</v>
      </c>
      <c r="R38" s="655">
        <f t="shared" si="20"/>
        <v>0</v>
      </c>
      <c r="S38" s="311">
        <f t="shared" si="11"/>
        <v>0</v>
      </c>
    </row>
    <row r="39" spans="1:19">
      <c r="A39" s="145"/>
      <c r="B39" s="54"/>
      <c r="C39" s="21">
        <f t="shared" si="12"/>
        <v>1</v>
      </c>
      <c r="D39" s="659"/>
      <c r="E39" s="21">
        <f t="shared" si="13"/>
        <v>1</v>
      </c>
      <c r="F39" s="659"/>
      <c r="G39" s="21">
        <f t="shared" si="14"/>
        <v>1</v>
      </c>
      <c r="H39" s="659"/>
      <c r="I39" s="21">
        <f t="shared" si="15"/>
        <v>1</v>
      </c>
      <c r="J39" s="659"/>
      <c r="K39" s="21">
        <f t="shared" si="16"/>
        <v>1</v>
      </c>
      <c r="L39" s="659"/>
      <c r="M39" s="21">
        <f t="shared" si="17"/>
        <v>1</v>
      </c>
      <c r="N39" s="659"/>
      <c r="O39" s="21">
        <f t="shared" si="18"/>
        <v>1</v>
      </c>
      <c r="P39" s="659"/>
      <c r="Q39" s="21">
        <f t="shared" si="19"/>
        <v>1</v>
      </c>
      <c r="R39" s="655">
        <f t="shared" si="20"/>
        <v>0</v>
      </c>
      <c r="S39" s="311">
        <f t="shared" si="11"/>
        <v>0</v>
      </c>
    </row>
    <row r="40" spans="1:19">
      <c r="A40" s="145"/>
      <c r="B40" s="54"/>
      <c r="C40" s="21">
        <f t="shared" si="12"/>
        <v>1</v>
      </c>
      <c r="D40" s="659"/>
      <c r="E40" s="21">
        <f t="shared" si="13"/>
        <v>1</v>
      </c>
      <c r="F40" s="659"/>
      <c r="G40" s="21">
        <f t="shared" si="14"/>
        <v>1</v>
      </c>
      <c r="H40" s="659"/>
      <c r="I40" s="21">
        <f t="shared" si="15"/>
        <v>1</v>
      </c>
      <c r="J40" s="659"/>
      <c r="K40" s="21">
        <f t="shared" si="16"/>
        <v>1</v>
      </c>
      <c r="L40" s="659"/>
      <c r="M40" s="21">
        <f t="shared" si="17"/>
        <v>1</v>
      </c>
      <c r="N40" s="659"/>
      <c r="O40" s="21">
        <f t="shared" si="18"/>
        <v>1</v>
      </c>
      <c r="P40" s="659"/>
      <c r="Q40" s="21">
        <f t="shared" si="19"/>
        <v>1</v>
      </c>
      <c r="R40" s="655">
        <f t="shared" si="20"/>
        <v>0</v>
      </c>
      <c r="S40" s="311">
        <f t="shared" si="11"/>
        <v>0</v>
      </c>
    </row>
    <row r="41" spans="1:19">
      <c r="A41" s="145"/>
      <c r="B41" s="54"/>
      <c r="C41" s="21">
        <f t="shared" si="12"/>
        <v>1</v>
      </c>
      <c r="D41" s="659"/>
      <c r="E41" s="21">
        <f t="shared" si="13"/>
        <v>1</v>
      </c>
      <c r="F41" s="659"/>
      <c r="G41" s="21">
        <f t="shared" si="14"/>
        <v>1</v>
      </c>
      <c r="H41" s="659"/>
      <c r="I41" s="21">
        <f t="shared" si="15"/>
        <v>1</v>
      </c>
      <c r="J41" s="659"/>
      <c r="K41" s="21">
        <f t="shared" si="16"/>
        <v>1</v>
      </c>
      <c r="L41" s="659"/>
      <c r="M41" s="21">
        <f t="shared" si="17"/>
        <v>1</v>
      </c>
      <c r="N41" s="659"/>
      <c r="O41" s="21">
        <f t="shared" si="18"/>
        <v>1</v>
      </c>
      <c r="P41" s="659"/>
      <c r="Q41" s="21">
        <f t="shared" si="19"/>
        <v>1</v>
      </c>
      <c r="R41" s="655">
        <f t="shared" si="20"/>
        <v>0</v>
      </c>
      <c r="S41" s="311">
        <f t="shared" si="11"/>
        <v>0</v>
      </c>
    </row>
    <row r="42" spans="1:19">
      <c r="A42" s="145"/>
      <c r="B42" s="54"/>
      <c r="C42" s="21">
        <f t="shared" si="12"/>
        <v>1</v>
      </c>
      <c r="D42" s="659"/>
      <c r="E42" s="21">
        <f t="shared" si="13"/>
        <v>1</v>
      </c>
      <c r="F42" s="659"/>
      <c r="G42" s="21">
        <f t="shared" si="14"/>
        <v>1</v>
      </c>
      <c r="H42" s="659"/>
      <c r="I42" s="21">
        <f t="shared" si="15"/>
        <v>1</v>
      </c>
      <c r="J42" s="659"/>
      <c r="K42" s="21">
        <f t="shared" si="16"/>
        <v>1</v>
      </c>
      <c r="L42" s="659"/>
      <c r="M42" s="21">
        <f t="shared" si="17"/>
        <v>1</v>
      </c>
      <c r="N42" s="659"/>
      <c r="O42" s="21">
        <f t="shared" si="18"/>
        <v>1</v>
      </c>
      <c r="P42" s="659"/>
      <c r="Q42" s="21">
        <f t="shared" si="19"/>
        <v>1</v>
      </c>
      <c r="R42" s="655">
        <f t="shared" si="20"/>
        <v>0</v>
      </c>
      <c r="S42" s="311">
        <f t="shared" si="11"/>
        <v>0</v>
      </c>
    </row>
    <row r="43" spans="1:19">
      <c r="A43" s="145"/>
      <c r="B43" s="54"/>
      <c r="C43" s="21">
        <f t="shared" si="12"/>
        <v>1</v>
      </c>
      <c r="D43" s="659"/>
      <c r="E43" s="21">
        <f t="shared" si="13"/>
        <v>1</v>
      </c>
      <c r="F43" s="659"/>
      <c r="G43" s="21">
        <f t="shared" si="14"/>
        <v>1</v>
      </c>
      <c r="H43" s="659"/>
      <c r="I43" s="21">
        <f t="shared" si="15"/>
        <v>1</v>
      </c>
      <c r="J43" s="659"/>
      <c r="K43" s="21">
        <f t="shared" si="16"/>
        <v>1</v>
      </c>
      <c r="L43" s="659"/>
      <c r="M43" s="21">
        <f t="shared" si="17"/>
        <v>1</v>
      </c>
      <c r="N43" s="659"/>
      <c r="O43" s="21">
        <f t="shared" si="18"/>
        <v>1</v>
      </c>
      <c r="P43" s="659"/>
      <c r="Q43" s="21">
        <f t="shared" si="19"/>
        <v>1</v>
      </c>
      <c r="R43" s="655">
        <f t="shared" si="20"/>
        <v>0</v>
      </c>
      <c r="S43" s="311">
        <f t="shared" si="11"/>
        <v>0</v>
      </c>
    </row>
    <row r="44" spans="1:19">
      <c r="A44" s="145"/>
      <c r="B44" s="54"/>
      <c r="C44" s="21">
        <f t="shared" si="12"/>
        <v>1</v>
      </c>
      <c r="D44" s="659"/>
      <c r="E44" s="21">
        <f t="shared" si="13"/>
        <v>1</v>
      </c>
      <c r="F44" s="659"/>
      <c r="G44" s="21">
        <f t="shared" si="14"/>
        <v>1</v>
      </c>
      <c r="H44" s="659"/>
      <c r="I44" s="21">
        <f t="shared" si="15"/>
        <v>1</v>
      </c>
      <c r="J44" s="659"/>
      <c r="K44" s="21">
        <f t="shared" si="16"/>
        <v>1</v>
      </c>
      <c r="L44" s="659"/>
      <c r="M44" s="21">
        <f t="shared" si="17"/>
        <v>1</v>
      </c>
      <c r="N44" s="659"/>
      <c r="O44" s="21">
        <f t="shared" si="18"/>
        <v>1</v>
      </c>
      <c r="P44" s="659"/>
      <c r="Q44" s="21">
        <f t="shared" si="19"/>
        <v>1</v>
      </c>
      <c r="R44" s="655">
        <f t="shared" si="20"/>
        <v>0</v>
      </c>
      <c r="S44" s="311">
        <f t="shared" si="11"/>
        <v>0</v>
      </c>
    </row>
    <row r="45" spans="1:19">
      <c r="A45" s="145"/>
      <c r="B45" s="54"/>
      <c r="C45" s="21">
        <f t="shared" si="12"/>
        <v>1</v>
      </c>
      <c r="D45" s="659"/>
      <c r="E45" s="21">
        <f t="shared" si="13"/>
        <v>1</v>
      </c>
      <c r="F45" s="659"/>
      <c r="G45" s="21">
        <f t="shared" si="14"/>
        <v>1</v>
      </c>
      <c r="H45" s="659"/>
      <c r="I45" s="21">
        <f t="shared" si="15"/>
        <v>1</v>
      </c>
      <c r="J45" s="659"/>
      <c r="K45" s="21">
        <f t="shared" si="16"/>
        <v>1</v>
      </c>
      <c r="L45" s="659"/>
      <c r="M45" s="21">
        <f t="shared" si="17"/>
        <v>1</v>
      </c>
      <c r="N45" s="659"/>
      <c r="O45" s="21">
        <f t="shared" si="18"/>
        <v>1</v>
      </c>
      <c r="P45" s="659"/>
      <c r="Q45" s="21">
        <f t="shared" si="19"/>
        <v>1</v>
      </c>
      <c r="R45" s="655">
        <f t="shared" si="20"/>
        <v>0</v>
      </c>
      <c r="S45" s="311">
        <f t="shared" si="11"/>
        <v>0</v>
      </c>
    </row>
    <row r="46" spans="1:19">
      <c r="A46" s="145"/>
      <c r="B46" s="54"/>
      <c r="C46" s="21">
        <f t="shared" si="12"/>
        <v>1</v>
      </c>
      <c r="D46" s="659"/>
      <c r="E46" s="21">
        <f t="shared" si="13"/>
        <v>1</v>
      </c>
      <c r="F46" s="659"/>
      <c r="G46" s="21">
        <f t="shared" si="14"/>
        <v>1</v>
      </c>
      <c r="H46" s="659"/>
      <c r="I46" s="21">
        <f t="shared" si="15"/>
        <v>1</v>
      </c>
      <c r="J46" s="659"/>
      <c r="K46" s="21">
        <f t="shared" si="16"/>
        <v>1</v>
      </c>
      <c r="L46" s="659"/>
      <c r="M46" s="21">
        <f t="shared" si="17"/>
        <v>1</v>
      </c>
      <c r="N46" s="659"/>
      <c r="O46" s="21">
        <f t="shared" si="18"/>
        <v>1</v>
      </c>
      <c r="P46" s="659"/>
      <c r="Q46" s="21">
        <f t="shared" si="19"/>
        <v>1</v>
      </c>
      <c r="R46" s="655">
        <f t="shared" si="20"/>
        <v>0</v>
      </c>
      <c r="S46" s="311">
        <f t="shared" si="11"/>
        <v>0</v>
      </c>
    </row>
    <row r="47" spans="1:19">
      <c r="A47" s="145"/>
      <c r="B47" s="54"/>
      <c r="C47" s="21">
        <f t="shared" si="12"/>
        <v>1</v>
      </c>
      <c r="D47" s="659"/>
      <c r="E47" s="21">
        <f t="shared" si="13"/>
        <v>1</v>
      </c>
      <c r="F47" s="659"/>
      <c r="G47" s="21">
        <f t="shared" si="14"/>
        <v>1</v>
      </c>
      <c r="H47" s="659"/>
      <c r="I47" s="21">
        <f t="shared" si="15"/>
        <v>1</v>
      </c>
      <c r="J47" s="659"/>
      <c r="K47" s="21">
        <f t="shared" si="16"/>
        <v>1</v>
      </c>
      <c r="L47" s="659"/>
      <c r="M47" s="21">
        <f t="shared" si="17"/>
        <v>1</v>
      </c>
      <c r="N47" s="659"/>
      <c r="O47" s="21">
        <f t="shared" si="18"/>
        <v>1</v>
      </c>
      <c r="P47" s="659"/>
      <c r="Q47" s="21">
        <f t="shared" si="19"/>
        <v>1</v>
      </c>
      <c r="R47" s="655">
        <f t="shared" si="20"/>
        <v>0</v>
      </c>
      <c r="S47" s="311">
        <f t="shared" si="11"/>
        <v>0</v>
      </c>
    </row>
    <row r="48" spans="1:19">
      <c r="A48" s="145"/>
      <c r="B48" s="54"/>
      <c r="C48" s="21">
        <f t="shared" si="12"/>
        <v>1</v>
      </c>
      <c r="D48" s="659"/>
      <c r="E48" s="21">
        <f t="shared" si="13"/>
        <v>1</v>
      </c>
      <c r="F48" s="659"/>
      <c r="G48" s="21">
        <f t="shared" si="14"/>
        <v>1</v>
      </c>
      <c r="H48" s="659"/>
      <c r="I48" s="21">
        <f t="shared" si="15"/>
        <v>1</v>
      </c>
      <c r="J48" s="659"/>
      <c r="K48" s="21">
        <f t="shared" si="16"/>
        <v>1</v>
      </c>
      <c r="L48" s="659"/>
      <c r="M48" s="21">
        <f t="shared" si="17"/>
        <v>1</v>
      </c>
      <c r="N48" s="659"/>
      <c r="O48" s="21">
        <f t="shared" si="18"/>
        <v>1</v>
      </c>
      <c r="P48" s="659"/>
      <c r="Q48" s="21">
        <f t="shared" si="19"/>
        <v>1</v>
      </c>
      <c r="R48" s="655">
        <f t="shared" si="20"/>
        <v>0</v>
      </c>
      <c r="S48" s="311">
        <f t="shared" si="11"/>
        <v>0</v>
      </c>
    </row>
    <row r="49" spans="1:19">
      <c r="A49" s="145"/>
      <c r="B49" s="54"/>
      <c r="C49" s="21">
        <f t="shared" si="12"/>
        <v>1</v>
      </c>
      <c r="D49" s="659"/>
      <c r="E49" s="21">
        <f t="shared" si="13"/>
        <v>1</v>
      </c>
      <c r="F49" s="659"/>
      <c r="G49" s="21">
        <f t="shared" si="14"/>
        <v>1</v>
      </c>
      <c r="H49" s="659"/>
      <c r="I49" s="21">
        <f t="shared" si="15"/>
        <v>1</v>
      </c>
      <c r="J49" s="659"/>
      <c r="K49" s="21">
        <f t="shared" si="16"/>
        <v>1</v>
      </c>
      <c r="L49" s="659"/>
      <c r="M49" s="21">
        <f t="shared" si="17"/>
        <v>1</v>
      </c>
      <c r="N49" s="659"/>
      <c r="O49" s="21">
        <f t="shared" si="18"/>
        <v>1</v>
      </c>
      <c r="P49" s="659"/>
      <c r="Q49" s="21">
        <f t="shared" si="19"/>
        <v>1</v>
      </c>
      <c r="R49" s="655">
        <f t="shared" si="20"/>
        <v>0</v>
      </c>
      <c r="S49" s="311">
        <f t="shared" si="11"/>
        <v>0</v>
      </c>
    </row>
    <row r="50" spans="1:19">
      <c r="A50" s="145"/>
      <c r="B50" s="54"/>
      <c r="C50" s="21">
        <f t="shared" si="12"/>
        <v>1</v>
      </c>
      <c r="D50" s="659"/>
      <c r="E50" s="21">
        <f t="shared" si="13"/>
        <v>1</v>
      </c>
      <c r="F50" s="659"/>
      <c r="G50" s="21">
        <f t="shared" si="14"/>
        <v>1</v>
      </c>
      <c r="H50" s="659"/>
      <c r="I50" s="21">
        <f t="shared" si="15"/>
        <v>1</v>
      </c>
      <c r="J50" s="659"/>
      <c r="K50" s="21">
        <f t="shared" si="16"/>
        <v>1</v>
      </c>
      <c r="L50" s="659"/>
      <c r="M50" s="21">
        <f t="shared" si="17"/>
        <v>1</v>
      </c>
      <c r="N50" s="659"/>
      <c r="O50" s="21">
        <f t="shared" si="18"/>
        <v>1</v>
      </c>
      <c r="P50" s="659"/>
      <c r="Q50" s="21">
        <f t="shared" si="19"/>
        <v>1</v>
      </c>
      <c r="R50" s="655">
        <f t="shared" si="20"/>
        <v>0</v>
      </c>
      <c r="S50" s="311">
        <f t="shared" si="11"/>
        <v>0</v>
      </c>
    </row>
    <row r="51" spans="1:19">
      <c r="A51" s="145"/>
      <c r="B51" s="54"/>
      <c r="C51" s="21">
        <f t="shared" si="12"/>
        <v>1</v>
      </c>
      <c r="D51" s="659"/>
      <c r="E51" s="21">
        <f t="shared" si="13"/>
        <v>1</v>
      </c>
      <c r="F51" s="659"/>
      <c r="G51" s="21">
        <f t="shared" si="14"/>
        <v>1</v>
      </c>
      <c r="H51" s="659"/>
      <c r="I51" s="21">
        <f t="shared" si="15"/>
        <v>1</v>
      </c>
      <c r="J51" s="659"/>
      <c r="K51" s="21">
        <f t="shared" si="16"/>
        <v>1</v>
      </c>
      <c r="L51" s="659"/>
      <c r="M51" s="21">
        <f t="shared" si="17"/>
        <v>1</v>
      </c>
      <c r="N51" s="659"/>
      <c r="O51" s="21">
        <f t="shared" si="18"/>
        <v>1</v>
      </c>
      <c r="P51" s="659"/>
      <c r="Q51" s="21">
        <f t="shared" si="19"/>
        <v>1</v>
      </c>
      <c r="R51" s="655">
        <f t="shared" si="20"/>
        <v>0</v>
      </c>
      <c r="S51" s="311">
        <f t="shared" si="11"/>
        <v>0</v>
      </c>
    </row>
    <row r="52" spans="1:19">
      <c r="A52" s="145"/>
      <c r="B52" s="54"/>
      <c r="C52" s="21">
        <f t="shared" si="12"/>
        <v>1</v>
      </c>
      <c r="D52" s="659"/>
      <c r="E52" s="21">
        <f t="shared" si="13"/>
        <v>1</v>
      </c>
      <c r="F52" s="659"/>
      <c r="G52" s="21">
        <f t="shared" si="14"/>
        <v>1</v>
      </c>
      <c r="H52" s="659"/>
      <c r="I52" s="21">
        <f t="shared" si="15"/>
        <v>1</v>
      </c>
      <c r="J52" s="659"/>
      <c r="K52" s="21">
        <f t="shared" si="16"/>
        <v>1</v>
      </c>
      <c r="L52" s="659"/>
      <c r="M52" s="21">
        <f t="shared" si="17"/>
        <v>1</v>
      </c>
      <c r="N52" s="659"/>
      <c r="O52" s="21">
        <f t="shared" si="18"/>
        <v>1</v>
      </c>
      <c r="P52" s="659"/>
      <c r="Q52" s="21">
        <f t="shared" si="19"/>
        <v>1</v>
      </c>
      <c r="R52" s="655">
        <f t="shared" si="20"/>
        <v>0</v>
      </c>
      <c r="S52" s="311">
        <f t="shared" si="11"/>
        <v>0</v>
      </c>
    </row>
    <row r="53" spans="1:19">
      <c r="A53" s="145"/>
      <c r="B53" s="54"/>
      <c r="C53" s="21">
        <f t="shared" si="12"/>
        <v>1</v>
      </c>
      <c r="D53" s="659"/>
      <c r="E53" s="21">
        <f t="shared" si="13"/>
        <v>1</v>
      </c>
      <c r="F53" s="659"/>
      <c r="G53" s="21">
        <f t="shared" si="14"/>
        <v>1</v>
      </c>
      <c r="H53" s="659"/>
      <c r="I53" s="21">
        <f t="shared" si="15"/>
        <v>1</v>
      </c>
      <c r="J53" s="659"/>
      <c r="K53" s="21">
        <f t="shared" si="16"/>
        <v>1</v>
      </c>
      <c r="L53" s="659"/>
      <c r="M53" s="21">
        <f t="shared" si="17"/>
        <v>1</v>
      </c>
      <c r="N53" s="659"/>
      <c r="O53" s="21">
        <f t="shared" si="18"/>
        <v>1</v>
      </c>
      <c r="P53" s="659"/>
      <c r="Q53" s="21">
        <f t="shared" si="19"/>
        <v>1</v>
      </c>
      <c r="R53" s="655">
        <f t="shared" si="20"/>
        <v>0</v>
      </c>
      <c r="S53" s="311">
        <f t="shared" si="11"/>
        <v>0</v>
      </c>
    </row>
    <row r="54" spans="1:19">
      <c r="A54" s="145"/>
      <c r="B54" s="54"/>
      <c r="C54" s="21">
        <f t="shared" si="12"/>
        <v>1</v>
      </c>
      <c r="D54" s="659"/>
      <c r="E54" s="21">
        <f t="shared" si="13"/>
        <v>1</v>
      </c>
      <c r="F54" s="659"/>
      <c r="G54" s="21">
        <f t="shared" si="14"/>
        <v>1</v>
      </c>
      <c r="H54" s="659"/>
      <c r="I54" s="21">
        <f t="shared" si="15"/>
        <v>1</v>
      </c>
      <c r="J54" s="659"/>
      <c r="K54" s="21">
        <f t="shared" si="16"/>
        <v>1</v>
      </c>
      <c r="L54" s="659"/>
      <c r="M54" s="21">
        <f t="shared" si="17"/>
        <v>1</v>
      </c>
      <c r="N54" s="659"/>
      <c r="O54" s="21">
        <f t="shared" si="18"/>
        <v>1</v>
      </c>
      <c r="P54" s="659"/>
      <c r="Q54" s="21">
        <f t="shared" si="19"/>
        <v>1</v>
      </c>
      <c r="R54" s="655">
        <f t="shared" si="20"/>
        <v>0</v>
      </c>
      <c r="S54" s="311">
        <f t="shared" si="11"/>
        <v>0</v>
      </c>
    </row>
    <row r="55" spans="1:19">
      <c r="A55" s="145"/>
      <c r="B55" s="54"/>
      <c r="C55" s="21">
        <f t="shared" si="12"/>
        <v>1</v>
      </c>
      <c r="D55" s="659"/>
      <c r="E55" s="21">
        <f t="shared" si="13"/>
        <v>1</v>
      </c>
      <c r="F55" s="659"/>
      <c r="G55" s="21">
        <f t="shared" si="14"/>
        <v>1</v>
      </c>
      <c r="H55" s="659"/>
      <c r="I55" s="21">
        <f t="shared" si="15"/>
        <v>1</v>
      </c>
      <c r="J55" s="659"/>
      <c r="K55" s="21">
        <f t="shared" si="16"/>
        <v>1</v>
      </c>
      <c r="L55" s="659"/>
      <c r="M55" s="21">
        <f t="shared" si="17"/>
        <v>1</v>
      </c>
      <c r="N55" s="659"/>
      <c r="O55" s="21">
        <f t="shared" si="18"/>
        <v>1</v>
      </c>
      <c r="P55" s="659"/>
      <c r="Q55" s="21">
        <f t="shared" si="19"/>
        <v>1</v>
      </c>
      <c r="R55" s="655">
        <f t="shared" si="20"/>
        <v>0</v>
      </c>
      <c r="S55" s="311">
        <f t="shared" ref="S55:S77" si="21">ROUND(R55*B55/10000,0)</f>
        <v>0</v>
      </c>
    </row>
    <row r="56" spans="1:19">
      <c r="A56" s="145"/>
      <c r="B56" s="54"/>
      <c r="C56" s="21">
        <f t="shared" si="12"/>
        <v>1</v>
      </c>
      <c r="D56" s="659"/>
      <c r="E56" s="21">
        <f t="shared" si="13"/>
        <v>1</v>
      </c>
      <c r="F56" s="659"/>
      <c r="G56" s="21">
        <f t="shared" si="14"/>
        <v>1</v>
      </c>
      <c r="H56" s="659"/>
      <c r="I56" s="21">
        <f t="shared" si="15"/>
        <v>1</v>
      </c>
      <c r="J56" s="659"/>
      <c r="K56" s="21">
        <f t="shared" si="16"/>
        <v>1</v>
      </c>
      <c r="L56" s="659"/>
      <c r="M56" s="21">
        <f t="shared" si="17"/>
        <v>1</v>
      </c>
      <c r="N56" s="659"/>
      <c r="O56" s="21">
        <f t="shared" si="18"/>
        <v>1</v>
      </c>
      <c r="P56" s="659"/>
      <c r="Q56" s="21">
        <f t="shared" si="19"/>
        <v>1</v>
      </c>
      <c r="R56" s="655">
        <f t="shared" si="20"/>
        <v>0</v>
      </c>
      <c r="S56" s="311">
        <f t="shared" si="21"/>
        <v>0</v>
      </c>
    </row>
    <row r="57" spans="1:19">
      <c r="A57" s="145"/>
      <c r="B57" s="54"/>
      <c r="C57" s="21">
        <f t="shared" si="12"/>
        <v>1</v>
      </c>
      <c r="D57" s="659"/>
      <c r="E57" s="21">
        <f t="shared" si="13"/>
        <v>1</v>
      </c>
      <c r="F57" s="659"/>
      <c r="G57" s="21">
        <f t="shared" si="14"/>
        <v>1</v>
      </c>
      <c r="H57" s="659"/>
      <c r="I57" s="21">
        <f t="shared" si="15"/>
        <v>1</v>
      </c>
      <c r="J57" s="659"/>
      <c r="K57" s="21">
        <f t="shared" si="16"/>
        <v>1</v>
      </c>
      <c r="L57" s="659"/>
      <c r="M57" s="21">
        <f t="shared" si="17"/>
        <v>1</v>
      </c>
      <c r="N57" s="659"/>
      <c r="O57" s="21">
        <f t="shared" si="18"/>
        <v>1</v>
      </c>
      <c r="P57" s="659"/>
      <c r="Q57" s="21">
        <f t="shared" si="19"/>
        <v>1</v>
      </c>
      <c r="R57" s="655">
        <f t="shared" si="20"/>
        <v>0</v>
      </c>
      <c r="S57" s="311">
        <f t="shared" si="21"/>
        <v>0</v>
      </c>
    </row>
    <row r="58" spans="1:19">
      <c r="A58" s="145"/>
      <c r="B58" s="54"/>
      <c r="C58" s="21">
        <f t="shared" si="12"/>
        <v>1</v>
      </c>
      <c r="D58" s="659"/>
      <c r="E58" s="21">
        <f t="shared" si="13"/>
        <v>1</v>
      </c>
      <c r="F58" s="659"/>
      <c r="G58" s="21">
        <f t="shared" si="14"/>
        <v>1</v>
      </c>
      <c r="H58" s="659"/>
      <c r="I58" s="21">
        <f t="shared" si="15"/>
        <v>1</v>
      </c>
      <c r="J58" s="659"/>
      <c r="K58" s="21">
        <f t="shared" si="16"/>
        <v>1</v>
      </c>
      <c r="L58" s="659"/>
      <c r="M58" s="21">
        <f t="shared" si="17"/>
        <v>1</v>
      </c>
      <c r="N58" s="659"/>
      <c r="O58" s="21">
        <f t="shared" si="18"/>
        <v>1</v>
      </c>
      <c r="P58" s="659"/>
      <c r="Q58" s="21">
        <f t="shared" si="19"/>
        <v>1</v>
      </c>
      <c r="R58" s="655">
        <f t="shared" si="20"/>
        <v>0</v>
      </c>
      <c r="S58" s="311">
        <f t="shared" si="21"/>
        <v>0</v>
      </c>
    </row>
    <row r="59" spans="1:19">
      <c r="A59" s="145"/>
      <c r="B59" s="54"/>
      <c r="C59" s="21">
        <f t="shared" si="12"/>
        <v>1</v>
      </c>
      <c r="D59" s="659"/>
      <c r="E59" s="21">
        <f t="shared" si="13"/>
        <v>1</v>
      </c>
      <c r="F59" s="659"/>
      <c r="G59" s="21">
        <f t="shared" si="14"/>
        <v>1</v>
      </c>
      <c r="H59" s="659"/>
      <c r="I59" s="21">
        <f t="shared" si="15"/>
        <v>1</v>
      </c>
      <c r="J59" s="659"/>
      <c r="K59" s="21">
        <f t="shared" si="16"/>
        <v>1</v>
      </c>
      <c r="L59" s="659"/>
      <c r="M59" s="21">
        <f t="shared" si="17"/>
        <v>1</v>
      </c>
      <c r="N59" s="659"/>
      <c r="O59" s="21">
        <f t="shared" si="18"/>
        <v>1</v>
      </c>
      <c r="P59" s="659"/>
      <c r="Q59" s="21">
        <f t="shared" si="19"/>
        <v>1</v>
      </c>
      <c r="R59" s="655">
        <f t="shared" si="20"/>
        <v>0</v>
      </c>
      <c r="S59" s="311">
        <f t="shared" si="21"/>
        <v>0</v>
      </c>
    </row>
    <row r="60" spans="1:19">
      <c r="A60" s="145"/>
      <c r="B60" s="54"/>
      <c r="C60" s="21">
        <f t="shared" si="12"/>
        <v>1</v>
      </c>
      <c r="D60" s="659"/>
      <c r="E60" s="21">
        <f t="shared" si="13"/>
        <v>1</v>
      </c>
      <c r="F60" s="659"/>
      <c r="G60" s="21">
        <f t="shared" si="14"/>
        <v>1</v>
      </c>
      <c r="H60" s="659"/>
      <c r="I60" s="21">
        <f t="shared" si="15"/>
        <v>1</v>
      </c>
      <c r="J60" s="659"/>
      <c r="K60" s="21">
        <f t="shared" si="16"/>
        <v>1</v>
      </c>
      <c r="L60" s="659"/>
      <c r="M60" s="21">
        <f t="shared" si="17"/>
        <v>1</v>
      </c>
      <c r="N60" s="659"/>
      <c r="O60" s="21">
        <f t="shared" si="18"/>
        <v>1</v>
      </c>
      <c r="P60" s="659"/>
      <c r="Q60" s="21">
        <f t="shared" si="19"/>
        <v>1</v>
      </c>
      <c r="R60" s="655">
        <f t="shared" si="20"/>
        <v>0</v>
      </c>
      <c r="S60" s="311">
        <f t="shared" si="21"/>
        <v>0</v>
      </c>
    </row>
    <row r="61" spans="1:19">
      <c r="A61" s="145"/>
      <c r="B61" s="54"/>
      <c r="C61" s="21">
        <f t="shared" si="12"/>
        <v>1</v>
      </c>
      <c r="D61" s="659"/>
      <c r="E61" s="21">
        <f t="shared" si="13"/>
        <v>1</v>
      </c>
      <c r="F61" s="659"/>
      <c r="G61" s="21">
        <f t="shared" si="14"/>
        <v>1</v>
      </c>
      <c r="H61" s="659"/>
      <c r="I61" s="21">
        <f t="shared" si="15"/>
        <v>1</v>
      </c>
      <c r="J61" s="659"/>
      <c r="K61" s="21">
        <f t="shared" si="16"/>
        <v>1</v>
      </c>
      <c r="L61" s="659"/>
      <c r="M61" s="21">
        <f t="shared" si="17"/>
        <v>1</v>
      </c>
      <c r="N61" s="659"/>
      <c r="O61" s="21">
        <f t="shared" si="18"/>
        <v>1</v>
      </c>
      <c r="P61" s="659"/>
      <c r="Q61" s="21">
        <f t="shared" si="19"/>
        <v>1</v>
      </c>
      <c r="R61" s="655">
        <f t="shared" si="20"/>
        <v>0</v>
      </c>
      <c r="S61" s="311">
        <f t="shared" si="21"/>
        <v>0</v>
      </c>
    </row>
    <row r="62" spans="1:19">
      <c r="A62" s="145"/>
      <c r="B62" s="54"/>
      <c r="C62" s="21">
        <f t="shared" si="12"/>
        <v>1</v>
      </c>
      <c r="D62" s="659"/>
      <c r="E62" s="21">
        <f t="shared" si="13"/>
        <v>1</v>
      </c>
      <c r="F62" s="659"/>
      <c r="G62" s="21">
        <f t="shared" si="14"/>
        <v>1</v>
      </c>
      <c r="H62" s="659"/>
      <c r="I62" s="21">
        <f t="shared" si="15"/>
        <v>1</v>
      </c>
      <c r="J62" s="659"/>
      <c r="K62" s="21">
        <f t="shared" si="16"/>
        <v>1</v>
      </c>
      <c r="L62" s="659"/>
      <c r="M62" s="21">
        <f t="shared" si="17"/>
        <v>1</v>
      </c>
      <c r="N62" s="659"/>
      <c r="O62" s="21">
        <f t="shared" si="18"/>
        <v>1</v>
      </c>
      <c r="P62" s="659"/>
      <c r="Q62" s="21">
        <f t="shared" si="19"/>
        <v>1</v>
      </c>
      <c r="R62" s="655">
        <f t="shared" si="20"/>
        <v>0</v>
      </c>
      <c r="S62" s="311">
        <f t="shared" si="21"/>
        <v>0</v>
      </c>
    </row>
    <row r="63" spans="1:19">
      <c r="A63" s="145"/>
      <c r="B63" s="54"/>
      <c r="C63" s="21">
        <f t="shared" si="12"/>
        <v>1</v>
      </c>
      <c r="D63" s="659"/>
      <c r="E63" s="21">
        <f t="shared" si="13"/>
        <v>1</v>
      </c>
      <c r="F63" s="659"/>
      <c r="G63" s="21">
        <f t="shared" si="14"/>
        <v>1</v>
      </c>
      <c r="H63" s="659"/>
      <c r="I63" s="21">
        <f t="shared" si="15"/>
        <v>1</v>
      </c>
      <c r="J63" s="659"/>
      <c r="K63" s="21">
        <f t="shared" si="16"/>
        <v>1</v>
      </c>
      <c r="L63" s="659"/>
      <c r="M63" s="21">
        <f t="shared" si="17"/>
        <v>1</v>
      </c>
      <c r="N63" s="659"/>
      <c r="O63" s="21">
        <f t="shared" si="18"/>
        <v>1</v>
      </c>
      <c r="P63" s="659"/>
      <c r="Q63" s="21">
        <f t="shared" si="19"/>
        <v>1</v>
      </c>
      <c r="R63" s="655">
        <f t="shared" si="20"/>
        <v>0</v>
      </c>
      <c r="S63" s="311">
        <f t="shared" si="21"/>
        <v>0</v>
      </c>
    </row>
    <row r="64" spans="1:19">
      <c r="A64" s="145"/>
      <c r="B64" s="54"/>
      <c r="C64" s="21">
        <f t="shared" si="12"/>
        <v>1</v>
      </c>
      <c r="D64" s="659"/>
      <c r="E64" s="21">
        <f t="shared" si="13"/>
        <v>1</v>
      </c>
      <c r="F64" s="659"/>
      <c r="G64" s="21">
        <f t="shared" si="14"/>
        <v>1</v>
      </c>
      <c r="H64" s="659"/>
      <c r="I64" s="21">
        <f t="shared" si="15"/>
        <v>1</v>
      </c>
      <c r="J64" s="659"/>
      <c r="K64" s="21">
        <f t="shared" si="16"/>
        <v>1</v>
      </c>
      <c r="L64" s="659"/>
      <c r="M64" s="21">
        <f t="shared" si="17"/>
        <v>1</v>
      </c>
      <c r="N64" s="659"/>
      <c r="O64" s="21">
        <f t="shared" si="18"/>
        <v>1</v>
      </c>
      <c r="P64" s="659"/>
      <c r="Q64" s="21">
        <f t="shared" si="19"/>
        <v>1</v>
      </c>
      <c r="R64" s="655">
        <f t="shared" si="20"/>
        <v>0</v>
      </c>
      <c r="S64" s="311">
        <f t="shared" si="21"/>
        <v>0</v>
      </c>
    </row>
    <row r="65" spans="1:19">
      <c r="A65" s="145"/>
      <c r="B65" s="54"/>
      <c r="C65" s="21">
        <f t="shared" si="12"/>
        <v>1</v>
      </c>
      <c r="D65" s="659"/>
      <c r="E65" s="21">
        <f t="shared" si="13"/>
        <v>1</v>
      </c>
      <c r="F65" s="659"/>
      <c r="G65" s="21">
        <f t="shared" si="14"/>
        <v>1</v>
      </c>
      <c r="H65" s="659"/>
      <c r="I65" s="21">
        <f t="shared" si="15"/>
        <v>1</v>
      </c>
      <c r="J65" s="659"/>
      <c r="K65" s="21">
        <f t="shared" si="16"/>
        <v>1</v>
      </c>
      <c r="L65" s="659"/>
      <c r="M65" s="21">
        <f t="shared" si="17"/>
        <v>1</v>
      </c>
      <c r="N65" s="659"/>
      <c r="O65" s="21">
        <f t="shared" si="18"/>
        <v>1</v>
      </c>
      <c r="P65" s="659"/>
      <c r="Q65" s="21">
        <f t="shared" si="19"/>
        <v>1</v>
      </c>
      <c r="R65" s="655">
        <f t="shared" si="20"/>
        <v>0</v>
      </c>
      <c r="S65" s="311">
        <f t="shared" si="21"/>
        <v>0</v>
      </c>
    </row>
    <row r="66" spans="1:19">
      <c r="A66" s="145"/>
      <c r="B66" s="54"/>
      <c r="C66" s="21">
        <f t="shared" si="12"/>
        <v>1</v>
      </c>
      <c r="D66" s="659"/>
      <c r="E66" s="21">
        <f t="shared" si="13"/>
        <v>1</v>
      </c>
      <c r="F66" s="659"/>
      <c r="G66" s="21">
        <f t="shared" si="14"/>
        <v>1</v>
      </c>
      <c r="H66" s="659"/>
      <c r="I66" s="21">
        <f t="shared" si="15"/>
        <v>1</v>
      </c>
      <c r="J66" s="659"/>
      <c r="K66" s="21">
        <f t="shared" si="16"/>
        <v>1</v>
      </c>
      <c r="L66" s="659"/>
      <c r="M66" s="21">
        <f t="shared" si="17"/>
        <v>1</v>
      </c>
      <c r="N66" s="659"/>
      <c r="O66" s="21">
        <f t="shared" si="18"/>
        <v>1</v>
      </c>
      <c r="P66" s="659"/>
      <c r="Q66" s="21">
        <f t="shared" si="19"/>
        <v>1</v>
      </c>
      <c r="R66" s="655">
        <f t="shared" si="20"/>
        <v>0</v>
      </c>
      <c r="S66" s="311">
        <f t="shared" si="21"/>
        <v>0</v>
      </c>
    </row>
    <row r="67" spans="1:19">
      <c r="A67" s="145"/>
      <c r="B67" s="54"/>
      <c r="C67" s="21">
        <f t="shared" si="12"/>
        <v>1</v>
      </c>
      <c r="D67" s="659"/>
      <c r="E67" s="21">
        <f t="shared" si="13"/>
        <v>1</v>
      </c>
      <c r="F67" s="659"/>
      <c r="G67" s="21">
        <f t="shared" si="14"/>
        <v>1</v>
      </c>
      <c r="H67" s="659"/>
      <c r="I67" s="21">
        <f t="shared" si="15"/>
        <v>1</v>
      </c>
      <c r="J67" s="659"/>
      <c r="K67" s="21">
        <f t="shared" si="16"/>
        <v>1</v>
      </c>
      <c r="L67" s="659"/>
      <c r="M67" s="21">
        <f t="shared" si="17"/>
        <v>1</v>
      </c>
      <c r="N67" s="659"/>
      <c r="O67" s="21">
        <f t="shared" si="18"/>
        <v>1</v>
      </c>
      <c r="P67" s="659"/>
      <c r="Q67" s="21">
        <f t="shared" si="19"/>
        <v>1</v>
      </c>
      <c r="R67" s="655">
        <f t="shared" si="20"/>
        <v>0</v>
      </c>
      <c r="S67" s="311">
        <f t="shared" si="21"/>
        <v>0</v>
      </c>
    </row>
    <row r="68" spans="1:19">
      <c r="A68" s="145"/>
      <c r="B68" s="54"/>
      <c r="C68" s="21">
        <f t="shared" si="12"/>
        <v>1</v>
      </c>
      <c r="D68" s="659"/>
      <c r="E68" s="21">
        <f t="shared" si="13"/>
        <v>1</v>
      </c>
      <c r="F68" s="659"/>
      <c r="G68" s="21">
        <f t="shared" si="14"/>
        <v>1</v>
      </c>
      <c r="H68" s="659"/>
      <c r="I68" s="21">
        <f t="shared" si="15"/>
        <v>1</v>
      </c>
      <c r="J68" s="659"/>
      <c r="K68" s="21">
        <f t="shared" si="16"/>
        <v>1</v>
      </c>
      <c r="L68" s="659"/>
      <c r="M68" s="21">
        <f t="shared" si="17"/>
        <v>1</v>
      </c>
      <c r="N68" s="659"/>
      <c r="O68" s="21">
        <f t="shared" si="18"/>
        <v>1</v>
      </c>
      <c r="P68" s="659"/>
      <c r="Q68" s="21">
        <f t="shared" si="19"/>
        <v>1</v>
      </c>
      <c r="R68" s="655">
        <f t="shared" si="20"/>
        <v>0</v>
      </c>
      <c r="S68" s="311">
        <f t="shared" si="21"/>
        <v>0</v>
      </c>
    </row>
    <row r="69" spans="1:19">
      <c r="A69" s="145"/>
      <c r="B69" s="54"/>
      <c r="C69" s="21">
        <f t="shared" si="12"/>
        <v>1</v>
      </c>
      <c r="D69" s="659"/>
      <c r="E69" s="21">
        <f t="shared" si="13"/>
        <v>1</v>
      </c>
      <c r="F69" s="659"/>
      <c r="G69" s="21">
        <f t="shared" si="14"/>
        <v>1</v>
      </c>
      <c r="H69" s="659"/>
      <c r="I69" s="21">
        <f t="shared" si="15"/>
        <v>1</v>
      </c>
      <c r="J69" s="659"/>
      <c r="K69" s="21">
        <f t="shared" si="16"/>
        <v>1</v>
      </c>
      <c r="L69" s="659"/>
      <c r="M69" s="21">
        <f t="shared" si="17"/>
        <v>1</v>
      </c>
      <c r="N69" s="659"/>
      <c r="O69" s="21">
        <f t="shared" si="18"/>
        <v>1</v>
      </c>
      <c r="P69" s="659"/>
      <c r="Q69" s="21">
        <f t="shared" si="19"/>
        <v>1</v>
      </c>
      <c r="R69" s="655">
        <f t="shared" si="20"/>
        <v>0</v>
      </c>
      <c r="S69" s="311">
        <f t="shared" si="21"/>
        <v>0</v>
      </c>
    </row>
    <row r="70" spans="1:19">
      <c r="A70" s="145"/>
      <c r="B70" s="54"/>
      <c r="C70" s="21">
        <f t="shared" si="12"/>
        <v>1</v>
      </c>
      <c r="D70" s="659"/>
      <c r="E70" s="21">
        <f t="shared" si="13"/>
        <v>1</v>
      </c>
      <c r="F70" s="659"/>
      <c r="G70" s="21">
        <f t="shared" si="14"/>
        <v>1</v>
      </c>
      <c r="H70" s="659"/>
      <c r="I70" s="21">
        <f t="shared" si="15"/>
        <v>1</v>
      </c>
      <c r="J70" s="659"/>
      <c r="K70" s="21">
        <f t="shared" si="16"/>
        <v>1</v>
      </c>
      <c r="L70" s="659"/>
      <c r="M70" s="21">
        <f t="shared" si="17"/>
        <v>1</v>
      </c>
      <c r="N70" s="659"/>
      <c r="O70" s="21">
        <f t="shared" si="18"/>
        <v>1</v>
      </c>
      <c r="P70" s="659"/>
      <c r="Q70" s="21">
        <f t="shared" si="19"/>
        <v>1</v>
      </c>
      <c r="R70" s="655">
        <f t="shared" si="20"/>
        <v>0</v>
      </c>
      <c r="S70" s="311">
        <f t="shared" si="21"/>
        <v>0</v>
      </c>
    </row>
    <row r="71" spans="1:19">
      <c r="A71" s="145"/>
      <c r="B71" s="54"/>
      <c r="C71" s="21">
        <f t="shared" si="12"/>
        <v>1</v>
      </c>
      <c r="D71" s="659"/>
      <c r="E71" s="21">
        <f t="shared" si="13"/>
        <v>1</v>
      </c>
      <c r="F71" s="659"/>
      <c r="G71" s="21">
        <f t="shared" si="14"/>
        <v>1</v>
      </c>
      <c r="H71" s="659"/>
      <c r="I71" s="21">
        <f t="shared" si="15"/>
        <v>1</v>
      </c>
      <c r="J71" s="659"/>
      <c r="K71" s="21">
        <f t="shared" si="16"/>
        <v>1</v>
      </c>
      <c r="L71" s="659"/>
      <c r="M71" s="21">
        <f t="shared" si="17"/>
        <v>1</v>
      </c>
      <c r="N71" s="659"/>
      <c r="O71" s="21">
        <f t="shared" si="18"/>
        <v>1</v>
      </c>
      <c r="P71" s="659"/>
      <c r="Q71" s="21">
        <f t="shared" si="19"/>
        <v>1</v>
      </c>
      <c r="R71" s="655">
        <f t="shared" si="20"/>
        <v>0</v>
      </c>
      <c r="S71" s="311">
        <f t="shared" si="21"/>
        <v>0</v>
      </c>
    </row>
    <row r="72" spans="1:19">
      <c r="A72" s="145"/>
      <c r="B72" s="54"/>
      <c r="C72" s="21">
        <f t="shared" si="12"/>
        <v>1</v>
      </c>
      <c r="D72" s="659"/>
      <c r="E72" s="21">
        <f t="shared" si="13"/>
        <v>1</v>
      </c>
      <c r="F72" s="659"/>
      <c r="G72" s="21">
        <f t="shared" si="14"/>
        <v>1</v>
      </c>
      <c r="H72" s="659"/>
      <c r="I72" s="21">
        <f t="shared" si="15"/>
        <v>1</v>
      </c>
      <c r="J72" s="659"/>
      <c r="K72" s="21">
        <f t="shared" si="16"/>
        <v>1</v>
      </c>
      <c r="L72" s="659"/>
      <c r="M72" s="21">
        <f t="shared" si="17"/>
        <v>1</v>
      </c>
      <c r="N72" s="659"/>
      <c r="O72" s="21">
        <f t="shared" si="18"/>
        <v>1</v>
      </c>
      <c r="P72" s="659"/>
      <c r="Q72" s="21">
        <f t="shared" si="19"/>
        <v>1</v>
      </c>
      <c r="R72" s="655">
        <f t="shared" si="20"/>
        <v>0</v>
      </c>
      <c r="S72" s="311">
        <f t="shared" si="21"/>
        <v>0</v>
      </c>
    </row>
    <row r="73" spans="1:19">
      <c r="A73" s="145"/>
      <c r="B73" s="54"/>
      <c r="C73" s="21">
        <f t="shared" si="12"/>
        <v>1</v>
      </c>
      <c r="D73" s="659"/>
      <c r="E73" s="21">
        <f t="shared" si="13"/>
        <v>1</v>
      </c>
      <c r="F73" s="659"/>
      <c r="G73" s="21">
        <f t="shared" si="14"/>
        <v>1</v>
      </c>
      <c r="H73" s="659"/>
      <c r="I73" s="21">
        <f t="shared" si="15"/>
        <v>1</v>
      </c>
      <c r="J73" s="659"/>
      <c r="K73" s="21">
        <f t="shared" si="16"/>
        <v>1</v>
      </c>
      <c r="L73" s="659"/>
      <c r="M73" s="21">
        <f t="shared" si="17"/>
        <v>1</v>
      </c>
      <c r="N73" s="659"/>
      <c r="O73" s="21">
        <f t="shared" si="18"/>
        <v>1</v>
      </c>
      <c r="P73" s="659"/>
      <c r="Q73" s="21">
        <f t="shared" si="19"/>
        <v>1</v>
      </c>
      <c r="R73" s="655">
        <f t="shared" si="20"/>
        <v>0</v>
      </c>
      <c r="S73" s="311">
        <f t="shared" si="21"/>
        <v>0</v>
      </c>
    </row>
    <row r="74" spans="1:19">
      <c r="A74" s="145"/>
      <c r="B74" s="54"/>
      <c r="C74" s="21">
        <f t="shared" si="12"/>
        <v>1</v>
      </c>
      <c r="D74" s="659"/>
      <c r="E74" s="21">
        <f t="shared" si="13"/>
        <v>1</v>
      </c>
      <c r="F74" s="659"/>
      <c r="G74" s="21">
        <f t="shared" si="14"/>
        <v>1</v>
      </c>
      <c r="H74" s="659"/>
      <c r="I74" s="21">
        <f t="shared" si="15"/>
        <v>1</v>
      </c>
      <c r="J74" s="659"/>
      <c r="K74" s="21">
        <f t="shared" si="16"/>
        <v>1</v>
      </c>
      <c r="L74" s="659"/>
      <c r="M74" s="21">
        <f t="shared" si="17"/>
        <v>1</v>
      </c>
      <c r="N74" s="659"/>
      <c r="O74" s="21">
        <f t="shared" si="18"/>
        <v>1</v>
      </c>
      <c r="P74" s="659"/>
      <c r="Q74" s="21">
        <f t="shared" si="19"/>
        <v>1</v>
      </c>
      <c r="R74" s="655">
        <f t="shared" si="20"/>
        <v>0</v>
      </c>
      <c r="S74" s="311">
        <f t="shared" si="21"/>
        <v>0</v>
      </c>
    </row>
    <row r="75" spans="1:19">
      <c r="A75" s="145"/>
      <c r="B75" s="54"/>
      <c r="C75" s="21">
        <f t="shared" si="12"/>
        <v>1</v>
      </c>
      <c r="D75" s="659"/>
      <c r="E75" s="21">
        <f t="shared" si="13"/>
        <v>1</v>
      </c>
      <c r="F75" s="659"/>
      <c r="G75" s="21">
        <f t="shared" si="14"/>
        <v>1</v>
      </c>
      <c r="H75" s="659"/>
      <c r="I75" s="21">
        <f t="shared" si="15"/>
        <v>1</v>
      </c>
      <c r="J75" s="659"/>
      <c r="K75" s="21">
        <f t="shared" si="16"/>
        <v>1</v>
      </c>
      <c r="L75" s="659"/>
      <c r="M75" s="21">
        <f t="shared" si="17"/>
        <v>1</v>
      </c>
      <c r="N75" s="659"/>
      <c r="O75" s="21">
        <f t="shared" si="18"/>
        <v>1</v>
      </c>
      <c r="P75" s="659"/>
      <c r="Q75" s="21">
        <f t="shared" si="19"/>
        <v>1</v>
      </c>
      <c r="R75" s="655">
        <f t="shared" si="20"/>
        <v>0</v>
      </c>
      <c r="S75" s="311">
        <f t="shared" si="21"/>
        <v>0</v>
      </c>
    </row>
    <row r="76" spans="1:19">
      <c r="A76" s="145"/>
      <c r="B76" s="54"/>
      <c r="C76" s="21">
        <f t="shared" si="12"/>
        <v>1</v>
      </c>
      <c r="D76" s="659"/>
      <c r="E76" s="21">
        <f t="shared" si="13"/>
        <v>1</v>
      </c>
      <c r="F76" s="659"/>
      <c r="G76" s="21">
        <f t="shared" si="14"/>
        <v>1</v>
      </c>
      <c r="H76" s="659"/>
      <c r="I76" s="21">
        <f t="shared" si="15"/>
        <v>1</v>
      </c>
      <c r="J76" s="659"/>
      <c r="K76" s="21">
        <f t="shared" si="16"/>
        <v>1</v>
      </c>
      <c r="L76" s="659"/>
      <c r="M76" s="21">
        <f t="shared" si="17"/>
        <v>1</v>
      </c>
      <c r="N76" s="659"/>
      <c r="O76" s="21">
        <f t="shared" si="18"/>
        <v>1</v>
      </c>
      <c r="P76" s="659"/>
      <c r="Q76" s="21">
        <f t="shared" si="19"/>
        <v>1</v>
      </c>
      <c r="R76" s="655">
        <f t="shared" si="20"/>
        <v>0</v>
      </c>
      <c r="S76" s="311">
        <f t="shared" si="21"/>
        <v>0</v>
      </c>
    </row>
    <row r="77" spans="1:19">
      <c r="A77" s="145"/>
      <c r="B77" s="54"/>
      <c r="C77" s="21">
        <f t="shared" si="12"/>
        <v>1</v>
      </c>
      <c r="D77" s="659"/>
      <c r="E77" s="21">
        <f t="shared" si="13"/>
        <v>1</v>
      </c>
      <c r="F77" s="659"/>
      <c r="G77" s="21">
        <f t="shared" si="14"/>
        <v>1</v>
      </c>
      <c r="H77" s="659"/>
      <c r="I77" s="21">
        <f t="shared" si="15"/>
        <v>1</v>
      </c>
      <c r="J77" s="659"/>
      <c r="K77" s="21">
        <f t="shared" si="16"/>
        <v>1</v>
      </c>
      <c r="L77" s="659"/>
      <c r="M77" s="21">
        <f t="shared" si="17"/>
        <v>1</v>
      </c>
      <c r="N77" s="659"/>
      <c r="O77" s="21">
        <f t="shared" si="18"/>
        <v>1</v>
      </c>
      <c r="P77" s="659"/>
      <c r="Q77" s="21">
        <f t="shared" si="19"/>
        <v>1</v>
      </c>
      <c r="R77" s="655">
        <f t="shared" si="20"/>
        <v>0</v>
      </c>
      <c r="S77" s="311">
        <f t="shared" si="21"/>
        <v>0</v>
      </c>
    </row>
    <row r="78" spans="1:19">
      <c r="A78" s="145"/>
      <c r="B78" s="54"/>
      <c r="C78" s="21">
        <f t="shared" si="12"/>
        <v>1</v>
      </c>
      <c r="D78" s="659"/>
      <c r="E78" s="21">
        <f t="shared" si="13"/>
        <v>1</v>
      </c>
      <c r="F78" s="659"/>
      <c r="G78" s="21">
        <f t="shared" si="14"/>
        <v>1</v>
      </c>
      <c r="H78" s="659"/>
      <c r="I78" s="21">
        <f t="shared" si="15"/>
        <v>1</v>
      </c>
      <c r="J78" s="659"/>
      <c r="K78" s="21">
        <f t="shared" si="16"/>
        <v>1</v>
      </c>
      <c r="L78" s="659"/>
      <c r="M78" s="21">
        <f t="shared" si="17"/>
        <v>1</v>
      </c>
      <c r="N78" s="659"/>
      <c r="O78" s="21">
        <f t="shared" si="18"/>
        <v>1</v>
      </c>
      <c r="P78" s="659"/>
      <c r="Q78" s="21">
        <f t="shared" si="19"/>
        <v>1</v>
      </c>
      <c r="R78" s="655">
        <f t="shared" si="20"/>
        <v>0</v>
      </c>
      <c r="S78" s="311">
        <f t="shared" ref="S78:S122" si="22">ROUND(R78*B78/10000,0)</f>
        <v>0</v>
      </c>
    </row>
    <row r="79" spans="1:19">
      <c r="A79" s="145"/>
      <c r="B79" s="54"/>
      <c r="C79" s="21">
        <f t="shared" si="12"/>
        <v>1</v>
      </c>
      <c r="D79" s="659"/>
      <c r="E79" s="21">
        <f t="shared" si="13"/>
        <v>1</v>
      </c>
      <c r="F79" s="659"/>
      <c r="G79" s="21">
        <f t="shared" si="14"/>
        <v>1</v>
      </c>
      <c r="H79" s="659"/>
      <c r="I79" s="21">
        <f t="shared" si="15"/>
        <v>1</v>
      </c>
      <c r="J79" s="659"/>
      <c r="K79" s="21">
        <f t="shared" si="16"/>
        <v>1</v>
      </c>
      <c r="L79" s="659"/>
      <c r="M79" s="21">
        <f t="shared" si="17"/>
        <v>1</v>
      </c>
      <c r="N79" s="659"/>
      <c r="O79" s="21">
        <f t="shared" si="18"/>
        <v>1</v>
      </c>
      <c r="P79" s="659"/>
      <c r="Q79" s="21">
        <f t="shared" si="19"/>
        <v>1</v>
      </c>
      <c r="R79" s="655">
        <f t="shared" si="20"/>
        <v>0</v>
      </c>
      <c r="S79" s="311">
        <f t="shared" si="22"/>
        <v>0</v>
      </c>
    </row>
    <row r="80" spans="1:19">
      <c r="A80" s="145"/>
      <c r="B80" s="54"/>
      <c r="C80" s="21">
        <f t="shared" si="12"/>
        <v>1</v>
      </c>
      <c r="D80" s="659"/>
      <c r="E80" s="21">
        <f t="shared" si="13"/>
        <v>1</v>
      </c>
      <c r="F80" s="659"/>
      <c r="G80" s="21">
        <f t="shared" si="14"/>
        <v>1</v>
      </c>
      <c r="H80" s="659"/>
      <c r="I80" s="21">
        <f t="shared" si="15"/>
        <v>1</v>
      </c>
      <c r="J80" s="659"/>
      <c r="K80" s="21">
        <f t="shared" si="16"/>
        <v>1</v>
      </c>
      <c r="L80" s="659"/>
      <c r="M80" s="21">
        <f t="shared" si="17"/>
        <v>1</v>
      </c>
      <c r="N80" s="659"/>
      <c r="O80" s="21">
        <f t="shared" si="18"/>
        <v>1</v>
      </c>
      <c r="P80" s="659"/>
      <c r="Q80" s="21">
        <f t="shared" si="19"/>
        <v>1</v>
      </c>
      <c r="R80" s="655">
        <f t="shared" si="20"/>
        <v>0</v>
      </c>
      <c r="S80" s="311">
        <f t="shared" si="22"/>
        <v>0</v>
      </c>
    </row>
    <row r="81" spans="1:19">
      <c r="A81" s="145"/>
      <c r="B81" s="54"/>
      <c r="C81" s="21">
        <f t="shared" si="12"/>
        <v>1</v>
      </c>
      <c r="D81" s="659"/>
      <c r="E81" s="21">
        <f t="shared" si="13"/>
        <v>1</v>
      </c>
      <c r="F81" s="659"/>
      <c r="G81" s="21">
        <f t="shared" si="14"/>
        <v>1</v>
      </c>
      <c r="H81" s="659"/>
      <c r="I81" s="21">
        <f t="shared" si="15"/>
        <v>1</v>
      </c>
      <c r="J81" s="659"/>
      <c r="K81" s="21">
        <f t="shared" si="16"/>
        <v>1</v>
      </c>
      <c r="L81" s="659"/>
      <c r="M81" s="21">
        <f t="shared" si="17"/>
        <v>1</v>
      </c>
      <c r="N81" s="659"/>
      <c r="O81" s="21">
        <f t="shared" si="18"/>
        <v>1</v>
      </c>
      <c r="P81" s="659"/>
      <c r="Q81" s="21">
        <f t="shared" si="19"/>
        <v>1</v>
      </c>
      <c r="R81" s="655">
        <f t="shared" si="20"/>
        <v>0</v>
      </c>
      <c r="S81" s="311">
        <f t="shared" si="22"/>
        <v>0</v>
      </c>
    </row>
    <row r="82" spans="1:19">
      <c r="A82" s="145"/>
      <c r="B82" s="54"/>
      <c r="C82" s="21">
        <f t="shared" si="12"/>
        <v>1</v>
      </c>
      <c r="D82" s="659"/>
      <c r="E82" s="21">
        <f t="shared" si="13"/>
        <v>1</v>
      </c>
      <c r="F82" s="659"/>
      <c r="G82" s="21">
        <f t="shared" si="14"/>
        <v>1</v>
      </c>
      <c r="H82" s="659"/>
      <c r="I82" s="21">
        <f t="shared" si="15"/>
        <v>1</v>
      </c>
      <c r="J82" s="659"/>
      <c r="K82" s="21">
        <f t="shared" si="16"/>
        <v>1</v>
      </c>
      <c r="L82" s="659"/>
      <c r="M82" s="21">
        <f t="shared" si="17"/>
        <v>1</v>
      </c>
      <c r="N82" s="659"/>
      <c r="O82" s="21">
        <f t="shared" si="18"/>
        <v>1</v>
      </c>
      <c r="P82" s="659"/>
      <c r="Q82" s="21">
        <f t="shared" si="19"/>
        <v>1</v>
      </c>
      <c r="R82" s="655">
        <f t="shared" si="20"/>
        <v>0</v>
      </c>
      <c r="S82" s="311">
        <f t="shared" si="22"/>
        <v>0</v>
      </c>
    </row>
    <row r="83" spans="1:19">
      <c r="A83" s="145"/>
      <c r="B83" s="54"/>
      <c r="C83" s="21">
        <f t="shared" si="12"/>
        <v>1</v>
      </c>
      <c r="D83" s="659"/>
      <c r="E83" s="21">
        <f t="shared" si="13"/>
        <v>1</v>
      </c>
      <c r="F83" s="659"/>
      <c r="G83" s="21">
        <f t="shared" si="14"/>
        <v>1</v>
      </c>
      <c r="H83" s="659"/>
      <c r="I83" s="21">
        <f t="shared" si="15"/>
        <v>1</v>
      </c>
      <c r="J83" s="659"/>
      <c r="K83" s="21">
        <f t="shared" si="16"/>
        <v>1</v>
      </c>
      <c r="L83" s="659"/>
      <c r="M83" s="21">
        <f t="shared" si="17"/>
        <v>1</v>
      </c>
      <c r="N83" s="659"/>
      <c r="O83" s="21">
        <f t="shared" si="18"/>
        <v>1</v>
      </c>
      <c r="P83" s="659"/>
      <c r="Q83" s="21">
        <f t="shared" si="19"/>
        <v>1</v>
      </c>
      <c r="R83" s="655">
        <f t="shared" si="20"/>
        <v>0</v>
      </c>
      <c r="S83" s="311">
        <f t="shared" si="22"/>
        <v>0</v>
      </c>
    </row>
    <row r="84" spans="1:19">
      <c r="A84" s="145"/>
      <c r="B84" s="54"/>
      <c r="C84" s="21">
        <f t="shared" si="12"/>
        <v>1</v>
      </c>
      <c r="D84" s="659"/>
      <c r="E84" s="21">
        <f t="shared" si="13"/>
        <v>1</v>
      </c>
      <c r="F84" s="659"/>
      <c r="G84" s="21">
        <f t="shared" si="14"/>
        <v>1</v>
      </c>
      <c r="H84" s="659"/>
      <c r="I84" s="21">
        <f t="shared" si="15"/>
        <v>1</v>
      </c>
      <c r="J84" s="659"/>
      <c r="K84" s="21">
        <f t="shared" si="16"/>
        <v>1</v>
      </c>
      <c r="L84" s="659"/>
      <c r="M84" s="21">
        <f t="shared" si="17"/>
        <v>1</v>
      </c>
      <c r="N84" s="659"/>
      <c r="O84" s="21">
        <f t="shared" si="18"/>
        <v>1</v>
      </c>
      <c r="P84" s="659"/>
      <c r="Q84" s="21">
        <f t="shared" si="19"/>
        <v>1</v>
      </c>
      <c r="R84" s="655">
        <f t="shared" si="20"/>
        <v>0</v>
      </c>
      <c r="S84" s="311">
        <f t="shared" si="22"/>
        <v>0</v>
      </c>
    </row>
    <row r="85" spans="1:19">
      <c r="A85" s="145"/>
      <c r="B85" s="54"/>
      <c r="C85" s="21">
        <f t="shared" si="12"/>
        <v>1</v>
      </c>
      <c r="D85" s="659"/>
      <c r="E85" s="21">
        <f t="shared" si="13"/>
        <v>1</v>
      </c>
      <c r="F85" s="659"/>
      <c r="G85" s="21">
        <f t="shared" si="14"/>
        <v>1</v>
      </c>
      <c r="H85" s="659"/>
      <c r="I85" s="21">
        <f t="shared" si="15"/>
        <v>1</v>
      </c>
      <c r="J85" s="659"/>
      <c r="K85" s="21">
        <f t="shared" si="16"/>
        <v>1</v>
      </c>
      <c r="L85" s="659"/>
      <c r="M85" s="21">
        <f t="shared" si="17"/>
        <v>1</v>
      </c>
      <c r="N85" s="659"/>
      <c r="O85" s="21">
        <f t="shared" si="18"/>
        <v>1</v>
      </c>
      <c r="P85" s="659"/>
      <c r="Q85" s="21">
        <f t="shared" si="19"/>
        <v>1</v>
      </c>
      <c r="R85" s="655">
        <f t="shared" si="20"/>
        <v>0</v>
      </c>
      <c r="S85" s="311">
        <f t="shared" si="22"/>
        <v>0</v>
      </c>
    </row>
    <row r="86" spans="1:19">
      <c r="A86" s="145"/>
      <c r="B86" s="54"/>
      <c r="C86" s="21">
        <f t="shared" si="12"/>
        <v>1</v>
      </c>
      <c r="D86" s="659"/>
      <c r="E86" s="21">
        <f t="shared" si="13"/>
        <v>1</v>
      </c>
      <c r="F86" s="659"/>
      <c r="G86" s="21">
        <f t="shared" si="14"/>
        <v>1</v>
      </c>
      <c r="H86" s="659"/>
      <c r="I86" s="21">
        <f t="shared" si="15"/>
        <v>1</v>
      </c>
      <c r="J86" s="659"/>
      <c r="K86" s="21">
        <f t="shared" si="16"/>
        <v>1</v>
      </c>
      <c r="L86" s="659"/>
      <c r="M86" s="21">
        <f t="shared" si="17"/>
        <v>1</v>
      </c>
      <c r="N86" s="659"/>
      <c r="O86" s="21">
        <f t="shared" si="18"/>
        <v>1</v>
      </c>
      <c r="P86" s="659"/>
      <c r="Q86" s="21">
        <f t="shared" si="19"/>
        <v>1</v>
      </c>
      <c r="R86" s="655">
        <f t="shared" si="20"/>
        <v>0</v>
      </c>
      <c r="S86" s="311">
        <f t="shared" si="22"/>
        <v>0</v>
      </c>
    </row>
    <row r="87" spans="1:19">
      <c r="A87" s="145"/>
      <c r="B87" s="54"/>
      <c r="C87" s="21">
        <f t="shared" si="12"/>
        <v>1</v>
      </c>
      <c r="D87" s="659"/>
      <c r="E87" s="21">
        <f t="shared" si="13"/>
        <v>1</v>
      </c>
      <c r="F87" s="659"/>
      <c r="G87" s="21">
        <f t="shared" si="14"/>
        <v>1</v>
      </c>
      <c r="H87" s="659"/>
      <c r="I87" s="21">
        <f t="shared" si="15"/>
        <v>1</v>
      </c>
      <c r="J87" s="659"/>
      <c r="K87" s="21">
        <f t="shared" si="16"/>
        <v>1</v>
      </c>
      <c r="L87" s="659"/>
      <c r="M87" s="21">
        <f t="shared" si="17"/>
        <v>1</v>
      </c>
      <c r="N87" s="659"/>
      <c r="O87" s="21">
        <f t="shared" si="18"/>
        <v>1</v>
      </c>
      <c r="P87" s="659"/>
      <c r="Q87" s="21">
        <f t="shared" si="19"/>
        <v>1</v>
      </c>
      <c r="R87" s="655">
        <f t="shared" si="20"/>
        <v>0</v>
      </c>
      <c r="S87" s="311">
        <f t="shared" si="22"/>
        <v>0</v>
      </c>
    </row>
    <row r="88" spans="1:19">
      <c r="A88" s="145"/>
      <c r="B88" s="54"/>
      <c r="C88" s="21">
        <f t="shared" si="12"/>
        <v>1</v>
      </c>
      <c r="D88" s="659"/>
      <c r="E88" s="21">
        <f t="shared" si="13"/>
        <v>1</v>
      </c>
      <c r="F88" s="659"/>
      <c r="G88" s="21">
        <f t="shared" si="14"/>
        <v>1</v>
      </c>
      <c r="H88" s="659"/>
      <c r="I88" s="21">
        <f t="shared" si="15"/>
        <v>1</v>
      </c>
      <c r="J88" s="659"/>
      <c r="K88" s="21">
        <f t="shared" si="16"/>
        <v>1</v>
      </c>
      <c r="L88" s="659"/>
      <c r="M88" s="21">
        <f t="shared" si="17"/>
        <v>1</v>
      </c>
      <c r="N88" s="659"/>
      <c r="O88" s="21">
        <f t="shared" si="18"/>
        <v>1</v>
      </c>
      <c r="P88" s="659"/>
      <c r="Q88" s="21">
        <f t="shared" si="19"/>
        <v>1</v>
      </c>
      <c r="R88" s="655">
        <f t="shared" si="20"/>
        <v>0</v>
      </c>
      <c r="S88" s="311">
        <f t="shared" si="22"/>
        <v>0</v>
      </c>
    </row>
    <row r="89" spans="1:19">
      <c r="A89" s="145"/>
      <c r="B89" s="54"/>
      <c r="C89" s="21">
        <f t="shared" si="12"/>
        <v>1</v>
      </c>
      <c r="D89" s="659"/>
      <c r="E89" s="21">
        <f t="shared" si="13"/>
        <v>1</v>
      </c>
      <c r="F89" s="659"/>
      <c r="G89" s="21">
        <f t="shared" si="14"/>
        <v>1</v>
      </c>
      <c r="H89" s="659"/>
      <c r="I89" s="21">
        <f t="shared" si="15"/>
        <v>1</v>
      </c>
      <c r="J89" s="659"/>
      <c r="K89" s="21">
        <f t="shared" si="16"/>
        <v>1</v>
      </c>
      <c r="L89" s="659"/>
      <c r="M89" s="21">
        <f t="shared" si="17"/>
        <v>1</v>
      </c>
      <c r="N89" s="659"/>
      <c r="O89" s="21">
        <f t="shared" si="18"/>
        <v>1</v>
      </c>
      <c r="P89" s="659"/>
      <c r="Q89" s="21">
        <f t="shared" si="19"/>
        <v>1</v>
      </c>
      <c r="R89" s="655">
        <f t="shared" si="20"/>
        <v>0</v>
      </c>
      <c r="S89" s="311">
        <f t="shared" si="22"/>
        <v>0</v>
      </c>
    </row>
    <row r="90" spans="1:19">
      <c r="A90" s="145"/>
      <c r="B90" s="54"/>
      <c r="C90" s="21">
        <f t="shared" ref="C90:C153" si="23">IF(B90="",1,(LOOKUP(B90,$3:$3,$4:$4)-LOOKUP($B$24,$3:$3,$4:$4)+100)/100)</f>
        <v>1</v>
      </c>
      <c r="D90" s="659"/>
      <c r="E90" s="21">
        <f t="shared" ref="E90:E153" si="24">(SUMIF($5:$5,D90,$6:$6)-SUMIF($5:$5,$D$24,$6:$6)+100)/100</f>
        <v>1</v>
      </c>
      <c r="F90" s="659"/>
      <c r="G90" s="21">
        <f t="shared" ref="G90:G153" si="25">(SUMIF($7:$7,F90,$8:$8)-SUMIF($7:$7,$F$24,$8:$8)+100)/100</f>
        <v>1</v>
      </c>
      <c r="H90" s="659"/>
      <c r="I90" s="21">
        <f t="shared" ref="I90:I153" si="26">(SUMIF($9:$9,H90,$10:$10)-SUMIF($9:$9,$H$24,$10:$10)+100)/100</f>
        <v>1</v>
      </c>
      <c r="J90" s="659"/>
      <c r="K90" s="21">
        <f t="shared" ref="K90:K153" si="27">(SUMIF($11:$11,J90,$12:$12)-SUMIF($11:$11,$J$24,$12:$12)+100)/100</f>
        <v>1</v>
      </c>
      <c r="L90" s="659"/>
      <c r="M90" s="21">
        <f t="shared" ref="M90:M153" si="28">(SUMIF($13:$13,L90,$14:$14)-SUMIF($13:$13,$L$24,$14:$14)+100)/100</f>
        <v>1</v>
      </c>
      <c r="N90" s="659"/>
      <c r="O90" s="21">
        <f t="shared" ref="O90:O153" si="29">(SUMIF($15:$15,N90,$16:$16)-SUMIF($15:$15,$N$24,$16:$16)+100)/100</f>
        <v>1</v>
      </c>
      <c r="P90" s="659"/>
      <c r="Q90" s="21">
        <f t="shared" ref="Q90:Q153" si="30">(SUMIF($17:$17,P90,$18:$18)-SUMIF($17:$17,$P$24,$18:$18)+100)/100</f>
        <v>1</v>
      </c>
      <c r="R90" s="655">
        <f t="shared" ref="R90:R153" si="31">IF(B90="",0,ROUND($R$24*C90*E90*G90*I90*K90*M90*O90*Q90,0))</f>
        <v>0</v>
      </c>
      <c r="S90" s="311">
        <f t="shared" si="22"/>
        <v>0</v>
      </c>
    </row>
    <row r="91" spans="1:19">
      <c r="A91" s="145"/>
      <c r="B91" s="54"/>
      <c r="C91" s="21">
        <f t="shared" si="23"/>
        <v>1</v>
      </c>
      <c r="D91" s="659"/>
      <c r="E91" s="21">
        <f t="shared" si="24"/>
        <v>1</v>
      </c>
      <c r="F91" s="659"/>
      <c r="G91" s="21">
        <f t="shared" si="25"/>
        <v>1</v>
      </c>
      <c r="H91" s="659"/>
      <c r="I91" s="21">
        <f t="shared" si="26"/>
        <v>1</v>
      </c>
      <c r="J91" s="659"/>
      <c r="K91" s="21">
        <f t="shared" si="27"/>
        <v>1</v>
      </c>
      <c r="L91" s="659"/>
      <c r="M91" s="21">
        <f t="shared" si="28"/>
        <v>1</v>
      </c>
      <c r="N91" s="659"/>
      <c r="O91" s="21">
        <f t="shared" si="29"/>
        <v>1</v>
      </c>
      <c r="P91" s="659"/>
      <c r="Q91" s="21">
        <f t="shared" si="30"/>
        <v>1</v>
      </c>
      <c r="R91" s="655">
        <f t="shared" si="31"/>
        <v>0</v>
      </c>
      <c r="S91" s="311">
        <f t="shared" si="22"/>
        <v>0</v>
      </c>
    </row>
    <row r="92" spans="1:19">
      <c r="A92" s="145"/>
      <c r="B92" s="54"/>
      <c r="C92" s="21">
        <f t="shared" si="23"/>
        <v>1</v>
      </c>
      <c r="D92" s="659"/>
      <c r="E92" s="21">
        <f t="shared" si="24"/>
        <v>1</v>
      </c>
      <c r="F92" s="659"/>
      <c r="G92" s="21">
        <f t="shared" si="25"/>
        <v>1</v>
      </c>
      <c r="H92" s="659"/>
      <c r="I92" s="21">
        <f t="shared" si="26"/>
        <v>1</v>
      </c>
      <c r="J92" s="659"/>
      <c r="K92" s="21">
        <f t="shared" si="27"/>
        <v>1</v>
      </c>
      <c r="L92" s="659"/>
      <c r="M92" s="21">
        <f t="shared" si="28"/>
        <v>1</v>
      </c>
      <c r="N92" s="659"/>
      <c r="O92" s="21">
        <f t="shared" si="29"/>
        <v>1</v>
      </c>
      <c r="P92" s="659"/>
      <c r="Q92" s="21">
        <f t="shared" si="30"/>
        <v>1</v>
      </c>
      <c r="R92" s="655">
        <f t="shared" si="31"/>
        <v>0</v>
      </c>
      <c r="S92" s="311">
        <f t="shared" si="22"/>
        <v>0</v>
      </c>
    </row>
    <row r="93" spans="1:19">
      <c r="A93" s="145"/>
      <c r="B93" s="54"/>
      <c r="C93" s="21">
        <f t="shared" si="23"/>
        <v>1</v>
      </c>
      <c r="D93" s="659"/>
      <c r="E93" s="21">
        <f t="shared" si="24"/>
        <v>1</v>
      </c>
      <c r="F93" s="659"/>
      <c r="G93" s="21">
        <f t="shared" si="25"/>
        <v>1</v>
      </c>
      <c r="H93" s="659"/>
      <c r="I93" s="21">
        <f t="shared" si="26"/>
        <v>1</v>
      </c>
      <c r="J93" s="659"/>
      <c r="K93" s="21">
        <f t="shared" si="27"/>
        <v>1</v>
      </c>
      <c r="L93" s="659"/>
      <c r="M93" s="21">
        <f t="shared" si="28"/>
        <v>1</v>
      </c>
      <c r="N93" s="659"/>
      <c r="O93" s="21">
        <f t="shared" si="29"/>
        <v>1</v>
      </c>
      <c r="P93" s="659"/>
      <c r="Q93" s="21">
        <f t="shared" si="30"/>
        <v>1</v>
      </c>
      <c r="R93" s="655">
        <f t="shared" si="31"/>
        <v>0</v>
      </c>
      <c r="S93" s="311">
        <f t="shared" si="22"/>
        <v>0</v>
      </c>
    </row>
    <row r="94" spans="1:19">
      <c r="A94" s="145"/>
      <c r="B94" s="54"/>
      <c r="C94" s="21">
        <f t="shared" si="23"/>
        <v>1</v>
      </c>
      <c r="D94" s="659"/>
      <c r="E94" s="21">
        <f t="shared" si="24"/>
        <v>1</v>
      </c>
      <c r="F94" s="659"/>
      <c r="G94" s="21">
        <f t="shared" si="25"/>
        <v>1</v>
      </c>
      <c r="H94" s="659"/>
      <c r="I94" s="21">
        <f t="shared" si="26"/>
        <v>1</v>
      </c>
      <c r="J94" s="659"/>
      <c r="K94" s="21">
        <f t="shared" si="27"/>
        <v>1</v>
      </c>
      <c r="L94" s="659"/>
      <c r="M94" s="21">
        <f t="shared" si="28"/>
        <v>1</v>
      </c>
      <c r="N94" s="659"/>
      <c r="O94" s="21">
        <f t="shared" si="29"/>
        <v>1</v>
      </c>
      <c r="P94" s="659"/>
      <c r="Q94" s="21">
        <f t="shared" si="30"/>
        <v>1</v>
      </c>
      <c r="R94" s="655">
        <f t="shared" si="31"/>
        <v>0</v>
      </c>
      <c r="S94" s="311">
        <f t="shared" si="22"/>
        <v>0</v>
      </c>
    </row>
    <row r="95" spans="1:19">
      <c r="A95" s="145"/>
      <c r="B95" s="54"/>
      <c r="C95" s="21">
        <f t="shared" si="23"/>
        <v>1</v>
      </c>
      <c r="D95" s="659"/>
      <c r="E95" s="21">
        <f t="shared" si="24"/>
        <v>1</v>
      </c>
      <c r="F95" s="659"/>
      <c r="G95" s="21">
        <f t="shared" si="25"/>
        <v>1</v>
      </c>
      <c r="H95" s="659"/>
      <c r="I95" s="21">
        <f t="shared" si="26"/>
        <v>1</v>
      </c>
      <c r="J95" s="659"/>
      <c r="K95" s="21">
        <f t="shared" si="27"/>
        <v>1</v>
      </c>
      <c r="L95" s="659"/>
      <c r="M95" s="21">
        <f t="shared" si="28"/>
        <v>1</v>
      </c>
      <c r="N95" s="659"/>
      <c r="O95" s="21">
        <f t="shared" si="29"/>
        <v>1</v>
      </c>
      <c r="P95" s="659"/>
      <c r="Q95" s="21">
        <f t="shared" si="30"/>
        <v>1</v>
      </c>
      <c r="R95" s="655">
        <f t="shared" si="31"/>
        <v>0</v>
      </c>
      <c r="S95" s="311">
        <f t="shared" si="22"/>
        <v>0</v>
      </c>
    </row>
    <row r="96" spans="1:19">
      <c r="A96" s="145"/>
      <c r="B96" s="54"/>
      <c r="C96" s="21">
        <f t="shared" si="23"/>
        <v>1</v>
      </c>
      <c r="D96" s="659"/>
      <c r="E96" s="21">
        <f t="shared" si="24"/>
        <v>1</v>
      </c>
      <c r="F96" s="659"/>
      <c r="G96" s="21">
        <f t="shared" si="25"/>
        <v>1</v>
      </c>
      <c r="H96" s="659"/>
      <c r="I96" s="21">
        <f t="shared" si="26"/>
        <v>1</v>
      </c>
      <c r="J96" s="659"/>
      <c r="K96" s="21">
        <f t="shared" si="27"/>
        <v>1</v>
      </c>
      <c r="L96" s="659"/>
      <c r="M96" s="21">
        <f t="shared" si="28"/>
        <v>1</v>
      </c>
      <c r="N96" s="659"/>
      <c r="O96" s="21">
        <f t="shared" si="29"/>
        <v>1</v>
      </c>
      <c r="P96" s="659"/>
      <c r="Q96" s="21">
        <f t="shared" si="30"/>
        <v>1</v>
      </c>
      <c r="R96" s="655">
        <f t="shared" si="31"/>
        <v>0</v>
      </c>
      <c r="S96" s="311">
        <f t="shared" si="22"/>
        <v>0</v>
      </c>
    </row>
    <row r="97" spans="1:19">
      <c r="A97" s="145"/>
      <c r="B97" s="54"/>
      <c r="C97" s="21">
        <f t="shared" si="23"/>
        <v>1</v>
      </c>
      <c r="D97" s="659"/>
      <c r="E97" s="21">
        <f t="shared" si="24"/>
        <v>1</v>
      </c>
      <c r="F97" s="659"/>
      <c r="G97" s="21">
        <f t="shared" si="25"/>
        <v>1</v>
      </c>
      <c r="H97" s="659"/>
      <c r="I97" s="21">
        <f t="shared" si="26"/>
        <v>1</v>
      </c>
      <c r="J97" s="659"/>
      <c r="K97" s="21">
        <f t="shared" si="27"/>
        <v>1</v>
      </c>
      <c r="L97" s="659"/>
      <c r="M97" s="21">
        <f t="shared" si="28"/>
        <v>1</v>
      </c>
      <c r="N97" s="659"/>
      <c r="O97" s="21">
        <f t="shared" si="29"/>
        <v>1</v>
      </c>
      <c r="P97" s="659"/>
      <c r="Q97" s="21">
        <f t="shared" si="30"/>
        <v>1</v>
      </c>
      <c r="R97" s="655">
        <f t="shared" si="31"/>
        <v>0</v>
      </c>
      <c r="S97" s="311">
        <f t="shared" si="22"/>
        <v>0</v>
      </c>
    </row>
    <row r="98" spans="1:19">
      <c r="A98" s="145"/>
      <c r="B98" s="54"/>
      <c r="C98" s="21">
        <f t="shared" si="23"/>
        <v>1</v>
      </c>
      <c r="D98" s="659"/>
      <c r="E98" s="21">
        <f t="shared" si="24"/>
        <v>1</v>
      </c>
      <c r="F98" s="659"/>
      <c r="G98" s="21">
        <f t="shared" si="25"/>
        <v>1</v>
      </c>
      <c r="H98" s="659"/>
      <c r="I98" s="21">
        <f t="shared" si="26"/>
        <v>1</v>
      </c>
      <c r="J98" s="659"/>
      <c r="K98" s="21">
        <f t="shared" si="27"/>
        <v>1</v>
      </c>
      <c r="L98" s="659"/>
      <c r="M98" s="21">
        <f t="shared" si="28"/>
        <v>1</v>
      </c>
      <c r="N98" s="659"/>
      <c r="O98" s="21">
        <f t="shared" si="29"/>
        <v>1</v>
      </c>
      <c r="P98" s="659"/>
      <c r="Q98" s="21">
        <f t="shared" si="30"/>
        <v>1</v>
      </c>
      <c r="R98" s="655">
        <f t="shared" si="31"/>
        <v>0</v>
      </c>
      <c r="S98" s="311">
        <f t="shared" si="22"/>
        <v>0</v>
      </c>
    </row>
    <row r="99" spans="1:19">
      <c r="A99" s="145"/>
      <c r="B99" s="54"/>
      <c r="C99" s="21">
        <f t="shared" si="23"/>
        <v>1</v>
      </c>
      <c r="D99" s="659"/>
      <c r="E99" s="21">
        <f t="shared" si="24"/>
        <v>1</v>
      </c>
      <c r="F99" s="659"/>
      <c r="G99" s="21">
        <f t="shared" si="25"/>
        <v>1</v>
      </c>
      <c r="H99" s="659"/>
      <c r="I99" s="21">
        <f t="shared" si="26"/>
        <v>1</v>
      </c>
      <c r="J99" s="659"/>
      <c r="K99" s="21">
        <f t="shared" si="27"/>
        <v>1</v>
      </c>
      <c r="L99" s="659"/>
      <c r="M99" s="21">
        <f t="shared" si="28"/>
        <v>1</v>
      </c>
      <c r="N99" s="659"/>
      <c r="O99" s="21">
        <f t="shared" si="29"/>
        <v>1</v>
      </c>
      <c r="P99" s="659"/>
      <c r="Q99" s="21">
        <f t="shared" si="30"/>
        <v>1</v>
      </c>
      <c r="R99" s="655">
        <f t="shared" si="31"/>
        <v>0</v>
      </c>
      <c r="S99" s="311">
        <f t="shared" si="22"/>
        <v>0</v>
      </c>
    </row>
    <row r="100" spans="1:19">
      <c r="A100" s="145"/>
      <c r="B100" s="54"/>
      <c r="C100" s="21">
        <f t="shared" si="23"/>
        <v>1</v>
      </c>
      <c r="D100" s="659"/>
      <c r="E100" s="21">
        <f t="shared" si="24"/>
        <v>1</v>
      </c>
      <c r="F100" s="659"/>
      <c r="G100" s="21">
        <f t="shared" si="25"/>
        <v>1</v>
      </c>
      <c r="H100" s="659"/>
      <c r="I100" s="21">
        <f t="shared" si="26"/>
        <v>1</v>
      </c>
      <c r="J100" s="659"/>
      <c r="K100" s="21">
        <f t="shared" si="27"/>
        <v>1</v>
      </c>
      <c r="L100" s="659"/>
      <c r="M100" s="21">
        <f t="shared" si="28"/>
        <v>1</v>
      </c>
      <c r="N100" s="659"/>
      <c r="O100" s="21">
        <f t="shared" si="29"/>
        <v>1</v>
      </c>
      <c r="P100" s="659"/>
      <c r="Q100" s="21">
        <f t="shared" si="30"/>
        <v>1</v>
      </c>
      <c r="R100" s="655">
        <f t="shared" si="31"/>
        <v>0</v>
      </c>
      <c r="S100" s="311">
        <f t="shared" si="22"/>
        <v>0</v>
      </c>
    </row>
    <row r="101" spans="1:19">
      <c r="A101" s="145"/>
      <c r="B101" s="54"/>
      <c r="C101" s="21">
        <f t="shared" si="23"/>
        <v>1</v>
      </c>
      <c r="D101" s="659"/>
      <c r="E101" s="21">
        <f t="shared" si="24"/>
        <v>1</v>
      </c>
      <c r="F101" s="659"/>
      <c r="G101" s="21">
        <f t="shared" si="25"/>
        <v>1</v>
      </c>
      <c r="H101" s="659"/>
      <c r="I101" s="21">
        <f t="shared" si="26"/>
        <v>1</v>
      </c>
      <c r="J101" s="659"/>
      <c r="K101" s="21">
        <f t="shared" si="27"/>
        <v>1</v>
      </c>
      <c r="L101" s="659"/>
      <c r="M101" s="21">
        <f t="shared" si="28"/>
        <v>1</v>
      </c>
      <c r="N101" s="659"/>
      <c r="O101" s="21">
        <f t="shared" si="29"/>
        <v>1</v>
      </c>
      <c r="P101" s="659"/>
      <c r="Q101" s="21">
        <f t="shared" si="30"/>
        <v>1</v>
      </c>
      <c r="R101" s="655">
        <f t="shared" si="31"/>
        <v>0</v>
      </c>
      <c r="S101" s="311">
        <f t="shared" si="22"/>
        <v>0</v>
      </c>
    </row>
    <row r="102" spans="1:19">
      <c r="A102" s="145"/>
      <c r="B102" s="54"/>
      <c r="C102" s="21">
        <f t="shared" si="23"/>
        <v>1</v>
      </c>
      <c r="D102" s="659"/>
      <c r="E102" s="21">
        <f t="shared" si="24"/>
        <v>1</v>
      </c>
      <c r="F102" s="659"/>
      <c r="G102" s="21">
        <f t="shared" si="25"/>
        <v>1</v>
      </c>
      <c r="H102" s="659"/>
      <c r="I102" s="21">
        <f t="shared" si="26"/>
        <v>1</v>
      </c>
      <c r="J102" s="659"/>
      <c r="K102" s="21">
        <f t="shared" si="27"/>
        <v>1</v>
      </c>
      <c r="L102" s="659"/>
      <c r="M102" s="21">
        <f t="shared" si="28"/>
        <v>1</v>
      </c>
      <c r="N102" s="659"/>
      <c r="O102" s="21">
        <f t="shared" si="29"/>
        <v>1</v>
      </c>
      <c r="P102" s="659"/>
      <c r="Q102" s="21">
        <f t="shared" si="30"/>
        <v>1</v>
      </c>
      <c r="R102" s="655">
        <f t="shared" si="31"/>
        <v>0</v>
      </c>
      <c r="S102" s="311">
        <f t="shared" si="22"/>
        <v>0</v>
      </c>
    </row>
    <row r="103" spans="1:19">
      <c r="A103" s="145"/>
      <c r="B103" s="54"/>
      <c r="C103" s="21">
        <f t="shared" si="23"/>
        <v>1</v>
      </c>
      <c r="D103" s="659"/>
      <c r="E103" s="21">
        <f t="shared" si="24"/>
        <v>1</v>
      </c>
      <c r="F103" s="659"/>
      <c r="G103" s="21">
        <f t="shared" si="25"/>
        <v>1</v>
      </c>
      <c r="H103" s="659"/>
      <c r="I103" s="21">
        <f t="shared" si="26"/>
        <v>1</v>
      </c>
      <c r="J103" s="659"/>
      <c r="K103" s="21">
        <f t="shared" si="27"/>
        <v>1</v>
      </c>
      <c r="L103" s="659"/>
      <c r="M103" s="21">
        <f t="shared" si="28"/>
        <v>1</v>
      </c>
      <c r="N103" s="659"/>
      <c r="O103" s="21">
        <f t="shared" si="29"/>
        <v>1</v>
      </c>
      <c r="P103" s="659"/>
      <c r="Q103" s="21">
        <f t="shared" si="30"/>
        <v>1</v>
      </c>
      <c r="R103" s="655">
        <f t="shared" si="31"/>
        <v>0</v>
      </c>
      <c r="S103" s="311">
        <f t="shared" si="22"/>
        <v>0</v>
      </c>
    </row>
    <row r="104" spans="1:19">
      <c r="A104" s="145"/>
      <c r="B104" s="54"/>
      <c r="C104" s="21">
        <f t="shared" si="23"/>
        <v>1</v>
      </c>
      <c r="D104" s="659"/>
      <c r="E104" s="21">
        <f t="shared" si="24"/>
        <v>1</v>
      </c>
      <c r="F104" s="659"/>
      <c r="G104" s="21">
        <f t="shared" si="25"/>
        <v>1</v>
      </c>
      <c r="H104" s="659"/>
      <c r="I104" s="21">
        <f t="shared" si="26"/>
        <v>1</v>
      </c>
      <c r="J104" s="659"/>
      <c r="K104" s="21">
        <f t="shared" si="27"/>
        <v>1</v>
      </c>
      <c r="L104" s="659"/>
      <c r="M104" s="21">
        <f t="shared" si="28"/>
        <v>1</v>
      </c>
      <c r="N104" s="659"/>
      <c r="O104" s="21">
        <f t="shared" si="29"/>
        <v>1</v>
      </c>
      <c r="P104" s="659"/>
      <c r="Q104" s="21">
        <f t="shared" si="30"/>
        <v>1</v>
      </c>
      <c r="R104" s="655">
        <f t="shared" si="31"/>
        <v>0</v>
      </c>
      <c r="S104" s="311">
        <f t="shared" si="22"/>
        <v>0</v>
      </c>
    </row>
    <row r="105" spans="1:19">
      <c r="A105" s="145"/>
      <c r="B105" s="54"/>
      <c r="C105" s="21">
        <f t="shared" si="23"/>
        <v>1</v>
      </c>
      <c r="D105" s="659"/>
      <c r="E105" s="21">
        <f t="shared" si="24"/>
        <v>1</v>
      </c>
      <c r="F105" s="659"/>
      <c r="G105" s="21">
        <f t="shared" si="25"/>
        <v>1</v>
      </c>
      <c r="H105" s="659"/>
      <c r="I105" s="21">
        <f t="shared" si="26"/>
        <v>1</v>
      </c>
      <c r="J105" s="659"/>
      <c r="K105" s="21">
        <f t="shared" si="27"/>
        <v>1</v>
      </c>
      <c r="L105" s="659"/>
      <c r="M105" s="21">
        <f t="shared" si="28"/>
        <v>1</v>
      </c>
      <c r="N105" s="659"/>
      <c r="O105" s="21">
        <f t="shared" si="29"/>
        <v>1</v>
      </c>
      <c r="P105" s="659"/>
      <c r="Q105" s="21">
        <f t="shared" si="30"/>
        <v>1</v>
      </c>
      <c r="R105" s="655">
        <f t="shared" si="31"/>
        <v>0</v>
      </c>
      <c r="S105" s="311">
        <f t="shared" si="22"/>
        <v>0</v>
      </c>
    </row>
    <row r="106" spans="1:19">
      <c r="A106" s="145"/>
      <c r="B106" s="54"/>
      <c r="C106" s="21">
        <f t="shared" si="23"/>
        <v>1</v>
      </c>
      <c r="D106" s="659"/>
      <c r="E106" s="21">
        <f t="shared" si="24"/>
        <v>1</v>
      </c>
      <c r="F106" s="659"/>
      <c r="G106" s="21">
        <f t="shared" si="25"/>
        <v>1</v>
      </c>
      <c r="H106" s="659"/>
      <c r="I106" s="21">
        <f t="shared" si="26"/>
        <v>1</v>
      </c>
      <c r="J106" s="659"/>
      <c r="K106" s="21">
        <f t="shared" si="27"/>
        <v>1</v>
      </c>
      <c r="L106" s="659"/>
      <c r="M106" s="21">
        <f t="shared" si="28"/>
        <v>1</v>
      </c>
      <c r="N106" s="659"/>
      <c r="O106" s="21">
        <f t="shared" si="29"/>
        <v>1</v>
      </c>
      <c r="P106" s="659"/>
      <c r="Q106" s="21">
        <f t="shared" si="30"/>
        <v>1</v>
      </c>
      <c r="R106" s="655">
        <f t="shared" si="31"/>
        <v>0</v>
      </c>
      <c r="S106" s="311">
        <f t="shared" si="22"/>
        <v>0</v>
      </c>
    </row>
    <row r="107" spans="1:19">
      <c r="A107" s="145"/>
      <c r="B107" s="54"/>
      <c r="C107" s="21">
        <f t="shared" si="23"/>
        <v>1</v>
      </c>
      <c r="D107" s="659"/>
      <c r="E107" s="21">
        <f t="shared" si="24"/>
        <v>1</v>
      </c>
      <c r="F107" s="659"/>
      <c r="G107" s="21">
        <f t="shared" si="25"/>
        <v>1</v>
      </c>
      <c r="H107" s="659"/>
      <c r="I107" s="21">
        <f t="shared" si="26"/>
        <v>1</v>
      </c>
      <c r="J107" s="659"/>
      <c r="K107" s="21">
        <f t="shared" si="27"/>
        <v>1</v>
      </c>
      <c r="L107" s="659"/>
      <c r="M107" s="21">
        <f t="shared" si="28"/>
        <v>1</v>
      </c>
      <c r="N107" s="659"/>
      <c r="O107" s="21">
        <f t="shared" si="29"/>
        <v>1</v>
      </c>
      <c r="P107" s="659"/>
      <c r="Q107" s="21">
        <f t="shared" si="30"/>
        <v>1</v>
      </c>
      <c r="R107" s="655">
        <f t="shared" si="31"/>
        <v>0</v>
      </c>
      <c r="S107" s="311">
        <f t="shared" si="22"/>
        <v>0</v>
      </c>
    </row>
    <row r="108" spans="1:19">
      <c r="A108" s="145"/>
      <c r="B108" s="54"/>
      <c r="C108" s="21">
        <f t="shared" si="23"/>
        <v>1</v>
      </c>
      <c r="D108" s="659"/>
      <c r="E108" s="21">
        <f t="shared" si="24"/>
        <v>1</v>
      </c>
      <c r="F108" s="659"/>
      <c r="G108" s="21">
        <f t="shared" si="25"/>
        <v>1</v>
      </c>
      <c r="H108" s="659"/>
      <c r="I108" s="21">
        <f t="shared" si="26"/>
        <v>1</v>
      </c>
      <c r="J108" s="659"/>
      <c r="K108" s="21">
        <f t="shared" si="27"/>
        <v>1</v>
      </c>
      <c r="L108" s="659"/>
      <c r="M108" s="21">
        <f t="shared" si="28"/>
        <v>1</v>
      </c>
      <c r="N108" s="659"/>
      <c r="O108" s="21">
        <f t="shared" si="29"/>
        <v>1</v>
      </c>
      <c r="P108" s="659"/>
      <c r="Q108" s="21">
        <f t="shared" si="30"/>
        <v>1</v>
      </c>
      <c r="R108" s="655">
        <f t="shared" si="31"/>
        <v>0</v>
      </c>
      <c r="S108" s="311">
        <f t="shared" si="22"/>
        <v>0</v>
      </c>
    </row>
    <row r="109" spans="1:19">
      <c r="A109" s="145"/>
      <c r="B109" s="54"/>
      <c r="C109" s="21">
        <f t="shared" si="23"/>
        <v>1</v>
      </c>
      <c r="D109" s="659"/>
      <c r="E109" s="21">
        <f t="shared" si="24"/>
        <v>1</v>
      </c>
      <c r="F109" s="659"/>
      <c r="G109" s="21">
        <f t="shared" si="25"/>
        <v>1</v>
      </c>
      <c r="H109" s="659"/>
      <c r="I109" s="21">
        <f t="shared" si="26"/>
        <v>1</v>
      </c>
      <c r="J109" s="659"/>
      <c r="K109" s="21">
        <f t="shared" si="27"/>
        <v>1</v>
      </c>
      <c r="L109" s="659"/>
      <c r="M109" s="21">
        <f t="shared" si="28"/>
        <v>1</v>
      </c>
      <c r="N109" s="659"/>
      <c r="O109" s="21">
        <f t="shared" si="29"/>
        <v>1</v>
      </c>
      <c r="P109" s="659"/>
      <c r="Q109" s="21">
        <f t="shared" si="30"/>
        <v>1</v>
      </c>
      <c r="R109" s="655">
        <f t="shared" si="31"/>
        <v>0</v>
      </c>
      <c r="S109" s="311">
        <f t="shared" si="22"/>
        <v>0</v>
      </c>
    </row>
    <row r="110" spans="1:19">
      <c r="A110" s="145"/>
      <c r="B110" s="54"/>
      <c r="C110" s="21">
        <f t="shared" si="23"/>
        <v>1</v>
      </c>
      <c r="D110" s="659"/>
      <c r="E110" s="21">
        <f t="shared" si="24"/>
        <v>1</v>
      </c>
      <c r="F110" s="659"/>
      <c r="G110" s="21">
        <f t="shared" si="25"/>
        <v>1</v>
      </c>
      <c r="H110" s="659"/>
      <c r="I110" s="21">
        <f t="shared" si="26"/>
        <v>1</v>
      </c>
      <c r="J110" s="659"/>
      <c r="K110" s="21">
        <f t="shared" si="27"/>
        <v>1</v>
      </c>
      <c r="L110" s="659"/>
      <c r="M110" s="21">
        <f t="shared" si="28"/>
        <v>1</v>
      </c>
      <c r="N110" s="659"/>
      <c r="O110" s="21">
        <f t="shared" si="29"/>
        <v>1</v>
      </c>
      <c r="P110" s="659"/>
      <c r="Q110" s="21">
        <f t="shared" si="30"/>
        <v>1</v>
      </c>
      <c r="R110" s="655">
        <f t="shared" si="31"/>
        <v>0</v>
      </c>
      <c r="S110" s="311">
        <f t="shared" si="22"/>
        <v>0</v>
      </c>
    </row>
    <row r="111" spans="1:19">
      <c r="A111" s="145"/>
      <c r="B111" s="54"/>
      <c r="C111" s="21">
        <f t="shared" si="23"/>
        <v>1</v>
      </c>
      <c r="D111" s="659"/>
      <c r="E111" s="21">
        <f t="shared" si="24"/>
        <v>1</v>
      </c>
      <c r="F111" s="659"/>
      <c r="G111" s="21">
        <f t="shared" si="25"/>
        <v>1</v>
      </c>
      <c r="H111" s="659"/>
      <c r="I111" s="21">
        <f t="shared" si="26"/>
        <v>1</v>
      </c>
      <c r="J111" s="659"/>
      <c r="K111" s="21">
        <f t="shared" si="27"/>
        <v>1</v>
      </c>
      <c r="L111" s="659"/>
      <c r="M111" s="21">
        <f t="shared" si="28"/>
        <v>1</v>
      </c>
      <c r="N111" s="659"/>
      <c r="O111" s="21">
        <f t="shared" si="29"/>
        <v>1</v>
      </c>
      <c r="P111" s="659"/>
      <c r="Q111" s="21">
        <f t="shared" si="30"/>
        <v>1</v>
      </c>
      <c r="R111" s="655">
        <f t="shared" si="31"/>
        <v>0</v>
      </c>
      <c r="S111" s="311">
        <f t="shared" si="22"/>
        <v>0</v>
      </c>
    </row>
    <row r="112" spans="1:19">
      <c r="A112" s="145"/>
      <c r="B112" s="54"/>
      <c r="C112" s="21">
        <f t="shared" si="23"/>
        <v>1</v>
      </c>
      <c r="D112" s="659"/>
      <c r="E112" s="21">
        <f t="shared" si="24"/>
        <v>1</v>
      </c>
      <c r="F112" s="659"/>
      <c r="G112" s="21">
        <f t="shared" si="25"/>
        <v>1</v>
      </c>
      <c r="H112" s="659"/>
      <c r="I112" s="21">
        <f t="shared" si="26"/>
        <v>1</v>
      </c>
      <c r="J112" s="659"/>
      <c r="K112" s="21">
        <f t="shared" si="27"/>
        <v>1</v>
      </c>
      <c r="L112" s="659"/>
      <c r="M112" s="21">
        <f t="shared" si="28"/>
        <v>1</v>
      </c>
      <c r="N112" s="659"/>
      <c r="O112" s="21">
        <f t="shared" si="29"/>
        <v>1</v>
      </c>
      <c r="P112" s="659"/>
      <c r="Q112" s="21">
        <f t="shared" si="30"/>
        <v>1</v>
      </c>
      <c r="R112" s="655">
        <f t="shared" si="31"/>
        <v>0</v>
      </c>
      <c r="S112" s="311">
        <f t="shared" si="22"/>
        <v>0</v>
      </c>
    </row>
    <row r="113" spans="1:19">
      <c r="A113" s="145"/>
      <c r="B113" s="54"/>
      <c r="C113" s="21">
        <f t="shared" si="23"/>
        <v>1</v>
      </c>
      <c r="D113" s="659"/>
      <c r="E113" s="21">
        <f t="shared" si="24"/>
        <v>1</v>
      </c>
      <c r="F113" s="659"/>
      <c r="G113" s="21">
        <f t="shared" si="25"/>
        <v>1</v>
      </c>
      <c r="H113" s="659"/>
      <c r="I113" s="21">
        <f t="shared" si="26"/>
        <v>1</v>
      </c>
      <c r="J113" s="659"/>
      <c r="K113" s="21">
        <f t="shared" si="27"/>
        <v>1</v>
      </c>
      <c r="L113" s="659"/>
      <c r="M113" s="21">
        <f t="shared" si="28"/>
        <v>1</v>
      </c>
      <c r="N113" s="659"/>
      <c r="O113" s="21">
        <f t="shared" si="29"/>
        <v>1</v>
      </c>
      <c r="P113" s="659"/>
      <c r="Q113" s="21">
        <f t="shared" si="30"/>
        <v>1</v>
      </c>
      <c r="R113" s="655">
        <f t="shared" si="31"/>
        <v>0</v>
      </c>
      <c r="S113" s="311">
        <f t="shared" si="22"/>
        <v>0</v>
      </c>
    </row>
    <row r="114" spans="1:19">
      <c r="A114" s="145"/>
      <c r="B114" s="54"/>
      <c r="C114" s="21">
        <f t="shared" si="23"/>
        <v>1</v>
      </c>
      <c r="D114" s="659"/>
      <c r="E114" s="21">
        <f t="shared" si="24"/>
        <v>1</v>
      </c>
      <c r="F114" s="659"/>
      <c r="G114" s="21">
        <f t="shared" si="25"/>
        <v>1</v>
      </c>
      <c r="H114" s="659"/>
      <c r="I114" s="21">
        <f t="shared" si="26"/>
        <v>1</v>
      </c>
      <c r="J114" s="659"/>
      <c r="K114" s="21">
        <f t="shared" si="27"/>
        <v>1</v>
      </c>
      <c r="L114" s="659"/>
      <c r="M114" s="21">
        <f t="shared" si="28"/>
        <v>1</v>
      </c>
      <c r="N114" s="659"/>
      <c r="O114" s="21">
        <f t="shared" si="29"/>
        <v>1</v>
      </c>
      <c r="P114" s="659"/>
      <c r="Q114" s="21">
        <f t="shared" si="30"/>
        <v>1</v>
      </c>
      <c r="R114" s="655">
        <f t="shared" si="31"/>
        <v>0</v>
      </c>
      <c r="S114" s="311">
        <f t="shared" si="22"/>
        <v>0</v>
      </c>
    </row>
    <row r="115" spans="1:19">
      <c r="A115" s="145"/>
      <c r="B115" s="54"/>
      <c r="C115" s="21">
        <f t="shared" si="23"/>
        <v>1</v>
      </c>
      <c r="D115" s="659"/>
      <c r="E115" s="21">
        <f t="shared" si="24"/>
        <v>1</v>
      </c>
      <c r="F115" s="659"/>
      <c r="G115" s="21">
        <f t="shared" si="25"/>
        <v>1</v>
      </c>
      <c r="H115" s="659"/>
      <c r="I115" s="21">
        <f t="shared" si="26"/>
        <v>1</v>
      </c>
      <c r="J115" s="659"/>
      <c r="K115" s="21">
        <f t="shared" si="27"/>
        <v>1</v>
      </c>
      <c r="L115" s="659"/>
      <c r="M115" s="21">
        <f t="shared" si="28"/>
        <v>1</v>
      </c>
      <c r="N115" s="659"/>
      <c r="O115" s="21">
        <f t="shared" si="29"/>
        <v>1</v>
      </c>
      <c r="P115" s="659"/>
      <c r="Q115" s="21">
        <f t="shared" si="30"/>
        <v>1</v>
      </c>
      <c r="R115" s="655">
        <f t="shared" si="31"/>
        <v>0</v>
      </c>
      <c r="S115" s="311">
        <f t="shared" si="22"/>
        <v>0</v>
      </c>
    </row>
    <row r="116" spans="1:19">
      <c r="A116" s="145"/>
      <c r="B116" s="54"/>
      <c r="C116" s="21">
        <f t="shared" si="23"/>
        <v>1</v>
      </c>
      <c r="D116" s="659"/>
      <c r="E116" s="21">
        <f t="shared" si="24"/>
        <v>1</v>
      </c>
      <c r="F116" s="659"/>
      <c r="G116" s="21">
        <f t="shared" si="25"/>
        <v>1</v>
      </c>
      <c r="H116" s="659"/>
      <c r="I116" s="21">
        <f t="shared" si="26"/>
        <v>1</v>
      </c>
      <c r="J116" s="659"/>
      <c r="K116" s="21">
        <f t="shared" si="27"/>
        <v>1</v>
      </c>
      <c r="L116" s="659"/>
      <c r="M116" s="21">
        <f t="shared" si="28"/>
        <v>1</v>
      </c>
      <c r="N116" s="659"/>
      <c r="O116" s="21">
        <f t="shared" si="29"/>
        <v>1</v>
      </c>
      <c r="P116" s="659"/>
      <c r="Q116" s="21">
        <f t="shared" si="30"/>
        <v>1</v>
      </c>
      <c r="R116" s="655">
        <f t="shared" si="31"/>
        <v>0</v>
      </c>
      <c r="S116" s="311">
        <f t="shared" si="22"/>
        <v>0</v>
      </c>
    </row>
    <row r="117" spans="1:19">
      <c r="A117" s="145"/>
      <c r="B117" s="54"/>
      <c r="C117" s="21">
        <f t="shared" si="23"/>
        <v>1</v>
      </c>
      <c r="D117" s="659"/>
      <c r="E117" s="21">
        <f t="shared" si="24"/>
        <v>1</v>
      </c>
      <c r="F117" s="659"/>
      <c r="G117" s="21">
        <f t="shared" si="25"/>
        <v>1</v>
      </c>
      <c r="H117" s="659"/>
      <c r="I117" s="21">
        <f t="shared" si="26"/>
        <v>1</v>
      </c>
      <c r="J117" s="659"/>
      <c r="K117" s="21">
        <f t="shared" si="27"/>
        <v>1</v>
      </c>
      <c r="L117" s="659"/>
      <c r="M117" s="21">
        <f t="shared" si="28"/>
        <v>1</v>
      </c>
      <c r="N117" s="659"/>
      <c r="O117" s="21">
        <f t="shared" si="29"/>
        <v>1</v>
      </c>
      <c r="P117" s="659"/>
      <c r="Q117" s="21">
        <f t="shared" si="30"/>
        <v>1</v>
      </c>
      <c r="R117" s="655">
        <f t="shared" si="31"/>
        <v>0</v>
      </c>
      <c r="S117" s="311">
        <f t="shared" si="22"/>
        <v>0</v>
      </c>
    </row>
    <row r="118" spans="1:19">
      <c r="A118" s="145"/>
      <c r="B118" s="54"/>
      <c r="C118" s="21">
        <f t="shared" si="23"/>
        <v>1</v>
      </c>
      <c r="D118" s="659"/>
      <c r="E118" s="21">
        <f t="shared" si="24"/>
        <v>1</v>
      </c>
      <c r="F118" s="659"/>
      <c r="G118" s="21">
        <f t="shared" si="25"/>
        <v>1</v>
      </c>
      <c r="H118" s="659"/>
      <c r="I118" s="21">
        <f t="shared" si="26"/>
        <v>1</v>
      </c>
      <c r="J118" s="659"/>
      <c r="K118" s="21">
        <f t="shared" si="27"/>
        <v>1</v>
      </c>
      <c r="L118" s="659"/>
      <c r="M118" s="21">
        <f t="shared" si="28"/>
        <v>1</v>
      </c>
      <c r="N118" s="659"/>
      <c r="O118" s="21">
        <f t="shared" si="29"/>
        <v>1</v>
      </c>
      <c r="P118" s="659"/>
      <c r="Q118" s="21">
        <f t="shared" si="30"/>
        <v>1</v>
      </c>
      <c r="R118" s="655">
        <f t="shared" si="31"/>
        <v>0</v>
      </c>
      <c r="S118" s="311">
        <f t="shared" si="22"/>
        <v>0</v>
      </c>
    </row>
    <row r="119" spans="1:19">
      <c r="A119" s="145"/>
      <c r="B119" s="54"/>
      <c r="C119" s="21">
        <f t="shared" si="23"/>
        <v>1</v>
      </c>
      <c r="D119" s="659"/>
      <c r="E119" s="21">
        <f t="shared" si="24"/>
        <v>1</v>
      </c>
      <c r="F119" s="659"/>
      <c r="G119" s="21">
        <f t="shared" si="25"/>
        <v>1</v>
      </c>
      <c r="H119" s="659"/>
      <c r="I119" s="21">
        <f t="shared" si="26"/>
        <v>1</v>
      </c>
      <c r="J119" s="659"/>
      <c r="K119" s="21">
        <f t="shared" si="27"/>
        <v>1</v>
      </c>
      <c r="L119" s="659"/>
      <c r="M119" s="21">
        <f t="shared" si="28"/>
        <v>1</v>
      </c>
      <c r="N119" s="659"/>
      <c r="O119" s="21">
        <f t="shared" si="29"/>
        <v>1</v>
      </c>
      <c r="P119" s="659"/>
      <c r="Q119" s="21">
        <f t="shared" si="30"/>
        <v>1</v>
      </c>
      <c r="R119" s="655">
        <f t="shared" si="31"/>
        <v>0</v>
      </c>
      <c r="S119" s="311">
        <f t="shared" si="22"/>
        <v>0</v>
      </c>
    </row>
    <row r="120" spans="1:19">
      <c r="A120" s="145"/>
      <c r="B120" s="54"/>
      <c r="C120" s="21">
        <f t="shared" si="23"/>
        <v>1</v>
      </c>
      <c r="D120" s="659"/>
      <c r="E120" s="21">
        <f t="shared" si="24"/>
        <v>1</v>
      </c>
      <c r="F120" s="659"/>
      <c r="G120" s="21">
        <f t="shared" si="25"/>
        <v>1</v>
      </c>
      <c r="H120" s="659"/>
      <c r="I120" s="21">
        <f t="shared" si="26"/>
        <v>1</v>
      </c>
      <c r="J120" s="659"/>
      <c r="K120" s="21">
        <f t="shared" si="27"/>
        <v>1</v>
      </c>
      <c r="L120" s="659"/>
      <c r="M120" s="21">
        <f t="shared" si="28"/>
        <v>1</v>
      </c>
      <c r="N120" s="659"/>
      <c r="O120" s="21">
        <f t="shared" si="29"/>
        <v>1</v>
      </c>
      <c r="P120" s="659"/>
      <c r="Q120" s="21">
        <f t="shared" si="30"/>
        <v>1</v>
      </c>
      <c r="R120" s="655">
        <f t="shared" si="31"/>
        <v>0</v>
      </c>
      <c r="S120" s="311">
        <f t="shared" si="22"/>
        <v>0</v>
      </c>
    </row>
    <row r="121" spans="1:19">
      <c r="A121" s="145"/>
      <c r="B121" s="54"/>
      <c r="C121" s="21">
        <f t="shared" si="23"/>
        <v>1</v>
      </c>
      <c r="D121" s="659"/>
      <c r="E121" s="21">
        <f t="shared" si="24"/>
        <v>1</v>
      </c>
      <c r="F121" s="659"/>
      <c r="G121" s="21">
        <f t="shared" si="25"/>
        <v>1</v>
      </c>
      <c r="H121" s="659"/>
      <c r="I121" s="21">
        <f t="shared" si="26"/>
        <v>1</v>
      </c>
      <c r="J121" s="659"/>
      <c r="K121" s="21">
        <f t="shared" si="27"/>
        <v>1</v>
      </c>
      <c r="L121" s="659"/>
      <c r="M121" s="21">
        <f t="shared" si="28"/>
        <v>1</v>
      </c>
      <c r="N121" s="659"/>
      <c r="O121" s="21">
        <f t="shared" si="29"/>
        <v>1</v>
      </c>
      <c r="P121" s="659"/>
      <c r="Q121" s="21">
        <f t="shared" si="30"/>
        <v>1</v>
      </c>
      <c r="R121" s="655">
        <f t="shared" si="31"/>
        <v>0</v>
      </c>
      <c r="S121" s="311">
        <f t="shared" si="22"/>
        <v>0</v>
      </c>
    </row>
    <row r="122" spans="1:19">
      <c r="A122" s="145"/>
      <c r="B122" s="54"/>
      <c r="C122" s="21">
        <f t="shared" si="23"/>
        <v>1</v>
      </c>
      <c r="D122" s="659"/>
      <c r="E122" s="21">
        <f t="shared" si="24"/>
        <v>1</v>
      </c>
      <c r="F122" s="659"/>
      <c r="G122" s="21">
        <f t="shared" si="25"/>
        <v>1</v>
      </c>
      <c r="H122" s="659"/>
      <c r="I122" s="21">
        <f t="shared" si="26"/>
        <v>1</v>
      </c>
      <c r="J122" s="659"/>
      <c r="K122" s="21">
        <f t="shared" si="27"/>
        <v>1</v>
      </c>
      <c r="L122" s="659"/>
      <c r="M122" s="21">
        <f t="shared" si="28"/>
        <v>1</v>
      </c>
      <c r="N122" s="659"/>
      <c r="O122" s="21">
        <f t="shared" si="29"/>
        <v>1</v>
      </c>
      <c r="P122" s="659"/>
      <c r="Q122" s="21">
        <f t="shared" si="30"/>
        <v>1</v>
      </c>
      <c r="R122" s="655">
        <f t="shared" si="31"/>
        <v>0</v>
      </c>
      <c r="S122" s="311">
        <f t="shared" si="22"/>
        <v>0</v>
      </c>
    </row>
    <row r="123" spans="1:19">
      <c r="A123" s="145"/>
      <c r="B123" s="54"/>
      <c r="C123" s="21">
        <f t="shared" si="23"/>
        <v>1</v>
      </c>
      <c r="D123" s="659"/>
      <c r="E123" s="21">
        <f t="shared" si="24"/>
        <v>1</v>
      </c>
      <c r="F123" s="659"/>
      <c r="G123" s="21">
        <f t="shared" si="25"/>
        <v>1</v>
      </c>
      <c r="H123" s="659"/>
      <c r="I123" s="21">
        <f t="shared" si="26"/>
        <v>1</v>
      </c>
      <c r="J123" s="659"/>
      <c r="K123" s="21">
        <f t="shared" si="27"/>
        <v>1</v>
      </c>
      <c r="L123" s="659"/>
      <c r="M123" s="21">
        <f t="shared" si="28"/>
        <v>1</v>
      </c>
      <c r="N123" s="659"/>
      <c r="O123" s="21">
        <f t="shared" si="29"/>
        <v>1</v>
      </c>
      <c r="P123" s="659"/>
      <c r="Q123" s="21">
        <f t="shared" si="30"/>
        <v>1</v>
      </c>
      <c r="R123" s="655">
        <f t="shared" si="31"/>
        <v>0</v>
      </c>
      <c r="S123" s="311">
        <f t="shared" ref="S123:S186" si="32">ROUND(R123*B123/10000,0)</f>
        <v>0</v>
      </c>
    </row>
    <row r="124" spans="1:19">
      <c r="A124" s="145"/>
      <c r="B124" s="54"/>
      <c r="C124" s="21">
        <f t="shared" si="23"/>
        <v>1</v>
      </c>
      <c r="D124" s="659"/>
      <c r="E124" s="21">
        <f t="shared" si="24"/>
        <v>1</v>
      </c>
      <c r="F124" s="659"/>
      <c r="G124" s="21">
        <f t="shared" si="25"/>
        <v>1</v>
      </c>
      <c r="H124" s="659"/>
      <c r="I124" s="21">
        <f t="shared" si="26"/>
        <v>1</v>
      </c>
      <c r="J124" s="659"/>
      <c r="K124" s="21">
        <f t="shared" si="27"/>
        <v>1</v>
      </c>
      <c r="L124" s="659"/>
      <c r="M124" s="21">
        <f t="shared" si="28"/>
        <v>1</v>
      </c>
      <c r="N124" s="659"/>
      <c r="O124" s="21">
        <f t="shared" si="29"/>
        <v>1</v>
      </c>
      <c r="P124" s="659"/>
      <c r="Q124" s="21">
        <f t="shared" si="30"/>
        <v>1</v>
      </c>
      <c r="R124" s="655">
        <f t="shared" si="31"/>
        <v>0</v>
      </c>
      <c r="S124" s="311">
        <f t="shared" si="32"/>
        <v>0</v>
      </c>
    </row>
    <row r="125" spans="1:19">
      <c r="A125" s="145"/>
      <c r="B125" s="54"/>
      <c r="C125" s="21">
        <f t="shared" si="23"/>
        <v>1</v>
      </c>
      <c r="D125" s="659"/>
      <c r="E125" s="21">
        <f t="shared" si="24"/>
        <v>1</v>
      </c>
      <c r="F125" s="659"/>
      <c r="G125" s="21">
        <f t="shared" si="25"/>
        <v>1</v>
      </c>
      <c r="H125" s="659"/>
      <c r="I125" s="21">
        <f t="shared" si="26"/>
        <v>1</v>
      </c>
      <c r="J125" s="659"/>
      <c r="K125" s="21">
        <f t="shared" si="27"/>
        <v>1</v>
      </c>
      <c r="L125" s="659"/>
      <c r="M125" s="21">
        <f t="shared" si="28"/>
        <v>1</v>
      </c>
      <c r="N125" s="659"/>
      <c r="O125" s="21">
        <f t="shared" si="29"/>
        <v>1</v>
      </c>
      <c r="P125" s="659"/>
      <c r="Q125" s="21">
        <f t="shared" si="30"/>
        <v>1</v>
      </c>
      <c r="R125" s="655">
        <f t="shared" si="31"/>
        <v>0</v>
      </c>
      <c r="S125" s="311">
        <f t="shared" si="32"/>
        <v>0</v>
      </c>
    </row>
    <row r="126" spans="1:19">
      <c r="A126" s="145"/>
      <c r="B126" s="54"/>
      <c r="C126" s="21">
        <f t="shared" si="23"/>
        <v>1</v>
      </c>
      <c r="D126" s="659"/>
      <c r="E126" s="21">
        <f t="shared" si="24"/>
        <v>1</v>
      </c>
      <c r="F126" s="659"/>
      <c r="G126" s="21">
        <f t="shared" si="25"/>
        <v>1</v>
      </c>
      <c r="H126" s="659"/>
      <c r="I126" s="21">
        <f t="shared" si="26"/>
        <v>1</v>
      </c>
      <c r="J126" s="659"/>
      <c r="K126" s="21">
        <f t="shared" si="27"/>
        <v>1</v>
      </c>
      <c r="L126" s="659"/>
      <c r="M126" s="21">
        <f t="shared" si="28"/>
        <v>1</v>
      </c>
      <c r="N126" s="659"/>
      <c r="O126" s="21">
        <f t="shared" si="29"/>
        <v>1</v>
      </c>
      <c r="P126" s="659"/>
      <c r="Q126" s="21">
        <f t="shared" si="30"/>
        <v>1</v>
      </c>
      <c r="R126" s="655">
        <f t="shared" si="31"/>
        <v>0</v>
      </c>
      <c r="S126" s="311">
        <f t="shared" si="32"/>
        <v>0</v>
      </c>
    </row>
    <row r="127" spans="1:19">
      <c r="A127" s="145"/>
      <c r="B127" s="54"/>
      <c r="C127" s="21">
        <f t="shared" si="23"/>
        <v>1</v>
      </c>
      <c r="D127" s="659"/>
      <c r="E127" s="21">
        <f t="shared" si="24"/>
        <v>1</v>
      </c>
      <c r="F127" s="659"/>
      <c r="G127" s="21">
        <f t="shared" si="25"/>
        <v>1</v>
      </c>
      <c r="H127" s="659"/>
      <c r="I127" s="21">
        <f t="shared" si="26"/>
        <v>1</v>
      </c>
      <c r="J127" s="659"/>
      <c r="K127" s="21">
        <f t="shared" si="27"/>
        <v>1</v>
      </c>
      <c r="L127" s="659"/>
      <c r="M127" s="21">
        <f t="shared" si="28"/>
        <v>1</v>
      </c>
      <c r="N127" s="659"/>
      <c r="O127" s="21">
        <f t="shared" si="29"/>
        <v>1</v>
      </c>
      <c r="P127" s="659"/>
      <c r="Q127" s="21">
        <f t="shared" si="30"/>
        <v>1</v>
      </c>
      <c r="R127" s="655">
        <f t="shared" si="31"/>
        <v>0</v>
      </c>
      <c r="S127" s="311">
        <f t="shared" si="32"/>
        <v>0</v>
      </c>
    </row>
    <row r="128" spans="1:19">
      <c r="A128" s="145"/>
      <c r="B128" s="54"/>
      <c r="C128" s="21">
        <f t="shared" si="23"/>
        <v>1</v>
      </c>
      <c r="D128" s="659"/>
      <c r="E128" s="21">
        <f t="shared" si="24"/>
        <v>1</v>
      </c>
      <c r="F128" s="659"/>
      <c r="G128" s="21">
        <f t="shared" si="25"/>
        <v>1</v>
      </c>
      <c r="H128" s="659"/>
      <c r="I128" s="21">
        <f t="shared" si="26"/>
        <v>1</v>
      </c>
      <c r="J128" s="659"/>
      <c r="K128" s="21">
        <f t="shared" si="27"/>
        <v>1</v>
      </c>
      <c r="L128" s="659"/>
      <c r="M128" s="21">
        <f t="shared" si="28"/>
        <v>1</v>
      </c>
      <c r="N128" s="659"/>
      <c r="O128" s="21">
        <f t="shared" si="29"/>
        <v>1</v>
      </c>
      <c r="P128" s="659"/>
      <c r="Q128" s="21">
        <f t="shared" si="30"/>
        <v>1</v>
      </c>
      <c r="R128" s="655">
        <f t="shared" si="31"/>
        <v>0</v>
      </c>
      <c r="S128" s="311">
        <f t="shared" si="32"/>
        <v>0</v>
      </c>
    </row>
    <row r="129" spans="1:19">
      <c r="A129" s="145"/>
      <c r="B129" s="54"/>
      <c r="C129" s="21">
        <f t="shared" si="23"/>
        <v>1</v>
      </c>
      <c r="D129" s="659"/>
      <c r="E129" s="21">
        <f t="shared" si="24"/>
        <v>1</v>
      </c>
      <c r="F129" s="659"/>
      <c r="G129" s="21">
        <f t="shared" si="25"/>
        <v>1</v>
      </c>
      <c r="H129" s="659"/>
      <c r="I129" s="21">
        <f t="shared" si="26"/>
        <v>1</v>
      </c>
      <c r="J129" s="659"/>
      <c r="K129" s="21">
        <f t="shared" si="27"/>
        <v>1</v>
      </c>
      <c r="L129" s="659"/>
      <c r="M129" s="21">
        <f t="shared" si="28"/>
        <v>1</v>
      </c>
      <c r="N129" s="659"/>
      <c r="O129" s="21">
        <f t="shared" si="29"/>
        <v>1</v>
      </c>
      <c r="P129" s="659"/>
      <c r="Q129" s="21">
        <f t="shared" si="30"/>
        <v>1</v>
      </c>
      <c r="R129" s="655">
        <f t="shared" si="31"/>
        <v>0</v>
      </c>
      <c r="S129" s="311">
        <f t="shared" si="32"/>
        <v>0</v>
      </c>
    </row>
    <row r="130" spans="1:19">
      <c r="A130" s="145"/>
      <c r="B130" s="54"/>
      <c r="C130" s="21">
        <f t="shared" si="23"/>
        <v>1</v>
      </c>
      <c r="D130" s="659"/>
      <c r="E130" s="21">
        <f t="shared" si="24"/>
        <v>1</v>
      </c>
      <c r="F130" s="659"/>
      <c r="G130" s="21">
        <f t="shared" si="25"/>
        <v>1</v>
      </c>
      <c r="H130" s="659"/>
      <c r="I130" s="21">
        <f t="shared" si="26"/>
        <v>1</v>
      </c>
      <c r="J130" s="659"/>
      <c r="K130" s="21">
        <f t="shared" si="27"/>
        <v>1</v>
      </c>
      <c r="L130" s="659"/>
      <c r="M130" s="21">
        <f t="shared" si="28"/>
        <v>1</v>
      </c>
      <c r="N130" s="659"/>
      <c r="O130" s="21">
        <f t="shared" si="29"/>
        <v>1</v>
      </c>
      <c r="P130" s="659"/>
      <c r="Q130" s="21">
        <f t="shared" si="30"/>
        <v>1</v>
      </c>
      <c r="R130" s="655">
        <f t="shared" si="31"/>
        <v>0</v>
      </c>
      <c r="S130" s="311">
        <f t="shared" si="32"/>
        <v>0</v>
      </c>
    </row>
    <row r="131" spans="1:19">
      <c r="A131" s="145"/>
      <c r="B131" s="54"/>
      <c r="C131" s="21">
        <f t="shared" si="23"/>
        <v>1</v>
      </c>
      <c r="D131" s="659"/>
      <c r="E131" s="21">
        <f t="shared" si="24"/>
        <v>1</v>
      </c>
      <c r="F131" s="659"/>
      <c r="G131" s="21">
        <f t="shared" si="25"/>
        <v>1</v>
      </c>
      <c r="H131" s="659"/>
      <c r="I131" s="21">
        <f t="shared" si="26"/>
        <v>1</v>
      </c>
      <c r="J131" s="659"/>
      <c r="K131" s="21">
        <f t="shared" si="27"/>
        <v>1</v>
      </c>
      <c r="L131" s="659"/>
      <c r="M131" s="21">
        <f t="shared" si="28"/>
        <v>1</v>
      </c>
      <c r="N131" s="659"/>
      <c r="O131" s="21">
        <f t="shared" si="29"/>
        <v>1</v>
      </c>
      <c r="P131" s="659"/>
      <c r="Q131" s="21">
        <f t="shared" si="30"/>
        <v>1</v>
      </c>
      <c r="R131" s="655">
        <f t="shared" si="31"/>
        <v>0</v>
      </c>
      <c r="S131" s="311">
        <f t="shared" si="32"/>
        <v>0</v>
      </c>
    </row>
    <row r="132" spans="1:19">
      <c r="A132" s="145"/>
      <c r="B132" s="54"/>
      <c r="C132" s="21">
        <f t="shared" si="23"/>
        <v>1</v>
      </c>
      <c r="D132" s="659"/>
      <c r="E132" s="21">
        <f t="shared" si="24"/>
        <v>1</v>
      </c>
      <c r="F132" s="659"/>
      <c r="G132" s="21">
        <f t="shared" si="25"/>
        <v>1</v>
      </c>
      <c r="H132" s="659"/>
      <c r="I132" s="21">
        <f t="shared" si="26"/>
        <v>1</v>
      </c>
      <c r="J132" s="659"/>
      <c r="K132" s="21">
        <f t="shared" si="27"/>
        <v>1</v>
      </c>
      <c r="L132" s="659"/>
      <c r="M132" s="21">
        <f t="shared" si="28"/>
        <v>1</v>
      </c>
      <c r="N132" s="659"/>
      <c r="O132" s="21">
        <f t="shared" si="29"/>
        <v>1</v>
      </c>
      <c r="P132" s="659"/>
      <c r="Q132" s="21">
        <f t="shared" si="30"/>
        <v>1</v>
      </c>
      <c r="R132" s="655">
        <f t="shared" si="31"/>
        <v>0</v>
      </c>
      <c r="S132" s="311">
        <f t="shared" si="32"/>
        <v>0</v>
      </c>
    </row>
    <row r="133" spans="1:19">
      <c r="A133" s="145"/>
      <c r="B133" s="54"/>
      <c r="C133" s="21">
        <f t="shared" si="23"/>
        <v>1</v>
      </c>
      <c r="D133" s="659"/>
      <c r="E133" s="21">
        <f t="shared" si="24"/>
        <v>1</v>
      </c>
      <c r="F133" s="659"/>
      <c r="G133" s="21">
        <f t="shared" si="25"/>
        <v>1</v>
      </c>
      <c r="H133" s="659"/>
      <c r="I133" s="21">
        <f t="shared" si="26"/>
        <v>1</v>
      </c>
      <c r="J133" s="659"/>
      <c r="K133" s="21">
        <f t="shared" si="27"/>
        <v>1</v>
      </c>
      <c r="L133" s="659"/>
      <c r="M133" s="21">
        <f t="shared" si="28"/>
        <v>1</v>
      </c>
      <c r="N133" s="659"/>
      <c r="O133" s="21">
        <f t="shared" si="29"/>
        <v>1</v>
      </c>
      <c r="P133" s="659"/>
      <c r="Q133" s="21">
        <f t="shared" si="30"/>
        <v>1</v>
      </c>
      <c r="R133" s="655">
        <f t="shared" si="31"/>
        <v>0</v>
      </c>
      <c r="S133" s="311">
        <f t="shared" si="32"/>
        <v>0</v>
      </c>
    </row>
    <row r="134" spans="1:19">
      <c r="A134" s="145"/>
      <c r="B134" s="54"/>
      <c r="C134" s="21">
        <f t="shared" si="23"/>
        <v>1</v>
      </c>
      <c r="D134" s="659"/>
      <c r="E134" s="21">
        <f t="shared" si="24"/>
        <v>1</v>
      </c>
      <c r="F134" s="659"/>
      <c r="G134" s="21">
        <f t="shared" si="25"/>
        <v>1</v>
      </c>
      <c r="H134" s="659"/>
      <c r="I134" s="21">
        <f t="shared" si="26"/>
        <v>1</v>
      </c>
      <c r="J134" s="659"/>
      <c r="K134" s="21">
        <f t="shared" si="27"/>
        <v>1</v>
      </c>
      <c r="L134" s="659"/>
      <c r="M134" s="21">
        <f t="shared" si="28"/>
        <v>1</v>
      </c>
      <c r="N134" s="659"/>
      <c r="O134" s="21">
        <f t="shared" si="29"/>
        <v>1</v>
      </c>
      <c r="P134" s="659"/>
      <c r="Q134" s="21">
        <f t="shared" si="30"/>
        <v>1</v>
      </c>
      <c r="R134" s="655">
        <f t="shared" si="31"/>
        <v>0</v>
      </c>
      <c r="S134" s="311">
        <f t="shared" si="32"/>
        <v>0</v>
      </c>
    </row>
    <row r="135" spans="1:19">
      <c r="A135" s="145"/>
      <c r="B135" s="54"/>
      <c r="C135" s="21">
        <f t="shared" si="23"/>
        <v>1</v>
      </c>
      <c r="D135" s="659"/>
      <c r="E135" s="21">
        <f t="shared" si="24"/>
        <v>1</v>
      </c>
      <c r="F135" s="659"/>
      <c r="G135" s="21">
        <f t="shared" si="25"/>
        <v>1</v>
      </c>
      <c r="H135" s="659"/>
      <c r="I135" s="21">
        <f t="shared" si="26"/>
        <v>1</v>
      </c>
      <c r="J135" s="659"/>
      <c r="K135" s="21">
        <f t="shared" si="27"/>
        <v>1</v>
      </c>
      <c r="L135" s="659"/>
      <c r="M135" s="21">
        <f t="shared" si="28"/>
        <v>1</v>
      </c>
      <c r="N135" s="659"/>
      <c r="O135" s="21">
        <f t="shared" si="29"/>
        <v>1</v>
      </c>
      <c r="P135" s="659"/>
      <c r="Q135" s="21">
        <f t="shared" si="30"/>
        <v>1</v>
      </c>
      <c r="R135" s="655">
        <f t="shared" si="31"/>
        <v>0</v>
      </c>
      <c r="S135" s="311">
        <f t="shared" si="32"/>
        <v>0</v>
      </c>
    </row>
    <row r="136" spans="1:19">
      <c r="A136" s="145"/>
      <c r="B136" s="54"/>
      <c r="C136" s="21">
        <f t="shared" si="23"/>
        <v>1</v>
      </c>
      <c r="D136" s="659"/>
      <c r="E136" s="21">
        <f t="shared" si="24"/>
        <v>1</v>
      </c>
      <c r="F136" s="659"/>
      <c r="G136" s="21">
        <f t="shared" si="25"/>
        <v>1</v>
      </c>
      <c r="H136" s="659"/>
      <c r="I136" s="21">
        <f t="shared" si="26"/>
        <v>1</v>
      </c>
      <c r="J136" s="659"/>
      <c r="K136" s="21">
        <f t="shared" si="27"/>
        <v>1</v>
      </c>
      <c r="L136" s="659"/>
      <c r="M136" s="21">
        <f t="shared" si="28"/>
        <v>1</v>
      </c>
      <c r="N136" s="659"/>
      <c r="O136" s="21">
        <f t="shared" si="29"/>
        <v>1</v>
      </c>
      <c r="P136" s="659"/>
      <c r="Q136" s="21">
        <f t="shared" si="30"/>
        <v>1</v>
      </c>
      <c r="R136" s="655">
        <f t="shared" si="31"/>
        <v>0</v>
      </c>
      <c r="S136" s="311">
        <f t="shared" si="32"/>
        <v>0</v>
      </c>
    </row>
    <row r="137" spans="1:19">
      <c r="A137" s="145"/>
      <c r="B137" s="54"/>
      <c r="C137" s="21">
        <f t="shared" si="23"/>
        <v>1</v>
      </c>
      <c r="D137" s="659"/>
      <c r="E137" s="21">
        <f t="shared" si="24"/>
        <v>1</v>
      </c>
      <c r="F137" s="659"/>
      <c r="G137" s="21">
        <f t="shared" si="25"/>
        <v>1</v>
      </c>
      <c r="H137" s="659"/>
      <c r="I137" s="21">
        <f t="shared" si="26"/>
        <v>1</v>
      </c>
      <c r="J137" s="659"/>
      <c r="K137" s="21">
        <f t="shared" si="27"/>
        <v>1</v>
      </c>
      <c r="L137" s="659"/>
      <c r="M137" s="21">
        <f t="shared" si="28"/>
        <v>1</v>
      </c>
      <c r="N137" s="659"/>
      <c r="O137" s="21">
        <f t="shared" si="29"/>
        <v>1</v>
      </c>
      <c r="P137" s="659"/>
      <c r="Q137" s="21">
        <f t="shared" si="30"/>
        <v>1</v>
      </c>
      <c r="R137" s="655">
        <f t="shared" si="31"/>
        <v>0</v>
      </c>
      <c r="S137" s="311">
        <f t="shared" si="32"/>
        <v>0</v>
      </c>
    </row>
    <row r="138" spans="1:19">
      <c r="A138" s="145"/>
      <c r="B138" s="54"/>
      <c r="C138" s="21">
        <f t="shared" si="23"/>
        <v>1</v>
      </c>
      <c r="D138" s="659"/>
      <c r="E138" s="21">
        <f t="shared" si="24"/>
        <v>1</v>
      </c>
      <c r="F138" s="659"/>
      <c r="G138" s="21">
        <f t="shared" si="25"/>
        <v>1</v>
      </c>
      <c r="H138" s="659"/>
      <c r="I138" s="21">
        <f t="shared" si="26"/>
        <v>1</v>
      </c>
      <c r="J138" s="659"/>
      <c r="K138" s="21">
        <f t="shared" si="27"/>
        <v>1</v>
      </c>
      <c r="L138" s="659"/>
      <c r="M138" s="21">
        <f t="shared" si="28"/>
        <v>1</v>
      </c>
      <c r="N138" s="659"/>
      <c r="O138" s="21">
        <f t="shared" si="29"/>
        <v>1</v>
      </c>
      <c r="P138" s="659"/>
      <c r="Q138" s="21">
        <f t="shared" si="30"/>
        <v>1</v>
      </c>
      <c r="R138" s="655">
        <f t="shared" si="31"/>
        <v>0</v>
      </c>
      <c r="S138" s="311">
        <f t="shared" si="32"/>
        <v>0</v>
      </c>
    </row>
    <row r="139" spans="1:19">
      <c r="A139" s="145"/>
      <c r="B139" s="54"/>
      <c r="C139" s="21">
        <f t="shared" si="23"/>
        <v>1</v>
      </c>
      <c r="D139" s="659"/>
      <c r="E139" s="21">
        <f t="shared" si="24"/>
        <v>1</v>
      </c>
      <c r="F139" s="659"/>
      <c r="G139" s="21">
        <f t="shared" si="25"/>
        <v>1</v>
      </c>
      <c r="H139" s="659"/>
      <c r="I139" s="21">
        <f t="shared" si="26"/>
        <v>1</v>
      </c>
      <c r="J139" s="659"/>
      <c r="K139" s="21">
        <f t="shared" si="27"/>
        <v>1</v>
      </c>
      <c r="L139" s="659"/>
      <c r="M139" s="21">
        <f t="shared" si="28"/>
        <v>1</v>
      </c>
      <c r="N139" s="659"/>
      <c r="O139" s="21">
        <f t="shared" si="29"/>
        <v>1</v>
      </c>
      <c r="P139" s="659"/>
      <c r="Q139" s="21">
        <f t="shared" si="30"/>
        <v>1</v>
      </c>
      <c r="R139" s="655">
        <f t="shared" si="31"/>
        <v>0</v>
      </c>
      <c r="S139" s="311">
        <f t="shared" si="32"/>
        <v>0</v>
      </c>
    </row>
    <row r="140" spans="1:19">
      <c r="A140" s="145"/>
      <c r="B140" s="54"/>
      <c r="C140" s="21">
        <f t="shared" si="23"/>
        <v>1</v>
      </c>
      <c r="D140" s="659"/>
      <c r="E140" s="21">
        <f t="shared" si="24"/>
        <v>1</v>
      </c>
      <c r="F140" s="659"/>
      <c r="G140" s="21">
        <f t="shared" si="25"/>
        <v>1</v>
      </c>
      <c r="H140" s="659"/>
      <c r="I140" s="21">
        <f t="shared" si="26"/>
        <v>1</v>
      </c>
      <c r="J140" s="659"/>
      <c r="K140" s="21">
        <f t="shared" si="27"/>
        <v>1</v>
      </c>
      <c r="L140" s="659"/>
      <c r="M140" s="21">
        <f t="shared" si="28"/>
        <v>1</v>
      </c>
      <c r="N140" s="659"/>
      <c r="O140" s="21">
        <f t="shared" si="29"/>
        <v>1</v>
      </c>
      <c r="P140" s="659"/>
      <c r="Q140" s="21">
        <f t="shared" si="30"/>
        <v>1</v>
      </c>
      <c r="R140" s="655">
        <f t="shared" si="31"/>
        <v>0</v>
      </c>
      <c r="S140" s="311">
        <f t="shared" si="32"/>
        <v>0</v>
      </c>
    </row>
    <row r="141" spans="1:19">
      <c r="A141" s="145"/>
      <c r="B141" s="54"/>
      <c r="C141" s="21">
        <f t="shared" si="23"/>
        <v>1</v>
      </c>
      <c r="D141" s="659"/>
      <c r="E141" s="21">
        <f t="shared" si="24"/>
        <v>1</v>
      </c>
      <c r="F141" s="659"/>
      <c r="G141" s="21">
        <f t="shared" si="25"/>
        <v>1</v>
      </c>
      <c r="H141" s="659"/>
      <c r="I141" s="21">
        <f t="shared" si="26"/>
        <v>1</v>
      </c>
      <c r="J141" s="659"/>
      <c r="K141" s="21">
        <f t="shared" si="27"/>
        <v>1</v>
      </c>
      <c r="L141" s="659"/>
      <c r="M141" s="21">
        <f t="shared" si="28"/>
        <v>1</v>
      </c>
      <c r="N141" s="659"/>
      <c r="O141" s="21">
        <f t="shared" si="29"/>
        <v>1</v>
      </c>
      <c r="P141" s="659"/>
      <c r="Q141" s="21">
        <f t="shared" si="30"/>
        <v>1</v>
      </c>
      <c r="R141" s="655">
        <f t="shared" si="31"/>
        <v>0</v>
      </c>
      <c r="S141" s="311">
        <f t="shared" si="32"/>
        <v>0</v>
      </c>
    </row>
    <row r="142" spans="1:19">
      <c r="A142" s="145"/>
      <c r="B142" s="54"/>
      <c r="C142" s="21">
        <f t="shared" si="23"/>
        <v>1</v>
      </c>
      <c r="D142" s="659"/>
      <c r="E142" s="21">
        <f t="shared" si="24"/>
        <v>1</v>
      </c>
      <c r="F142" s="659"/>
      <c r="G142" s="21">
        <f t="shared" si="25"/>
        <v>1</v>
      </c>
      <c r="H142" s="659"/>
      <c r="I142" s="21">
        <f t="shared" si="26"/>
        <v>1</v>
      </c>
      <c r="J142" s="659"/>
      <c r="K142" s="21">
        <f t="shared" si="27"/>
        <v>1</v>
      </c>
      <c r="L142" s="659"/>
      <c r="M142" s="21">
        <f t="shared" si="28"/>
        <v>1</v>
      </c>
      <c r="N142" s="659"/>
      <c r="O142" s="21">
        <f t="shared" si="29"/>
        <v>1</v>
      </c>
      <c r="P142" s="659"/>
      <c r="Q142" s="21">
        <f t="shared" si="30"/>
        <v>1</v>
      </c>
      <c r="R142" s="655">
        <f t="shared" si="31"/>
        <v>0</v>
      </c>
      <c r="S142" s="311">
        <f t="shared" si="32"/>
        <v>0</v>
      </c>
    </row>
    <row r="143" spans="1:19">
      <c r="A143" s="145"/>
      <c r="B143" s="54"/>
      <c r="C143" s="21">
        <f t="shared" si="23"/>
        <v>1</v>
      </c>
      <c r="D143" s="659"/>
      <c r="E143" s="21">
        <f t="shared" si="24"/>
        <v>1</v>
      </c>
      <c r="F143" s="659"/>
      <c r="G143" s="21">
        <f t="shared" si="25"/>
        <v>1</v>
      </c>
      <c r="H143" s="659"/>
      <c r="I143" s="21">
        <f t="shared" si="26"/>
        <v>1</v>
      </c>
      <c r="J143" s="659"/>
      <c r="K143" s="21">
        <f t="shared" si="27"/>
        <v>1</v>
      </c>
      <c r="L143" s="659"/>
      <c r="M143" s="21">
        <f t="shared" si="28"/>
        <v>1</v>
      </c>
      <c r="N143" s="659"/>
      <c r="O143" s="21">
        <f t="shared" si="29"/>
        <v>1</v>
      </c>
      <c r="P143" s="659"/>
      <c r="Q143" s="21">
        <f t="shared" si="30"/>
        <v>1</v>
      </c>
      <c r="R143" s="655">
        <f t="shared" si="31"/>
        <v>0</v>
      </c>
      <c r="S143" s="311">
        <f t="shared" si="32"/>
        <v>0</v>
      </c>
    </row>
    <row r="144" spans="1:19">
      <c r="A144" s="145"/>
      <c r="B144" s="54"/>
      <c r="C144" s="21">
        <f t="shared" si="23"/>
        <v>1</v>
      </c>
      <c r="D144" s="659"/>
      <c r="E144" s="21">
        <f t="shared" si="24"/>
        <v>1</v>
      </c>
      <c r="F144" s="659"/>
      <c r="G144" s="21">
        <f t="shared" si="25"/>
        <v>1</v>
      </c>
      <c r="H144" s="659"/>
      <c r="I144" s="21">
        <f t="shared" si="26"/>
        <v>1</v>
      </c>
      <c r="J144" s="659"/>
      <c r="K144" s="21">
        <f t="shared" si="27"/>
        <v>1</v>
      </c>
      <c r="L144" s="659"/>
      <c r="M144" s="21">
        <f t="shared" si="28"/>
        <v>1</v>
      </c>
      <c r="N144" s="659"/>
      <c r="O144" s="21">
        <f t="shared" si="29"/>
        <v>1</v>
      </c>
      <c r="P144" s="659"/>
      <c r="Q144" s="21">
        <f t="shared" si="30"/>
        <v>1</v>
      </c>
      <c r="R144" s="655">
        <f t="shared" si="31"/>
        <v>0</v>
      </c>
      <c r="S144" s="311">
        <f t="shared" si="32"/>
        <v>0</v>
      </c>
    </row>
    <row r="145" spans="1:19">
      <c r="A145" s="145"/>
      <c r="B145" s="54"/>
      <c r="C145" s="21">
        <f t="shared" si="23"/>
        <v>1</v>
      </c>
      <c r="D145" s="659"/>
      <c r="E145" s="21">
        <f t="shared" si="24"/>
        <v>1</v>
      </c>
      <c r="F145" s="659"/>
      <c r="G145" s="21">
        <f t="shared" si="25"/>
        <v>1</v>
      </c>
      <c r="H145" s="659"/>
      <c r="I145" s="21">
        <f t="shared" si="26"/>
        <v>1</v>
      </c>
      <c r="J145" s="659"/>
      <c r="K145" s="21">
        <f t="shared" si="27"/>
        <v>1</v>
      </c>
      <c r="L145" s="659"/>
      <c r="M145" s="21">
        <f t="shared" si="28"/>
        <v>1</v>
      </c>
      <c r="N145" s="659"/>
      <c r="O145" s="21">
        <f t="shared" si="29"/>
        <v>1</v>
      </c>
      <c r="P145" s="659"/>
      <c r="Q145" s="21">
        <f t="shared" si="30"/>
        <v>1</v>
      </c>
      <c r="R145" s="655">
        <f t="shared" si="31"/>
        <v>0</v>
      </c>
      <c r="S145" s="311">
        <f t="shared" si="32"/>
        <v>0</v>
      </c>
    </row>
    <row r="146" spans="1:19">
      <c r="A146" s="145"/>
      <c r="B146" s="54"/>
      <c r="C146" s="21">
        <f t="shared" si="23"/>
        <v>1</v>
      </c>
      <c r="D146" s="659"/>
      <c r="E146" s="21">
        <f t="shared" si="24"/>
        <v>1</v>
      </c>
      <c r="F146" s="659"/>
      <c r="G146" s="21">
        <f t="shared" si="25"/>
        <v>1</v>
      </c>
      <c r="H146" s="659"/>
      <c r="I146" s="21">
        <f t="shared" si="26"/>
        <v>1</v>
      </c>
      <c r="J146" s="659"/>
      <c r="K146" s="21">
        <f t="shared" si="27"/>
        <v>1</v>
      </c>
      <c r="L146" s="659"/>
      <c r="M146" s="21">
        <f t="shared" si="28"/>
        <v>1</v>
      </c>
      <c r="N146" s="659"/>
      <c r="O146" s="21">
        <f t="shared" si="29"/>
        <v>1</v>
      </c>
      <c r="P146" s="659"/>
      <c r="Q146" s="21">
        <f t="shared" si="30"/>
        <v>1</v>
      </c>
      <c r="R146" s="655">
        <f t="shared" si="31"/>
        <v>0</v>
      </c>
      <c r="S146" s="311">
        <f t="shared" si="32"/>
        <v>0</v>
      </c>
    </row>
    <row r="147" spans="1:19">
      <c r="A147" s="145"/>
      <c r="B147" s="54"/>
      <c r="C147" s="21">
        <f t="shared" si="23"/>
        <v>1</v>
      </c>
      <c r="D147" s="659"/>
      <c r="E147" s="21">
        <f t="shared" si="24"/>
        <v>1</v>
      </c>
      <c r="F147" s="659"/>
      <c r="G147" s="21">
        <f t="shared" si="25"/>
        <v>1</v>
      </c>
      <c r="H147" s="659"/>
      <c r="I147" s="21">
        <f t="shared" si="26"/>
        <v>1</v>
      </c>
      <c r="J147" s="659"/>
      <c r="K147" s="21">
        <f t="shared" si="27"/>
        <v>1</v>
      </c>
      <c r="L147" s="659"/>
      <c r="M147" s="21">
        <f t="shared" si="28"/>
        <v>1</v>
      </c>
      <c r="N147" s="659"/>
      <c r="O147" s="21">
        <f t="shared" si="29"/>
        <v>1</v>
      </c>
      <c r="P147" s="659"/>
      <c r="Q147" s="21">
        <f t="shared" si="30"/>
        <v>1</v>
      </c>
      <c r="R147" s="655">
        <f t="shared" si="31"/>
        <v>0</v>
      </c>
      <c r="S147" s="311">
        <f t="shared" si="32"/>
        <v>0</v>
      </c>
    </row>
    <row r="148" spans="1:19">
      <c r="A148" s="145"/>
      <c r="B148" s="54"/>
      <c r="C148" s="21">
        <f t="shared" si="23"/>
        <v>1</v>
      </c>
      <c r="D148" s="659"/>
      <c r="E148" s="21">
        <f t="shared" si="24"/>
        <v>1</v>
      </c>
      <c r="F148" s="659"/>
      <c r="G148" s="21">
        <f t="shared" si="25"/>
        <v>1</v>
      </c>
      <c r="H148" s="659"/>
      <c r="I148" s="21">
        <f t="shared" si="26"/>
        <v>1</v>
      </c>
      <c r="J148" s="659"/>
      <c r="K148" s="21">
        <f t="shared" si="27"/>
        <v>1</v>
      </c>
      <c r="L148" s="659"/>
      <c r="M148" s="21">
        <f t="shared" si="28"/>
        <v>1</v>
      </c>
      <c r="N148" s="659"/>
      <c r="O148" s="21">
        <f t="shared" si="29"/>
        <v>1</v>
      </c>
      <c r="P148" s="659"/>
      <c r="Q148" s="21">
        <f t="shared" si="30"/>
        <v>1</v>
      </c>
      <c r="R148" s="655">
        <f t="shared" si="31"/>
        <v>0</v>
      </c>
      <c r="S148" s="311">
        <f t="shared" si="32"/>
        <v>0</v>
      </c>
    </row>
    <row r="149" spans="1:19">
      <c r="A149" s="145"/>
      <c r="B149" s="54"/>
      <c r="C149" s="21">
        <f t="shared" si="23"/>
        <v>1</v>
      </c>
      <c r="D149" s="659"/>
      <c r="E149" s="21">
        <f t="shared" si="24"/>
        <v>1</v>
      </c>
      <c r="F149" s="659"/>
      <c r="G149" s="21">
        <f t="shared" si="25"/>
        <v>1</v>
      </c>
      <c r="H149" s="659"/>
      <c r="I149" s="21">
        <f t="shared" si="26"/>
        <v>1</v>
      </c>
      <c r="J149" s="659"/>
      <c r="K149" s="21">
        <f t="shared" si="27"/>
        <v>1</v>
      </c>
      <c r="L149" s="659"/>
      <c r="M149" s="21">
        <f t="shared" si="28"/>
        <v>1</v>
      </c>
      <c r="N149" s="659"/>
      <c r="O149" s="21">
        <f t="shared" si="29"/>
        <v>1</v>
      </c>
      <c r="P149" s="659"/>
      <c r="Q149" s="21">
        <f t="shared" si="30"/>
        <v>1</v>
      </c>
      <c r="R149" s="655">
        <f t="shared" si="31"/>
        <v>0</v>
      </c>
      <c r="S149" s="311">
        <f t="shared" si="32"/>
        <v>0</v>
      </c>
    </row>
    <row r="150" spans="1:19">
      <c r="A150" s="145"/>
      <c r="B150" s="54"/>
      <c r="C150" s="21">
        <f t="shared" si="23"/>
        <v>1</v>
      </c>
      <c r="D150" s="659"/>
      <c r="E150" s="21">
        <f t="shared" si="24"/>
        <v>1</v>
      </c>
      <c r="F150" s="659"/>
      <c r="G150" s="21">
        <f t="shared" si="25"/>
        <v>1</v>
      </c>
      <c r="H150" s="659"/>
      <c r="I150" s="21">
        <f t="shared" si="26"/>
        <v>1</v>
      </c>
      <c r="J150" s="659"/>
      <c r="K150" s="21">
        <f t="shared" si="27"/>
        <v>1</v>
      </c>
      <c r="L150" s="659"/>
      <c r="M150" s="21">
        <f t="shared" si="28"/>
        <v>1</v>
      </c>
      <c r="N150" s="659"/>
      <c r="O150" s="21">
        <f t="shared" si="29"/>
        <v>1</v>
      </c>
      <c r="P150" s="659"/>
      <c r="Q150" s="21">
        <f t="shared" si="30"/>
        <v>1</v>
      </c>
      <c r="R150" s="655">
        <f t="shared" si="31"/>
        <v>0</v>
      </c>
      <c r="S150" s="311">
        <f t="shared" si="32"/>
        <v>0</v>
      </c>
    </row>
    <row r="151" spans="1:19">
      <c r="A151" s="145"/>
      <c r="B151" s="54"/>
      <c r="C151" s="21">
        <f t="shared" si="23"/>
        <v>1</v>
      </c>
      <c r="D151" s="659"/>
      <c r="E151" s="21">
        <f t="shared" si="24"/>
        <v>1</v>
      </c>
      <c r="F151" s="659"/>
      <c r="G151" s="21">
        <f t="shared" si="25"/>
        <v>1</v>
      </c>
      <c r="H151" s="659"/>
      <c r="I151" s="21">
        <f t="shared" si="26"/>
        <v>1</v>
      </c>
      <c r="J151" s="659"/>
      <c r="K151" s="21">
        <f t="shared" si="27"/>
        <v>1</v>
      </c>
      <c r="L151" s="659"/>
      <c r="M151" s="21">
        <f t="shared" si="28"/>
        <v>1</v>
      </c>
      <c r="N151" s="659"/>
      <c r="O151" s="21">
        <f t="shared" si="29"/>
        <v>1</v>
      </c>
      <c r="P151" s="659"/>
      <c r="Q151" s="21">
        <f t="shared" si="30"/>
        <v>1</v>
      </c>
      <c r="R151" s="655">
        <f t="shared" si="31"/>
        <v>0</v>
      </c>
      <c r="S151" s="311">
        <f t="shared" si="32"/>
        <v>0</v>
      </c>
    </row>
    <row r="152" spans="1:19">
      <c r="A152" s="145"/>
      <c r="B152" s="54"/>
      <c r="C152" s="21">
        <f t="shared" si="23"/>
        <v>1</v>
      </c>
      <c r="D152" s="659"/>
      <c r="E152" s="21">
        <f t="shared" si="24"/>
        <v>1</v>
      </c>
      <c r="F152" s="659"/>
      <c r="G152" s="21">
        <f t="shared" si="25"/>
        <v>1</v>
      </c>
      <c r="H152" s="659"/>
      <c r="I152" s="21">
        <f t="shared" si="26"/>
        <v>1</v>
      </c>
      <c r="J152" s="659"/>
      <c r="K152" s="21">
        <f t="shared" si="27"/>
        <v>1</v>
      </c>
      <c r="L152" s="659"/>
      <c r="M152" s="21">
        <f t="shared" si="28"/>
        <v>1</v>
      </c>
      <c r="N152" s="659"/>
      <c r="O152" s="21">
        <f t="shared" si="29"/>
        <v>1</v>
      </c>
      <c r="P152" s="659"/>
      <c r="Q152" s="21">
        <f t="shared" si="30"/>
        <v>1</v>
      </c>
      <c r="R152" s="655">
        <f t="shared" si="31"/>
        <v>0</v>
      </c>
      <c r="S152" s="311">
        <f t="shared" si="32"/>
        <v>0</v>
      </c>
    </row>
    <row r="153" spans="1:19">
      <c r="A153" s="145"/>
      <c r="B153" s="54"/>
      <c r="C153" s="21">
        <f t="shared" si="23"/>
        <v>1</v>
      </c>
      <c r="D153" s="659"/>
      <c r="E153" s="21">
        <f t="shared" si="24"/>
        <v>1</v>
      </c>
      <c r="F153" s="659"/>
      <c r="G153" s="21">
        <f t="shared" si="25"/>
        <v>1</v>
      </c>
      <c r="H153" s="659"/>
      <c r="I153" s="21">
        <f t="shared" si="26"/>
        <v>1</v>
      </c>
      <c r="J153" s="659"/>
      <c r="K153" s="21">
        <f t="shared" si="27"/>
        <v>1</v>
      </c>
      <c r="L153" s="659"/>
      <c r="M153" s="21">
        <f t="shared" si="28"/>
        <v>1</v>
      </c>
      <c r="N153" s="659"/>
      <c r="O153" s="21">
        <f t="shared" si="29"/>
        <v>1</v>
      </c>
      <c r="P153" s="659"/>
      <c r="Q153" s="21">
        <f t="shared" si="30"/>
        <v>1</v>
      </c>
      <c r="R153" s="655">
        <f t="shared" si="31"/>
        <v>0</v>
      </c>
      <c r="S153" s="311">
        <f t="shared" si="32"/>
        <v>0</v>
      </c>
    </row>
    <row r="154" spans="1:19">
      <c r="A154" s="145"/>
      <c r="B154" s="54"/>
      <c r="C154" s="21">
        <f t="shared" ref="C154:C217" si="33">IF(B154="",1,(LOOKUP(B154,$3:$3,$4:$4)-LOOKUP($B$24,$3:$3,$4:$4)+100)/100)</f>
        <v>1</v>
      </c>
      <c r="D154" s="659"/>
      <c r="E154" s="21">
        <f t="shared" ref="E154:E217" si="34">(SUMIF($5:$5,D154,$6:$6)-SUMIF($5:$5,$D$24,$6:$6)+100)/100</f>
        <v>1</v>
      </c>
      <c r="F154" s="659"/>
      <c r="G154" s="21">
        <f t="shared" ref="G154:G217" si="35">(SUMIF($7:$7,F154,$8:$8)-SUMIF($7:$7,$F$24,$8:$8)+100)/100</f>
        <v>1</v>
      </c>
      <c r="H154" s="659"/>
      <c r="I154" s="21">
        <f t="shared" ref="I154:I217" si="36">(SUMIF($9:$9,H154,$10:$10)-SUMIF($9:$9,$H$24,$10:$10)+100)/100</f>
        <v>1</v>
      </c>
      <c r="J154" s="659"/>
      <c r="K154" s="21">
        <f t="shared" ref="K154:K217" si="37">(SUMIF($11:$11,J154,$12:$12)-SUMIF($11:$11,$J$24,$12:$12)+100)/100</f>
        <v>1</v>
      </c>
      <c r="L154" s="659"/>
      <c r="M154" s="21">
        <f t="shared" ref="M154:M217" si="38">(SUMIF($13:$13,L154,$14:$14)-SUMIF($13:$13,$L$24,$14:$14)+100)/100</f>
        <v>1</v>
      </c>
      <c r="N154" s="659"/>
      <c r="O154" s="21">
        <f t="shared" ref="O154:O217" si="39">(SUMIF($15:$15,N154,$16:$16)-SUMIF($15:$15,$N$24,$16:$16)+100)/100</f>
        <v>1</v>
      </c>
      <c r="P154" s="659"/>
      <c r="Q154" s="21">
        <f t="shared" ref="Q154:Q217" si="40">(SUMIF($17:$17,P154,$18:$18)-SUMIF($17:$17,$P$24,$18:$18)+100)/100</f>
        <v>1</v>
      </c>
      <c r="R154" s="655">
        <f t="shared" ref="R154:R217" si="41">IF(B154="",0,ROUND($R$24*C154*E154*G154*I154*K154*M154*O154*Q154,0))</f>
        <v>0</v>
      </c>
      <c r="S154" s="311">
        <f t="shared" si="32"/>
        <v>0</v>
      </c>
    </row>
    <row r="155" spans="1:19">
      <c r="A155" s="145"/>
      <c r="B155" s="54"/>
      <c r="C155" s="21">
        <f t="shared" si="33"/>
        <v>1</v>
      </c>
      <c r="D155" s="659"/>
      <c r="E155" s="21">
        <f t="shared" si="34"/>
        <v>1</v>
      </c>
      <c r="F155" s="659"/>
      <c r="G155" s="21">
        <f t="shared" si="35"/>
        <v>1</v>
      </c>
      <c r="H155" s="659"/>
      <c r="I155" s="21">
        <f t="shared" si="36"/>
        <v>1</v>
      </c>
      <c r="J155" s="659"/>
      <c r="K155" s="21">
        <f t="shared" si="37"/>
        <v>1</v>
      </c>
      <c r="L155" s="659"/>
      <c r="M155" s="21">
        <f t="shared" si="38"/>
        <v>1</v>
      </c>
      <c r="N155" s="659"/>
      <c r="O155" s="21">
        <f t="shared" si="39"/>
        <v>1</v>
      </c>
      <c r="P155" s="659"/>
      <c r="Q155" s="21">
        <f t="shared" si="40"/>
        <v>1</v>
      </c>
      <c r="R155" s="655">
        <f t="shared" si="41"/>
        <v>0</v>
      </c>
      <c r="S155" s="311">
        <f t="shared" si="32"/>
        <v>0</v>
      </c>
    </row>
    <row r="156" spans="1:19">
      <c r="A156" s="145"/>
      <c r="B156" s="54"/>
      <c r="C156" s="21">
        <f t="shared" si="33"/>
        <v>1</v>
      </c>
      <c r="D156" s="659"/>
      <c r="E156" s="21">
        <f t="shared" si="34"/>
        <v>1</v>
      </c>
      <c r="F156" s="659"/>
      <c r="G156" s="21">
        <f t="shared" si="35"/>
        <v>1</v>
      </c>
      <c r="H156" s="659"/>
      <c r="I156" s="21">
        <f t="shared" si="36"/>
        <v>1</v>
      </c>
      <c r="J156" s="659"/>
      <c r="K156" s="21">
        <f t="shared" si="37"/>
        <v>1</v>
      </c>
      <c r="L156" s="659"/>
      <c r="M156" s="21">
        <f t="shared" si="38"/>
        <v>1</v>
      </c>
      <c r="N156" s="659"/>
      <c r="O156" s="21">
        <f t="shared" si="39"/>
        <v>1</v>
      </c>
      <c r="P156" s="659"/>
      <c r="Q156" s="21">
        <f t="shared" si="40"/>
        <v>1</v>
      </c>
      <c r="R156" s="655">
        <f t="shared" si="41"/>
        <v>0</v>
      </c>
      <c r="S156" s="311">
        <f t="shared" si="32"/>
        <v>0</v>
      </c>
    </row>
    <row r="157" spans="1:19">
      <c r="A157" s="145"/>
      <c r="B157" s="54"/>
      <c r="C157" s="21">
        <f t="shared" si="33"/>
        <v>1</v>
      </c>
      <c r="D157" s="659"/>
      <c r="E157" s="21">
        <f t="shared" si="34"/>
        <v>1</v>
      </c>
      <c r="F157" s="659"/>
      <c r="G157" s="21">
        <f t="shared" si="35"/>
        <v>1</v>
      </c>
      <c r="H157" s="659"/>
      <c r="I157" s="21">
        <f t="shared" si="36"/>
        <v>1</v>
      </c>
      <c r="J157" s="659"/>
      <c r="K157" s="21">
        <f t="shared" si="37"/>
        <v>1</v>
      </c>
      <c r="L157" s="659"/>
      <c r="M157" s="21">
        <f t="shared" si="38"/>
        <v>1</v>
      </c>
      <c r="N157" s="659"/>
      <c r="O157" s="21">
        <f t="shared" si="39"/>
        <v>1</v>
      </c>
      <c r="P157" s="659"/>
      <c r="Q157" s="21">
        <f t="shared" si="40"/>
        <v>1</v>
      </c>
      <c r="R157" s="655">
        <f t="shared" si="41"/>
        <v>0</v>
      </c>
      <c r="S157" s="311">
        <f t="shared" si="32"/>
        <v>0</v>
      </c>
    </row>
    <row r="158" spans="1:19">
      <c r="A158" s="145"/>
      <c r="B158" s="54"/>
      <c r="C158" s="21">
        <f t="shared" si="33"/>
        <v>1</v>
      </c>
      <c r="D158" s="659"/>
      <c r="E158" s="21">
        <f t="shared" si="34"/>
        <v>1</v>
      </c>
      <c r="F158" s="659"/>
      <c r="G158" s="21">
        <f t="shared" si="35"/>
        <v>1</v>
      </c>
      <c r="H158" s="659"/>
      <c r="I158" s="21">
        <f t="shared" si="36"/>
        <v>1</v>
      </c>
      <c r="J158" s="659"/>
      <c r="K158" s="21">
        <f t="shared" si="37"/>
        <v>1</v>
      </c>
      <c r="L158" s="659"/>
      <c r="M158" s="21">
        <f t="shared" si="38"/>
        <v>1</v>
      </c>
      <c r="N158" s="659"/>
      <c r="O158" s="21">
        <f t="shared" si="39"/>
        <v>1</v>
      </c>
      <c r="P158" s="659"/>
      <c r="Q158" s="21">
        <f t="shared" si="40"/>
        <v>1</v>
      </c>
      <c r="R158" s="655">
        <f t="shared" si="41"/>
        <v>0</v>
      </c>
      <c r="S158" s="311">
        <f t="shared" si="32"/>
        <v>0</v>
      </c>
    </row>
    <row r="159" spans="1:19">
      <c r="A159" s="145"/>
      <c r="B159" s="54"/>
      <c r="C159" s="21">
        <f t="shared" si="33"/>
        <v>1</v>
      </c>
      <c r="D159" s="659"/>
      <c r="E159" s="21">
        <f t="shared" si="34"/>
        <v>1</v>
      </c>
      <c r="F159" s="659"/>
      <c r="G159" s="21">
        <f t="shared" si="35"/>
        <v>1</v>
      </c>
      <c r="H159" s="659"/>
      <c r="I159" s="21">
        <f t="shared" si="36"/>
        <v>1</v>
      </c>
      <c r="J159" s="659"/>
      <c r="K159" s="21">
        <f t="shared" si="37"/>
        <v>1</v>
      </c>
      <c r="L159" s="659"/>
      <c r="M159" s="21">
        <f t="shared" si="38"/>
        <v>1</v>
      </c>
      <c r="N159" s="659"/>
      <c r="O159" s="21">
        <f t="shared" si="39"/>
        <v>1</v>
      </c>
      <c r="P159" s="659"/>
      <c r="Q159" s="21">
        <f t="shared" si="40"/>
        <v>1</v>
      </c>
      <c r="R159" s="655">
        <f t="shared" si="41"/>
        <v>0</v>
      </c>
      <c r="S159" s="311">
        <f t="shared" si="32"/>
        <v>0</v>
      </c>
    </row>
    <row r="160" spans="1:19">
      <c r="A160" s="145"/>
      <c r="B160" s="54"/>
      <c r="C160" s="21">
        <f t="shared" si="33"/>
        <v>1</v>
      </c>
      <c r="D160" s="659"/>
      <c r="E160" s="21">
        <f t="shared" si="34"/>
        <v>1</v>
      </c>
      <c r="F160" s="659"/>
      <c r="G160" s="21">
        <f t="shared" si="35"/>
        <v>1</v>
      </c>
      <c r="H160" s="659"/>
      <c r="I160" s="21">
        <f t="shared" si="36"/>
        <v>1</v>
      </c>
      <c r="J160" s="659"/>
      <c r="K160" s="21">
        <f t="shared" si="37"/>
        <v>1</v>
      </c>
      <c r="L160" s="659"/>
      <c r="M160" s="21">
        <f t="shared" si="38"/>
        <v>1</v>
      </c>
      <c r="N160" s="659"/>
      <c r="O160" s="21">
        <f t="shared" si="39"/>
        <v>1</v>
      </c>
      <c r="P160" s="659"/>
      <c r="Q160" s="21">
        <f t="shared" si="40"/>
        <v>1</v>
      </c>
      <c r="R160" s="655">
        <f t="shared" si="41"/>
        <v>0</v>
      </c>
      <c r="S160" s="311">
        <f t="shared" si="32"/>
        <v>0</v>
      </c>
    </row>
    <row r="161" spans="1:19">
      <c r="A161" s="145"/>
      <c r="B161" s="54"/>
      <c r="C161" s="21">
        <f t="shared" si="33"/>
        <v>1</v>
      </c>
      <c r="D161" s="659"/>
      <c r="E161" s="21">
        <f t="shared" si="34"/>
        <v>1</v>
      </c>
      <c r="F161" s="659"/>
      <c r="G161" s="21">
        <f t="shared" si="35"/>
        <v>1</v>
      </c>
      <c r="H161" s="659"/>
      <c r="I161" s="21">
        <f t="shared" si="36"/>
        <v>1</v>
      </c>
      <c r="J161" s="659"/>
      <c r="K161" s="21">
        <f t="shared" si="37"/>
        <v>1</v>
      </c>
      <c r="L161" s="659"/>
      <c r="M161" s="21">
        <f t="shared" si="38"/>
        <v>1</v>
      </c>
      <c r="N161" s="659"/>
      <c r="O161" s="21">
        <f t="shared" si="39"/>
        <v>1</v>
      </c>
      <c r="P161" s="659"/>
      <c r="Q161" s="21">
        <f t="shared" si="40"/>
        <v>1</v>
      </c>
      <c r="R161" s="655">
        <f t="shared" si="41"/>
        <v>0</v>
      </c>
      <c r="S161" s="311">
        <f t="shared" si="32"/>
        <v>0</v>
      </c>
    </row>
    <row r="162" spans="1:19">
      <c r="A162" s="145"/>
      <c r="B162" s="54"/>
      <c r="C162" s="21">
        <f t="shared" si="33"/>
        <v>1</v>
      </c>
      <c r="D162" s="659"/>
      <c r="E162" s="21">
        <f t="shared" si="34"/>
        <v>1</v>
      </c>
      <c r="F162" s="659"/>
      <c r="G162" s="21">
        <f t="shared" si="35"/>
        <v>1</v>
      </c>
      <c r="H162" s="659"/>
      <c r="I162" s="21">
        <f t="shared" si="36"/>
        <v>1</v>
      </c>
      <c r="J162" s="659"/>
      <c r="K162" s="21">
        <f t="shared" si="37"/>
        <v>1</v>
      </c>
      <c r="L162" s="659"/>
      <c r="M162" s="21">
        <f t="shared" si="38"/>
        <v>1</v>
      </c>
      <c r="N162" s="659"/>
      <c r="O162" s="21">
        <f t="shared" si="39"/>
        <v>1</v>
      </c>
      <c r="P162" s="659"/>
      <c r="Q162" s="21">
        <f t="shared" si="40"/>
        <v>1</v>
      </c>
      <c r="R162" s="655">
        <f t="shared" si="41"/>
        <v>0</v>
      </c>
      <c r="S162" s="311">
        <f t="shared" si="32"/>
        <v>0</v>
      </c>
    </row>
    <row r="163" spans="1:19">
      <c r="A163" s="145"/>
      <c r="B163" s="54"/>
      <c r="C163" s="21">
        <f t="shared" si="33"/>
        <v>1</v>
      </c>
      <c r="D163" s="659"/>
      <c r="E163" s="21">
        <f t="shared" si="34"/>
        <v>1</v>
      </c>
      <c r="F163" s="659"/>
      <c r="G163" s="21">
        <f t="shared" si="35"/>
        <v>1</v>
      </c>
      <c r="H163" s="659"/>
      <c r="I163" s="21">
        <f t="shared" si="36"/>
        <v>1</v>
      </c>
      <c r="J163" s="659"/>
      <c r="K163" s="21">
        <f t="shared" si="37"/>
        <v>1</v>
      </c>
      <c r="L163" s="659"/>
      <c r="M163" s="21">
        <f t="shared" si="38"/>
        <v>1</v>
      </c>
      <c r="N163" s="659"/>
      <c r="O163" s="21">
        <f t="shared" si="39"/>
        <v>1</v>
      </c>
      <c r="P163" s="659"/>
      <c r="Q163" s="21">
        <f t="shared" si="40"/>
        <v>1</v>
      </c>
      <c r="R163" s="655">
        <f t="shared" si="41"/>
        <v>0</v>
      </c>
      <c r="S163" s="311">
        <f t="shared" si="32"/>
        <v>0</v>
      </c>
    </row>
    <row r="164" spans="1:19">
      <c r="A164" s="145"/>
      <c r="B164" s="54"/>
      <c r="C164" s="21">
        <f t="shared" si="33"/>
        <v>1</v>
      </c>
      <c r="D164" s="659"/>
      <c r="E164" s="21">
        <f t="shared" si="34"/>
        <v>1</v>
      </c>
      <c r="F164" s="659"/>
      <c r="G164" s="21">
        <f t="shared" si="35"/>
        <v>1</v>
      </c>
      <c r="H164" s="659"/>
      <c r="I164" s="21">
        <f t="shared" si="36"/>
        <v>1</v>
      </c>
      <c r="J164" s="659"/>
      <c r="K164" s="21">
        <f t="shared" si="37"/>
        <v>1</v>
      </c>
      <c r="L164" s="659"/>
      <c r="M164" s="21">
        <f t="shared" si="38"/>
        <v>1</v>
      </c>
      <c r="N164" s="659"/>
      <c r="O164" s="21">
        <f t="shared" si="39"/>
        <v>1</v>
      </c>
      <c r="P164" s="659"/>
      <c r="Q164" s="21">
        <f t="shared" si="40"/>
        <v>1</v>
      </c>
      <c r="R164" s="655">
        <f t="shared" si="41"/>
        <v>0</v>
      </c>
      <c r="S164" s="311">
        <f t="shared" si="32"/>
        <v>0</v>
      </c>
    </row>
    <row r="165" spans="1:19">
      <c r="A165" s="145"/>
      <c r="B165" s="54"/>
      <c r="C165" s="21">
        <f t="shared" si="33"/>
        <v>1</v>
      </c>
      <c r="D165" s="659"/>
      <c r="E165" s="21">
        <f t="shared" si="34"/>
        <v>1</v>
      </c>
      <c r="F165" s="659"/>
      <c r="G165" s="21">
        <f t="shared" si="35"/>
        <v>1</v>
      </c>
      <c r="H165" s="659"/>
      <c r="I165" s="21">
        <f t="shared" si="36"/>
        <v>1</v>
      </c>
      <c r="J165" s="659"/>
      <c r="K165" s="21">
        <f t="shared" si="37"/>
        <v>1</v>
      </c>
      <c r="L165" s="659"/>
      <c r="M165" s="21">
        <f t="shared" si="38"/>
        <v>1</v>
      </c>
      <c r="N165" s="659"/>
      <c r="O165" s="21">
        <f t="shared" si="39"/>
        <v>1</v>
      </c>
      <c r="P165" s="659"/>
      <c r="Q165" s="21">
        <f t="shared" si="40"/>
        <v>1</v>
      </c>
      <c r="R165" s="655">
        <f t="shared" si="41"/>
        <v>0</v>
      </c>
      <c r="S165" s="311">
        <f t="shared" si="32"/>
        <v>0</v>
      </c>
    </row>
    <row r="166" spans="1:19">
      <c r="A166" s="145"/>
      <c r="B166" s="54"/>
      <c r="C166" s="21">
        <f t="shared" si="33"/>
        <v>1</v>
      </c>
      <c r="D166" s="659"/>
      <c r="E166" s="21">
        <f t="shared" si="34"/>
        <v>1</v>
      </c>
      <c r="F166" s="659"/>
      <c r="G166" s="21">
        <f t="shared" si="35"/>
        <v>1</v>
      </c>
      <c r="H166" s="659"/>
      <c r="I166" s="21">
        <f t="shared" si="36"/>
        <v>1</v>
      </c>
      <c r="J166" s="659"/>
      <c r="K166" s="21">
        <f t="shared" si="37"/>
        <v>1</v>
      </c>
      <c r="L166" s="659"/>
      <c r="M166" s="21">
        <f t="shared" si="38"/>
        <v>1</v>
      </c>
      <c r="N166" s="659"/>
      <c r="O166" s="21">
        <f t="shared" si="39"/>
        <v>1</v>
      </c>
      <c r="P166" s="659"/>
      <c r="Q166" s="21">
        <f t="shared" si="40"/>
        <v>1</v>
      </c>
      <c r="R166" s="655">
        <f t="shared" si="41"/>
        <v>0</v>
      </c>
      <c r="S166" s="311">
        <f t="shared" si="32"/>
        <v>0</v>
      </c>
    </row>
    <row r="167" spans="1:19">
      <c r="A167" s="145"/>
      <c r="B167" s="54"/>
      <c r="C167" s="21">
        <f t="shared" si="33"/>
        <v>1</v>
      </c>
      <c r="D167" s="659"/>
      <c r="E167" s="21">
        <f t="shared" si="34"/>
        <v>1</v>
      </c>
      <c r="F167" s="659"/>
      <c r="G167" s="21">
        <f t="shared" si="35"/>
        <v>1</v>
      </c>
      <c r="H167" s="659"/>
      <c r="I167" s="21">
        <f t="shared" si="36"/>
        <v>1</v>
      </c>
      <c r="J167" s="659"/>
      <c r="K167" s="21">
        <f t="shared" si="37"/>
        <v>1</v>
      </c>
      <c r="L167" s="659"/>
      <c r="M167" s="21">
        <f t="shared" si="38"/>
        <v>1</v>
      </c>
      <c r="N167" s="659"/>
      <c r="O167" s="21">
        <f t="shared" si="39"/>
        <v>1</v>
      </c>
      <c r="P167" s="659"/>
      <c r="Q167" s="21">
        <f t="shared" si="40"/>
        <v>1</v>
      </c>
      <c r="R167" s="655">
        <f t="shared" si="41"/>
        <v>0</v>
      </c>
      <c r="S167" s="311">
        <f t="shared" si="32"/>
        <v>0</v>
      </c>
    </row>
    <row r="168" spans="1:19">
      <c r="A168" s="145"/>
      <c r="B168" s="54"/>
      <c r="C168" s="21">
        <f t="shared" si="33"/>
        <v>1</v>
      </c>
      <c r="D168" s="659"/>
      <c r="E168" s="21">
        <f t="shared" si="34"/>
        <v>1</v>
      </c>
      <c r="F168" s="659"/>
      <c r="G168" s="21">
        <f t="shared" si="35"/>
        <v>1</v>
      </c>
      <c r="H168" s="659"/>
      <c r="I168" s="21">
        <f t="shared" si="36"/>
        <v>1</v>
      </c>
      <c r="J168" s="659"/>
      <c r="K168" s="21">
        <f t="shared" si="37"/>
        <v>1</v>
      </c>
      <c r="L168" s="659"/>
      <c r="M168" s="21">
        <f t="shared" si="38"/>
        <v>1</v>
      </c>
      <c r="N168" s="659"/>
      <c r="O168" s="21">
        <f t="shared" si="39"/>
        <v>1</v>
      </c>
      <c r="P168" s="659"/>
      <c r="Q168" s="21">
        <f t="shared" si="40"/>
        <v>1</v>
      </c>
      <c r="R168" s="655">
        <f t="shared" si="41"/>
        <v>0</v>
      </c>
      <c r="S168" s="311">
        <f t="shared" si="32"/>
        <v>0</v>
      </c>
    </row>
    <row r="169" spans="1:19">
      <c r="A169" s="145"/>
      <c r="B169" s="54"/>
      <c r="C169" s="21">
        <f t="shared" si="33"/>
        <v>1</v>
      </c>
      <c r="D169" s="659"/>
      <c r="E169" s="21">
        <f t="shared" si="34"/>
        <v>1</v>
      </c>
      <c r="F169" s="659"/>
      <c r="G169" s="21">
        <f t="shared" si="35"/>
        <v>1</v>
      </c>
      <c r="H169" s="659"/>
      <c r="I169" s="21">
        <f t="shared" si="36"/>
        <v>1</v>
      </c>
      <c r="J169" s="659"/>
      <c r="K169" s="21">
        <f t="shared" si="37"/>
        <v>1</v>
      </c>
      <c r="L169" s="659"/>
      <c r="M169" s="21">
        <f t="shared" si="38"/>
        <v>1</v>
      </c>
      <c r="N169" s="659"/>
      <c r="O169" s="21">
        <f t="shared" si="39"/>
        <v>1</v>
      </c>
      <c r="P169" s="659"/>
      <c r="Q169" s="21">
        <f t="shared" si="40"/>
        <v>1</v>
      </c>
      <c r="R169" s="655">
        <f t="shared" si="41"/>
        <v>0</v>
      </c>
      <c r="S169" s="311">
        <f t="shared" si="32"/>
        <v>0</v>
      </c>
    </row>
    <row r="170" spans="1:19">
      <c r="A170" s="145"/>
      <c r="B170" s="54"/>
      <c r="C170" s="21">
        <f t="shared" si="33"/>
        <v>1</v>
      </c>
      <c r="D170" s="659"/>
      <c r="E170" s="21">
        <f t="shared" si="34"/>
        <v>1</v>
      </c>
      <c r="F170" s="659"/>
      <c r="G170" s="21">
        <f t="shared" si="35"/>
        <v>1</v>
      </c>
      <c r="H170" s="659"/>
      <c r="I170" s="21">
        <f t="shared" si="36"/>
        <v>1</v>
      </c>
      <c r="J170" s="659"/>
      <c r="K170" s="21">
        <f t="shared" si="37"/>
        <v>1</v>
      </c>
      <c r="L170" s="659"/>
      <c r="M170" s="21">
        <f t="shared" si="38"/>
        <v>1</v>
      </c>
      <c r="N170" s="659"/>
      <c r="O170" s="21">
        <f t="shared" si="39"/>
        <v>1</v>
      </c>
      <c r="P170" s="659"/>
      <c r="Q170" s="21">
        <f t="shared" si="40"/>
        <v>1</v>
      </c>
      <c r="R170" s="655">
        <f t="shared" si="41"/>
        <v>0</v>
      </c>
      <c r="S170" s="311">
        <f t="shared" si="32"/>
        <v>0</v>
      </c>
    </row>
    <row r="171" spans="1:19">
      <c r="A171" s="145"/>
      <c r="B171" s="54"/>
      <c r="C171" s="21">
        <f t="shared" si="33"/>
        <v>1</v>
      </c>
      <c r="D171" s="659"/>
      <c r="E171" s="21">
        <f t="shared" si="34"/>
        <v>1</v>
      </c>
      <c r="F171" s="659"/>
      <c r="G171" s="21">
        <f t="shared" si="35"/>
        <v>1</v>
      </c>
      <c r="H171" s="659"/>
      <c r="I171" s="21">
        <f t="shared" si="36"/>
        <v>1</v>
      </c>
      <c r="J171" s="659"/>
      <c r="K171" s="21">
        <f t="shared" si="37"/>
        <v>1</v>
      </c>
      <c r="L171" s="659"/>
      <c r="M171" s="21">
        <f t="shared" si="38"/>
        <v>1</v>
      </c>
      <c r="N171" s="659"/>
      <c r="O171" s="21">
        <f t="shared" si="39"/>
        <v>1</v>
      </c>
      <c r="P171" s="659"/>
      <c r="Q171" s="21">
        <f t="shared" si="40"/>
        <v>1</v>
      </c>
      <c r="R171" s="655">
        <f t="shared" si="41"/>
        <v>0</v>
      </c>
      <c r="S171" s="311">
        <f t="shared" si="32"/>
        <v>0</v>
      </c>
    </row>
    <row r="172" spans="1:19">
      <c r="A172" s="145"/>
      <c r="B172" s="54"/>
      <c r="C172" s="21">
        <f t="shared" si="33"/>
        <v>1</v>
      </c>
      <c r="D172" s="659"/>
      <c r="E172" s="21">
        <f t="shared" si="34"/>
        <v>1</v>
      </c>
      <c r="F172" s="659"/>
      <c r="G172" s="21">
        <f t="shared" si="35"/>
        <v>1</v>
      </c>
      <c r="H172" s="659"/>
      <c r="I172" s="21">
        <f t="shared" si="36"/>
        <v>1</v>
      </c>
      <c r="J172" s="659"/>
      <c r="K172" s="21">
        <f t="shared" si="37"/>
        <v>1</v>
      </c>
      <c r="L172" s="659"/>
      <c r="M172" s="21">
        <f t="shared" si="38"/>
        <v>1</v>
      </c>
      <c r="N172" s="659"/>
      <c r="O172" s="21">
        <f t="shared" si="39"/>
        <v>1</v>
      </c>
      <c r="P172" s="659"/>
      <c r="Q172" s="21">
        <f t="shared" si="40"/>
        <v>1</v>
      </c>
      <c r="R172" s="655">
        <f t="shared" si="41"/>
        <v>0</v>
      </c>
      <c r="S172" s="311">
        <f t="shared" si="32"/>
        <v>0</v>
      </c>
    </row>
    <row r="173" spans="1:19">
      <c r="A173" s="145"/>
      <c r="B173" s="54"/>
      <c r="C173" s="21">
        <f t="shared" si="33"/>
        <v>1</v>
      </c>
      <c r="D173" s="659"/>
      <c r="E173" s="21">
        <f t="shared" si="34"/>
        <v>1</v>
      </c>
      <c r="F173" s="659"/>
      <c r="G173" s="21">
        <f t="shared" si="35"/>
        <v>1</v>
      </c>
      <c r="H173" s="659"/>
      <c r="I173" s="21">
        <f t="shared" si="36"/>
        <v>1</v>
      </c>
      <c r="J173" s="659"/>
      <c r="K173" s="21">
        <f t="shared" si="37"/>
        <v>1</v>
      </c>
      <c r="L173" s="659"/>
      <c r="M173" s="21">
        <f t="shared" si="38"/>
        <v>1</v>
      </c>
      <c r="N173" s="659"/>
      <c r="O173" s="21">
        <f t="shared" si="39"/>
        <v>1</v>
      </c>
      <c r="P173" s="659"/>
      <c r="Q173" s="21">
        <f t="shared" si="40"/>
        <v>1</v>
      </c>
      <c r="R173" s="655">
        <f t="shared" si="41"/>
        <v>0</v>
      </c>
      <c r="S173" s="311">
        <f t="shared" si="32"/>
        <v>0</v>
      </c>
    </row>
    <row r="174" spans="1:19">
      <c r="A174" s="145"/>
      <c r="B174" s="54"/>
      <c r="C174" s="21">
        <f t="shared" si="33"/>
        <v>1</v>
      </c>
      <c r="D174" s="659"/>
      <c r="E174" s="21">
        <f t="shared" si="34"/>
        <v>1</v>
      </c>
      <c r="F174" s="659"/>
      <c r="G174" s="21">
        <f t="shared" si="35"/>
        <v>1</v>
      </c>
      <c r="H174" s="659"/>
      <c r="I174" s="21">
        <f t="shared" si="36"/>
        <v>1</v>
      </c>
      <c r="J174" s="659"/>
      <c r="K174" s="21">
        <f t="shared" si="37"/>
        <v>1</v>
      </c>
      <c r="L174" s="659"/>
      <c r="M174" s="21">
        <f t="shared" si="38"/>
        <v>1</v>
      </c>
      <c r="N174" s="659"/>
      <c r="O174" s="21">
        <f t="shared" si="39"/>
        <v>1</v>
      </c>
      <c r="P174" s="659"/>
      <c r="Q174" s="21">
        <f t="shared" si="40"/>
        <v>1</v>
      </c>
      <c r="R174" s="655">
        <f t="shared" si="41"/>
        <v>0</v>
      </c>
      <c r="S174" s="311">
        <f t="shared" si="32"/>
        <v>0</v>
      </c>
    </row>
    <row r="175" spans="1:19">
      <c r="A175" s="145"/>
      <c r="B175" s="54"/>
      <c r="C175" s="21">
        <f t="shared" si="33"/>
        <v>1</v>
      </c>
      <c r="D175" s="659"/>
      <c r="E175" s="21">
        <f t="shared" si="34"/>
        <v>1</v>
      </c>
      <c r="F175" s="659"/>
      <c r="G175" s="21">
        <f t="shared" si="35"/>
        <v>1</v>
      </c>
      <c r="H175" s="659"/>
      <c r="I175" s="21">
        <f t="shared" si="36"/>
        <v>1</v>
      </c>
      <c r="J175" s="659"/>
      <c r="K175" s="21">
        <f t="shared" si="37"/>
        <v>1</v>
      </c>
      <c r="L175" s="659"/>
      <c r="M175" s="21">
        <f t="shared" si="38"/>
        <v>1</v>
      </c>
      <c r="N175" s="659"/>
      <c r="O175" s="21">
        <f t="shared" si="39"/>
        <v>1</v>
      </c>
      <c r="P175" s="659"/>
      <c r="Q175" s="21">
        <f t="shared" si="40"/>
        <v>1</v>
      </c>
      <c r="R175" s="655">
        <f t="shared" si="41"/>
        <v>0</v>
      </c>
      <c r="S175" s="311">
        <f t="shared" si="32"/>
        <v>0</v>
      </c>
    </row>
    <row r="176" spans="1:19">
      <c r="A176" s="145"/>
      <c r="B176" s="54"/>
      <c r="C176" s="21">
        <f t="shared" si="33"/>
        <v>1</v>
      </c>
      <c r="D176" s="659"/>
      <c r="E176" s="21">
        <f t="shared" si="34"/>
        <v>1</v>
      </c>
      <c r="F176" s="659"/>
      <c r="G176" s="21">
        <f t="shared" si="35"/>
        <v>1</v>
      </c>
      <c r="H176" s="659"/>
      <c r="I176" s="21">
        <f t="shared" si="36"/>
        <v>1</v>
      </c>
      <c r="J176" s="659"/>
      <c r="K176" s="21">
        <f t="shared" si="37"/>
        <v>1</v>
      </c>
      <c r="L176" s="659"/>
      <c r="M176" s="21">
        <f t="shared" si="38"/>
        <v>1</v>
      </c>
      <c r="N176" s="659"/>
      <c r="O176" s="21">
        <f t="shared" si="39"/>
        <v>1</v>
      </c>
      <c r="P176" s="659"/>
      <c r="Q176" s="21">
        <f t="shared" si="40"/>
        <v>1</v>
      </c>
      <c r="R176" s="655">
        <f t="shared" si="41"/>
        <v>0</v>
      </c>
      <c r="S176" s="311">
        <f t="shared" si="32"/>
        <v>0</v>
      </c>
    </row>
    <row r="177" spans="1:19">
      <c r="A177" s="145"/>
      <c r="B177" s="54"/>
      <c r="C177" s="21">
        <f t="shared" si="33"/>
        <v>1</v>
      </c>
      <c r="D177" s="659"/>
      <c r="E177" s="21">
        <f t="shared" si="34"/>
        <v>1</v>
      </c>
      <c r="F177" s="659"/>
      <c r="G177" s="21">
        <f t="shared" si="35"/>
        <v>1</v>
      </c>
      <c r="H177" s="659"/>
      <c r="I177" s="21">
        <f t="shared" si="36"/>
        <v>1</v>
      </c>
      <c r="J177" s="659"/>
      <c r="K177" s="21">
        <f t="shared" si="37"/>
        <v>1</v>
      </c>
      <c r="L177" s="659"/>
      <c r="M177" s="21">
        <f t="shared" si="38"/>
        <v>1</v>
      </c>
      <c r="N177" s="659"/>
      <c r="O177" s="21">
        <f t="shared" si="39"/>
        <v>1</v>
      </c>
      <c r="P177" s="659"/>
      <c r="Q177" s="21">
        <f t="shared" si="40"/>
        <v>1</v>
      </c>
      <c r="R177" s="655">
        <f t="shared" si="41"/>
        <v>0</v>
      </c>
      <c r="S177" s="311">
        <f t="shared" si="32"/>
        <v>0</v>
      </c>
    </row>
    <row r="178" spans="1:19">
      <c r="A178" s="145"/>
      <c r="B178" s="54"/>
      <c r="C178" s="21">
        <f t="shared" si="33"/>
        <v>1</v>
      </c>
      <c r="D178" s="659"/>
      <c r="E178" s="21">
        <f t="shared" si="34"/>
        <v>1</v>
      </c>
      <c r="F178" s="659"/>
      <c r="G178" s="21">
        <f t="shared" si="35"/>
        <v>1</v>
      </c>
      <c r="H178" s="659"/>
      <c r="I178" s="21">
        <f t="shared" si="36"/>
        <v>1</v>
      </c>
      <c r="J178" s="659"/>
      <c r="K178" s="21">
        <f t="shared" si="37"/>
        <v>1</v>
      </c>
      <c r="L178" s="659"/>
      <c r="M178" s="21">
        <f t="shared" si="38"/>
        <v>1</v>
      </c>
      <c r="N178" s="659"/>
      <c r="O178" s="21">
        <f t="shared" si="39"/>
        <v>1</v>
      </c>
      <c r="P178" s="659"/>
      <c r="Q178" s="21">
        <f t="shared" si="40"/>
        <v>1</v>
      </c>
      <c r="R178" s="655">
        <f t="shared" si="41"/>
        <v>0</v>
      </c>
      <c r="S178" s="311">
        <f t="shared" si="32"/>
        <v>0</v>
      </c>
    </row>
    <row r="179" spans="1:19">
      <c r="A179" s="145"/>
      <c r="B179" s="54"/>
      <c r="C179" s="21">
        <f t="shared" si="33"/>
        <v>1</v>
      </c>
      <c r="D179" s="659"/>
      <c r="E179" s="21">
        <f t="shared" si="34"/>
        <v>1</v>
      </c>
      <c r="F179" s="659"/>
      <c r="G179" s="21">
        <f t="shared" si="35"/>
        <v>1</v>
      </c>
      <c r="H179" s="659"/>
      <c r="I179" s="21">
        <f t="shared" si="36"/>
        <v>1</v>
      </c>
      <c r="J179" s="659"/>
      <c r="K179" s="21">
        <f t="shared" si="37"/>
        <v>1</v>
      </c>
      <c r="L179" s="659"/>
      <c r="M179" s="21">
        <f t="shared" si="38"/>
        <v>1</v>
      </c>
      <c r="N179" s="659"/>
      <c r="O179" s="21">
        <f t="shared" si="39"/>
        <v>1</v>
      </c>
      <c r="P179" s="659"/>
      <c r="Q179" s="21">
        <f t="shared" si="40"/>
        <v>1</v>
      </c>
      <c r="R179" s="655">
        <f t="shared" si="41"/>
        <v>0</v>
      </c>
      <c r="S179" s="311">
        <f t="shared" si="32"/>
        <v>0</v>
      </c>
    </row>
    <row r="180" spans="1:19">
      <c r="A180" s="145"/>
      <c r="B180" s="54"/>
      <c r="C180" s="21">
        <f t="shared" si="33"/>
        <v>1</v>
      </c>
      <c r="D180" s="659"/>
      <c r="E180" s="21">
        <f t="shared" si="34"/>
        <v>1</v>
      </c>
      <c r="F180" s="659"/>
      <c r="G180" s="21">
        <f t="shared" si="35"/>
        <v>1</v>
      </c>
      <c r="H180" s="659"/>
      <c r="I180" s="21">
        <f t="shared" si="36"/>
        <v>1</v>
      </c>
      <c r="J180" s="659"/>
      <c r="K180" s="21">
        <f t="shared" si="37"/>
        <v>1</v>
      </c>
      <c r="L180" s="659"/>
      <c r="M180" s="21">
        <f t="shared" si="38"/>
        <v>1</v>
      </c>
      <c r="N180" s="659"/>
      <c r="O180" s="21">
        <f t="shared" si="39"/>
        <v>1</v>
      </c>
      <c r="P180" s="659"/>
      <c r="Q180" s="21">
        <f t="shared" si="40"/>
        <v>1</v>
      </c>
      <c r="R180" s="655">
        <f t="shared" si="41"/>
        <v>0</v>
      </c>
      <c r="S180" s="311">
        <f t="shared" si="32"/>
        <v>0</v>
      </c>
    </row>
    <row r="181" spans="1:19">
      <c r="A181" s="145"/>
      <c r="B181" s="54"/>
      <c r="C181" s="21">
        <f t="shared" si="33"/>
        <v>1</v>
      </c>
      <c r="D181" s="659"/>
      <c r="E181" s="21">
        <f t="shared" si="34"/>
        <v>1</v>
      </c>
      <c r="F181" s="659"/>
      <c r="G181" s="21">
        <f t="shared" si="35"/>
        <v>1</v>
      </c>
      <c r="H181" s="659"/>
      <c r="I181" s="21">
        <f t="shared" si="36"/>
        <v>1</v>
      </c>
      <c r="J181" s="659"/>
      <c r="K181" s="21">
        <f t="shared" si="37"/>
        <v>1</v>
      </c>
      <c r="L181" s="659"/>
      <c r="M181" s="21">
        <f t="shared" si="38"/>
        <v>1</v>
      </c>
      <c r="N181" s="659"/>
      <c r="O181" s="21">
        <f t="shared" si="39"/>
        <v>1</v>
      </c>
      <c r="P181" s="659"/>
      <c r="Q181" s="21">
        <f t="shared" si="40"/>
        <v>1</v>
      </c>
      <c r="R181" s="655">
        <f t="shared" si="41"/>
        <v>0</v>
      </c>
      <c r="S181" s="311">
        <f t="shared" si="32"/>
        <v>0</v>
      </c>
    </row>
    <row r="182" spans="1:19">
      <c r="A182" s="145"/>
      <c r="B182" s="54"/>
      <c r="C182" s="21">
        <f t="shared" si="33"/>
        <v>1</v>
      </c>
      <c r="D182" s="659"/>
      <c r="E182" s="21">
        <f t="shared" si="34"/>
        <v>1</v>
      </c>
      <c r="F182" s="659"/>
      <c r="G182" s="21">
        <f t="shared" si="35"/>
        <v>1</v>
      </c>
      <c r="H182" s="659"/>
      <c r="I182" s="21">
        <f t="shared" si="36"/>
        <v>1</v>
      </c>
      <c r="J182" s="659"/>
      <c r="K182" s="21">
        <f t="shared" si="37"/>
        <v>1</v>
      </c>
      <c r="L182" s="659"/>
      <c r="M182" s="21">
        <f t="shared" si="38"/>
        <v>1</v>
      </c>
      <c r="N182" s="659"/>
      <c r="O182" s="21">
        <f t="shared" si="39"/>
        <v>1</v>
      </c>
      <c r="P182" s="659"/>
      <c r="Q182" s="21">
        <f t="shared" si="40"/>
        <v>1</v>
      </c>
      <c r="R182" s="655">
        <f t="shared" si="41"/>
        <v>0</v>
      </c>
      <c r="S182" s="311">
        <f t="shared" si="32"/>
        <v>0</v>
      </c>
    </row>
    <row r="183" spans="1:19">
      <c r="A183" s="145"/>
      <c r="B183" s="54"/>
      <c r="C183" s="21">
        <f t="shared" si="33"/>
        <v>1</v>
      </c>
      <c r="D183" s="659"/>
      <c r="E183" s="21">
        <f t="shared" si="34"/>
        <v>1</v>
      </c>
      <c r="F183" s="659"/>
      <c r="G183" s="21">
        <f t="shared" si="35"/>
        <v>1</v>
      </c>
      <c r="H183" s="659"/>
      <c r="I183" s="21">
        <f t="shared" si="36"/>
        <v>1</v>
      </c>
      <c r="J183" s="659"/>
      <c r="K183" s="21">
        <f t="shared" si="37"/>
        <v>1</v>
      </c>
      <c r="L183" s="659"/>
      <c r="M183" s="21">
        <f t="shared" si="38"/>
        <v>1</v>
      </c>
      <c r="N183" s="659"/>
      <c r="O183" s="21">
        <f t="shared" si="39"/>
        <v>1</v>
      </c>
      <c r="P183" s="659"/>
      <c r="Q183" s="21">
        <f t="shared" si="40"/>
        <v>1</v>
      </c>
      <c r="R183" s="655">
        <f t="shared" si="41"/>
        <v>0</v>
      </c>
      <c r="S183" s="311">
        <f t="shared" si="32"/>
        <v>0</v>
      </c>
    </row>
    <row r="184" spans="1:19">
      <c r="A184" s="145"/>
      <c r="B184" s="54"/>
      <c r="C184" s="21">
        <f t="shared" si="33"/>
        <v>1</v>
      </c>
      <c r="D184" s="659"/>
      <c r="E184" s="21">
        <f t="shared" si="34"/>
        <v>1</v>
      </c>
      <c r="F184" s="659"/>
      <c r="G184" s="21">
        <f t="shared" si="35"/>
        <v>1</v>
      </c>
      <c r="H184" s="659"/>
      <c r="I184" s="21">
        <f t="shared" si="36"/>
        <v>1</v>
      </c>
      <c r="J184" s="659"/>
      <c r="K184" s="21">
        <f t="shared" si="37"/>
        <v>1</v>
      </c>
      <c r="L184" s="659"/>
      <c r="M184" s="21">
        <f t="shared" si="38"/>
        <v>1</v>
      </c>
      <c r="N184" s="659"/>
      <c r="O184" s="21">
        <f t="shared" si="39"/>
        <v>1</v>
      </c>
      <c r="P184" s="659"/>
      <c r="Q184" s="21">
        <f t="shared" si="40"/>
        <v>1</v>
      </c>
      <c r="R184" s="655">
        <f t="shared" si="41"/>
        <v>0</v>
      </c>
      <c r="S184" s="311">
        <f t="shared" si="32"/>
        <v>0</v>
      </c>
    </row>
    <row r="185" spans="1:19">
      <c r="A185" s="145"/>
      <c r="B185" s="54"/>
      <c r="C185" s="21">
        <f t="shared" si="33"/>
        <v>1</v>
      </c>
      <c r="D185" s="659"/>
      <c r="E185" s="21">
        <f t="shared" si="34"/>
        <v>1</v>
      </c>
      <c r="F185" s="659"/>
      <c r="G185" s="21">
        <f t="shared" si="35"/>
        <v>1</v>
      </c>
      <c r="H185" s="659"/>
      <c r="I185" s="21">
        <f t="shared" si="36"/>
        <v>1</v>
      </c>
      <c r="J185" s="659"/>
      <c r="K185" s="21">
        <f t="shared" si="37"/>
        <v>1</v>
      </c>
      <c r="L185" s="659"/>
      <c r="M185" s="21">
        <f t="shared" si="38"/>
        <v>1</v>
      </c>
      <c r="N185" s="659"/>
      <c r="O185" s="21">
        <f t="shared" si="39"/>
        <v>1</v>
      </c>
      <c r="P185" s="659"/>
      <c r="Q185" s="21">
        <f t="shared" si="40"/>
        <v>1</v>
      </c>
      <c r="R185" s="655">
        <f t="shared" si="41"/>
        <v>0</v>
      </c>
      <c r="S185" s="311">
        <f t="shared" si="32"/>
        <v>0</v>
      </c>
    </row>
    <row r="186" spans="1:19">
      <c r="A186" s="145"/>
      <c r="B186" s="54"/>
      <c r="C186" s="21">
        <f t="shared" si="33"/>
        <v>1</v>
      </c>
      <c r="D186" s="659"/>
      <c r="E186" s="21">
        <f t="shared" si="34"/>
        <v>1</v>
      </c>
      <c r="F186" s="659"/>
      <c r="G186" s="21">
        <f t="shared" si="35"/>
        <v>1</v>
      </c>
      <c r="H186" s="659"/>
      <c r="I186" s="21">
        <f t="shared" si="36"/>
        <v>1</v>
      </c>
      <c r="J186" s="659"/>
      <c r="K186" s="21">
        <f t="shared" si="37"/>
        <v>1</v>
      </c>
      <c r="L186" s="659"/>
      <c r="M186" s="21">
        <f t="shared" si="38"/>
        <v>1</v>
      </c>
      <c r="N186" s="659"/>
      <c r="O186" s="21">
        <f t="shared" si="39"/>
        <v>1</v>
      </c>
      <c r="P186" s="659"/>
      <c r="Q186" s="21">
        <f t="shared" si="40"/>
        <v>1</v>
      </c>
      <c r="R186" s="655">
        <f t="shared" si="41"/>
        <v>0</v>
      </c>
      <c r="S186" s="311">
        <f t="shared" si="32"/>
        <v>0</v>
      </c>
    </row>
    <row r="187" spans="1:19">
      <c r="A187" s="145"/>
      <c r="B187" s="54"/>
      <c r="C187" s="21">
        <f t="shared" si="33"/>
        <v>1</v>
      </c>
      <c r="D187" s="659"/>
      <c r="E187" s="21">
        <f t="shared" si="34"/>
        <v>1</v>
      </c>
      <c r="F187" s="659"/>
      <c r="G187" s="21">
        <f t="shared" si="35"/>
        <v>1</v>
      </c>
      <c r="H187" s="659"/>
      <c r="I187" s="21">
        <f t="shared" si="36"/>
        <v>1</v>
      </c>
      <c r="J187" s="659"/>
      <c r="K187" s="21">
        <f t="shared" si="37"/>
        <v>1</v>
      </c>
      <c r="L187" s="659"/>
      <c r="M187" s="21">
        <f t="shared" si="38"/>
        <v>1</v>
      </c>
      <c r="N187" s="659"/>
      <c r="O187" s="21">
        <f t="shared" si="39"/>
        <v>1</v>
      </c>
      <c r="P187" s="659"/>
      <c r="Q187" s="21">
        <f t="shared" si="40"/>
        <v>1</v>
      </c>
      <c r="R187" s="655">
        <f t="shared" si="41"/>
        <v>0</v>
      </c>
      <c r="S187" s="311">
        <f t="shared" ref="S187:S222" si="42">ROUND(R187*B187/10000,0)</f>
        <v>0</v>
      </c>
    </row>
    <row r="188" spans="1:19">
      <c r="A188" s="145"/>
      <c r="B188" s="54"/>
      <c r="C188" s="21">
        <f t="shared" si="33"/>
        <v>1</v>
      </c>
      <c r="D188" s="659"/>
      <c r="E188" s="21">
        <f t="shared" si="34"/>
        <v>1</v>
      </c>
      <c r="F188" s="659"/>
      <c r="G188" s="21">
        <f t="shared" si="35"/>
        <v>1</v>
      </c>
      <c r="H188" s="659"/>
      <c r="I188" s="21">
        <f t="shared" si="36"/>
        <v>1</v>
      </c>
      <c r="J188" s="659"/>
      <c r="K188" s="21">
        <f t="shared" si="37"/>
        <v>1</v>
      </c>
      <c r="L188" s="659"/>
      <c r="M188" s="21">
        <f t="shared" si="38"/>
        <v>1</v>
      </c>
      <c r="N188" s="659"/>
      <c r="O188" s="21">
        <f t="shared" si="39"/>
        <v>1</v>
      </c>
      <c r="P188" s="659"/>
      <c r="Q188" s="21">
        <f t="shared" si="40"/>
        <v>1</v>
      </c>
      <c r="R188" s="655">
        <f t="shared" si="41"/>
        <v>0</v>
      </c>
      <c r="S188" s="311">
        <f t="shared" si="42"/>
        <v>0</v>
      </c>
    </row>
    <row r="189" spans="1:19">
      <c r="A189" s="145"/>
      <c r="B189" s="54"/>
      <c r="C189" s="21">
        <f t="shared" si="33"/>
        <v>1</v>
      </c>
      <c r="D189" s="659"/>
      <c r="E189" s="21">
        <f t="shared" si="34"/>
        <v>1</v>
      </c>
      <c r="F189" s="659"/>
      <c r="G189" s="21">
        <f t="shared" si="35"/>
        <v>1</v>
      </c>
      <c r="H189" s="659"/>
      <c r="I189" s="21">
        <f t="shared" si="36"/>
        <v>1</v>
      </c>
      <c r="J189" s="659"/>
      <c r="K189" s="21">
        <f t="shared" si="37"/>
        <v>1</v>
      </c>
      <c r="L189" s="659"/>
      <c r="M189" s="21">
        <f t="shared" si="38"/>
        <v>1</v>
      </c>
      <c r="N189" s="659"/>
      <c r="O189" s="21">
        <f t="shared" si="39"/>
        <v>1</v>
      </c>
      <c r="P189" s="659"/>
      <c r="Q189" s="21">
        <f t="shared" si="40"/>
        <v>1</v>
      </c>
      <c r="R189" s="655">
        <f t="shared" si="41"/>
        <v>0</v>
      </c>
      <c r="S189" s="311">
        <f t="shared" si="42"/>
        <v>0</v>
      </c>
    </row>
    <row r="190" spans="1:19">
      <c r="A190" s="145"/>
      <c r="B190" s="54"/>
      <c r="C190" s="21">
        <f t="shared" si="33"/>
        <v>1</v>
      </c>
      <c r="D190" s="659"/>
      <c r="E190" s="21">
        <f t="shared" si="34"/>
        <v>1</v>
      </c>
      <c r="F190" s="659"/>
      <c r="G190" s="21">
        <f t="shared" si="35"/>
        <v>1</v>
      </c>
      <c r="H190" s="659"/>
      <c r="I190" s="21">
        <f t="shared" si="36"/>
        <v>1</v>
      </c>
      <c r="J190" s="659"/>
      <c r="K190" s="21">
        <f t="shared" si="37"/>
        <v>1</v>
      </c>
      <c r="L190" s="659"/>
      <c r="M190" s="21">
        <f t="shared" si="38"/>
        <v>1</v>
      </c>
      <c r="N190" s="659"/>
      <c r="O190" s="21">
        <f t="shared" si="39"/>
        <v>1</v>
      </c>
      <c r="P190" s="659"/>
      <c r="Q190" s="21">
        <f t="shared" si="40"/>
        <v>1</v>
      </c>
      <c r="R190" s="655">
        <f t="shared" si="41"/>
        <v>0</v>
      </c>
      <c r="S190" s="311">
        <f t="shared" si="42"/>
        <v>0</v>
      </c>
    </row>
    <row r="191" spans="1:19">
      <c r="A191" s="145"/>
      <c r="B191" s="54"/>
      <c r="C191" s="21">
        <f t="shared" si="33"/>
        <v>1</v>
      </c>
      <c r="D191" s="659"/>
      <c r="E191" s="21">
        <f t="shared" si="34"/>
        <v>1</v>
      </c>
      <c r="F191" s="659"/>
      <c r="G191" s="21">
        <f t="shared" si="35"/>
        <v>1</v>
      </c>
      <c r="H191" s="659"/>
      <c r="I191" s="21">
        <f t="shared" si="36"/>
        <v>1</v>
      </c>
      <c r="J191" s="659"/>
      <c r="K191" s="21">
        <f t="shared" si="37"/>
        <v>1</v>
      </c>
      <c r="L191" s="659"/>
      <c r="M191" s="21">
        <f t="shared" si="38"/>
        <v>1</v>
      </c>
      <c r="N191" s="659"/>
      <c r="O191" s="21">
        <f t="shared" si="39"/>
        <v>1</v>
      </c>
      <c r="P191" s="659"/>
      <c r="Q191" s="21">
        <f t="shared" si="40"/>
        <v>1</v>
      </c>
      <c r="R191" s="655">
        <f t="shared" si="41"/>
        <v>0</v>
      </c>
      <c r="S191" s="311">
        <f t="shared" si="42"/>
        <v>0</v>
      </c>
    </row>
    <row r="192" spans="1:19">
      <c r="A192" s="145"/>
      <c r="B192" s="54"/>
      <c r="C192" s="21">
        <f t="shared" si="33"/>
        <v>1</v>
      </c>
      <c r="D192" s="659"/>
      <c r="E192" s="21">
        <f t="shared" si="34"/>
        <v>1</v>
      </c>
      <c r="F192" s="659"/>
      <c r="G192" s="21">
        <f t="shared" si="35"/>
        <v>1</v>
      </c>
      <c r="H192" s="659"/>
      <c r="I192" s="21">
        <f t="shared" si="36"/>
        <v>1</v>
      </c>
      <c r="J192" s="659"/>
      <c r="K192" s="21">
        <f t="shared" si="37"/>
        <v>1</v>
      </c>
      <c r="L192" s="659"/>
      <c r="M192" s="21">
        <f t="shared" si="38"/>
        <v>1</v>
      </c>
      <c r="N192" s="659"/>
      <c r="O192" s="21">
        <f t="shared" si="39"/>
        <v>1</v>
      </c>
      <c r="P192" s="659"/>
      <c r="Q192" s="21">
        <f t="shared" si="40"/>
        <v>1</v>
      </c>
      <c r="R192" s="655">
        <f t="shared" si="41"/>
        <v>0</v>
      </c>
      <c r="S192" s="311">
        <f t="shared" si="42"/>
        <v>0</v>
      </c>
    </row>
    <row r="193" spans="1:19">
      <c r="A193" s="145"/>
      <c r="B193" s="54"/>
      <c r="C193" s="21">
        <f t="shared" si="33"/>
        <v>1</v>
      </c>
      <c r="D193" s="659"/>
      <c r="E193" s="21">
        <f t="shared" si="34"/>
        <v>1</v>
      </c>
      <c r="F193" s="659"/>
      <c r="G193" s="21">
        <f t="shared" si="35"/>
        <v>1</v>
      </c>
      <c r="H193" s="659"/>
      <c r="I193" s="21">
        <f t="shared" si="36"/>
        <v>1</v>
      </c>
      <c r="J193" s="659"/>
      <c r="K193" s="21">
        <f t="shared" si="37"/>
        <v>1</v>
      </c>
      <c r="L193" s="659"/>
      <c r="M193" s="21">
        <f t="shared" si="38"/>
        <v>1</v>
      </c>
      <c r="N193" s="659"/>
      <c r="O193" s="21">
        <f t="shared" si="39"/>
        <v>1</v>
      </c>
      <c r="P193" s="659"/>
      <c r="Q193" s="21">
        <f t="shared" si="40"/>
        <v>1</v>
      </c>
      <c r="R193" s="655">
        <f t="shared" si="41"/>
        <v>0</v>
      </c>
      <c r="S193" s="311">
        <f t="shared" si="42"/>
        <v>0</v>
      </c>
    </row>
    <row r="194" spans="1:19">
      <c r="A194" s="145"/>
      <c r="B194" s="54"/>
      <c r="C194" s="21">
        <f t="shared" si="33"/>
        <v>1</v>
      </c>
      <c r="D194" s="659"/>
      <c r="E194" s="21">
        <f t="shared" si="34"/>
        <v>1</v>
      </c>
      <c r="F194" s="659"/>
      <c r="G194" s="21">
        <f t="shared" si="35"/>
        <v>1</v>
      </c>
      <c r="H194" s="659"/>
      <c r="I194" s="21">
        <f t="shared" si="36"/>
        <v>1</v>
      </c>
      <c r="J194" s="659"/>
      <c r="K194" s="21">
        <f t="shared" si="37"/>
        <v>1</v>
      </c>
      <c r="L194" s="659"/>
      <c r="M194" s="21">
        <f t="shared" si="38"/>
        <v>1</v>
      </c>
      <c r="N194" s="659"/>
      <c r="O194" s="21">
        <f t="shared" si="39"/>
        <v>1</v>
      </c>
      <c r="P194" s="659"/>
      <c r="Q194" s="21">
        <f t="shared" si="40"/>
        <v>1</v>
      </c>
      <c r="R194" s="655">
        <f t="shared" si="41"/>
        <v>0</v>
      </c>
      <c r="S194" s="311">
        <f t="shared" si="42"/>
        <v>0</v>
      </c>
    </row>
    <row r="195" spans="1:19">
      <c r="A195" s="145"/>
      <c r="B195" s="54"/>
      <c r="C195" s="21">
        <f t="shared" si="33"/>
        <v>1</v>
      </c>
      <c r="D195" s="659"/>
      <c r="E195" s="21">
        <f t="shared" si="34"/>
        <v>1</v>
      </c>
      <c r="F195" s="659"/>
      <c r="G195" s="21">
        <f t="shared" si="35"/>
        <v>1</v>
      </c>
      <c r="H195" s="659"/>
      <c r="I195" s="21">
        <f t="shared" si="36"/>
        <v>1</v>
      </c>
      <c r="J195" s="659"/>
      <c r="K195" s="21">
        <f t="shared" si="37"/>
        <v>1</v>
      </c>
      <c r="L195" s="659"/>
      <c r="M195" s="21">
        <f t="shared" si="38"/>
        <v>1</v>
      </c>
      <c r="N195" s="659"/>
      <c r="O195" s="21">
        <f t="shared" si="39"/>
        <v>1</v>
      </c>
      <c r="P195" s="659"/>
      <c r="Q195" s="21">
        <f t="shared" si="40"/>
        <v>1</v>
      </c>
      <c r="R195" s="655">
        <f t="shared" si="41"/>
        <v>0</v>
      </c>
      <c r="S195" s="311">
        <f t="shared" si="42"/>
        <v>0</v>
      </c>
    </row>
    <row r="196" spans="1:19">
      <c r="A196" s="145"/>
      <c r="B196" s="54"/>
      <c r="C196" s="21">
        <f t="shared" si="33"/>
        <v>1</v>
      </c>
      <c r="D196" s="659"/>
      <c r="E196" s="21">
        <f t="shared" si="34"/>
        <v>1</v>
      </c>
      <c r="F196" s="659"/>
      <c r="G196" s="21">
        <f t="shared" si="35"/>
        <v>1</v>
      </c>
      <c r="H196" s="659"/>
      <c r="I196" s="21">
        <f t="shared" si="36"/>
        <v>1</v>
      </c>
      <c r="J196" s="659"/>
      <c r="K196" s="21">
        <f t="shared" si="37"/>
        <v>1</v>
      </c>
      <c r="L196" s="659"/>
      <c r="M196" s="21">
        <f t="shared" si="38"/>
        <v>1</v>
      </c>
      <c r="N196" s="659"/>
      <c r="O196" s="21">
        <f t="shared" si="39"/>
        <v>1</v>
      </c>
      <c r="P196" s="659"/>
      <c r="Q196" s="21">
        <f t="shared" si="40"/>
        <v>1</v>
      </c>
      <c r="R196" s="655">
        <f t="shared" si="41"/>
        <v>0</v>
      </c>
      <c r="S196" s="311">
        <f t="shared" si="42"/>
        <v>0</v>
      </c>
    </row>
    <row r="197" spans="1:19">
      <c r="A197" s="145"/>
      <c r="B197" s="54"/>
      <c r="C197" s="21">
        <f t="shared" si="33"/>
        <v>1</v>
      </c>
      <c r="D197" s="659"/>
      <c r="E197" s="21">
        <f t="shared" si="34"/>
        <v>1</v>
      </c>
      <c r="F197" s="659"/>
      <c r="G197" s="21">
        <f t="shared" si="35"/>
        <v>1</v>
      </c>
      <c r="H197" s="659"/>
      <c r="I197" s="21">
        <f t="shared" si="36"/>
        <v>1</v>
      </c>
      <c r="J197" s="659"/>
      <c r="K197" s="21">
        <f t="shared" si="37"/>
        <v>1</v>
      </c>
      <c r="L197" s="659"/>
      <c r="M197" s="21">
        <f t="shared" si="38"/>
        <v>1</v>
      </c>
      <c r="N197" s="659"/>
      <c r="O197" s="21">
        <f t="shared" si="39"/>
        <v>1</v>
      </c>
      <c r="P197" s="659"/>
      <c r="Q197" s="21">
        <f t="shared" si="40"/>
        <v>1</v>
      </c>
      <c r="R197" s="655">
        <f t="shared" si="41"/>
        <v>0</v>
      </c>
      <c r="S197" s="311">
        <f t="shared" si="42"/>
        <v>0</v>
      </c>
    </row>
    <row r="198" spans="1:19">
      <c r="A198" s="145"/>
      <c r="B198" s="54"/>
      <c r="C198" s="21">
        <f t="shared" si="33"/>
        <v>1</v>
      </c>
      <c r="D198" s="659"/>
      <c r="E198" s="21">
        <f t="shared" si="34"/>
        <v>1</v>
      </c>
      <c r="F198" s="659"/>
      <c r="G198" s="21">
        <f t="shared" si="35"/>
        <v>1</v>
      </c>
      <c r="H198" s="659"/>
      <c r="I198" s="21">
        <f t="shared" si="36"/>
        <v>1</v>
      </c>
      <c r="J198" s="659"/>
      <c r="K198" s="21">
        <f t="shared" si="37"/>
        <v>1</v>
      </c>
      <c r="L198" s="659"/>
      <c r="M198" s="21">
        <f t="shared" si="38"/>
        <v>1</v>
      </c>
      <c r="N198" s="659"/>
      <c r="O198" s="21">
        <f t="shared" si="39"/>
        <v>1</v>
      </c>
      <c r="P198" s="659"/>
      <c r="Q198" s="21">
        <f t="shared" si="40"/>
        <v>1</v>
      </c>
      <c r="R198" s="655">
        <f t="shared" si="41"/>
        <v>0</v>
      </c>
      <c r="S198" s="311">
        <f t="shared" si="42"/>
        <v>0</v>
      </c>
    </row>
    <row r="199" spans="1:19">
      <c r="A199" s="145"/>
      <c r="B199" s="54"/>
      <c r="C199" s="21">
        <f t="shared" si="33"/>
        <v>1</v>
      </c>
      <c r="D199" s="659"/>
      <c r="E199" s="21">
        <f t="shared" si="34"/>
        <v>1</v>
      </c>
      <c r="F199" s="659"/>
      <c r="G199" s="21">
        <f t="shared" si="35"/>
        <v>1</v>
      </c>
      <c r="H199" s="659"/>
      <c r="I199" s="21">
        <f t="shared" si="36"/>
        <v>1</v>
      </c>
      <c r="J199" s="659"/>
      <c r="K199" s="21">
        <f t="shared" si="37"/>
        <v>1</v>
      </c>
      <c r="L199" s="659"/>
      <c r="M199" s="21">
        <f t="shared" si="38"/>
        <v>1</v>
      </c>
      <c r="N199" s="659"/>
      <c r="O199" s="21">
        <f t="shared" si="39"/>
        <v>1</v>
      </c>
      <c r="P199" s="659"/>
      <c r="Q199" s="21">
        <f t="shared" si="40"/>
        <v>1</v>
      </c>
      <c r="R199" s="655">
        <f t="shared" si="41"/>
        <v>0</v>
      </c>
      <c r="S199" s="311">
        <f t="shared" si="42"/>
        <v>0</v>
      </c>
    </row>
    <row r="200" spans="1:19">
      <c r="A200" s="145"/>
      <c r="B200" s="54"/>
      <c r="C200" s="21">
        <f t="shared" si="33"/>
        <v>1</v>
      </c>
      <c r="D200" s="659"/>
      <c r="E200" s="21">
        <f t="shared" si="34"/>
        <v>1</v>
      </c>
      <c r="F200" s="659"/>
      <c r="G200" s="21">
        <f t="shared" si="35"/>
        <v>1</v>
      </c>
      <c r="H200" s="659"/>
      <c r="I200" s="21">
        <f t="shared" si="36"/>
        <v>1</v>
      </c>
      <c r="J200" s="659"/>
      <c r="K200" s="21">
        <f t="shared" si="37"/>
        <v>1</v>
      </c>
      <c r="L200" s="659"/>
      <c r="M200" s="21">
        <f t="shared" si="38"/>
        <v>1</v>
      </c>
      <c r="N200" s="659"/>
      <c r="O200" s="21">
        <f t="shared" si="39"/>
        <v>1</v>
      </c>
      <c r="P200" s="659"/>
      <c r="Q200" s="21">
        <f t="shared" si="40"/>
        <v>1</v>
      </c>
      <c r="R200" s="655">
        <f t="shared" si="41"/>
        <v>0</v>
      </c>
      <c r="S200" s="311">
        <f t="shared" si="42"/>
        <v>0</v>
      </c>
    </row>
    <row r="201" spans="1:19">
      <c r="A201" s="145"/>
      <c r="B201" s="54"/>
      <c r="C201" s="21">
        <f t="shared" si="33"/>
        <v>1</v>
      </c>
      <c r="D201" s="659"/>
      <c r="E201" s="21">
        <f t="shared" si="34"/>
        <v>1</v>
      </c>
      <c r="F201" s="659"/>
      <c r="G201" s="21">
        <f t="shared" si="35"/>
        <v>1</v>
      </c>
      <c r="H201" s="659"/>
      <c r="I201" s="21">
        <f t="shared" si="36"/>
        <v>1</v>
      </c>
      <c r="J201" s="659"/>
      <c r="K201" s="21">
        <f t="shared" si="37"/>
        <v>1</v>
      </c>
      <c r="L201" s="659"/>
      <c r="M201" s="21">
        <f t="shared" si="38"/>
        <v>1</v>
      </c>
      <c r="N201" s="659"/>
      <c r="O201" s="21">
        <f t="shared" si="39"/>
        <v>1</v>
      </c>
      <c r="P201" s="659"/>
      <c r="Q201" s="21">
        <f t="shared" si="40"/>
        <v>1</v>
      </c>
      <c r="R201" s="655">
        <f t="shared" si="41"/>
        <v>0</v>
      </c>
      <c r="S201" s="311">
        <f t="shared" si="42"/>
        <v>0</v>
      </c>
    </row>
    <row r="202" spans="1:19">
      <c r="A202" s="145"/>
      <c r="B202" s="54"/>
      <c r="C202" s="21">
        <f t="shared" si="33"/>
        <v>1</v>
      </c>
      <c r="D202" s="659"/>
      <c r="E202" s="21">
        <f t="shared" si="34"/>
        <v>1</v>
      </c>
      <c r="F202" s="659"/>
      <c r="G202" s="21">
        <f t="shared" si="35"/>
        <v>1</v>
      </c>
      <c r="H202" s="659"/>
      <c r="I202" s="21">
        <f t="shared" si="36"/>
        <v>1</v>
      </c>
      <c r="J202" s="659"/>
      <c r="K202" s="21">
        <f t="shared" si="37"/>
        <v>1</v>
      </c>
      <c r="L202" s="659"/>
      <c r="M202" s="21">
        <f t="shared" si="38"/>
        <v>1</v>
      </c>
      <c r="N202" s="659"/>
      <c r="O202" s="21">
        <f t="shared" si="39"/>
        <v>1</v>
      </c>
      <c r="P202" s="659"/>
      <c r="Q202" s="21">
        <f t="shared" si="40"/>
        <v>1</v>
      </c>
      <c r="R202" s="655">
        <f t="shared" si="41"/>
        <v>0</v>
      </c>
      <c r="S202" s="311">
        <f t="shared" si="42"/>
        <v>0</v>
      </c>
    </row>
    <row r="203" spans="1:19">
      <c r="A203" s="145"/>
      <c r="B203" s="54"/>
      <c r="C203" s="21">
        <f t="shared" si="33"/>
        <v>1</v>
      </c>
      <c r="D203" s="659"/>
      <c r="E203" s="21">
        <f t="shared" si="34"/>
        <v>1</v>
      </c>
      <c r="F203" s="659"/>
      <c r="G203" s="21">
        <f t="shared" si="35"/>
        <v>1</v>
      </c>
      <c r="H203" s="659"/>
      <c r="I203" s="21">
        <f t="shared" si="36"/>
        <v>1</v>
      </c>
      <c r="J203" s="659"/>
      <c r="K203" s="21">
        <f t="shared" si="37"/>
        <v>1</v>
      </c>
      <c r="L203" s="659"/>
      <c r="M203" s="21">
        <f t="shared" si="38"/>
        <v>1</v>
      </c>
      <c r="N203" s="659"/>
      <c r="O203" s="21">
        <f t="shared" si="39"/>
        <v>1</v>
      </c>
      <c r="P203" s="659"/>
      <c r="Q203" s="21">
        <f t="shared" si="40"/>
        <v>1</v>
      </c>
      <c r="R203" s="655">
        <f t="shared" si="41"/>
        <v>0</v>
      </c>
      <c r="S203" s="311">
        <f t="shared" si="42"/>
        <v>0</v>
      </c>
    </row>
    <row r="204" spans="1:19">
      <c r="A204" s="145"/>
      <c r="B204" s="54"/>
      <c r="C204" s="21">
        <f t="shared" si="33"/>
        <v>1</v>
      </c>
      <c r="D204" s="659"/>
      <c r="E204" s="21">
        <f t="shared" si="34"/>
        <v>1</v>
      </c>
      <c r="F204" s="659"/>
      <c r="G204" s="21">
        <f t="shared" si="35"/>
        <v>1</v>
      </c>
      <c r="H204" s="659"/>
      <c r="I204" s="21">
        <f t="shared" si="36"/>
        <v>1</v>
      </c>
      <c r="J204" s="659"/>
      <c r="K204" s="21">
        <f t="shared" si="37"/>
        <v>1</v>
      </c>
      <c r="L204" s="659"/>
      <c r="M204" s="21">
        <f t="shared" si="38"/>
        <v>1</v>
      </c>
      <c r="N204" s="659"/>
      <c r="O204" s="21">
        <f t="shared" si="39"/>
        <v>1</v>
      </c>
      <c r="P204" s="659"/>
      <c r="Q204" s="21">
        <f t="shared" si="40"/>
        <v>1</v>
      </c>
      <c r="R204" s="655">
        <f t="shared" si="41"/>
        <v>0</v>
      </c>
      <c r="S204" s="311">
        <f t="shared" si="42"/>
        <v>0</v>
      </c>
    </row>
    <row r="205" spans="1:19">
      <c r="A205" s="145"/>
      <c r="B205" s="54"/>
      <c r="C205" s="21">
        <f t="shared" si="33"/>
        <v>1</v>
      </c>
      <c r="D205" s="659"/>
      <c r="E205" s="21">
        <f t="shared" si="34"/>
        <v>1</v>
      </c>
      <c r="F205" s="659"/>
      <c r="G205" s="21">
        <f t="shared" si="35"/>
        <v>1</v>
      </c>
      <c r="H205" s="659"/>
      <c r="I205" s="21">
        <f t="shared" si="36"/>
        <v>1</v>
      </c>
      <c r="J205" s="659"/>
      <c r="K205" s="21">
        <f t="shared" si="37"/>
        <v>1</v>
      </c>
      <c r="L205" s="659"/>
      <c r="M205" s="21">
        <f t="shared" si="38"/>
        <v>1</v>
      </c>
      <c r="N205" s="659"/>
      <c r="O205" s="21">
        <f t="shared" si="39"/>
        <v>1</v>
      </c>
      <c r="P205" s="659"/>
      <c r="Q205" s="21">
        <f t="shared" si="40"/>
        <v>1</v>
      </c>
      <c r="R205" s="655">
        <f t="shared" si="41"/>
        <v>0</v>
      </c>
      <c r="S205" s="311">
        <f t="shared" si="42"/>
        <v>0</v>
      </c>
    </row>
    <row r="206" spans="1:19">
      <c r="A206" s="145"/>
      <c r="B206" s="54"/>
      <c r="C206" s="21">
        <f t="shared" si="33"/>
        <v>1</v>
      </c>
      <c r="D206" s="659"/>
      <c r="E206" s="21">
        <f t="shared" si="34"/>
        <v>1</v>
      </c>
      <c r="F206" s="659"/>
      <c r="G206" s="21">
        <f t="shared" si="35"/>
        <v>1</v>
      </c>
      <c r="H206" s="659"/>
      <c r="I206" s="21">
        <f t="shared" si="36"/>
        <v>1</v>
      </c>
      <c r="J206" s="659"/>
      <c r="K206" s="21">
        <f t="shared" si="37"/>
        <v>1</v>
      </c>
      <c r="L206" s="659"/>
      <c r="M206" s="21">
        <f t="shared" si="38"/>
        <v>1</v>
      </c>
      <c r="N206" s="659"/>
      <c r="O206" s="21">
        <f t="shared" si="39"/>
        <v>1</v>
      </c>
      <c r="P206" s="659"/>
      <c r="Q206" s="21">
        <f t="shared" si="40"/>
        <v>1</v>
      </c>
      <c r="R206" s="655">
        <f t="shared" si="41"/>
        <v>0</v>
      </c>
      <c r="S206" s="311">
        <f t="shared" si="42"/>
        <v>0</v>
      </c>
    </row>
    <row r="207" spans="1:19">
      <c r="A207" s="145"/>
      <c r="B207" s="54"/>
      <c r="C207" s="21">
        <f t="shared" si="33"/>
        <v>1</v>
      </c>
      <c r="D207" s="659"/>
      <c r="E207" s="21">
        <f t="shared" si="34"/>
        <v>1</v>
      </c>
      <c r="F207" s="659"/>
      <c r="G207" s="21">
        <f t="shared" si="35"/>
        <v>1</v>
      </c>
      <c r="H207" s="659"/>
      <c r="I207" s="21">
        <f t="shared" si="36"/>
        <v>1</v>
      </c>
      <c r="J207" s="659"/>
      <c r="K207" s="21">
        <f t="shared" si="37"/>
        <v>1</v>
      </c>
      <c r="L207" s="659"/>
      <c r="M207" s="21">
        <f t="shared" si="38"/>
        <v>1</v>
      </c>
      <c r="N207" s="659"/>
      <c r="O207" s="21">
        <f t="shared" si="39"/>
        <v>1</v>
      </c>
      <c r="P207" s="659"/>
      <c r="Q207" s="21">
        <f t="shared" si="40"/>
        <v>1</v>
      </c>
      <c r="R207" s="655">
        <f t="shared" si="41"/>
        <v>0</v>
      </c>
      <c r="S207" s="311">
        <f t="shared" si="42"/>
        <v>0</v>
      </c>
    </row>
    <row r="208" spans="1:19">
      <c r="A208" s="145"/>
      <c r="B208" s="54"/>
      <c r="C208" s="21">
        <f t="shared" si="33"/>
        <v>1</v>
      </c>
      <c r="D208" s="659"/>
      <c r="E208" s="21">
        <f t="shared" si="34"/>
        <v>1</v>
      </c>
      <c r="F208" s="659"/>
      <c r="G208" s="21">
        <f t="shared" si="35"/>
        <v>1</v>
      </c>
      <c r="H208" s="659"/>
      <c r="I208" s="21">
        <f t="shared" si="36"/>
        <v>1</v>
      </c>
      <c r="J208" s="659"/>
      <c r="K208" s="21">
        <f t="shared" si="37"/>
        <v>1</v>
      </c>
      <c r="L208" s="659"/>
      <c r="M208" s="21">
        <f t="shared" si="38"/>
        <v>1</v>
      </c>
      <c r="N208" s="659"/>
      <c r="O208" s="21">
        <f t="shared" si="39"/>
        <v>1</v>
      </c>
      <c r="P208" s="659"/>
      <c r="Q208" s="21">
        <f t="shared" si="40"/>
        <v>1</v>
      </c>
      <c r="R208" s="655">
        <f t="shared" si="41"/>
        <v>0</v>
      </c>
      <c r="S208" s="311">
        <f t="shared" si="42"/>
        <v>0</v>
      </c>
    </row>
    <row r="209" spans="1:19">
      <c r="A209" s="145"/>
      <c r="B209" s="54"/>
      <c r="C209" s="21">
        <f t="shared" si="33"/>
        <v>1</v>
      </c>
      <c r="D209" s="659"/>
      <c r="E209" s="21">
        <f t="shared" si="34"/>
        <v>1</v>
      </c>
      <c r="F209" s="659"/>
      <c r="G209" s="21">
        <f t="shared" si="35"/>
        <v>1</v>
      </c>
      <c r="H209" s="659"/>
      <c r="I209" s="21">
        <f t="shared" si="36"/>
        <v>1</v>
      </c>
      <c r="J209" s="659"/>
      <c r="K209" s="21">
        <f t="shared" si="37"/>
        <v>1</v>
      </c>
      <c r="L209" s="659"/>
      <c r="M209" s="21">
        <f t="shared" si="38"/>
        <v>1</v>
      </c>
      <c r="N209" s="659"/>
      <c r="O209" s="21">
        <f t="shared" si="39"/>
        <v>1</v>
      </c>
      <c r="P209" s="659"/>
      <c r="Q209" s="21">
        <f t="shared" si="40"/>
        <v>1</v>
      </c>
      <c r="R209" s="655">
        <f t="shared" si="41"/>
        <v>0</v>
      </c>
      <c r="S209" s="311">
        <f t="shared" si="42"/>
        <v>0</v>
      </c>
    </row>
    <row r="210" spans="1:19">
      <c r="A210" s="145"/>
      <c r="B210" s="54"/>
      <c r="C210" s="21">
        <f t="shared" si="33"/>
        <v>1</v>
      </c>
      <c r="D210" s="659"/>
      <c r="E210" s="21">
        <f t="shared" si="34"/>
        <v>1</v>
      </c>
      <c r="F210" s="659"/>
      <c r="G210" s="21">
        <f t="shared" si="35"/>
        <v>1</v>
      </c>
      <c r="H210" s="659"/>
      <c r="I210" s="21">
        <f t="shared" si="36"/>
        <v>1</v>
      </c>
      <c r="J210" s="659"/>
      <c r="K210" s="21">
        <f t="shared" si="37"/>
        <v>1</v>
      </c>
      <c r="L210" s="659"/>
      <c r="M210" s="21">
        <f t="shared" si="38"/>
        <v>1</v>
      </c>
      <c r="N210" s="659"/>
      <c r="O210" s="21">
        <f t="shared" si="39"/>
        <v>1</v>
      </c>
      <c r="P210" s="659"/>
      <c r="Q210" s="21">
        <f t="shared" si="40"/>
        <v>1</v>
      </c>
      <c r="R210" s="655">
        <f t="shared" si="41"/>
        <v>0</v>
      </c>
      <c r="S210" s="311">
        <f t="shared" si="42"/>
        <v>0</v>
      </c>
    </row>
    <row r="211" spans="1:19">
      <c r="A211" s="145"/>
      <c r="B211" s="54"/>
      <c r="C211" s="21">
        <f t="shared" si="33"/>
        <v>1</v>
      </c>
      <c r="D211" s="659"/>
      <c r="E211" s="21">
        <f t="shared" si="34"/>
        <v>1</v>
      </c>
      <c r="F211" s="659"/>
      <c r="G211" s="21">
        <f t="shared" si="35"/>
        <v>1</v>
      </c>
      <c r="H211" s="659"/>
      <c r="I211" s="21">
        <f t="shared" si="36"/>
        <v>1</v>
      </c>
      <c r="J211" s="659"/>
      <c r="K211" s="21">
        <f t="shared" si="37"/>
        <v>1</v>
      </c>
      <c r="L211" s="659"/>
      <c r="M211" s="21">
        <f t="shared" si="38"/>
        <v>1</v>
      </c>
      <c r="N211" s="659"/>
      <c r="O211" s="21">
        <f t="shared" si="39"/>
        <v>1</v>
      </c>
      <c r="P211" s="659"/>
      <c r="Q211" s="21">
        <f t="shared" si="40"/>
        <v>1</v>
      </c>
      <c r="R211" s="655">
        <f t="shared" si="41"/>
        <v>0</v>
      </c>
      <c r="S211" s="311">
        <f t="shared" si="42"/>
        <v>0</v>
      </c>
    </row>
    <row r="212" spans="1:19">
      <c r="A212" s="145"/>
      <c r="B212" s="54"/>
      <c r="C212" s="21">
        <f t="shared" si="33"/>
        <v>1</v>
      </c>
      <c r="D212" s="659"/>
      <c r="E212" s="21">
        <f t="shared" si="34"/>
        <v>1</v>
      </c>
      <c r="F212" s="659"/>
      <c r="G212" s="21">
        <f t="shared" si="35"/>
        <v>1</v>
      </c>
      <c r="H212" s="659"/>
      <c r="I212" s="21">
        <f t="shared" si="36"/>
        <v>1</v>
      </c>
      <c r="J212" s="659"/>
      <c r="K212" s="21">
        <f t="shared" si="37"/>
        <v>1</v>
      </c>
      <c r="L212" s="659"/>
      <c r="M212" s="21">
        <f t="shared" si="38"/>
        <v>1</v>
      </c>
      <c r="N212" s="659"/>
      <c r="O212" s="21">
        <f t="shared" si="39"/>
        <v>1</v>
      </c>
      <c r="P212" s="659"/>
      <c r="Q212" s="21">
        <f t="shared" si="40"/>
        <v>1</v>
      </c>
      <c r="R212" s="655">
        <f t="shared" si="41"/>
        <v>0</v>
      </c>
      <c r="S212" s="311">
        <f t="shared" si="42"/>
        <v>0</v>
      </c>
    </row>
    <row r="213" spans="1:19">
      <c r="A213" s="145"/>
      <c r="B213" s="54"/>
      <c r="C213" s="21">
        <f t="shared" si="33"/>
        <v>1</v>
      </c>
      <c r="D213" s="659"/>
      <c r="E213" s="21">
        <f t="shared" si="34"/>
        <v>1</v>
      </c>
      <c r="F213" s="659"/>
      <c r="G213" s="21">
        <f t="shared" si="35"/>
        <v>1</v>
      </c>
      <c r="H213" s="659"/>
      <c r="I213" s="21">
        <f t="shared" si="36"/>
        <v>1</v>
      </c>
      <c r="J213" s="659"/>
      <c r="K213" s="21">
        <f t="shared" si="37"/>
        <v>1</v>
      </c>
      <c r="L213" s="659"/>
      <c r="M213" s="21">
        <f t="shared" si="38"/>
        <v>1</v>
      </c>
      <c r="N213" s="659"/>
      <c r="O213" s="21">
        <f t="shared" si="39"/>
        <v>1</v>
      </c>
      <c r="P213" s="659"/>
      <c r="Q213" s="21">
        <f t="shared" si="40"/>
        <v>1</v>
      </c>
      <c r="R213" s="655">
        <f t="shared" si="41"/>
        <v>0</v>
      </c>
      <c r="S213" s="311">
        <f t="shared" si="42"/>
        <v>0</v>
      </c>
    </row>
    <row r="214" spans="1:19">
      <c r="A214" s="145"/>
      <c r="B214" s="54"/>
      <c r="C214" s="21">
        <f t="shared" si="33"/>
        <v>1</v>
      </c>
      <c r="D214" s="659"/>
      <c r="E214" s="21">
        <f t="shared" si="34"/>
        <v>1</v>
      </c>
      <c r="F214" s="659"/>
      <c r="G214" s="21">
        <f t="shared" si="35"/>
        <v>1</v>
      </c>
      <c r="H214" s="659"/>
      <c r="I214" s="21">
        <f t="shared" si="36"/>
        <v>1</v>
      </c>
      <c r="J214" s="659"/>
      <c r="K214" s="21">
        <f t="shared" si="37"/>
        <v>1</v>
      </c>
      <c r="L214" s="659"/>
      <c r="M214" s="21">
        <f t="shared" si="38"/>
        <v>1</v>
      </c>
      <c r="N214" s="659"/>
      <c r="O214" s="21">
        <f t="shared" si="39"/>
        <v>1</v>
      </c>
      <c r="P214" s="659"/>
      <c r="Q214" s="21">
        <f t="shared" si="40"/>
        <v>1</v>
      </c>
      <c r="R214" s="655">
        <f t="shared" si="41"/>
        <v>0</v>
      </c>
      <c r="S214" s="311">
        <f t="shared" si="42"/>
        <v>0</v>
      </c>
    </row>
    <row r="215" spans="1:19">
      <c r="A215" s="145"/>
      <c r="B215" s="54"/>
      <c r="C215" s="21">
        <f t="shared" si="33"/>
        <v>1</v>
      </c>
      <c r="D215" s="659"/>
      <c r="E215" s="21">
        <f t="shared" si="34"/>
        <v>1</v>
      </c>
      <c r="F215" s="659"/>
      <c r="G215" s="21">
        <f t="shared" si="35"/>
        <v>1</v>
      </c>
      <c r="H215" s="659"/>
      <c r="I215" s="21">
        <f t="shared" si="36"/>
        <v>1</v>
      </c>
      <c r="J215" s="659"/>
      <c r="K215" s="21">
        <f t="shared" si="37"/>
        <v>1</v>
      </c>
      <c r="L215" s="659"/>
      <c r="M215" s="21">
        <f t="shared" si="38"/>
        <v>1</v>
      </c>
      <c r="N215" s="659"/>
      <c r="O215" s="21">
        <f t="shared" si="39"/>
        <v>1</v>
      </c>
      <c r="P215" s="659"/>
      <c r="Q215" s="21">
        <f t="shared" si="40"/>
        <v>1</v>
      </c>
      <c r="R215" s="655">
        <f t="shared" si="41"/>
        <v>0</v>
      </c>
      <c r="S215" s="311">
        <f t="shared" si="42"/>
        <v>0</v>
      </c>
    </row>
    <row r="216" spans="1:19">
      <c r="A216" s="145"/>
      <c r="B216" s="54"/>
      <c r="C216" s="21">
        <f t="shared" si="33"/>
        <v>1</v>
      </c>
      <c r="D216" s="659"/>
      <c r="E216" s="21">
        <f t="shared" si="34"/>
        <v>1</v>
      </c>
      <c r="F216" s="659"/>
      <c r="G216" s="21">
        <f t="shared" si="35"/>
        <v>1</v>
      </c>
      <c r="H216" s="659"/>
      <c r="I216" s="21">
        <f t="shared" si="36"/>
        <v>1</v>
      </c>
      <c r="J216" s="659"/>
      <c r="K216" s="21">
        <f t="shared" si="37"/>
        <v>1</v>
      </c>
      <c r="L216" s="659"/>
      <c r="M216" s="21">
        <f t="shared" si="38"/>
        <v>1</v>
      </c>
      <c r="N216" s="659"/>
      <c r="O216" s="21">
        <f t="shared" si="39"/>
        <v>1</v>
      </c>
      <c r="P216" s="659"/>
      <c r="Q216" s="21">
        <f t="shared" si="40"/>
        <v>1</v>
      </c>
      <c r="R216" s="655">
        <f t="shared" si="41"/>
        <v>0</v>
      </c>
      <c r="S216" s="311">
        <f t="shared" si="42"/>
        <v>0</v>
      </c>
    </row>
    <row r="217" spans="1:19">
      <c r="A217" s="145"/>
      <c r="B217" s="54"/>
      <c r="C217" s="21">
        <f t="shared" si="33"/>
        <v>1</v>
      </c>
      <c r="D217" s="659"/>
      <c r="E217" s="21">
        <f t="shared" si="34"/>
        <v>1</v>
      </c>
      <c r="F217" s="659"/>
      <c r="G217" s="21">
        <f t="shared" si="35"/>
        <v>1</v>
      </c>
      <c r="H217" s="659"/>
      <c r="I217" s="21">
        <f t="shared" si="36"/>
        <v>1</v>
      </c>
      <c r="J217" s="659"/>
      <c r="K217" s="21">
        <f t="shared" si="37"/>
        <v>1</v>
      </c>
      <c r="L217" s="659"/>
      <c r="M217" s="21">
        <f t="shared" si="38"/>
        <v>1</v>
      </c>
      <c r="N217" s="659"/>
      <c r="O217" s="21">
        <f t="shared" si="39"/>
        <v>1</v>
      </c>
      <c r="P217" s="659"/>
      <c r="Q217" s="21">
        <f t="shared" si="40"/>
        <v>1</v>
      </c>
      <c r="R217" s="655">
        <f t="shared" si="41"/>
        <v>0</v>
      </c>
      <c r="S217" s="311">
        <f t="shared" si="42"/>
        <v>0</v>
      </c>
    </row>
    <row r="218" spans="1:19">
      <c r="A218" s="145"/>
      <c r="B218" s="54"/>
      <c r="C218" s="21">
        <f t="shared" ref="C218:C281" si="43">IF(B218="",1,(LOOKUP(B218,$3:$3,$4:$4)-LOOKUP($B$24,$3:$3,$4:$4)+100)/100)</f>
        <v>1</v>
      </c>
      <c r="D218" s="659"/>
      <c r="E218" s="21">
        <f t="shared" ref="E218:E281" si="44">(SUMIF($5:$5,D218,$6:$6)-SUMIF($5:$5,$D$24,$6:$6)+100)/100</f>
        <v>1</v>
      </c>
      <c r="F218" s="659"/>
      <c r="G218" s="21">
        <f t="shared" ref="G218:G281" si="45">(SUMIF($7:$7,F218,$8:$8)-SUMIF($7:$7,$F$24,$8:$8)+100)/100</f>
        <v>1</v>
      </c>
      <c r="H218" s="659"/>
      <c r="I218" s="21">
        <f t="shared" ref="I218:I281" si="46">(SUMIF($9:$9,H218,$10:$10)-SUMIF($9:$9,$H$24,$10:$10)+100)/100</f>
        <v>1</v>
      </c>
      <c r="J218" s="659"/>
      <c r="K218" s="21">
        <f t="shared" ref="K218:K281" si="47">(SUMIF($11:$11,J218,$12:$12)-SUMIF($11:$11,$J$24,$12:$12)+100)/100</f>
        <v>1</v>
      </c>
      <c r="L218" s="659"/>
      <c r="M218" s="21">
        <f t="shared" ref="M218:M281" si="48">(SUMIF($13:$13,L218,$14:$14)-SUMIF($13:$13,$L$24,$14:$14)+100)/100</f>
        <v>1</v>
      </c>
      <c r="N218" s="659"/>
      <c r="O218" s="21">
        <f t="shared" ref="O218:O281" si="49">(SUMIF($15:$15,N218,$16:$16)-SUMIF($15:$15,$N$24,$16:$16)+100)/100</f>
        <v>1</v>
      </c>
      <c r="P218" s="659"/>
      <c r="Q218" s="21">
        <f t="shared" ref="Q218:Q281" si="50">(SUMIF($17:$17,P218,$18:$18)-SUMIF($17:$17,$P$24,$18:$18)+100)/100</f>
        <v>1</v>
      </c>
      <c r="R218" s="655">
        <f t="shared" ref="R218:R281" si="51">IF(B218="",0,ROUND($R$24*C218*E218*G218*I218*K218*M218*O218*Q218,0))</f>
        <v>0</v>
      </c>
      <c r="S218" s="311">
        <f t="shared" si="42"/>
        <v>0</v>
      </c>
    </row>
    <row r="219" spans="1:19">
      <c r="A219" s="145"/>
      <c r="B219" s="54"/>
      <c r="C219" s="21">
        <f t="shared" si="43"/>
        <v>1</v>
      </c>
      <c r="D219" s="659"/>
      <c r="E219" s="21">
        <f t="shared" si="44"/>
        <v>1</v>
      </c>
      <c r="F219" s="659"/>
      <c r="G219" s="21">
        <f t="shared" si="45"/>
        <v>1</v>
      </c>
      <c r="H219" s="659"/>
      <c r="I219" s="21">
        <f t="shared" si="46"/>
        <v>1</v>
      </c>
      <c r="J219" s="659"/>
      <c r="K219" s="21">
        <f t="shared" si="47"/>
        <v>1</v>
      </c>
      <c r="L219" s="659"/>
      <c r="M219" s="21">
        <f t="shared" si="48"/>
        <v>1</v>
      </c>
      <c r="N219" s="659"/>
      <c r="O219" s="21">
        <f t="shared" si="49"/>
        <v>1</v>
      </c>
      <c r="P219" s="659"/>
      <c r="Q219" s="21">
        <f t="shared" si="50"/>
        <v>1</v>
      </c>
      <c r="R219" s="655">
        <f t="shared" si="51"/>
        <v>0</v>
      </c>
      <c r="S219" s="311">
        <f t="shared" si="42"/>
        <v>0</v>
      </c>
    </row>
    <row r="220" spans="1:19">
      <c r="A220" s="145"/>
      <c r="B220" s="54"/>
      <c r="C220" s="21">
        <f t="shared" si="43"/>
        <v>1</v>
      </c>
      <c r="D220" s="659"/>
      <c r="E220" s="21">
        <f t="shared" si="44"/>
        <v>1</v>
      </c>
      <c r="F220" s="659"/>
      <c r="G220" s="21">
        <f t="shared" si="45"/>
        <v>1</v>
      </c>
      <c r="H220" s="659"/>
      <c r="I220" s="21">
        <f t="shared" si="46"/>
        <v>1</v>
      </c>
      <c r="J220" s="659"/>
      <c r="K220" s="21">
        <f t="shared" si="47"/>
        <v>1</v>
      </c>
      <c r="L220" s="659"/>
      <c r="M220" s="21">
        <f t="shared" si="48"/>
        <v>1</v>
      </c>
      <c r="N220" s="659"/>
      <c r="O220" s="21">
        <f t="shared" si="49"/>
        <v>1</v>
      </c>
      <c r="P220" s="659"/>
      <c r="Q220" s="21">
        <f t="shared" si="50"/>
        <v>1</v>
      </c>
      <c r="R220" s="655">
        <f t="shared" si="51"/>
        <v>0</v>
      </c>
      <c r="S220" s="311">
        <f t="shared" si="42"/>
        <v>0</v>
      </c>
    </row>
    <row r="221" spans="1:19">
      <c r="A221" s="145"/>
      <c r="B221" s="54"/>
      <c r="C221" s="21">
        <f t="shared" si="43"/>
        <v>1</v>
      </c>
      <c r="D221" s="659"/>
      <c r="E221" s="21">
        <f t="shared" si="44"/>
        <v>1</v>
      </c>
      <c r="F221" s="659"/>
      <c r="G221" s="21">
        <f t="shared" si="45"/>
        <v>1</v>
      </c>
      <c r="H221" s="659"/>
      <c r="I221" s="21">
        <f t="shared" si="46"/>
        <v>1</v>
      </c>
      <c r="J221" s="659"/>
      <c r="K221" s="21">
        <f t="shared" si="47"/>
        <v>1</v>
      </c>
      <c r="L221" s="659"/>
      <c r="M221" s="21">
        <f t="shared" si="48"/>
        <v>1</v>
      </c>
      <c r="N221" s="659"/>
      <c r="O221" s="21">
        <f t="shared" si="49"/>
        <v>1</v>
      </c>
      <c r="P221" s="659"/>
      <c r="Q221" s="21">
        <f t="shared" si="50"/>
        <v>1</v>
      </c>
      <c r="R221" s="655">
        <f t="shared" si="51"/>
        <v>0</v>
      </c>
      <c r="S221" s="311">
        <f t="shared" si="42"/>
        <v>0</v>
      </c>
    </row>
    <row r="222" spans="1:19">
      <c r="A222" s="145"/>
      <c r="B222" s="54"/>
      <c r="C222" s="21">
        <f t="shared" si="43"/>
        <v>1</v>
      </c>
      <c r="D222" s="659"/>
      <c r="E222" s="21">
        <f t="shared" si="44"/>
        <v>1</v>
      </c>
      <c r="F222" s="659"/>
      <c r="G222" s="21">
        <f t="shared" si="45"/>
        <v>1</v>
      </c>
      <c r="H222" s="659"/>
      <c r="I222" s="21">
        <f t="shared" si="46"/>
        <v>1</v>
      </c>
      <c r="J222" s="659"/>
      <c r="K222" s="21">
        <f t="shared" si="47"/>
        <v>1</v>
      </c>
      <c r="L222" s="659"/>
      <c r="M222" s="21">
        <f t="shared" si="48"/>
        <v>1</v>
      </c>
      <c r="N222" s="659"/>
      <c r="O222" s="21">
        <f t="shared" si="49"/>
        <v>1</v>
      </c>
      <c r="P222" s="659"/>
      <c r="Q222" s="21">
        <f t="shared" si="50"/>
        <v>1</v>
      </c>
      <c r="R222" s="655">
        <f t="shared" si="51"/>
        <v>0</v>
      </c>
      <c r="S222" s="311">
        <f t="shared" si="42"/>
        <v>0</v>
      </c>
    </row>
    <row r="223" spans="1:19">
      <c r="A223" s="145"/>
      <c r="B223" s="54"/>
      <c r="C223" s="21">
        <f t="shared" si="43"/>
        <v>1</v>
      </c>
      <c r="D223" s="659"/>
      <c r="E223" s="21">
        <f t="shared" si="44"/>
        <v>1</v>
      </c>
      <c r="F223" s="659"/>
      <c r="G223" s="21">
        <f t="shared" si="45"/>
        <v>1</v>
      </c>
      <c r="H223" s="659"/>
      <c r="I223" s="21">
        <f t="shared" si="46"/>
        <v>1</v>
      </c>
      <c r="J223" s="659"/>
      <c r="K223" s="21">
        <f t="shared" si="47"/>
        <v>1</v>
      </c>
      <c r="L223" s="659"/>
      <c r="M223" s="21">
        <f t="shared" si="48"/>
        <v>1</v>
      </c>
      <c r="N223" s="659"/>
      <c r="O223" s="21">
        <f t="shared" si="49"/>
        <v>1</v>
      </c>
      <c r="P223" s="659"/>
      <c r="Q223" s="21">
        <f t="shared" si="50"/>
        <v>1</v>
      </c>
      <c r="R223" s="655">
        <f t="shared" si="51"/>
        <v>0</v>
      </c>
      <c r="S223" s="311">
        <f t="shared" ref="S223:S286" si="52">ROUND(R223*B223/10000,0)</f>
        <v>0</v>
      </c>
    </row>
    <row r="224" spans="1:19">
      <c r="A224" s="145"/>
      <c r="B224" s="54"/>
      <c r="C224" s="21">
        <f t="shared" si="43"/>
        <v>1</v>
      </c>
      <c r="D224" s="659"/>
      <c r="E224" s="21">
        <f t="shared" si="44"/>
        <v>1</v>
      </c>
      <c r="F224" s="659"/>
      <c r="G224" s="21">
        <f t="shared" si="45"/>
        <v>1</v>
      </c>
      <c r="H224" s="659"/>
      <c r="I224" s="21">
        <f t="shared" si="46"/>
        <v>1</v>
      </c>
      <c r="J224" s="659"/>
      <c r="K224" s="21">
        <f t="shared" si="47"/>
        <v>1</v>
      </c>
      <c r="L224" s="659"/>
      <c r="M224" s="21">
        <f t="shared" si="48"/>
        <v>1</v>
      </c>
      <c r="N224" s="659"/>
      <c r="O224" s="21">
        <f t="shared" si="49"/>
        <v>1</v>
      </c>
      <c r="P224" s="659"/>
      <c r="Q224" s="21">
        <f t="shared" si="50"/>
        <v>1</v>
      </c>
      <c r="R224" s="655">
        <f t="shared" si="51"/>
        <v>0</v>
      </c>
      <c r="S224" s="311">
        <f t="shared" si="52"/>
        <v>0</v>
      </c>
    </row>
    <row r="225" spans="1:19">
      <c r="A225" s="145"/>
      <c r="B225" s="54"/>
      <c r="C225" s="21">
        <f t="shared" si="43"/>
        <v>1</v>
      </c>
      <c r="D225" s="659"/>
      <c r="E225" s="21">
        <f t="shared" si="44"/>
        <v>1</v>
      </c>
      <c r="F225" s="659"/>
      <c r="G225" s="21">
        <f t="shared" si="45"/>
        <v>1</v>
      </c>
      <c r="H225" s="659"/>
      <c r="I225" s="21">
        <f t="shared" si="46"/>
        <v>1</v>
      </c>
      <c r="J225" s="659"/>
      <c r="K225" s="21">
        <f t="shared" si="47"/>
        <v>1</v>
      </c>
      <c r="L225" s="659"/>
      <c r="M225" s="21">
        <f t="shared" si="48"/>
        <v>1</v>
      </c>
      <c r="N225" s="659"/>
      <c r="O225" s="21">
        <f t="shared" si="49"/>
        <v>1</v>
      </c>
      <c r="P225" s="659"/>
      <c r="Q225" s="21">
        <f t="shared" si="50"/>
        <v>1</v>
      </c>
      <c r="R225" s="655">
        <f t="shared" si="51"/>
        <v>0</v>
      </c>
      <c r="S225" s="311">
        <f t="shared" si="52"/>
        <v>0</v>
      </c>
    </row>
    <row r="226" spans="1:19">
      <c r="A226" s="145"/>
      <c r="B226" s="54"/>
      <c r="C226" s="21">
        <f t="shared" si="43"/>
        <v>1</v>
      </c>
      <c r="D226" s="659"/>
      <c r="E226" s="21">
        <f t="shared" si="44"/>
        <v>1</v>
      </c>
      <c r="F226" s="659"/>
      <c r="G226" s="21">
        <f t="shared" si="45"/>
        <v>1</v>
      </c>
      <c r="H226" s="659"/>
      <c r="I226" s="21">
        <f t="shared" si="46"/>
        <v>1</v>
      </c>
      <c r="J226" s="659"/>
      <c r="K226" s="21">
        <f t="shared" si="47"/>
        <v>1</v>
      </c>
      <c r="L226" s="659"/>
      <c r="M226" s="21">
        <f t="shared" si="48"/>
        <v>1</v>
      </c>
      <c r="N226" s="659"/>
      <c r="O226" s="21">
        <f t="shared" si="49"/>
        <v>1</v>
      </c>
      <c r="P226" s="659"/>
      <c r="Q226" s="21">
        <f t="shared" si="50"/>
        <v>1</v>
      </c>
      <c r="R226" s="655">
        <f t="shared" si="51"/>
        <v>0</v>
      </c>
      <c r="S226" s="311">
        <f t="shared" si="52"/>
        <v>0</v>
      </c>
    </row>
    <row r="227" spans="1:19">
      <c r="A227" s="145"/>
      <c r="B227" s="54"/>
      <c r="C227" s="21">
        <f t="shared" si="43"/>
        <v>1</v>
      </c>
      <c r="D227" s="659"/>
      <c r="E227" s="21">
        <f t="shared" si="44"/>
        <v>1</v>
      </c>
      <c r="F227" s="659"/>
      <c r="G227" s="21">
        <f t="shared" si="45"/>
        <v>1</v>
      </c>
      <c r="H227" s="659"/>
      <c r="I227" s="21">
        <f t="shared" si="46"/>
        <v>1</v>
      </c>
      <c r="J227" s="659"/>
      <c r="K227" s="21">
        <f t="shared" si="47"/>
        <v>1</v>
      </c>
      <c r="L227" s="659"/>
      <c r="M227" s="21">
        <f t="shared" si="48"/>
        <v>1</v>
      </c>
      <c r="N227" s="659"/>
      <c r="O227" s="21">
        <f t="shared" si="49"/>
        <v>1</v>
      </c>
      <c r="P227" s="659"/>
      <c r="Q227" s="21">
        <f t="shared" si="50"/>
        <v>1</v>
      </c>
      <c r="R227" s="655">
        <f t="shared" si="51"/>
        <v>0</v>
      </c>
      <c r="S227" s="311">
        <f t="shared" si="52"/>
        <v>0</v>
      </c>
    </row>
    <row r="228" spans="1:19">
      <c r="A228" s="145"/>
      <c r="B228" s="54"/>
      <c r="C228" s="21">
        <f t="shared" si="43"/>
        <v>1</v>
      </c>
      <c r="D228" s="659"/>
      <c r="E228" s="21">
        <f t="shared" si="44"/>
        <v>1</v>
      </c>
      <c r="F228" s="659"/>
      <c r="G228" s="21">
        <f t="shared" si="45"/>
        <v>1</v>
      </c>
      <c r="H228" s="659"/>
      <c r="I228" s="21">
        <f t="shared" si="46"/>
        <v>1</v>
      </c>
      <c r="J228" s="659"/>
      <c r="K228" s="21">
        <f t="shared" si="47"/>
        <v>1</v>
      </c>
      <c r="L228" s="659"/>
      <c r="M228" s="21">
        <f t="shared" si="48"/>
        <v>1</v>
      </c>
      <c r="N228" s="659"/>
      <c r="O228" s="21">
        <f t="shared" si="49"/>
        <v>1</v>
      </c>
      <c r="P228" s="659"/>
      <c r="Q228" s="21">
        <f t="shared" si="50"/>
        <v>1</v>
      </c>
      <c r="R228" s="655">
        <f t="shared" si="51"/>
        <v>0</v>
      </c>
      <c r="S228" s="311">
        <f t="shared" si="52"/>
        <v>0</v>
      </c>
    </row>
    <row r="229" spans="1:19">
      <c r="A229" s="145"/>
      <c r="B229" s="54"/>
      <c r="C229" s="21">
        <f t="shared" si="43"/>
        <v>1</v>
      </c>
      <c r="D229" s="659"/>
      <c r="E229" s="21">
        <f t="shared" si="44"/>
        <v>1</v>
      </c>
      <c r="F229" s="659"/>
      <c r="G229" s="21">
        <f t="shared" si="45"/>
        <v>1</v>
      </c>
      <c r="H229" s="659"/>
      <c r="I229" s="21">
        <f t="shared" si="46"/>
        <v>1</v>
      </c>
      <c r="J229" s="659"/>
      <c r="K229" s="21">
        <f t="shared" si="47"/>
        <v>1</v>
      </c>
      <c r="L229" s="659"/>
      <c r="M229" s="21">
        <f t="shared" si="48"/>
        <v>1</v>
      </c>
      <c r="N229" s="659"/>
      <c r="O229" s="21">
        <f t="shared" si="49"/>
        <v>1</v>
      </c>
      <c r="P229" s="659"/>
      <c r="Q229" s="21">
        <f t="shared" si="50"/>
        <v>1</v>
      </c>
      <c r="R229" s="655">
        <f t="shared" si="51"/>
        <v>0</v>
      </c>
      <c r="S229" s="311">
        <f t="shared" si="52"/>
        <v>0</v>
      </c>
    </row>
    <row r="230" spans="1:19">
      <c r="A230" s="145"/>
      <c r="B230" s="54"/>
      <c r="C230" s="21">
        <f t="shared" si="43"/>
        <v>1</v>
      </c>
      <c r="D230" s="659"/>
      <c r="E230" s="21">
        <f t="shared" si="44"/>
        <v>1</v>
      </c>
      <c r="F230" s="659"/>
      <c r="G230" s="21">
        <f t="shared" si="45"/>
        <v>1</v>
      </c>
      <c r="H230" s="659"/>
      <c r="I230" s="21">
        <f t="shared" si="46"/>
        <v>1</v>
      </c>
      <c r="J230" s="659"/>
      <c r="K230" s="21">
        <f t="shared" si="47"/>
        <v>1</v>
      </c>
      <c r="L230" s="659"/>
      <c r="M230" s="21">
        <f t="shared" si="48"/>
        <v>1</v>
      </c>
      <c r="N230" s="659"/>
      <c r="O230" s="21">
        <f t="shared" si="49"/>
        <v>1</v>
      </c>
      <c r="P230" s="659"/>
      <c r="Q230" s="21">
        <f t="shared" si="50"/>
        <v>1</v>
      </c>
      <c r="R230" s="655">
        <f t="shared" si="51"/>
        <v>0</v>
      </c>
      <c r="S230" s="311">
        <f t="shared" si="52"/>
        <v>0</v>
      </c>
    </row>
    <row r="231" spans="1:19">
      <c r="A231" s="145"/>
      <c r="B231" s="54"/>
      <c r="C231" s="21">
        <f t="shared" si="43"/>
        <v>1</v>
      </c>
      <c r="D231" s="659"/>
      <c r="E231" s="21">
        <f t="shared" si="44"/>
        <v>1</v>
      </c>
      <c r="F231" s="659"/>
      <c r="G231" s="21">
        <f t="shared" si="45"/>
        <v>1</v>
      </c>
      <c r="H231" s="659"/>
      <c r="I231" s="21">
        <f t="shared" si="46"/>
        <v>1</v>
      </c>
      <c r="J231" s="659"/>
      <c r="K231" s="21">
        <f t="shared" si="47"/>
        <v>1</v>
      </c>
      <c r="L231" s="659"/>
      <c r="M231" s="21">
        <f t="shared" si="48"/>
        <v>1</v>
      </c>
      <c r="N231" s="659"/>
      <c r="O231" s="21">
        <f t="shared" si="49"/>
        <v>1</v>
      </c>
      <c r="P231" s="659"/>
      <c r="Q231" s="21">
        <f t="shared" si="50"/>
        <v>1</v>
      </c>
      <c r="R231" s="655">
        <f t="shared" si="51"/>
        <v>0</v>
      </c>
      <c r="S231" s="311">
        <f t="shared" si="52"/>
        <v>0</v>
      </c>
    </row>
    <row r="232" spans="1:19">
      <c r="A232" s="145"/>
      <c r="B232" s="54"/>
      <c r="C232" s="21">
        <f t="shared" si="43"/>
        <v>1</v>
      </c>
      <c r="D232" s="659"/>
      <c r="E232" s="21">
        <f t="shared" si="44"/>
        <v>1</v>
      </c>
      <c r="F232" s="659"/>
      <c r="G232" s="21">
        <f t="shared" si="45"/>
        <v>1</v>
      </c>
      <c r="H232" s="659"/>
      <c r="I232" s="21">
        <f t="shared" si="46"/>
        <v>1</v>
      </c>
      <c r="J232" s="659"/>
      <c r="K232" s="21">
        <f t="shared" si="47"/>
        <v>1</v>
      </c>
      <c r="L232" s="659"/>
      <c r="M232" s="21">
        <f t="shared" si="48"/>
        <v>1</v>
      </c>
      <c r="N232" s="659"/>
      <c r="O232" s="21">
        <f t="shared" si="49"/>
        <v>1</v>
      </c>
      <c r="P232" s="659"/>
      <c r="Q232" s="21">
        <f t="shared" si="50"/>
        <v>1</v>
      </c>
      <c r="R232" s="655">
        <f t="shared" si="51"/>
        <v>0</v>
      </c>
      <c r="S232" s="311">
        <f t="shared" si="52"/>
        <v>0</v>
      </c>
    </row>
    <row r="233" spans="1:19">
      <c r="A233" s="145"/>
      <c r="B233" s="54"/>
      <c r="C233" s="21">
        <f t="shared" si="43"/>
        <v>1</v>
      </c>
      <c r="D233" s="659"/>
      <c r="E233" s="21">
        <f t="shared" si="44"/>
        <v>1</v>
      </c>
      <c r="F233" s="659"/>
      <c r="G233" s="21">
        <f t="shared" si="45"/>
        <v>1</v>
      </c>
      <c r="H233" s="659"/>
      <c r="I233" s="21">
        <f t="shared" si="46"/>
        <v>1</v>
      </c>
      <c r="J233" s="659"/>
      <c r="K233" s="21">
        <f t="shared" si="47"/>
        <v>1</v>
      </c>
      <c r="L233" s="659"/>
      <c r="M233" s="21">
        <f t="shared" si="48"/>
        <v>1</v>
      </c>
      <c r="N233" s="659"/>
      <c r="O233" s="21">
        <f t="shared" si="49"/>
        <v>1</v>
      </c>
      <c r="P233" s="659"/>
      <c r="Q233" s="21">
        <f t="shared" si="50"/>
        <v>1</v>
      </c>
      <c r="R233" s="655">
        <f t="shared" si="51"/>
        <v>0</v>
      </c>
      <c r="S233" s="311">
        <f t="shared" si="52"/>
        <v>0</v>
      </c>
    </row>
    <row r="234" spans="1:19">
      <c r="A234" s="145"/>
      <c r="B234" s="54"/>
      <c r="C234" s="21">
        <f t="shared" si="43"/>
        <v>1</v>
      </c>
      <c r="D234" s="659"/>
      <c r="E234" s="21">
        <f t="shared" si="44"/>
        <v>1</v>
      </c>
      <c r="F234" s="659"/>
      <c r="G234" s="21">
        <f t="shared" si="45"/>
        <v>1</v>
      </c>
      <c r="H234" s="659"/>
      <c r="I234" s="21">
        <f t="shared" si="46"/>
        <v>1</v>
      </c>
      <c r="J234" s="659"/>
      <c r="K234" s="21">
        <f t="shared" si="47"/>
        <v>1</v>
      </c>
      <c r="L234" s="659"/>
      <c r="M234" s="21">
        <f t="shared" si="48"/>
        <v>1</v>
      </c>
      <c r="N234" s="659"/>
      <c r="O234" s="21">
        <f t="shared" si="49"/>
        <v>1</v>
      </c>
      <c r="P234" s="659"/>
      <c r="Q234" s="21">
        <f t="shared" si="50"/>
        <v>1</v>
      </c>
      <c r="R234" s="655">
        <f t="shared" si="51"/>
        <v>0</v>
      </c>
      <c r="S234" s="311">
        <f t="shared" si="52"/>
        <v>0</v>
      </c>
    </row>
    <row r="235" spans="1:19">
      <c r="A235" s="145"/>
      <c r="B235" s="54"/>
      <c r="C235" s="21">
        <f t="shared" si="43"/>
        <v>1</v>
      </c>
      <c r="D235" s="659"/>
      <c r="E235" s="21">
        <f t="shared" si="44"/>
        <v>1</v>
      </c>
      <c r="F235" s="659"/>
      <c r="G235" s="21">
        <f t="shared" si="45"/>
        <v>1</v>
      </c>
      <c r="H235" s="659"/>
      <c r="I235" s="21">
        <f t="shared" si="46"/>
        <v>1</v>
      </c>
      <c r="J235" s="659"/>
      <c r="K235" s="21">
        <f t="shared" si="47"/>
        <v>1</v>
      </c>
      <c r="L235" s="659"/>
      <c r="M235" s="21">
        <f t="shared" si="48"/>
        <v>1</v>
      </c>
      <c r="N235" s="659"/>
      <c r="O235" s="21">
        <f t="shared" si="49"/>
        <v>1</v>
      </c>
      <c r="P235" s="659"/>
      <c r="Q235" s="21">
        <f t="shared" si="50"/>
        <v>1</v>
      </c>
      <c r="R235" s="655">
        <f t="shared" si="51"/>
        <v>0</v>
      </c>
      <c r="S235" s="311">
        <f t="shared" si="52"/>
        <v>0</v>
      </c>
    </row>
    <row r="236" spans="1:19">
      <c r="A236" s="145"/>
      <c r="B236" s="54"/>
      <c r="C236" s="21">
        <f t="shared" si="43"/>
        <v>1</v>
      </c>
      <c r="D236" s="659"/>
      <c r="E236" s="21">
        <f t="shared" si="44"/>
        <v>1</v>
      </c>
      <c r="F236" s="659"/>
      <c r="G236" s="21">
        <f t="shared" si="45"/>
        <v>1</v>
      </c>
      <c r="H236" s="659"/>
      <c r="I236" s="21">
        <f t="shared" si="46"/>
        <v>1</v>
      </c>
      <c r="J236" s="659"/>
      <c r="K236" s="21">
        <f t="shared" si="47"/>
        <v>1</v>
      </c>
      <c r="L236" s="659"/>
      <c r="M236" s="21">
        <f t="shared" si="48"/>
        <v>1</v>
      </c>
      <c r="N236" s="659"/>
      <c r="O236" s="21">
        <f t="shared" si="49"/>
        <v>1</v>
      </c>
      <c r="P236" s="659"/>
      <c r="Q236" s="21">
        <f t="shared" si="50"/>
        <v>1</v>
      </c>
      <c r="R236" s="655">
        <f t="shared" si="51"/>
        <v>0</v>
      </c>
      <c r="S236" s="311">
        <f t="shared" si="52"/>
        <v>0</v>
      </c>
    </row>
    <row r="237" spans="1:19">
      <c r="A237" s="145"/>
      <c r="B237" s="54"/>
      <c r="C237" s="21">
        <f t="shared" si="43"/>
        <v>1</v>
      </c>
      <c r="D237" s="659"/>
      <c r="E237" s="21">
        <f t="shared" si="44"/>
        <v>1</v>
      </c>
      <c r="F237" s="659"/>
      <c r="G237" s="21">
        <f t="shared" si="45"/>
        <v>1</v>
      </c>
      <c r="H237" s="659"/>
      <c r="I237" s="21">
        <f t="shared" si="46"/>
        <v>1</v>
      </c>
      <c r="J237" s="659"/>
      <c r="K237" s="21">
        <f t="shared" si="47"/>
        <v>1</v>
      </c>
      <c r="L237" s="659"/>
      <c r="M237" s="21">
        <f t="shared" si="48"/>
        <v>1</v>
      </c>
      <c r="N237" s="659"/>
      <c r="O237" s="21">
        <f t="shared" si="49"/>
        <v>1</v>
      </c>
      <c r="P237" s="659"/>
      <c r="Q237" s="21">
        <f t="shared" si="50"/>
        <v>1</v>
      </c>
      <c r="R237" s="655">
        <f t="shared" si="51"/>
        <v>0</v>
      </c>
      <c r="S237" s="311">
        <f t="shared" si="52"/>
        <v>0</v>
      </c>
    </row>
    <row r="238" spans="1:19">
      <c r="A238" s="145"/>
      <c r="B238" s="54"/>
      <c r="C238" s="21">
        <f t="shared" si="43"/>
        <v>1</v>
      </c>
      <c r="D238" s="659"/>
      <c r="E238" s="21">
        <f t="shared" si="44"/>
        <v>1</v>
      </c>
      <c r="F238" s="659"/>
      <c r="G238" s="21">
        <f t="shared" si="45"/>
        <v>1</v>
      </c>
      <c r="H238" s="659"/>
      <c r="I238" s="21">
        <f t="shared" si="46"/>
        <v>1</v>
      </c>
      <c r="J238" s="659"/>
      <c r="K238" s="21">
        <f t="shared" si="47"/>
        <v>1</v>
      </c>
      <c r="L238" s="659"/>
      <c r="M238" s="21">
        <f t="shared" si="48"/>
        <v>1</v>
      </c>
      <c r="N238" s="659"/>
      <c r="O238" s="21">
        <f t="shared" si="49"/>
        <v>1</v>
      </c>
      <c r="P238" s="659"/>
      <c r="Q238" s="21">
        <f t="shared" si="50"/>
        <v>1</v>
      </c>
      <c r="R238" s="655">
        <f t="shared" si="51"/>
        <v>0</v>
      </c>
      <c r="S238" s="311">
        <f t="shared" si="52"/>
        <v>0</v>
      </c>
    </row>
    <row r="239" spans="1:19">
      <c r="A239" s="145"/>
      <c r="B239" s="54"/>
      <c r="C239" s="21">
        <f t="shared" si="43"/>
        <v>1</v>
      </c>
      <c r="D239" s="659"/>
      <c r="E239" s="21">
        <f t="shared" si="44"/>
        <v>1</v>
      </c>
      <c r="F239" s="659"/>
      <c r="G239" s="21">
        <f t="shared" si="45"/>
        <v>1</v>
      </c>
      <c r="H239" s="659"/>
      <c r="I239" s="21">
        <f t="shared" si="46"/>
        <v>1</v>
      </c>
      <c r="J239" s="659"/>
      <c r="K239" s="21">
        <f t="shared" si="47"/>
        <v>1</v>
      </c>
      <c r="L239" s="659"/>
      <c r="M239" s="21">
        <f t="shared" si="48"/>
        <v>1</v>
      </c>
      <c r="N239" s="659"/>
      <c r="O239" s="21">
        <f t="shared" si="49"/>
        <v>1</v>
      </c>
      <c r="P239" s="659"/>
      <c r="Q239" s="21">
        <f t="shared" si="50"/>
        <v>1</v>
      </c>
      <c r="R239" s="655">
        <f t="shared" si="51"/>
        <v>0</v>
      </c>
      <c r="S239" s="311">
        <f t="shared" si="52"/>
        <v>0</v>
      </c>
    </row>
    <row r="240" spans="1:19">
      <c r="A240" s="145"/>
      <c r="B240" s="54"/>
      <c r="C240" s="21">
        <f t="shared" si="43"/>
        <v>1</v>
      </c>
      <c r="D240" s="659"/>
      <c r="E240" s="21">
        <f t="shared" si="44"/>
        <v>1</v>
      </c>
      <c r="F240" s="659"/>
      <c r="G240" s="21">
        <f t="shared" si="45"/>
        <v>1</v>
      </c>
      <c r="H240" s="659"/>
      <c r="I240" s="21">
        <f t="shared" si="46"/>
        <v>1</v>
      </c>
      <c r="J240" s="659"/>
      <c r="K240" s="21">
        <f t="shared" si="47"/>
        <v>1</v>
      </c>
      <c r="L240" s="659"/>
      <c r="M240" s="21">
        <f t="shared" si="48"/>
        <v>1</v>
      </c>
      <c r="N240" s="659"/>
      <c r="O240" s="21">
        <f t="shared" si="49"/>
        <v>1</v>
      </c>
      <c r="P240" s="659"/>
      <c r="Q240" s="21">
        <f t="shared" si="50"/>
        <v>1</v>
      </c>
      <c r="R240" s="655">
        <f t="shared" si="51"/>
        <v>0</v>
      </c>
      <c r="S240" s="311">
        <f t="shared" si="52"/>
        <v>0</v>
      </c>
    </row>
    <row r="241" spans="1:19">
      <c r="A241" s="145"/>
      <c r="B241" s="54"/>
      <c r="C241" s="21">
        <f t="shared" si="43"/>
        <v>1</v>
      </c>
      <c r="D241" s="659"/>
      <c r="E241" s="21">
        <f t="shared" si="44"/>
        <v>1</v>
      </c>
      <c r="F241" s="659"/>
      <c r="G241" s="21">
        <f t="shared" si="45"/>
        <v>1</v>
      </c>
      <c r="H241" s="659"/>
      <c r="I241" s="21">
        <f t="shared" si="46"/>
        <v>1</v>
      </c>
      <c r="J241" s="659"/>
      <c r="K241" s="21">
        <f t="shared" si="47"/>
        <v>1</v>
      </c>
      <c r="L241" s="659"/>
      <c r="M241" s="21">
        <f t="shared" si="48"/>
        <v>1</v>
      </c>
      <c r="N241" s="659"/>
      <c r="O241" s="21">
        <f t="shared" si="49"/>
        <v>1</v>
      </c>
      <c r="P241" s="659"/>
      <c r="Q241" s="21">
        <f t="shared" si="50"/>
        <v>1</v>
      </c>
      <c r="R241" s="655">
        <f t="shared" si="51"/>
        <v>0</v>
      </c>
      <c r="S241" s="311">
        <f t="shared" si="52"/>
        <v>0</v>
      </c>
    </row>
    <row r="242" spans="1:19">
      <c r="A242" s="145"/>
      <c r="B242" s="54"/>
      <c r="C242" s="21">
        <f t="shared" si="43"/>
        <v>1</v>
      </c>
      <c r="D242" s="659"/>
      <c r="E242" s="21">
        <f t="shared" si="44"/>
        <v>1</v>
      </c>
      <c r="F242" s="659"/>
      <c r="G242" s="21">
        <f t="shared" si="45"/>
        <v>1</v>
      </c>
      <c r="H242" s="659"/>
      <c r="I242" s="21">
        <f t="shared" si="46"/>
        <v>1</v>
      </c>
      <c r="J242" s="659"/>
      <c r="K242" s="21">
        <f t="shared" si="47"/>
        <v>1</v>
      </c>
      <c r="L242" s="659"/>
      <c r="M242" s="21">
        <f t="shared" si="48"/>
        <v>1</v>
      </c>
      <c r="N242" s="659"/>
      <c r="O242" s="21">
        <f t="shared" si="49"/>
        <v>1</v>
      </c>
      <c r="P242" s="659"/>
      <c r="Q242" s="21">
        <f t="shared" si="50"/>
        <v>1</v>
      </c>
      <c r="R242" s="655">
        <f t="shared" si="51"/>
        <v>0</v>
      </c>
      <c r="S242" s="311">
        <f t="shared" si="52"/>
        <v>0</v>
      </c>
    </row>
    <row r="243" spans="1:19">
      <c r="A243" s="145"/>
      <c r="B243" s="54"/>
      <c r="C243" s="21">
        <f t="shared" si="43"/>
        <v>1</v>
      </c>
      <c r="D243" s="659"/>
      <c r="E243" s="21">
        <f t="shared" si="44"/>
        <v>1</v>
      </c>
      <c r="F243" s="659"/>
      <c r="G243" s="21">
        <f t="shared" si="45"/>
        <v>1</v>
      </c>
      <c r="H243" s="659"/>
      <c r="I243" s="21">
        <f t="shared" si="46"/>
        <v>1</v>
      </c>
      <c r="J243" s="659"/>
      <c r="K243" s="21">
        <f t="shared" si="47"/>
        <v>1</v>
      </c>
      <c r="L243" s="659"/>
      <c r="M243" s="21">
        <f t="shared" si="48"/>
        <v>1</v>
      </c>
      <c r="N243" s="659"/>
      <c r="O243" s="21">
        <f t="shared" si="49"/>
        <v>1</v>
      </c>
      <c r="P243" s="659"/>
      <c r="Q243" s="21">
        <f t="shared" si="50"/>
        <v>1</v>
      </c>
      <c r="R243" s="655">
        <f t="shared" si="51"/>
        <v>0</v>
      </c>
      <c r="S243" s="311">
        <f t="shared" si="52"/>
        <v>0</v>
      </c>
    </row>
    <row r="244" spans="1:19">
      <c r="A244" s="145"/>
      <c r="B244" s="54"/>
      <c r="C244" s="21">
        <f t="shared" si="43"/>
        <v>1</v>
      </c>
      <c r="D244" s="659"/>
      <c r="E244" s="21">
        <f t="shared" si="44"/>
        <v>1</v>
      </c>
      <c r="F244" s="659"/>
      <c r="G244" s="21">
        <f t="shared" si="45"/>
        <v>1</v>
      </c>
      <c r="H244" s="659"/>
      <c r="I244" s="21">
        <f t="shared" si="46"/>
        <v>1</v>
      </c>
      <c r="J244" s="659"/>
      <c r="K244" s="21">
        <f t="shared" si="47"/>
        <v>1</v>
      </c>
      <c r="L244" s="659"/>
      <c r="M244" s="21">
        <f t="shared" si="48"/>
        <v>1</v>
      </c>
      <c r="N244" s="659"/>
      <c r="O244" s="21">
        <f t="shared" si="49"/>
        <v>1</v>
      </c>
      <c r="P244" s="659"/>
      <c r="Q244" s="21">
        <f t="shared" si="50"/>
        <v>1</v>
      </c>
      <c r="R244" s="655">
        <f t="shared" si="51"/>
        <v>0</v>
      </c>
      <c r="S244" s="311">
        <f t="shared" si="52"/>
        <v>0</v>
      </c>
    </row>
    <row r="245" spans="1:19">
      <c r="A245" s="145"/>
      <c r="B245" s="54"/>
      <c r="C245" s="21">
        <f t="shared" si="43"/>
        <v>1</v>
      </c>
      <c r="D245" s="659"/>
      <c r="E245" s="21">
        <f t="shared" si="44"/>
        <v>1</v>
      </c>
      <c r="F245" s="659"/>
      <c r="G245" s="21">
        <f t="shared" si="45"/>
        <v>1</v>
      </c>
      <c r="H245" s="659"/>
      <c r="I245" s="21">
        <f t="shared" si="46"/>
        <v>1</v>
      </c>
      <c r="J245" s="659"/>
      <c r="K245" s="21">
        <f t="shared" si="47"/>
        <v>1</v>
      </c>
      <c r="L245" s="659"/>
      <c r="M245" s="21">
        <f t="shared" si="48"/>
        <v>1</v>
      </c>
      <c r="N245" s="659"/>
      <c r="O245" s="21">
        <f t="shared" si="49"/>
        <v>1</v>
      </c>
      <c r="P245" s="659"/>
      <c r="Q245" s="21">
        <f t="shared" si="50"/>
        <v>1</v>
      </c>
      <c r="R245" s="655">
        <f t="shared" si="51"/>
        <v>0</v>
      </c>
      <c r="S245" s="311">
        <f t="shared" si="52"/>
        <v>0</v>
      </c>
    </row>
    <row r="246" spans="1:19">
      <c r="A246" s="145"/>
      <c r="B246" s="54"/>
      <c r="C246" s="21">
        <f t="shared" si="43"/>
        <v>1</v>
      </c>
      <c r="D246" s="659"/>
      <c r="E246" s="21">
        <f t="shared" si="44"/>
        <v>1</v>
      </c>
      <c r="F246" s="659"/>
      <c r="G246" s="21">
        <f t="shared" si="45"/>
        <v>1</v>
      </c>
      <c r="H246" s="659"/>
      <c r="I246" s="21">
        <f t="shared" si="46"/>
        <v>1</v>
      </c>
      <c r="J246" s="659"/>
      <c r="K246" s="21">
        <f t="shared" si="47"/>
        <v>1</v>
      </c>
      <c r="L246" s="659"/>
      <c r="M246" s="21">
        <f t="shared" si="48"/>
        <v>1</v>
      </c>
      <c r="N246" s="659"/>
      <c r="O246" s="21">
        <f t="shared" si="49"/>
        <v>1</v>
      </c>
      <c r="P246" s="659"/>
      <c r="Q246" s="21">
        <f t="shared" si="50"/>
        <v>1</v>
      </c>
      <c r="R246" s="655">
        <f t="shared" si="51"/>
        <v>0</v>
      </c>
      <c r="S246" s="311">
        <f t="shared" si="52"/>
        <v>0</v>
      </c>
    </row>
    <row r="247" spans="1:19">
      <c r="A247" s="145"/>
      <c r="B247" s="54"/>
      <c r="C247" s="21">
        <f t="shared" si="43"/>
        <v>1</v>
      </c>
      <c r="D247" s="659"/>
      <c r="E247" s="21">
        <f t="shared" si="44"/>
        <v>1</v>
      </c>
      <c r="F247" s="659"/>
      <c r="G247" s="21">
        <f t="shared" si="45"/>
        <v>1</v>
      </c>
      <c r="H247" s="659"/>
      <c r="I247" s="21">
        <f t="shared" si="46"/>
        <v>1</v>
      </c>
      <c r="J247" s="659"/>
      <c r="K247" s="21">
        <f t="shared" si="47"/>
        <v>1</v>
      </c>
      <c r="L247" s="659"/>
      <c r="M247" s="21">
        <f t="shared" si="48"/>
        <v>1</v>
      </c>
      <c r="N247" s="659"/>
      <c r="O247" s="21">
        <f t="shared" si="49"/>
        <v>1</v>
      </c>
      <c r="P247" s="659"/>
      <c r="Q247" s="21">
        <f t="shared" si="50"/>
        <v>1</v>
      </c>
      <c r="R247" s="655">
        <f t="shared" si="51"/>
        <v>0</v>
      </c>
      <c r="S247" s="311">
        <f t="shared" si="52"/>
        <v>0</v>
      </c>
    </row>
    <row r="248" spans="1:19">
      <c r="A248" s="145"/>
      <c r="B248" s="54"/>
      <c r="C248" s="21">
        <f t="shared" si="43"/>
        <v>1</v>
      </c>
      <c r="D248" s="659"/>
      <c r="E248" s="21">
        <f t="shared" si="44"/>
        <v>1</v>
      </c>
      <c r="F248" s="659"/>
      <c r="G248" s="21">
        <f t="shared" si="45"/>
        <v>1</v>
      </c>
      <c r="H248" s="659"/>
      <c r="I248" s="21">
        <f t="shared" si="46"/>
        <v>1</v>
      </c>
      <c r="J248" s="659"/>
      <c r="K248" s="21">
        <f t="shared" si="47"/>
        <v>1</v>
      </c>
      <c r="L248" s="659"/>
      <c r="M248" s="21">
        <f t="shared" si="48"/>
        <v>1</v>
      </c>
      <c r="N248" s="659"/>
      <c r="O248" s="21">
        <f t="shared" si="49"/>
        <v>1</v>
      </c>
      <c r="P248" s="659"/>
      <c r="Q248" s="21">
        <f t="shared" si="50"/>
        <v>1</v>
      </c>
      <c r="R248" s="655">
        <f t="shared" si="51"/>
        <v>0</v>
      </c>
      <c r="S248" s="311">
        <f t="shared" si="52"/>
        <v>0</v>
      </c>
    </row>
    <row r="249" spans="1:19">
      <c r="A249" s="145"/>
      <c r="B249" s="54"/>
      <c r="C249" s="21">
        <f t="shared" si="43"/>
        <v>1</v>
      </c>
      <c r="D249" s="659"/>
      <c r="E249" s="21">
        <f t="shared" si="44"/>
        <v>1</v>
      </c>
      <c r="F249" s="659"/>
      <c r="G249" s="21">
        <f t="shared" si="45"/>
        <v>1</v>
      </c>
      <c r="H249" s="659"/>
      <c r="I249" s="21">
        <f t="shared" si="46"/>
        <v>1</v>
      </c>
      <c r="J249" s="659"/>
      <c r="K249" s="21">
        <f t="shared" si="47"/>
        <v>1</v>
      </c>
      <c r="L249" s="659"/>
      <c r="M249" s="21">
        <f t="shared" si="48"/>
        <v>1</v>
      </c>
      <c r="N249" s="659"/>
      <c r="O249" s="21">
        <f t="shared" si="49"/>
        <v>1</v>
      </c>
      <c r="P249" s="659"/>
      <c r="Q249" s="21">
        <f t="shared" si="50"/>
        <v>1</v>
      </c>
      <c r="R249" s="655">
        <f t="shared" si="51"/>
        <v>0</v>
      </c>
      <c r="S249" s="311">
        <f t="shared" si="52"/>
        <v>0</v>
      </c>
    </row>
    <row r="250" spans="1:19">
      <c r="A250" s="145"/>
      <c r="B250" s="54"/>
      <c r="C250" s="21">
        <f t="shared" si="43"/>
        <v>1</v>
      </c>
      <c r="D250" s="659"/>
      <c r="E250" s="21">
        <f t="shared" si="44"/>
        <v>1</v>
      </c>
      <c r="F250" s="659"/>
      <c r="G250" s="21">
        <f t="shared" si="45"/>
        <v>1</v>
      </c>
      <c r="H250" s="659"/>
      <c r="I250" s="21">
        <f t="shared" si="46"/>
        <v>1</v>
      </c>
      <c r="J250" s="659"/>
      <c r="K250" s="21">
        <f t="shared" si="47"/>
        <v>1</v>
      </c>
      <c r="L250" s="659"/>
      <c r="M250" s="21">
        <f t="shared" si="48"/>
        <v>1</v>
      </c>
      <c r="N250" s="659"/>
      <c r="O250" s="21">
        <f t="shared" si="49"/>
        <v>1</v>
      </c>
      <c r="P250" s="659"/>
      <c r="Q250" s="21">
        <f t="shared" si="50"/>
        <v>1</v>
      </c>
      <c r="R250" s="655">
        <f t="shared" si="51"/>
        <v>0</v>
      </c>
      <c r="S250" s="311">
        <f t="shared" si="52"/>
        <v>0</v>
      </c>
    </row>
    <row r="251" spans="1:19">
      <c r="A251" s="145"/>
      <c r="B251" s="54"/>
      <c r="C251" s="21">
        <f t="shared" si="43"/>
        <v>1</v>
      </c>
      <c r="D251" s="659"/>
      <c r="E251" s="21">
        <f t="shared" si="44"/>
        <v>1</v>
      </c>
      <c r="F251" s="659"/>
      <c r="G251" s="21">
        <f t="shared" si="45"/>
        <v>1</v>
      </c>
      <c r="H251" s="659"/>
      <c r="I251" s="21">
        <f t="shared" si="46"/>
        <v>1</v>
      </c>
      <c r="J251" s="659"/>
      <c r="K251" s="21">
        <f t="shared" si="47"/>
        <v>1</v>
      </c>
      <c r="L251" s="659"/>
      <c r="M251" s="21">
        <f t="shared" si="48"/>
        <v>1</v>
      </c>
      <c r="N251" s="659"/>
      <c r="O251" s="21">
        <f t="shared" si="49"/>
        <v>1</v>
      </c>
      <c r="P251" s="659"/>
      <c r="Q251" s="21">
        <f t="shared" si="50"/>
        <v>1</v>
      </c>
      <c r="R251" s="655">
        <f t="shared" si="51"/>
        <v>0</v>
      </c>
      <c r="S251" s="311">
        <f t="shared" si="52"/>
        <v>0</v>
      </c>
    </row>
    <row r="252" spans="1:19">
      <c r="A252" s="145"/>
      <c r="B252" s="54"/>
      <c r="C252" s="21">
        <f t="shared" si="43"/>
        <v>1</v>
      </c>
      <c r="D252" s="659"/>
      <c r="E252" s="21">
        <f t="shared" si="44"/>
        <v>1</v>
      </c>
      <c r="F252" s="659"/>
      <c r="G252" s="21">
        <f t="shared" si="45"/>
        <v>1</v>
      </c>
      <c r="H252" s="659"/>
      <c r="I252" s="21">
        <f t="shared" si="46"/>
        <v>1</v>
      </c>
      <c r="J252" s="659"/>
      <c r="K252" s="21">
        <f t="shared" si="47"/>
        <v>1</v>
      </c>
      <c r="L252" s="659"/>
      <c r="M252" s="21">
        <f t="shared" si="48"/>
        <v>1</v>
      </c>
      <c r="N252" s="659"/>
      <c r="O252" s="21">
        <f t="shared" si="49"/>
        <v>1</v>
      </c>
      <c r="P252" s="659"/>
      <c r="Q252" s="21">
        <f t="shared" si="50"/>
        <v>1</v>
      </c>
      <c r="R252" s="655">
        <f t="shared" si="51"/>
        <v>0</v>
      </c>
      <c r="S252" s="311">
        <f t="shared" si="52"/>
        <v>0</v>
      </c>
    </row>
    <row r="253" spans="1:19">
      <c r="A253" s="145"/>
      <c r="B253" s="54"/>
      <c r="C253" s="21">
        <f t="shared" si="43"/>
        <v>1</v>
      </c>
      <c r="D253" s="659"/>
      <c r="E253" s="21">
        <f t="shared" si="44"/>
        <v>1</v>
      </c>
      <c r="F253" s="659"/>
      <c r="G253" s="21">
        <f t="shared" si="45"/>
        <v>1</v>
      </c>
      <c r="H253" s="659"/>
      <c r="I253" s="21">
        <f t="shared" si="46"/>
        <v>1</v>
      </c>
      <c r="J253" s="659"/>
      <c r="K253" s="21">
        <f t="shared" si="47"/>
        <v>1</v>
      </c>
      <c r="L253" s="659"/>
      <c r="M253" s="21">
        <f t="shared" si="48"/>
        <v>1</v>
      </c>
      <c r="N253" s="659"/>
      <c r="O253" s="21">
        <f t="shared" si="49"/>
        <v>1</v>
      </c>
      <c r="P253" s="659"/>
      <c r="Q253" s="21">
        <f t="shared" si="50"/>
        <v>1</v>
      </c>
      <c r="R253" s="655">
        <f t="shared" si="51"/>
        <v>0</v>
      </c>
      <c r="S253" s="311">
        <f t="shared" si="52"/>
        <v>0</v>
      </c>
    </row>
    <row r="254" spans="1:19">
      <c r="A254" s="145"/>
      <c r="B254" s="54"/>
      <c r="C254" s="21">
        <f t="shared" si="43"/>
        <v>1</v>
      </c>
      <c r="D254" s="659"/>
      <c r="E254" s="21">
        <f t="shared" si="44"/>
        <v>1</v>
      </c>
      <c r="F254" s="659"/>
      <c r="G254" s="21">
        <f t="shared" si="45"/>
        <v>1</v>
      </c>
      <c r="H254" s="659"/>
      <c r="I254" s="21">
        <f t="shared" si="46"/>
        <v>1</v>
      </c>
      <c r="J254" s="659"/>
      <c r="K254" s="21">
        <f t="shared" si="47"/>
        <v>1</v>
      </c>
      <c r="L254" s="659"/>
      <c r="M254" s="21">
        <f t="shared" si="48"/>
        <v>1</v>
      </c>
      <c r="N254" s="659"/>
      <c r="O254" s="21">
        <f t="shared" si="49"/>
        <v>1</v>
      </c>
      <c r="P254" s="659"/>
      <c r="Q254" s="21">
        <f t="shared" si="50"/>
        <v>1</v>
      </c>
      <c r="R254" s="655">
        <f t="shared" si="51"/>
        <v>0</v>
      </c>
      <c r="S254" s="311">
        <f t="shared" si="52"/>
        <v>0</v>
      </c>
    </row>
    <row r="255" spans="1:19">
      <c r="A255" s="145"/>
      <c r="B255" s="54"/>
      <c r="C255" s="21">
        <f t="shared" si="43"/>
        <v>1</v>
      </c>
      <c r="D255" s="659"/>
      <c r="E255" s="21">
        <f t="shared" si="44"/>
        <v>1</v>
      </c>
      <c r="F255" s="659"/>
      <c r="G255" s="21">
        <f t="shared" si="45"/>
        <v>1</v>
      </c>
      <c r="H255" s="659"/>
      <c r="I255" s="21">
        <f t="shared" si="46"/>
        <v>1</v>
      </c>
      <c r="J255" s="659"/>
      <c r="K255" s="21">
        <f t="shared" si="47"/>
        <v>1</v>
      </c>
      <c r="L255" s="659"/>
      <c r="M255" s="21">
        <f t="shared" si="48"/>
        <v>1</v>
      </c>
      <c r="N255" s="659"/>
      <c r="O255" s="21">
        <f t="shared" si="49"/>
        <v>1</v>
      </c>
      <c r="P255" s="659"/>
      <c r="Q255" s="21">
        <f t="shared" si="50"/>
        <v>1</v>
      </c>
      <c r="R255" s="655">
        <f t="shared" si="51"/>
        <v>0</v>
      </c>
      <c r="S255" s="311">
        <f t="shared" si="52"/>
        <v>0</v>
      </c>
    </row>
    <row r="256" spans="1:19">
      <c r="A256" s="145"/>
      <c r="B256" s="54"/>
      <c r="C256" s="21">
        <f t="shared" si="43"/>
        <v>1</v>
      </c>
      <c r="D256" s="659"/>
      <c r="E256" s="21">
        <f t="shared" si="44"/>
        <v>1</v>
      </c>
      <c r="F256" s="659"/>
      <c r="G256" s="21">
        <f t="shared" si="45"/>
        <v>1</v>
      </c>
      <c r="H256" s="659"/>
      <c r="I256" s="21">
        <f t="shared" si="46"/>
        <v>1</v>
      </c>
      <c r="J256" s="659"/>
      <c r="K256" s="21">
        <f t="shared" si="47"/>
        <v>1</v>
      </c>
      <c r="L256" s="659"/>
      <c r="M256" s="21">
        <f t="shared" si="48"/>
        <v>1</v>
      </c>
      <c r="N256" s="659"/>
      <c r="O256" s="21">
        <f t="shared" si="49"/>
        <v>1</v>
      </c>
      <c r="P256" s="659"/>
      <c r="Q256" s="21">
        <f t="shared" si="50"/>
        <v>1</v>
      </c>
      <c r="R256" s="655">
        <f t="shared" si="51"/>
        <v>0</v>
      </c>
      <c r="S256" s="311">
        <f t="shared" si="52"/>
        <v>0</v>
      </c>
    </row>
    <row r="257" spans="1:19">
      <c r="A257" s="145"/>
      <c r="B257" s="54"/>
      <c r="C257" s="21">
        <f t="shared" si="43"/>
        <v>1</v>
      </c>
      <c r="D257" s="659"/>
      <c r="E257" s="21">
        <f t="shared" si="44"/>
        <v>1</v>
      </c>
      <c r="F257" s="659"/>
      <c r="G257" s="21">
        <f t="shared" si="45"/>
        <v>1</v>
      </c>
      <c r="H257" s="659"/>
      <c r="I257" s="21">
        <f t="shared" si="46"/>
        <v>1</v>
      </c>
      <c r="J257" s="659"/>
      <c r="K257" s="21">
        <f t="shared" si="47"/>
        <v>1</v>
      </c>
      <c r="L257" s="659"/>
      <c r="M257" s="21">
        <f t="shared" si="48"/>
        <v>1</v>
      </c>
      <c r="N257" s="659"/>
      <c r="O257" s="21">
        <f t="shared" si="49"/>
        <v>1</v>
      </c>
      <c r="P257" s="659"/>
      <c r="Q257" s="21">
        <f t="shared" si="50"/>
        <v>1</v>
      </c>
      <c r="R257" s="655">
        <f t="shared" si="51"/>
        <v>0</v>
      </c>
      <c r="S257" s="311">
        <f t="shared" si="52"/>
        <v>0</v>
      </c>
    </row>
    <row r="258" spans="1:19">
      <c r="A258" s="145"/>
      <c r="B258" s="54"/>
      <c r="C258" s="21">
        <f t="shared" si="43"/>
        <v>1</v>
      </c>
      <c r="D258" s="659"/>
      <c r="E258" s="21">
        <f t="shared" si="44"/>
        <v>1</v>
      </c>
      <c r="F258" s="659"/>
      <c r="G258" s="21">
        <f t="shared" si="45"/>
        <v>1</v>
      </c>
      <c r="H258" s="659"/>
      <c r="I258" s="21">
        <f t="shared" si="46"/>
        <v>1</v>
      </c>
      <c r="J258" s="659"/>
      <c r="K258" s="21">
        <f t="shared" si="47"/>
        <v>1</v>
      </c>
      <c r="L258" s="659"/>
      <c r="M258" s="21">
        <f t="shared" si="48"/>
        <v>1</v>
      </c>
      <c r="N258" s="659"/>
      <c r="O258" s="21">
        <f t="shared" si="49"/>
        <v>1</v>
      </c>
      <c r="P258" s="659"/>
      <c r="Q258" s="21">
        <f t="shared" si="50"/>
        <v>1</v>
      </c>
      <c r="R258" s="655">
        <f t="shared" si="51"/>
        <v>0</v>
      </c>
      <c r="S258" s="311">
        <f t="shared" si="52"/>
        <v>0</v>
      </c>
    </row>
    <row r="259" spans="1:19">
      <c r="A259" s="145"/>
      <c r="B259" s="54"/>
      <c r="C259" s="21">
        <f t="shared" si="43"/>
        <v>1</v>
      </c>
      <c r="D259" s="659"/>
      <c r="E259" s="21">
        <f t="shared" si="44"/>
        <v>1</v>
      </c>
      <c r="F259" s="659"/>
      <c r="G259" s="21">
        <f t="shared" si="45"/>
        <v>1</v>
      </c>
      <c r="H259" s="659"/>
      <c r="I259" s="21">
        <f t="shared" si="46"/>
        <v>1</v>
      </c>
      <c r="J259" s="659"/>
      <c r="K259" s="21">
        <f t="shared" si="47"/>
        <v>1</v>
      </c>
      <c r="L259" s="659"/>
      <c r="M259" s="21">
        <f t="shared" si="48"/>
        <v>1</v>
      </c>
      <c r="N259" s="659"/>
      <c r="O259" s="21">
        <f t="shared" si="49"/>
        <v>1</v>
      </c>
      <c r="P259" s="659"/>
      <c r="Q259" s="21">
        <f t="shared" si="50"/>
        <v>1</v>
      </c>
      <c r="R259" s="655">
        <f t="shared" si="51"/>
        <v>0</v>
      </c>
      <c r="S259" s="311">
        <f t="shared" si="52"/>
        <v>0</v>
      </c>
    </row>
    <row r="260" spans="1:19">
      <c r="A260" s="145"/>
      <c r="B260" s="54"/>
      <c r="C260" s="21">
        <f t="shared" si="43"/>
        <v>1</v>
      </c>
      <c r="D260" s="659"/>
      <c r="E260" s="21">
        <f t="shared" si="44"/>
        <v>1</v>
      </c>
      <c r="F260" s="659"/>
      <c r="G260" s="21">
        <f t="shared" si="45"/>
        <v>1</v>
      </c>
      <c r="H260" s="659"/>
      <c r="I260" s="21">
        <f t="shared" si="46"/>
        <v>1</v>
      </c>
      <c r="J260" s="659"/>
      <c r="K260" s="21">
        <f t="shared" si="47"/>
        <v>1</v>
      </c>
      <c r="L260" s="659"/>
      <c r="M260" s="21">
        <f t="shared" si="48"/>
        <v>1</v>
      </c>
      <c r="N260" s="659"/>
      <c r="O260" s="21">
        <f t="shared" si="49"/>
        <v>1</v>
      </c>
      <c r="P260" s="659"/>
      <c r="Q260" s="21">
        <f t="shared" si="50"/>
        <v>1</v>
      </c>
      <c r="R260" s="655">
        <f t="shared" si="51"/>
        <v>0</v>
      </c>
      <c r="S260" s="311">
        <f t="shared" si="52"/>
        <v>0</v>
      </c>
    </row>
    <row r="261" spans="1:19">
      <c r="A261" s="145"/>
      <c r="B261" s="54"/>
      <c r="C261" s="21">
        <f t="shared" si="43"/>
        <v>1</v>
      </c>
      <c r="D261" s="659"/>
      <c r="E261" s="21">
        <f t="shared" si="44"/>
        <v>1</v>
      </c>
      <c r="F261" s="659"/>
      <c r="G261" s="21">
        <f t="shared" si="45"/>
        <v>1</v>
      </c>
      <c r="H261" s="659"/>
      <c r="I261" s="21">
        <f t="shared" si="46"/>
        <v>1</v>
      </c>
      <c r="J261" s="659"/>
      <c r="K261" s="21">
        <f t="shared" si="47"/>
        <v>1</v>
      </c>
      <c r="L261" s="659"/>
      <c r="M261" s="21">
        <f t="shared" si="48"/>
        <v>1</v>
      </c>
      <c r="N261" s="659"/>
      <c r="O261" s="21">
        <f t="shared" si="49"/>
        <v>1</v>
      </c>
      <c r="P261" s="659"/>
      <c r="Q261" s="21">
        <f t="shared" si="50"/>
        <v>1</v>
      </c>
      <c r="R261" s="655">
        <f t="shared" si="51"/>
        <v>0</v>
      </c>
      <c r="S261" s="311">
        <f t="shared" si="52"/>
        <v>0</v>
      </c>
    </row>
    <row r="262" spans="1:19">
      <c r="A262" s="145"/>
      <c r="B262" s="54"/>
      <c r="C262" s="21">
        <f t="shared" si="43"/>
        <v>1</v>
      </c>
      <c r="D262" s="659"/>
      <c r="E262" s="21">
        <f t="shared" si="44"/>
        <v>1</v>
      </c>
      <c r="F262" s="659"/>
      <c r="G262" s="21">
        <f t="shared" si="45"/>
        <v>1</v>
      </c>
      <c r="H262" s="659"/>
      <c r="I262" s="21">
        <f t="shared" si="46"/>
        <v>1</v>
      </c>
      <c r="J262" s="659"/>
      <c r="K262" s="21">
        <f t="shared" si="47"/>
        <v>1</v>
      </c>
      <c r="L262" s="659"/>
      <c r="M262" s="21">
        <f t="shared" si="48"/>
        <v>1</v>
      </c>
      <c r="N262" s="659"/>
      <c r="O262" s="21">
        <f t="shared" si="49"/>
        <v>1</v>
      </c>
      <c r="P262" s="659"/>
      <c r="Q262" s="21">
        <f t="shared" si="50"/>
        <v>1</v>
      </c>
      <c r="R262" s="655">
        <f t="shared" si="51"/>
        <v>0</v>
      </c>
      <c r="S262" s="311">
        <f t="shared" si="52"/>
        <v>0</v>
      </c>
    </row>
    <row r="263" spans="1:19">
      <c r="A263" s="145"/>
      <c r="B263" s="54"/>
      <c r="C263" s="21">
        <f t="shared" si="43"/>
        <v>1</v>
      </c>
      <c r="D263" s="659"/>
      <c r="E263" s="21">
        <f t="shared" si="44"/>
        <v>1</v>
      </c>
      <c r="F263" s="659"/>
      <c r="G263" s="21">
        <f t="shared" si="45"/>
        <v>1</v>
      </c>
      <c r="H263" s="659"/>
      <c r="I263" s="21">
        <f t="shared" si="46"/>
        <v>1</v>
      </c>
      <c r="J263" s="659"/>
      <c r="K263" s="21">
        <f t="shared" si="47"/>
        <v>1</v>
      </c>
      <c r="L263" s="659"/>
      <c r="M263" s="21">
        <f t="shared" si="48"/>
        <v>1</v>
      </c>
      <c r="N263" s="659"/>
      <c r="O263" s="21">
        <f t="shared" si="49"/>
        <v>1</v>
      </c>
      <c r="P263" s="659"/>
      <c r="Q263" s="21">
        <f t="shared" si="50"/>
        <v>1</v>
      </c>
      <c r="R263" s="655">
        <f t="shared" si="51"/>
        <v>0</v>
      </c>
      <c r="S263" s="311">
        <f t="shared" si="52"/>
        <v>0</v>
      </c>
    </row>
    <row r="264" spans="1:19">
      <c r="A264" s="145"/>
      <c r="B264" s="54"/>
      <c r="C264" s="21">
        <f t="shared" si="43"/>
        <v>1</v>
      </c>
      <c r="D264" s="659"/>
      <c r="E264" s="21">
        <f t="shared" si="44"/>
        <v>1</v>
      </c>
      <c r="F264" s="659"/>
      <c r="G264" s="21">
        <f t="shared" si="45"/>
        <v>1</v>
      </c>
      <c r="H264" s="659"/>
      <c r="I264" s="21">
        <f t="shared" si="46"/>
        <v>1</v>
      </c>
      <c r="J264" s="659"/>
      <c r="K264" s="21">
        <f t="shared" si="47"/>
        <v>1</v>
      </c>
      <c r="L264" s="659"/>
      <c r="M264" s="21">
        <f t="shared" si="48"/>
        <v>1</v>
      </c>
      <c r="N264" s="659"/>
      <c r="O264" s="21">
        <f t="shared" si="49"/>
        <v>1</v>
      </c>
      <c r="P264" s="659"/>
      <c r="Q264" s="21">
        <f t="shared" si="50"/>
        <v>1</v>
      </c>
      <c r="R264" s="655">
        <f t="shared" si="51"/>
        <v>0</v>
      </c>
      <c r="S264" s="311">
        <f t="shared" si="52"/>
        <v>0</v>
      </c>
    </row>
    <row r="265" spans="1:19">
      <c r="A265" s="145"/>
      <c r="B265" s="54"/>
      <c r="C265" s="21">
        <f t="shared" si="43"/>
        <v>1</v>
      </c>
      <c r="D265" s="659"/>
      <c r="E265" s="21">
        <f t="shared" si="44"/>
        <v>1</v>
      </c>
      <c r="F265" s="659"/>
      <c r="G265" s="21">
        <f t="shared" si="45"/>
        <v>1</v>
      </c>
      <c r="H265" s="659"/>
      <c r="I265" s="21">
        <f t="shared" si="46"/>
        <v>1</v>
      </c>
      <c r="J265" s="659"/>
      <c r="K265" s="21">
        <f t="shared" si="47"/>
        <v>1</v>
      </c>
      <c r="L265" s="659"/>
      <c r="M265" s="21">
        <f t="shared" si="48"/>
        <v>1</v>
      </c>
      <c r="N265" s="659"/>
      <c r="O265" s="21">
        <f t="shared" si="49"/>
        <v>1</v>
      </c>
      <c r="P265" s="659"/>
      <c r="Q265" s="21">
        <f t="shared" si="50"/>
        <v>1</v>
      </c>
      <c r="R265" s="655">
        <f t="shared" si="51"/>
        <v>0</v>
      </c>
      <c r="S265" s="311">
        <f t="shared" si="52"/>
        <v>0</v>
      </c>
    </row>
    <row r="266" spans="1:19">
      <c r="A266" s="145"/>
      <c r="B266" s="54"/>
      <c r="C266" s="21">
        <f t="shared" si="43"/>
        <v>1</v>
      </c>
      <c r="D266" s="659"/>
      <c r="E266" s="21">
        <f t="shared" si="44"/>
        <v>1</v>
      </c>
      <c r="F266" s="659"/>
      <c r="G266" s="21">
        <f t="shared" si="45"/>
        <v>1</v>
      </c>
      <c r="H266" s="659"/>
      <c r="I266" s="21">
        <f t="shared" si="46"/>
        <v>1</v>
      </c>
      <c r="J266" s="659"/>
      <c r="K266" s="21">
        <f t="shared" si="47"/>
        <v>1</v>
      </c>
      <c r="L266" s="659"/>
      <c r="M266" s="21">
        <f t="shared" si="48"/>
        <v>1</v>
      </c>
      <c r="N266" s="659"/>
      <c r="O266" s="21">
        <f t="shared" si="49"/>
        <v>1</v>
      </c>
      <c r="P266" s="659"/>
      <c r="Q266" s="21">
        <f t="shared" si="50"/>
        <v>1</v>
      </c>
      <c r="R266" s="655">
        <f t="shared" si="51"/>
        <v>0</v>
      </c>
      <c r="S266" s="311">
        <f t="shared" si="52"/>
        <v>0</v>
      </c>
    </row>
    <row r="267" spans="1:19">
      <c r="A267" s="145"/>
      <c r="B267" s="54"/>
      <c r="C267" s="21">
        <f t="shared" si="43"/>
        <v>1</v>
      </c>
      <c r="D267" s="659"/>
      <c r="E267" s="21">
        <f t="shared" si="44"/>
        <v>1</v>
      </c>
      <c r="F267" s="659"/>
      <c r="G267" s="21">
        <f t="shared" si="45"/>
        <v>1</v>
      </c>
      <c r="H267" s="659"/>
      <c r="I267" s="21">
        <f t="shared" si="46"/>
        <v>1</v>
      </c>
      <c r="J267" s="659"/>
      <c r="K267" s="21">
        <f t="shared" si="47"/>
        <v>1</v>
      </c>
      <c r="L267" s="659"/>
      <c r="M267" s="21">
        <f t="shared" si="48"/>
        <v>1</v>
      </c>
      <c r="N267" s="659"/>
      <c r="O267" s="21">
        <f t="shared" si="49"/>
        <v>1</v>
      </c>
      <c r="P267" s="659"/>
      <c r="Q267" s="21">
        <f t="shared" si="50"/>
        <v>1</v>
      </c>
      <c r="R267" s="655">
        <f t="shared" si="51"/>
        <v>0</v>
      </c>
      <c r="S267" s="311">
        <f t="shared" si="52"/>
        <v>0</v>
      </c>
    </row>
    <row r="268" spans="1:19">
      <c r="A268" s="145"/>
      <c r="B268" s="54"/>
      <c r="C268" s="21">
        <f t="shared" si="43"/>
        <v>1</v>
      </c>
      <c r="D268" s="659"/>
      <c r="E268" s="21">
        <f t="shared" si="44"/>
        <v>1</v>
      </c>
      <c r="F268" s="659"/>
      <c r="G268" s="21">
        <f t="shared" si="45"/>
        <v>1</v>
      </c>
      <c r="H268" s="659"/>
      <c r="I268" s="21">
        <f t="shared" si="46"/>
        <v>1</v>
      </c>
      <c r="J268" s="659"/>
      <c r="K268" s="21">
        <f t="shared" si="47"/>
        <v>1</v>
      </c>
      <c r="L268" s="659"/>
      <c r="M268" s="21">
        <f t="shared" si="48"/>
        <v>1</v>
      </c>
      <c r="N268" s="659"/>
      <c r="O268" s="21">
        <f t="shared" si="49"/>
        <v>1</v>
      </c>
      <c r="P268" s="659"/>
      <c r="Q268" s="21">
        <f t="shared" si="50"/>
        <v>1</v>
      </c>
      <c r="R268" s="655">
        <f t="shared" si="51"/>
        <v>0</v>
      </c>
      <c r="S268" s="311">
        <f t="shared" si="52"/>
        <v>0</v>
      </c>
    </row>
    <row r="269" spans="1:19">
      <c r="A269" s="145"/>
      <c r="B269" s="54"/>
      <c r="C269" s="21">
        <f t="shared" si="43"/>
        <v>1</v>
      </c>
      <c r="D269" s="659"/>
      <c r="E269" s="21">
        <f t="shared" si="44"/>
        <v>1</v>
      </c>
      <c r="F269" s="659"/>
      <c r="G269" s="21">
        <f t="shared" si="45"/>
        <v>1</v>
      </c>
      <c r="H269" s="659"/>
      <c r="I269" s="21">
        <f t="shared" si="46"/>
        <v>1</v>
      </c>
      <c r="J269" s="659"/>
      <c r="K269" s="21">
        <f t="shared" si="47"/>
        <v>1</v>
      </c>
      <c r="L269" s="659"/>
      <c r="M269" s="21">
        <f t="shared" si="48"/>
        <v>1</v>
      </c>
      <c r="N269" s="659"/>
      <c r="O269" s="21">
        <f t="shared" si="49"/>
        <v>1</v>
      </c>
      <c r="P269" s="659"/>
      <c r="Q269" s="21">
        <f t="shared" si="50"/>
        <v>1</v>
      </c>
      <c r="R269" s="655">
        <f t="shared" si="51"/>
        <v>0</v>
      </c>
      <c r="S269" s="311">
        <f t="shared" si="52"/>
        <v>0</v>
      </c>
    </row>
    <row r="270" spans="1:19">
      <c r="A270" s="145"/>
      <c r="B270" s="54"/>
      <c r="C270" s="21">
        <f t="shared" si="43"/>
        <v>1</v>
      </c>
      <c r="D270" s="659"/>
      <c r="E270" s="21">
        <f t="shared" si="44"/>
        <v>1</v>
      </c>
      <c r="F270" s="659"/>
      <c r="G270" s="21">
        <f t="shared" si="45"/>
        <v>1</v>
      </c>
      <c r="H270" s="659"/>
      <c r="I270" s="21">
        <f t="shared" si="46"/>
        <v>1</v>
      </c>
      <c r="J270" s="659"/>
      <c r="K270" s="21">
        <f t="shared" si="47"/>
        <v>1</v>
      </c>
      <c r="L270" s="659"/>
      <c r="M270" s="21">
        <f t="shared" si="48"/>
        <v>1</v>
      </c>
      <c r="N270" s="659"/>
      <c r="O270" s="21">
        <f t="shared" si="49"/>
        <v>1</v>
      </c>
      <c r="P270" s="659"/>
      <c r="Q270" s="21">
        <f t="shared" si="50"/>
        <v>1</v>
      </c>
      <c r="R270" s="655">
        <f t="shared" si="51"/>
        <v>0</v>
      </c>
      <c r="S270" s="311">
        <f t="shared" si="52"/>
        <v>0</v>
      </c>
    </row>
    <row r="271" spans="1:19">
      <c r="A271" s="145"/>
      <c r="B271" s="54"/>
      <c r="C271" s="21">
        <f t="shared" si="43"/>
        <v>1</v>
      </c>
      <c r="D271" s="659"/>
      <c r="E271" s="21">
        <f t="shared" si="44"/>
        <v>1</v>
      </c>
      <c r="F271" s="659"/>
      <c r="G271" s="21">
        <f t="shared" si="45"/>
        <v>1</v>
      </c>
      <c r="H271" s="659"/>
      <c r="I271" s="21">
        <f t="shared" si="46"/>
        <v>1</v>
      </c>
      <c r="J271" s="659"/>
      <c r="K271" s="21">
        <f t="shared" si="47"/>
        <v>1</v>
      </c>
      <c r="L271" s="659"/>
      <c r="M271" s="21">
        <f t="shared" si="48"/>
        <v>1</v>
      </c>
      <c r="N271" s="659"/>
      <c r="O271" s="21">
        <f t="shared" si="49"/>
        <v>1</v>
      </c>
      <c r="P271" s="659"/>
      <c r="Q271" s="21">
        <f t="shared" si="50"/>
        <v>1</v>
      </c>
      <c r="R271" s="655">
        <f t="shared" si="51"/>
        <v>0</v>
      </c>
      <c r="S271" s="311">
        <f t="shared" si="52"/>
        <v>0</v>
      </c>
    </row>
    <row r="272" spans="1:19">
      <c r="A272" s="145"/>
      <c r="B272" s="54"/>
      <c r="C272" s="21">
        <f t="shared" si="43"/>
        <v>1</v>
      </c>
      <c r="D272" s="659"/>
      <c r="E272" s="21">
        <f t="shared" si="44"/>
        <v>1</v>
      </c>
      <c r="F272" s="659"/>
      <c r="G272" s="21">
        <f t="shared" si="45"/>
        <v>1</v>
      </c>
      <c r="H272" s="659"/>
      <c r="I272" s="21">
        <f t="shared" si="46"/>
        <v>1</v>
      </c>
      <c r="J272" s="659"/>
      <c r="K272" s="21">
        <f t="shared" si="47"/>
        <v>1</v>
      </c>
      <c r="L272" s="659"/>
      <c r="M272" s="21">
        <f t="shared" si="48"/>
        <v>1</v>
      </c>
      <c r="N272" s="659"/>
      <c r="O272" s="21">
        <f t="shared" si="49"/>
        <v>1</v>
      </c>
      <c r="P272" s="659"/>
      <c r="Q272" s="21">
        <f t="shared" si="50"/>
        <v>1</v>
      </c>
      <c r="R272" s="655">
        <f t="shared" si="51"/>
        <v>0</v>
      </c>
      <c r="S272" s="311">
        <f t="shared" si="52"/>
        <v>0</v>
      </c>
    </row>
    <row r="273" spans="1:19">
      <c r="A273" s="145"/>
      <c r="B273" s="54"/>
      <c r="C273" s="21">
        <f t="shared" si="43"/>
        <v>1</v>
      </c>
      <c r="D273" s="659"/>
      <c r="E273" s="21">
        <f t="shared" si="44"/>
        <v>1</v>
      </c>
      <c r="F273" s="659"/>
      <c r="G273" s="21">
        <f t="shared" si="45"/>
        <v>1</v>
      </c>
      <c r="H273" s="659"/>
      <c r="I273" s="21">
        <f t="shared" si="46"/>
        <v>1</v>
      </c>
      <c r="J273" s="659"/>
      <c r="K273" s="21">
        <f t="shared" si="47"/>
        <v>1</v>
      </c>
      <c r="L273" s="659"/>
      <c r="M273" s="21">
        <f t="shared" si="48"/>
        <v>1</v>
      </c>
      <c r="N273" s="659"/>
      <c r="O273" s="21">
        <f t="shared" si="49"/>
        <v>1</v>
      </c>
      <c r="P273" s="659"/>
      <c r="Q273" s="21">
        <f t="shared" si="50"/>
        <v>1</v>
      </c>
      <c r="R273" s="655">
        <f t="shared" si="51"/>
        <v>0</v>
      </c>
      <c r="S273" s="311">
        <f t="shared" si="52"/>
        <v>0</v>
      </c>
    </row>
    <row r="274" spans="1:19">
      <c r="A274" s="145"/>
      <c r="B274" s="54"/>
      <c r="C274" s="21">
        <f t="shared" si="43"/>
        <v>1</v>
      </c>
      <c r="D274" s="659"/>
      <c r="E274" s="21">
        <f t="shared" si="44"/>
        <v>1</v>
      </c>
      <c r="F274" s="659"/>
      <c r="G274" s="21">
        <f t="shared" si="45"/>
        <v>1</v>
      </c>
      <c r="H274" s="659"/>
      <c r="I274" s="21">
        <f t="shared" si="46"/>
        <v>1</v>
      </c>
      <c r="J274" s="659"/>
      <c r="K274" s="21">
        <f t="shared" si="47"/>
        <v>1</v>
      </c>
      <c r="L274" s="659"/>
      <c r="M274" s="21">
        <f t="shared" si="48"/>
        <v>1</v>
      </c>
      <c r="N274" s="659"/>
      <c r="O274" s="21">
        <f t="shared" si="49"/>
        <v>1</v>
      </c>
      <c r="P274" s="659"/>
      <c r="Q274" s="21">
        <f t="shared" si="50"/>
        <v>1</v>
      </c>
      <c r="R274" s="655">
        <f t="shared" si="51"/>
        <v>0</v>
      </c>
      <c r="S274" s="311">
        <f t="shared" si="52"/>
        <v>0</v>
      </c>
    </row>
    <row r="275" spans="1:19">
      <c r="A275" s="145"/>
      <c r="B275" s="54"/>
      <c r="C275" s="21">
        <f t="shared" si="43"/>
        <v>1</v>
      </c>
      <c r="D275" s="659"/>
      <c r="E275" s="21">
        <f t="shared" si="44"/>
        <v>1</v>
      </c>
      <c r="F275" s="659"/>
      <c r="G275" s="21">
        <f t="shared" si="45"/>
        <v>1</v>
      </c>
      <c r="H275" s="659"/>
      <c r="I275" s="21">
        <f t="shared" si="46"/>
        <v>1</v>
      </c>
      <c r="J275" s="659"/>
      <c r="K275" s="21">
        <f t="shared" si="47"/>
        <v>1</v>
      </c>
      <c r="L275" s="659"/>
      <c r="M275" s="21">
        <f t="shared" si="48"/>
        <v>1</v>
      </c>
      <c r="N275" s="659"/>
      <c r="O275" s="21">
        <f t="shared" si="49"/>
        <v>1</v>
      </c>
      <c r="P275" s="659"/>
      <c r="Q275" s="21">
        <f t="shared" si="50"/>
        <v>1</v>
      </c>
      <c r="R275" s="655">
        <f t="shared" si="51"/>
        <v>0</v>
      </c>
      <c r="S275" s="311">
        <f t="shared" si="52"/>
        <v>0</v>
      </c>
    </row>
    <row r="276" spans="1:19">
      <c r="A276" s="145"/>
      <c r="B276" s="54"/>
      <c r="C276" s="21">
        <f t="shared" si="43"/>
        <v>1</v>
      </c>
      <c r="D276" s="659"/>
      <c r="E276" s="21">
        <f t="shared" si="44"/>
        <v>1</v>
      </c>
      <c r="F276" s="659"/>
      <c r="G276" s="21">
        <f t="shared" si="45"/>
        <v>1</v>
      </c>
      <c r="H276" s="659"/>
      <c r="I276" s="21">
        <f t="shared" si="46"/>
        <v>1</v>
      </c>
      <c r="J276" s="659"/>
      <c r="K276" s="21">
        <f t="shared" si="47"/>
        <v>1</v>
      </c>
      <c r="L276" s="659"/>
      <c r="M276" s="21">
        <f t="shared" si="48"/>
        <v>1</v>
      </c>
      <c r="N276" s="659"/>
      <c r="O276" s="21">
        <f t="shared" si="49"/>
        <v>1</v>
      </c>
      <c r="P276" s="659"/>
      <c r="Q276" s="21">
        <f t="shared" si="50"/>
        <v>1</v>
      </c>
      <c r="R276" s="655">
        <f t="shared" si="51"/>
        <v>0</v>
      </c>
      <c r="S276" s="311">
        <f t="shared" si="52"/>
        <v>0</v>
      </c>
    </row>
    <row r="277" spans="1:19">
      <c r="A277" s="145"/>
      <c r="B277" s="54"/>
      <c r="C277" s="21">
        <f t="shared" si="43"/>
        <v>1</v>
      </c>
      <c r="D277" s="659"/>
      <c r="E277" s="21">
        <f t="shared" si="44"/>
        <v>1</v>
      </c>
      <c r="F277" s="659"/>
      <c r="G277" s="21">
        <f t="shared" si="45"/>
        <v>1</v>
      </c>
      <c r="H277" s="659"/>
      <c r="I277" s="21">
        <f t="shared" si="46"/>
        <v>1</v>
      </c>
      <c r="J277" s="659"/>
      <c r="K277" s="21">
        <f t="shared" si="47"/>
        <v>1</v>
      </c>
      <c r="L277" s="659"/>
      <c r="M277" s="21">
        <f t="shared" si="48"/>
        <v>1</v>
      </c>
      <c r="N277" s="659"/>
      <c r="O277" s="21">
        <f t="shared" si="49"/>
        <v>1</v>
      </c>
      <c r="P277" s="659"/>
      <c r="Q277" s="21">
        <f t="shared" si="50"/>
        <v>1</v>
      </c>
      <c r="R277" s="655">
        <f t="shared" si="51"/>
        <v>0</v>
      </c>
      <c r="S277" s="311">
        <f t="shared" si="52"/>
        <v>0</v>
      </c>
    </row>
    <row r="278" spans="1:19">
      <c r="A278" s="145"/>
      <c r="B278" s="54"/>
      <c r="C278" s="21">
        <f t="shared" si="43"/>
        <v>1</v>
      </c>
      <c r="D278" s="659"/>
      <c r="E278" s="21">
        <f t="shared" si="44"/>
        <v>1</v>
      </c>
      <c r="F278" s="659"/>
      <c r="G278" s="21">
        <f t="shared" si="45"/>
        <v>1</v>
      </c>
      <c r="H278" s="659"/>
      <c r="I278" s="21">
        <f t="shared" si="46"/>
        <v>1</v>
      </c>
      <c r="J278" s="659"/>
      <c r="K278" s="21">
        <f t="shared" si="47"/>
        <v>1</v>
      </c>
      <c r="L278" s="659"/>
      <c r="M278" s="21">
        <f t="shared" si="48"/>
        <v>1</v>
      </c>
      <c r="N278" s="659"/>
      <c r="O278" s="21">
        <f t="shared" si="49"/>
        <v>1</v>
      </c>
      <c r="P278" s="659"/>
      <c r="Q278" s="21">
        <f t="shared" si="50"/>
        <v>1</v>
      </c>
      <c r="R278" s="655">
        <f t="shared" si="51"/>
        <v>0</v>
      </c>
      <c r="S278" s="311">
        <f t="shared" si="52"/>
        <v>0</v>
      </c>
    </row>
    <row r="279" spans="1:19">
      <c r="A279" s="145"/>
      <c r="B279" s="54"/>
      <c r="C279" s="21">
        <f t="shared" si="43"/>
        <v>1</v>
      </c>
      <c r="D279" s="659"/>
      <c r="E279" s="21">
        <f t="shared" si="44"/>
        <v>1</v>
      </c>
      <c r="F279" s="659"/>
      <c r="G279" s="21">
        <f t="shared" si="45"/>
        <v>1</v>
      </c>
      <c r="H279" s="659"/>
      <c r="I279" s="21">
        <f t="shared" si="46"/>
        <v>1</v>
      </c>
      <c r="J279" s="659"/>
      <c r="K279" s="21">
        <f t="shared" si="47"/>
        <v>1</v>
      </c>
      <c r="L279" s="659"/>
      <c r="M279" s="21">
        <f t="shared" si="48"/>
        <v>1</v>
      </c>
      <c r="N279" s="659"/>
      <c r="O279" s="21">
        <f t="shared" si="49"/>
        <v>1</v>
      </c>
      <c r="P279" s="659"/>
      <c r="Q279" s="21">
        <f t="shared" si="50"/>
        <v>1</v>
      </c>
      <c r="R279" s="655">
        <f t="shared" si="51"/>
        <v>0</v>
      </c>
      <c r="S279" s="311">
        <f t="shared" si="52"/>
        <v>0</v>
      </c>
    </row>
    <row r="280" spans="1:19">
      <c r="A280" s="145"/>
      <c r="B280" s="54"/>
      <c r="C280" s="21">
        <f t="shared" si="43"/>
        <v>1</v>
      </c>
      <c r="D280" s="659"/>
      <c r="E280" s="21">
        <f t="shared" si="44"/>
        <v>1</v>
      </c>
      <c r="F280" s="659"/>
      <c r="G280" s="21">
        <f t="shared" si="45"/>
        <v>1</v>
      </c>
      <c r="H280" s="659"/>
      <c r="I280" s="21">
        <f t="shared" si="46"/>
        <v>1</v>
      </c>
      <c r="J280" s="659"/>
      <c r="K280" s="21">
        <f t="shared" si="47"/>
        <v>1</v>
      </c>
      <c r="L280" s="659"/>
      <c r="M280" s="21">
        <f t="shared" si="48"/>
        <v>1</v>
      </c>
      <c r="N280" s="659"/>
      <c r="O280" s="21">
        <f t="shared" si="49"/>
        <v>1</v>
      </c>
      <c r="P280" s="659"/>
      <c r="Q280" s="21">
        <f t="shared" si="50"/>
        <v>1</v>
      </c>
      <c r="R280" s="655">
        <f t="shared" si="51"/>
        <v>0</v>
      </c>
      <c r="S280" s="311">
        <f t="shared" si="52"/>
        <v>0</v>
      </c>
    </row>
    <row r="281" spans="1:19">
      <c r="A281" s="145"/>
      <c r="B281" s="54"/>
      <c r="C281" s="21">
        <f t="shared" si="43"/>
        <v>1</v>
      </c>
      <c r="D281" s="659"/>
      <c r="E281" s="21">
        <f t="shared" si="44"/>
        <v>1</v>
      </c>
      <c r="F281" s="659"/>
      <c r="G281" s="21">
        <f t="shared" si="45"/>
        <v>1</v>
      </c>
      <c r="H281" s="659"/>
      <c r="I281" s="21">
        <f t="shared" si="46"/>
        <v>1</v>
      </c>
      <c r="J281" s="659"/>
      <c r="K281" s="21">
        <f t="shared" si="47"/>
        <v>1</v>
      </c>
      <c r="L281" s="659"/>
      <c r="M281" s="21">
        <f t="shared" si="48"/>
        <v>1</v>
      </c>
      <c r="N281" s="659"/>
      <c r="O281" s="21">
        <f t="shared" si="49"/>
        <v>1</v>
      </c>
      <c r="P281" s="659"/>
      <c r="Q281" s="21">
        <f t="shared" si="50"/>
        <v>1</v>
      </c>
      <c r="R281" s="655">
        <f t="shared" si="51"/>
        <v>0</v>
      </c>
      <c r="S281" s="311">
        <f t="shared" si="52"/>
        <v>0</v>
      </c>
    </row>
    <row r="282" spans="1:19">
      <c r="A282" s="145"/>
      <c r="B282" s="54"/>
      <c r="C282" s="21">
        <f t="shared" ref="C282:C345" si="53">IF(B282="",1,(LOOKUP(B282,$3:$3,$4:$4)-LOOKUP($B$24,$3:$3,$4:$4)+100)/100)</f>
        <v>1</v>
      </c>
      <c r="D282" s="659"/>
      <c r="E282" s="21">
        <f t="shared" ref="E282:E345" si="54">(SUMIF($5:$5,D282,$6:$6)-SUMIF($5:$5,$D$24,$6:$6)+100)/100</f>
        <v>1</v>
      </c>
      <c r="F282" s="659"/>
      <c r="G282" s="21">
        <f t="shared" ref="G282:G345" si="55">(SUMIF($7:$7,F282,$8:$8)-SUMIF($7:$7,$F$24,$8:$8)+100)/100</f>
        <v>1</v>
      </c>
      <c r="H282" s="659"/>
      <c r="I282" s="21">
        <f t="shared" ref="I282:I345" si="56">(SUMIF($9:$9,H282,$10:$10)-SUMIF($9:$9,$H$24,$10:$10)+100)/100</f>
        <v>1</v>
      </c>
      <c r="J282" s="659"/>
      <c r="K282" s="21">
        <f t="shared" ref="K282:K345" si="57">(SUMIF($11:$11,J282,$12:$12)-SUMIF($11:$11,$J$24,$12:$12)+100)/100</f>
        <v>1</v>
      </c>
      <c r="L282" s="659"/>
      <c r="M282" s="21">
        <f t="shared" ref="M282:M345" si="58">(SUMIF($13:$13,L282,$14:$14)-SUMIF($13:$13,$L$24,$14:$14)+100)/100</f>
        <v>1</v>
      </c>
      <c r="N282" s="659"/>
      <c r="O282" s="21">
        <f t="shared" ref="O282:O345" si="59">(SUMIF($15:$15,N282,$16:$16)-SUMIF($15:$15,$N$24,$16:$16)+100)/100</f>
        <v>1</v>
      </c>
      <c r="P282" s="659"/>
      <c r="Q282" s="21">
        <f t="shared" ref="Q282:Q345" si="60">(SUMIF($17:$17,P282,$18:$18)-SUMIF($17:$17,$P$24,$18:$18)+100)/100</f>
        <v>1</v>
      </c>
      <c r="R282" s="655">
        <f t="shared" ref="R282:R345" si="61">IF(B282="",0,ROUND($R$24*C282*E282*G282*I282*K282*M282*O282*Q282,0))</f>
        <v>0</v>
      </c>
      <c r="S282" s="311">
        <f t="shared" si="52"/>
        <v>0</v>
      </c>
    </row>
    <row r="283" spans="1:19">
      <c r="A283" s="145"/>
      <c r="B283" s="54"/>
      <c r="C283" s="21">
        <f t="shared" si="53"/>
        <v>1</v>
      </c>
      <c r="D283" s="659"/>
      <c r="E283" s="21">
        <f t="shared" si="54"/>
        <v>1</v>
      </c>
      <c r="F283" s="659"/>
      <c r="G283" s="21">
        <f t="shared" si="55"/>
        <v>1</v>
      </c>
      <c r="H283" s="659"/>
      <c r="I283" s="21">
        <f t="shared" si="56"/>
        <v>1</v>
      </c>
      <c r="J283" s="659"/>
      <c r="K283" s="21">
        <f t="shared" si="57"/>
        <v>1</v>
      </c>
      <c r="L283" s="659"/>
      <c r="M283" s="21">
        <f t="shared" si="58"/>
        <v>1</v>
      </c>
      <c r="N283" s="659"/>
      <c r="O283" s="21">
        <f t="shared" si="59"/>
        <v>1</v>
      </c>
      <c r="P283" s="659"/>
      <c r="Q283" s="21">
        <f t="shared" si="60"/>
        <v>1</v>
      </c>
      <c r="R283" s="655">
        <f t="shared" si="61"/>
        <v>0</v>
      </c>
      <c r="S283" s="311">
        <f t="shared" si="52"/>
        <v>0</v>
      </c>
    </row>
    <row r="284" spans="1:19">
      <c r="A284" s="145"/>
      <c r="B284" s="54"/>
      <c r="C284" s="21">
        <f t="shared" si="53"/>
        <v>1</v>
      </c>
      <c r="D284" s="659"/>
      <c r="E284" s="21">
        <f t="shared" si="54"/>
        <v>1</v>
      </c>
      <c r="F284" s="659"/>
      <c r="G284" s="21">
        <f t="shared" si="55"/>
        <v>1</v>
      </c>
      <c r="H284" s="659"/>
      <c r="I284" s="21">
        <f t="shared" si="56"/>
        <v>1</v>
      </c>
      <c r="J284" s="659"/>
      <c r="K284" s="21">
        <f t="shared" si="57"/>
        <v>1</v>
      </c>
      <c r="L284" s="659"/>
      <c r="M284" s="21">
        <f t="shared" si="58"/>
        <v>1</v>
      </c>
      <c r="N284" s="659"/>
      <c r="O284" s="21">
        <f t="shared" si="59"/>
        <v>1</v>
      </c>
      <c r="P284" s="659"/>
      <c r="Q284" s="21">
        <f t="shared" si="60"/>
        <v>1</v>
      </c>
      <c r="R284" s="655">
        <f t="shared" si="61"/>
        <v>0</v>
      </c>
      <c r="S284" s="311">
        <f t="shared" si="52"/>
        <v>0</v>
      </c>
    </row>
    <row r="285" spans="1:19">
      <c r="A285" s="145"/>
      <c r="B285" s="54"/>
      <c r="C285" s="21">
        <f t="shared" si="53"/>
        <v>1</v>
      </c>
      <c r="D285" s="659"/>
      <c r="E285" s="21">
        <f t="shared" si="54"/>
        <v>1</v>
      </c>
      <c r="F285" s="659"/>
      <c r="G285" s="21">
        <f t="shared" si="55"/>
        <v>1</v>
      </c>
      <c r="H285" s="659"/>
      <c r="I285" s="21">
        <f t="shared" si="56"/>
        <v>1</v>
      </c>
      <c r="J285" s="659"/>
      <c r="K285" s="21">
        <f t="shared" si="57"/>
        <v>1</v>
      </c>
      <c r="L285" s="659"/>
      <c r="M285" s="21">
        <f t="shared" si="58"/>
        <v>1</v>
      </c>
      <c r="N285" s="659"/>
      <c r="O285" s="21">
        <f t="shared" si="59"/>
        <v>1</v>
      </c>
      <c r="P285" s="659"/>
      <c r="Q285" s="21">
        <f t="shared" si="60"/>
        <v>1</v>
      </c>
      <c r="R285" s="655">
        <f t="shared" si="61"/>
        <v>0</v>
      </c>
      <c r="S285" s="311">
        <f t="shared" si="52"/>
        <v>0</v>
      </c>
    </row>
    <row r="286" spans="1:19">
      <c r="A286" s="145"/>
      <c r="B286" s="54"/>
      <c r="C286" s="21">
        <f t="shared" si="53"/>
        <v>1</v>
      </c>
      <c r="D286" s="659"/>
      <c r="E286" s="21">
        <f t="shared" si="54"/>
        <v>1</v>
      </c>
      <c r="F286" s="659"/>
      <c r="G286" s="21">
        <f t="shared" si="55"/>
        <v>1</v>
      </c>
      <c r="H286" s="659"/>
      <c r="I286" s="21">
        <f t="shared" si="56"/>
        <v>1</v>
      </c>
      <c r="J286" s="659"/>
      <c r="K286" s="21">
        <f t="shared" si="57"/>
        <v>1</v>
      </c>
      <c r="L286" s="659"/>
      <c r="M286" s="21">
        <f t="shared" si="58"/>
        <v>1</v>
      </c>
      <c r="N286" s="659"/>
      <c r="O286" s="21">
        <f t="shared" si="59"/>
        <v>1</v>
      </c>
      <c r="P286" s="659"/>
      <c r="Q286" s="21">
        <f t="shared" si="60"/>
        <v>1</v>
      </c>
      <c r="R286" s="655">
        <f t="shared" si="61"/>
        <v>0</v>
      </c>
      <c r="S286" s="311">
        <f t="shared" si="52"/>
        <v>0</v>
      </c>
    </row>
    <row r="287" spans="1:19">
      <c r="A287" s="145"/>
      <c r="B287" s="54"/>
      <c r="C287" s="21">
        <f t="shared" si="53"/>
        <v>1</v>
      </c>
      <c r="D287" s="659"/>
      <c r="E287" s="21">
        <f t="shared" si="54"/>
        <v>1</v>
      </c>
      <c r="F287" s="659"/>
      <c r="G287" s="21">
        <f t="shared" si="55"/>
        <v>1</v>
      </c>
      <c r="H287" s="659"/>
      <c r="I287" s="21">
        <f t="shared" si="56"/>
        <v>1</v>
      </c>
      <c r="J287" s="659"/>
      <c r="K287" s="21">
        <f t="shared" si="57"/>
        <v>1</v>
      </c>
      <c r="L287" s="659"/>
      <c r="M287" s="21">
        <f t="shared" si="58"/>
        <v>1</v>
      </c>
      <c r="N287" s="659"/>
      <c r="O287" s="21">
        <f t="shared" si="59"/>
        <v>1</v>
      </c>
      <c r="P287" s="659"/>
      <c r="Q287" s="21">
        <f t="shared" si="60"/>
        <v>1</v>
      </c>
      <c r="R287" s="655">
        <f t="shared" si="61"/>
        <v>0</v>
      </c>
      <c r="S287" s="311">
        <f t="shared" ref="S287:S320" si="62">ROUND(R287*B287/10000,0)</f>
        <v>0</v>
      </c>
    </row>
    <row r="288" spans="1:19">
      <c r="A288" s="145"/>
      <c r="B288" s="54"/>
      <c r="C288" s="21">
        <f t="shared" si="53"/>
        <v>1</v>
      </c>
      <c r="D288" s="659"/>
      <c r="E288" s="21">
        <f t="shared" si="54"/>
        <v>1</v>
      </c>
      <c r="F288" s="659"/>
      <c r="G288" s="21">
        <f t="shared" si="55"/>
        <v>1</v>
      </c>
      <c r="H288" s="659"/>
      <c r="I288" s="21">
        <f t="shared" si="56"/>
        <v>1</v>
      </c>
      <c r="J288" s="659"/>
      <c r="K288" s="21">
        <f t="shared" si="57"/>
        <v>1</v>
      </c>
      <c r="L288" s="659"/>
      <c r="M288" s="21">
        <f t="shared" si="58"/>
        <v>1</v>
      </c>
      <c r="N288" s="659"/>
      <c r="O288" s="21">
        <f t="shared" si="59"/>
        <v>1</v>
      </c>
      <c r="P288" s="659"/>
      <c r="Q288" s="21">
        <f t="shared" si="60"/>
        <v>1</v>
      </c>
      <c r="R288" s="655">
        <f t="shared" si="61"/>
        <v>0</v>
      </c>
      <c r="S288" s="311">
        <f t="shared" si="62"/>
        <v>0</v>
      </c>
    </row>
    <row r="289" spans="1:19">
      <c r="A289" s="145"/>
      <c r="B289" s="54"/>
      <c r="C289" s="21">
        <f t="shared" si="53"/>
        <v>1</v>
      </c>
      <c r="D289" s="659"/>
      <c r="E289" s="21">
        <f t="shared" si="54"/>
        <v>1</v>
      </c>
      <c r="F289" s="659"/>
      <c r="G289" s="21">
        <f t="shared" si="55"/>
        <v>1</v>
      </c>
      <c r="H289" s="659"/>
      <c r="I289" s="21">
        <f t="shared" si="56"/>
        <v>1</v>
      </c>
      <c r="J289" s="659"/>
      <c r="K289" s="21">
        <f t="shared" si="57"/>
        <v>1</v>
      </c>
      <c r="L289" s="659"/>
      <c r="M289" s="21">
        <f t="shared" si="58"/>
        <v>1</v>
      </c>
      <c r="N289" s="659"/>
      <c r="O289" s="21">
        <f t="shared" si="59"/>
        <v>1</v>
      </c>
      <c r="P289" s="659"/>
      <c r="Q289" s="21">
        <f t="shared" si="60"/>
        <v>1</v>
      </c>
      <c r="R289" s="655">
        <f t="shared" si="61"/>
        <v>0</v>
      </c>
      <c r="S289" s="311">
        <f t="shared" si="62"/>
        <v>0</v>
      </c>
    </row>
    <row r="290" spans="1:19">
      <c r="A290" s="145"/>
      <c r="B290" s="54"/>
      <c r="C290" s="21">
        <f t="shared" si="53"/>
        <v>1</v>
      </c>
      <c r="D290" s="659"/>
      <c r="E290" s="21">
        <f t="shared" si="54"/>
        <v>1</v>
      </c>
      <c r="F290" s="659"/>
      <c r="G290" s="21">
        <f t="shared" si="55"/>
        <v>1</v>
      </c>
      <c r="H290" s="659"/>
      <c r="I290" s="21">
        <f t="shared" si="56"/>
        <v>1</v>
      </c>
      <c r="J290" s="659"/>
      <c r="K290" s="21">
        <f t="shared" si="57"/>
        <v>1</v>
      </c>
      <c r="L290" s="659"/>
      <c r="M290" s="21">
        <f t="shared" si="58"/>
        <v>1</v>
      </c>
      <c r="N290" s="659"/>
      <c r="O290" s="21">
        <f t="shared" si="59"/>
        <v>1</v>
      </c>
      <c r="P290" s="659"/>
      <c r="Q290" s="21">
        <f t="shared" si="60"/>
        <v>1</v>
      </c>
      <c r="R290" s="655">
        <f t="shared" si="61"/>
        <v>0</v>
      </c>
      <c r="S290" s="311">
        <f t="shared" si="62"/>
        <v>0</v>
      </c>
    </row>
    <row r="291" spans="1:19">
      <c r="A291" s="145"/>
      <c r="B291" s="54"/>
      <c r="C291" s="21">
        <f t="shared" si="53"/>
        <v>1</v>
      </c>
      <c r="D291" s="659"/>
      <c r="E291" s="21">
        <f t="shared" si="54"/>
        <v>1</v>
      </c>
      <c r="F291" s="659"/>
      <c r="G291" s="21">
        <f t="shared" si="55"/>
        <v>1</v>
      </c>
      <c r="H291" s="659"/>
      <c r="I291" s="21">
        <f t="shared" si="56"/>
        <v>1</v>
      </c>
      <c r="J291" s="659"/>
      <c r="K291" s="21">
        <f t="shared" si="57"/>
        <v>1</v>
      </c>
      <c r="L291" s="659"/>
      <c r="M291" s="21">
        <f t="shared" si="58"/>
        <v>1</v>
      </c>
      <c r="N291" s="659"/>
      <c r="O291" s="21">
        <f t="shared" si="59"/>
        <v>1</v>
      </c>
      <c r="P291" s="659"/>
      <c r="Q291" s="21">
        <f t="shared" si="60"/>
        <v>1</v>
      </c>
      <c r="R291" s="655">
        <f t="shared" si="61"/>
        <v>0</v>
      </c>
      <c r="S291" s="311">
        <f t="shared" si="62"/>
        <v>0</v>
      </c>
    </row>
    <row r="292" spans="1:19">
      <c r="A292" s="145"/>
      <c r="B292" s="54"/>
      <c r="C292" s="21">
        <f t="shared" si="53"/>
        <v>1</v>
      </c>
      <c r="D292" s="659"/>
      <c r="E292" s="21">
        <f t="shared" si="54"/>
        <v>1</v>
      </c>
      <c r="F292" s="659"/>
      <c r="G292" s="21">
        <f t="shared" si="55"/>
        <v>1</v>
      </c>
      <c r="H292" s="659"/>
      <c r="I292" s="21">
        <f t="shared" si="56"/>
        <v>1</v>
      </c>
      <c r="J292" s="659"/>
      <c r="K292" s="21">
        <f t="shared" si="57"/>
        <v>1</v>
      </c>
      <c r="L292" s="659"/>
      <c r="M292" s="21">
        <f t="shared" si="58"/>
        <v>1</v>
      </c>
      <c r="N292" s="659"/>
      <c r="O292" s="21">
        <f t="shared" si="59"/>
        <v>1</v>
      </c>
      <c r="P292" s="659"/>
      <c r="Q292" s="21">
        <f t="shared" si="60"/>
        <v>1</v>
      </c>
      <c r="R292" s="655">
        <f t="shared" si="61"/>
        <v>0</v>
      </c>
      <c r="S292" s="311">
        <f t="shared" si="62"/>
        <v>0</v>
      </c>
    </row>
    <row r="293" spans="1:19">
      <c r="A293" s="145"/>
      <c r="B293" s="54"/>
      <c r="C293" s="21">
        <f t="shared" si="53"/>
        <v>1</v>
      </c>
      <c r="D293" s="659"/>
      <c r="E293" s="21">
        <f t="shared" si="54"/>
        <v>1</v>
      </c>
      <c r="F293" s="659"/>
      <c r="G293" s="21">
        <f t="shared" si="55"/>
        <v>1</v>
      </c>
      <c r="H293" s="659"/>
      <c r="I293" s="21">
        <f t="shared" si="56"/>
        <v>1</v>
      </c>
      <c r="J293" s="659"/>
      <c r="K293" s="21">
        <f t="shared" si="57"/>
        <v>1</v>
      </c>
      <c r="L293" s="659"/>
      <c r="M293" s="21">
        <f t="shared" si="58"/>
        <v>1</v>
      </c>
      <c r="N293" s="659"/>
      <c r="O293" s="21">
        <f t="shared" si="59"/>
        <v>1</v>
      </c>
      <c r="P293" s="659"/>
      <c r="Q293" s="21">
        <f t="shared" si="60"/>
        <v>1</v>
      </c>
      <c r="R293" s="655">
        <f t="shared" si="61"/>
        <v>0</v>
      </c>
      <c r="S293" s="311">
        <f t="shared" si="62"/>
        <v>0</v>
      </c>
    </row>
    <row r="294" spans="1:19">
      <c r="A294" s="145"/>
      <c r="B294" s="54"/>
      <c r="C294" s="21">
        <f t="shared" si="53"/>
        <v>1</v>
      </c>
      <c r="D294" s="659"/>
      <c r="E294" s="21">
        <f t="shared" si="54"/>
        <v>1</v>
      </c>
      <c r="F294" s="659"/>
      <c r="G294" s="21">
        <f t="shared" si="55"/>
        <v>1</v>
      </c>
      <c r="H294" s="659"/>
      <c r="I294" s="21">
        <f t="shared" si="56"/>
        <v>1</v>
      </c>
      <c r="J294" s="659"/>
      <c r="K294" s="21">
        <f t="shared" si="57"/>
        <v>1</v>
      </c>
      <c r="L294" s="659"/>
      <c r="M294" s="21">
        <f t="shared" si="58"/>
        <v>1</v>
      </c>
      <c r="N294" s="659"/>
      <c r="O294" s="21">
        <f t="shared" si="59"/>
        <v>1</v>
      </c>
      <c r="P294" s="659"/>
      <c r="Q294" s="21">
        <f t="shared" si="60"/>
        <v>1</v>
      </c>
      <c r="R294" s="655">
        <f t="shared" si="61"/>
        <v>0</v>
      </c>
      <c r="S294" s="311">
        <f t="shared" si="62"/>
        <v>0</v>
      </c>
    </row>
    <row r="295" spans="1:19">
      <c r="A295" s="145"/>
      <c r="B295" s="54"/>
      <c r="C295" s="21">
        <f t="shared" si="53"/>
        <v>1</v>
      </c>
      <c r="D295" s="659"/>
      <c r="E295" s="21">
        <f t="shared" si="54"/>
        <v>1</v>
      </c>
      <c r="F295" s="659"/>
      <c r="G295" s="21">
        <f t="shared" si="55"/>
        <v>1</v>
      </c>
      <c r="H295" s="659"/>
      <c r="I295" s="21">
        <f t="shared" si="56"/>
        <v>1</v>
      </c>
      <c r="J295" s="659"/>
      <c r="K295" s="21">
        <f t="shared" si="57"/>
        <v>1</v>
      </c>
      <c r="L295" s="659"/>
      <c r="M295" s="21">
        <f t="shared" si="58"/>
        <v>1</v>
      </c>
      <c r="N295" s="659"/>
      <c r="O295" s="21">
        <f t="shared" si="59"/>
        <v>1</v>
      </c>
      <c r="P295" s="659"/>
      <c r="Q295" s="21">
        <f t="shared" si="60"/>
        <v>1</v>
      </c>
      <c r="R295" s="655">
        <f t="shared" si="61"/>
        <v>0</v>
      </c>
      <c r="S295" s="311">
        <f t="shared" si="62"/>
        <v>0</v>
      </c>
    </row>
    <row r="296" spans="1:19">
      <c r="A296" s="145"/>
      <c r="B296" s="54"/>
      <c r="C296" s="21">
        <f t="shared" si="53"/>
        <v>1</v>
      </c>
      <c r="D296" s="659"/>
      <c r="E296" s="21">
        <f t="shared" si="54"/>
        <v>1</v>
      </c>
      <c r="F296" s="659"/>
      <c r="G296" s="21">
        <f t="shared" si="55"/>
        <v>1</v>
      </c>
      <c r="H296" s="659"/>
      <c r="I296" s="21">
        <f t="shared" si="56"/>
        <v>1</v>
      </c>
      <c r="J296" s="659"/>
      <c r="K296" s="21">
        <f t="shared" si="57"/>
        <v>1</v>
      </c>
      <c r="L296" s="659"/>
      <c r="M296" s="21">
        <f t="shared" si="58"/>
        <v>1</v>
      </c>
      <c r="N296" s="659"/>
      <c r="O296" s="21">
        <f t="shared" si="59"/>
        <v>1</v>
      </c>
      <c r="P296" s="659"/>
      <c r="Q296" s="21">
        <f t="shared" si="60"/>
        <v>1</v>
      </c>
      <c r="R296" s="655">
        <f t="shared" si="61"/>
        <v>0</v>
      </c>
      <c r="S296" s="311">
        <f t="shared" si="62"/>
        <v>0</v>
      </c>
    </row>
    <row r="297" spans="1:19">
      <c r="A297" s="145"/>
      <c r="B297" s="54"/>
      <c r="C297" s="21">
        <f t="shared" si="53"/>
        <v>1</v>
      </c>
      <c r="D297" s="659"/>
      <c r="E297" s="21">
        <f t="shared" si="54"/>
        <v>1</v>
      </c>
      <c r="F297" s="659"/>
      <c r="G297" s="21">
        <f t="shared" si="55"/>
        <v>1</v>
      </c>
      <c r="H297" s="659"/>
      <c r="I297" s="21">
        <f t="shared" si="56"/>
        <v>1</v>
      </c>
      <c r="J297" s="659"/>
      <c r="K297" s="21">
        <f t="shared" si="57"/>
        <v>1</v>
      </c>
      <c r="L297" s="659"/>
      <c r="M297" s="21">
        <f t="shared" si="58"/>
        <v>1</v>
      </c>
      <c r="N297" s="659"/>
      <c r="O297" s="21">
        <f t="shared" si="59"/>
        <v>1</v>
      </c>
      <c r="P297" s="659"/>
      <c r="Q297" s="21">
        <f t="shared" si="60"/>
        <v>1</v>
      </c>
      <c r="R297" s="655">
        <f t="shared" si="61"/>
        <v>0</v>
      </c>
      <c r="S297" s="311">
        <f t="shared" si="62"/>
        <v>0</v>
      </c>
    </row>
    <row r="298" spans="1:19">
      <c r="A298" s="145"/>
      <c r="B298" s="54"/>
      <c r="C298" s="21">
        <f t="shared" si="53"/>
        <v>1</v>
      </c>
      <c r="D298" s="659"/>
      <c r="E298" s="21">
        <f t="shared" si="54"/>
        <v>1</v>
      </c>
      <c r="F298" s="659"/>
      <c r="G298" s="21">
        <f t="shared" si="55"/>
        <v>1</v>
      </c>
      <c r="H298" s="659"/>
      <c r="I298" s="21">
        <f t="shared" si="56"/>
        <v>1</v>
      </c>
      <c r="J298" s="659"/>
      <c r="K298" s="21">
        <f t="shared" si="57"/>
        <v>1</v>
      </c>
      <c r="L298" s="659"/>
      <c r="M298" s="21">
        <f t="shared" si="58"/>
        <v>1</v>
      </c>
      <c r="N298" s="659"/>
      <c r="O298" s="21">
        <f t="shared" si="59"/>
        <v>1</v>
      </c>
      <c r="P298" s="659"/>
      <c r="Q298" s="21">
        <f t="shared" si="60"/>
        <v>1</v>
      </c>
      <c r="R298" s="655">
        <f t="shared" si="61"/>
        <v>0</v>
      </c>
      <c r="S298" s="311">
        <f t="shared" si="62"/>
        <v>0</v>
      </c>
    </row>
    <row r="299" spans="1:19">
      <c r="A299" s="145"/>
      <c r="B299" s="54"/>
      <c r="C299" s="21">
        <f t="shared" si="53"/>
        <v>1</v>
      </c>
      <c r="D299" s="659"/>
      <c r="E299" s="21">
        <f t="shared" si="54"/>
        <v>1</v>
      </c>
      <c r="F299" s="659"/>
      <c r="G299" s="21">
        <f t="shared" si="55"/>
        <v>1</v>
      </c>
      <c r="H299" s="659"/>
      <c r="I299" s="21">
        <f t="shared" si="56"/>
        <v>1</v>
      </c>
      <c r="J299" s="659"/>
      <c r="K299" s="21">
        <f t="shared" si="57"/>
        <v>1</v>
      </c>
      <c r="L299" s="659"/>
      <c r="M299" s="21">
        <f t="shared" si="58"/>
        <v>1</v>
      </c>
      <c r="N299" s="659"/>
      <c r="O299" s="21">
        <f t="shared" si="59"/>
        <v>1</v>
      </c>
      <c r="P299" s="659"/>
      <c r="Q299" s="21">
        <f t="shared" si="60"/>
        <v>1</v>
      </c>
      <c r="R299" s="655">
        <f t="shared" si="61"/>
        <v>0</v>
      </c>
      <c r="S299" s="311">
        <f t="shared" si="62"/>
        <v>0</v>
      </c>
    </row>
    <row r="300" spans="1:19">
      <c r="A300" s="145"/>
      <c r="B300" s="54"/>
      <c r="C300" s="21">
        <f t="shared" si="53"/>
        <v>1</v>
      </c>
      <c r="D300" s="659"/>
      <c r="E300" s="21">
        <f t="shared" si="54"/>
        <v>1</v>
      </c>
      <c r="F300" s="659"/>
      <c r="G300" s="21">
        <f t="shared" si="55"/>
        <v>1</v>
      </c>
      <c r="H300" s="659"/>
      <c r="I300" s="21">
        <f t="shared" si="56"/>
        <v>1</v>
      </c>
      <c r="J300" s="659"/>
      <c r="K300" s="21">
        <f t="shared" si="57"/>
        <v>1</v>
      </c>
      <c r="L300" s="659"/>
      <c r="M300" s="21">
        <f t="shared" si="58"/>
        <v>1</v>
      </c>
      <c r="N300" s="659"/>
      <c r="O300" s="21">
        <f t="shared" si="59"/>
        <v>1</v>
      </c>
      <c r="P300" s="659"/>
      <c r="Q300" s="21">
        <f t="shared" si="60"/>
        <v>1</v>
      </c>
      <c r="R300" s="655">
        <f t="shared" si="61"/>
        <v>0</v>
      </c>
      <c r="S300" s="311">
        <f t="shared" si="62"/>
        <v>0</v>
      </c>
    </row>
    <row r="301" spans="1:19">
      <c r="A301" s="145"/>
      <c r="B301" s="54"/>
      <c r="C301" s="21">
        <f t="shared" si="53"/>
        <v>1</v>
      </c>
      <c r="D301" s="659"/>
      <c r="E301" s="21">
        <f t="shared" si="54"/>
        <v>1</v>
      </c>
      <c r="F301" s="659"/>
      <c r="G301" s="21">
        <f t="shared" si="55"/>
        <v>1</v>
      </c>
      <c r="H301" s="659"/>
      <c r="I301" s="21">
        <f t="shared" si="56"/>
        <v>1</v>
      </c>
      <c r="J301" s="659"/>
      <c r="K301" s="21">
        <f t="shared" si="57"/>
        <v>1</v>
      </c>
      <c r="L301" s="659"/>
      <c r="M301" s="21">
        <f t="shared" si="58"/>
        <v>1</v>
      </c>
      <c r="N301" s="659"/>
      <c r="O301" s="21">
        <f t="shared" si="59"/>
        <v>1</v>
      </c>
      <c r="P301" s="659"/>
      <c r="Q301" s="21">
        <f t="shared" si="60"/>
        <v>1</v>
      </c>
      <c r="R301" s="655">
        <f t="shared" si="61"/>
        <v>0</v>
      </c>
      <c r="S301" s="311">
        <f t="shared" si="62"/>
        <v>0</v>
      </c>
    </row>
    <row r="302" spans="1:19">
      <c r="A302" s="145"/>
      <c r="B302" s="54"/>
      <c r="C302" s="21">
        <f t="shared" si="53"/>
        <v>1</v>
      </c>
      <c r="D302" s="659"/>
      <c r="E302" s="21">
        <f t="shared" si="54"/>
        <v>1</v>
      </c>
      <c r="F302" s="659"/>
      <c r="G302" s="21">
        <f t="shared" si="55"/>
        <v>1</v>
      </c>
      <c r="H302" s="659"/>
      <c r="I302" s="21">
        <f t="shared" si="56"/>
        <v>1</v>
      </c>
      <c r="J302" s="659"/>
      <c r="K302" s="21">
        <f t="shared" si="57"/>
        <v>1</v>
      </c>
      <c r="L302" s="659"/>
      <c r="M302" s="21">
        <f t="shared" si="58"/>
        <v>1</v>
      </c>
      <c r="N302" s="659"/>
      <c r="O302" s="21">
        <f t="shared" si="59"/>
        <v>1</v>
      </c>
      <c r="P302" s="659"/>
      <c r="Q302" s="21">
        <f t="shared" si="60"/>
        <v>1</v>
      </c>
      <c r="R302" s="655">
        <f t="shared" si="61"/>
        <v>0</v>
      </c>
      <c r="S302" s="311">
        <f t="shared" si="62"/>
        <v>0</v>
      </c>
    </row>
    <row r="303" spans="1:19">
      <c r="A303" s="145"/>
      <c r="B303" s="54"/>
      <c r="C303" s="21">
        <f t="shared" si="53"/>
        <v>1</v>
      </c>
      <c r="D303" s="659"/>
      <c r="E303" s="21">
        <f t="shared" si="54"/>
        <v>1</v>
      </c>
      <c r="F303" s="659"/>
      <c r="G303" s="21">
        <f t="shared" si="55"/>
        <v>1</v>
      </c>
      <c r="H303" s="659"/>
      <c r="I303" s="21">
        <f t="shared" si="56"/>
        <v>1</v>
      </c>
      <c r="J303" s="659"/>
      <c r="K303" s="21">
        <f t="shared" si="57"/>
        <v>1</v>
      </c>
      <c r="L303" s="659"/>
      <c r="M303" s="21">
        <f t="shared" si="58"/>
        <v>1</v>
      </c>
      <c r="N303" s="659"/>
      <c r="O303" s="21">
        <f t="shared" si="59"/>
        <v>1</v>
      </c>
      <c r="P303" s="659"/>
      <c r="Q303" s="21">
        <f t="shared" si="60"/>
        <v>1</v>
      </c>
      <c r="R303" s="655">
        <f t="shared" si="61"/>
        <v>0</v>
      </c>
      <c r="S303" s="311">
        <f t="shared" si="62"/>
        <v>0</v>
      </c>
    </row>
    <row r="304" spans="1:19">
      <c r="A304" s="145"/>
      <c r="B304" s="54"/>
      <c r="C304" s="21">
        <f t="shared" si="53"/>
        <v>1</v>
      </c>
      <c r="D304" s="659"/>
      <c r="E304" s="21">
        <f t="shared" si="54"/>
        <v>1</v>
      </c>
      <c r="F304" s="659"/>
      <c r="G304" s="21">
        <f t="shared" si="55"/>
        <v>1</v>
      </c>
      <c r="H304" s="659"/>
      <c r="I304" s="21">
        <f t="shared" si="56"/>
        <v>1</v>
      </c>
      <c r="J304" s="659"/>
      <c r="K304" s="21">
        <f t="shared" si="57"/>
        <v>1</v>
      </c>
      <c r="L304" s="659"/>
      <c r="M304" s="21">
        <f t="shared" si="58"/>
        <v>1</v>
      </c>
      <c r="N304" s="659"/>
      <c r="O304" s="21">
        <f t="shared" si="59"/>
        <v>1</v>
      </c>
      <c r="P304" s="659"/>
      <c r="Q304" s="21">
        <f t="shared" si="60"/>
        <v>1</v>
      </c>
      <c r="R304" s="655">
        <f t="shared" si="61"/>
        <v>0</v>
      </c>
      <c r="S304" s="311">
        <f t="shared" si="62"/>
        <v>0</v>
      </c>
    </row>
    <row r="305" spans="1:19">
      <c r="A305" s="145"/>
      <c r="B305" s="54"/>
      <c r="C305" s="21">
        <f t="shared" si="53"/>
        <v>1</v>
      </c>
      <c r="D305" s="659"/>
      <c r="E305" s="21">
        <f t="shared" si="54"/>
        <v>1</v>
      </c>
      <c r="F305" s="659"/>
      <c r="G305" s="21">
        <f t="shared" si="55"/>
        <v>1</v>
      </c>
      <c r="H305" s="659"/>
      <c r="I305" s="21">
        <f t="shared" si="56"/>
        <v>1</v>
      </c>
      <c r="J305" s="659"/>
      <c r="K305" s="21">
        <f t="shared" si="57"/>
        <v>1</v>
      </c>
      <c r="L305" s="659"/>
      <c r="M305" s="21">
        <f t="shared" si="58"/>
        <v>1</v>
      </c>
      <c r="N305" s="659"/>
      <c r="O305" s="21">
        <f t="shared" si="59"/>
        <v>1</v>
      </c>
      <c r="P305" s="659"/>
      <c r="Q305" s="21">
        <f t="shared" si="60"/>
        <v>1</v>
      </c>
      <c r="R305" s="655">
        <f t="shared" si="61"/>
        <v>0</v>
      </c>
      <c r="S305" s="311">
        <f t="shared" si="62"/>
        <v>0</v>
      </c>
    </row>
    <row r="306" spans="1:19">
      <c r="A306" s="145"/>
      <c r="B306" s="54"/>
      <c r="C306" s="21">
        <f t="shared" si="53"/>
        <v>1</v>
      </c>
      <c r="D306" s="659"/>
      <c r="E306" s="21">
        <f t="shared" si="54"/>
        <v>1</v>
      </c>
      <c r="F306" s="659"/>
      <c r="G306" s="21">
        <f t="shared" si="55"/>
        <v>1</v>
      </c>
      <c r="H306" s="659"/>
      <c r="I306" s="21">
        <f t="shared" si="56"/>
        <v>1</v>
      </c>
      <c r="J306" s="659"/>
      <c r="K306" s="21">
        <f t="shared" si="57"/>
        <v>1</v>
      </c>
      <c r="L306" s="659"/>
      <c r="M306" s="21">
        <f t="shared" si="58"/>
        <v>1</v>
      </c>
      <c r="N306" s="659"/>
      <c r="O306" s="21">
        <f t="shared" si="59"/>
        <v>1</v>
      </c>
      <c r="P306" s="659"/>
      <c r="Q306" s="21">
        <f t="shared" si="60"/>
        <v>1</v>
      </c>
      <c r="R306" s="655">
        <f t="shared" si="61"/>
        <v>0</v>
      </c>
      <c r="S306" s="311">
        <f t="shared" si="62"/>
        <v>0</v>
      </c>
    </row>
    <row r="307" spans="1:19">
      <c r="A307" s="145"/>
      <c r="B307" s="54"/>
      <c r="C307" s="21">
        <f t="shared" si="53"/>
        <v>1</v>
      </c>
      <c r="D307" s="659"/>
      <c r="E307" s="21">
        <f t="shared" si="54"/>
        <v>1</v>
      </c>
      <c r="F307" s="659"/>
      <c r="G307" s="21">
        <f t="shared" si="55"/>
        <v>1</v>
      </c>
      <c r="H307" s="659"/>
      <c r="I307" s="21">
        <f t="shared" si="56"/>
        <v>1</v>
      </c>
      <c r="J307" s="659"/>
      <c r="K307" s="21">
        <f t="shared" si="57"/>
        <v>1</v>
      </c>
      <c r="L307" s="659"/>
      <c r="M307" s="21">
        <f t="shared" si="58"/>
        <v>1</v>
      </c>
      <c r="N307" s="659"/>
      <c r="O307" s="21">
        <f t="shared" si="59"/>
        <v>1</v>
      </c>
      <c r="P307" s="659"/>
      <c r="Q307" s="21">
        <f t="shared" si="60"/>
        <v>1</v>
      </c>
      <c r="R307" s="655">
        <f t="shared" si="61"/>
        <v>0</v>
      </c>
      <c r="S307" s="311">
        <f t="shared" si="62"/>
        <v>0</v>
      </c>
    </row>
    <row r="308" spans="1:19">
      <c r="A308" s="145"/>
      <c r="B308" s="54"/>
      <c r="C308" s="21">
        <f t="shared" si="53"/>
        <v>1</v>
      </c>
      <c r="D308" s="659"/>
      <c r="E308" s="21">
        <f t="shared" si="54"/>
        <v>1</v>
      </c>
      <c r="F308" s="659"/>
      <c r="G308" s="21">
        <f t="shared" si="55"/>
        <v>1</v>
      </c>
      <c r="H308" s="659"/>
      <c r="I308" s="21">
        <f t="shared" si="56"/>
        <v>1</v>
      </c>
      <c r="J308" s="659"/>
      <c r="K308" s="21">
        <f t="shared" si="57"/>
        <v>1</v>
      </c>
      <c r="L308" s="659"/>
      <c r="M308" s="21">
        <f t="shared" si="58"/>
        <v>1</v>
      </c>
      <c r="N308" s="659"/>
      <c r="O308" s="21">
        <f t="shared" si="59"/>
        <v>1</v>
      </c>
      <c r="P308" s="659"/>
      <c r="Q308" s="21">
        <f t="shared" si="60"/>
        <v>1</v>
      </c>
      <c r="R308" s="655">
        <f t="shared" si="61"/>
        <v>0</v>
      </c>
      <c r="S308" s="311">
        <f t="shared" si="62"/>
        <v>0</v>
      </c>
    </row>
    <row r="309" spans="1:19">
      <c r="A309" s="145"/>
      <c r="B309" s="54"/>
      <c r="C309" s="21">
        <f t="shared" si="53"/>
        <v>1</v>
      </c>
      <c r="D309" s="659"/>
      <c r="E309" s="21">
        <f t="shared" si="54"/>
        <v>1</v>
      </c>
      <c r="F309" s="659"/>
      <c r="G309" s="21">
        <f t="shared" si="55"/>
        <v>1</v>
      </c>
      <c r="H309" s="659"/>
      <c r="I309" s="21">
        <f t="shared" si="56"/>
        <v>1</v>
      </c>
      <c r="J309" s="659"/>
      <c r="K309" s="21">
        <f t="shared" si="57"/>
        <v>1</v>
      </c>
      <c r="L309" s="659"/>
      <c r="M309" s="21">
        <f t="shared" si="58"/>
        <v>1</v>
      </c>
      <c r="N309" s="659"/>
      <c r="O309" s="21">
        <f t="shared" si="59"/>
        <v>1</v>
      </c>
      <c r="P309" s="659"/>
      <c r="Q309" s="21">
        <f t="shared" si="60"/>
        <v>1</v>
      </c>
      <c r="R309" s="655">
        <f t="shared" si="61"/>
        <v>0</v>
      </c>
      <c r="S309" s="311">
        <f t="shared" si="62"/>
        <v>0</v>
      </c>
    </row>
    <row r="310" spans="1:19">
      <c r="A310" s="145"/>
      <c r="B310" s="54"/>
      <c r="C310" s="21">
        <f t="shared" si="53"/>
        <v>1</v>
      </c>
      <c r="D310" s="659"/>
      <c r="E310" s="21">
        <f t="shared" si="54"/>
        <v>1</v>
      </c>
      <c r="F310" s="659"/>
      <c r="G310" s="21">
        <f t="shared" si="55"/>
        <v>1</v>
      </c>
      <c r="H310" s="659"/>
      <c r="I310" s="21">
        <f t="shared" si="56"/>
        <v>1</v>
      </c>
      <c r="J310" s="659"/>
      <c r="K310" s="21">
        <f t="shared" si="57"/>
        <v>1</v>
      </c>
      <c r="L310" s="659"/>
      <c r="M310" s="21">
        <f t="shared" si="58"/>
        <v>1</v>
      </c>
      <c r="N310" s="659"/>
      <c r="O310" s="21">
        <f t="shared" si="59"/>
        <v>1</v>
      </c>
      <c r="P310" s="659"/>
      <c r="Q310" s="21">
        <f t="shared" si="60"/>
        <v>1</v>
      </c>
      <c r="R310" s="655">
        <f t="shared" si="61"/>
        <v>0</v>
      </c>
      <c r="S310" s="311">
        <f t="shared" si="62"/>
        <v>0</v>
      </c>
    </row>
    <row r="311" spans="1:19">
      <c r="A311" s="145"/>
      <c r="B311" s="54"/>
      <c r="C311" s="21">
        <f t="shared" si="53"/>
        <v>1</v>
      </c>
      <c r="D311" s="659"/>
      <c r="E311" s="21">
        <f t="shared" si="54"/>
        <v>1</v>
      </c>
      <c r="F311" s="659"/>
      <c r="G311" s="21">
        <f t="shared" si="55"/>
        <v>1</v>
      </c>
      <c r="H311" s="659"/>
      <c r="I311" s="21">
        <f t="shared" si="56"/>
        <v>1</v>
      </c>
      <c r="J311" s="659"/>
      <c r="K311" s="21">
        <f t="shared" si="57"/>
        <v>1</v>
      </c>
      <c r="L311" s="659"/>
      <c r="M311" s="21">
        <f t="shared" si="58"/>
        <v>1</v>
      </c>
      <c r="N311" s="659"/>
      <c r="O311" s="21">
        <f t="shared" si="59"/>
        <v>1</v>
      </c>
      <c r="P311" s="659"/>
      <c r="Q311" s="21">
        <f t="shared" si="60"/>
        <v>1</v>
      </c>
      <c r="R311" s="655">
        <f t="shared" si="61"/>
        <v>0</v>
      </c>
      <c r="S311" s="311">
        <f t="shared" si="62"/>
        <v>0</v>
      </c>
    </row>
    <row r="312" spans="1:19">
      <c r="A312" s="145"/>
      <c r="B312" s="54"/>
      <c r="C312" s="21">
        <f t="shared" si="53"/>
        <v>1</v>
      </c>
      <c r="D312" s="659"/>
      <c r="E312" s="21">
        <f t="shared" si="54"/>
        <v>1</v>
      </c>
      <c r="F312" s="659"/>
      <c r="G312" s="21">
        <f t="shared" si="55"/>
        <v>1</v>
      </c>
      <c r="H312" s="659"/>
      <c r="I312" s="21">
        <f t="shared" si="56"/>
        <v>1</v>
      </c>
      <c r="J312" s="659"/>
      <c r="K312" s="21">
        <f t="shared" si="57"/>
        <v>1</v>
      </c>
      <c r="L312" s="659"/>
      <c r="M312" s="21">
        <f t="shared" si="58"/>
        <v>1</v>
      </c>
      <c r="N312" s="659"/>
      <c r="O312" s="21">
        <f t="shared" si="59"/>
        <v>1</v>
      </c>
      <c r="P312" s="659"/>
      <c r="Q312" s="21">
        <f t="shared" si="60"/>
        <v>1</v>
      </c>
      <c r="R312" s="655">
        <f t="shared" si="61"/>
        <v>0</v>
      </c>
      <c r="S312" s="311">
        <f t="shared" si="62"/>
        <v>0</v>
      </c>
    </row>
    <row r="313" spans="1:19">
      <c r="A313" s="145"/>
      <c r="B313" s="54"/>
      <c r="C313" s="21">
        <f t="shared" si="53"/>
        <v>1</v>
      </c>
      <c r="D313" s="659"/>
      <c r="E313" s="21">
        <f t="shared" si="54"/>
        <v>1</v>
      </c>
      <c r="F313" s="659"/>
      <c r="G313" s="21">
        <f t="shared" si="55"/>
        <v>1</v>
      </c>
      <c r="H313" s="659"/>
      <c r="I313" s="21">
        <f t="shared" si="56"/>
        <v>1</v>
      </c>
      <c r="J313" s="659"/>
      <c r="K313" s="21">
        <f t="shared" si="57"/>
        <v>1</v>
      </c>
      <c r="L313" s="659"/>
      <c r="M313" s="21">
        <f t="shared" si="58"/>
        <v>1</v>
      </c>
      <c r="N313" s="659"/>
      <c r="O313" s="21">
        <f t="shared" si="59"/>
        <v>1</v>
      </c>
      <c r="P313" s="659"/>
      <c r="Q313" s="21">
        <f t="shared" si="60"/>
        <v>1</v>
      </c>
      <c r="R313" s="655">
        <f t="shared" si="61"/>
        <v>0</v>
      </c>
      <c r="S313" s="311">
        <f t="shared" si="62"/>
        <v>0</v>
      </c>
    </row>
    <row r="314" spans="1:19">
      <c r="A314" s="145"/>
      <c r="B314" s="54"/>
      <c r="C314" s="21">
        <f t="shared" si="53"/>
        <v>1</v>
      </c>
      <c r="D314" s="659"/>
      <c r="E314" s="21">
        <f t="shared" si="54"/>
        <v>1</v>
      </c>
      <c r="F314" s="659"/>
      <c r="G314" s="21">
        <f t="shared" si="55"/>
        <v>1</v>
      </c>
      <c r="H314" s="659"/>
      <c r="I314" s="21">
        <f t="shared" si="56"/>
        <v>1</v>
      </c>
      <c r="J314" s="659"/>
      <c r="K314" s="21">
        <f t="shared" si="57"/>
        <v>1</v>
      </c>
      <c r="L314" s="659"/>
      <c r="M314" s="21">
        <f t="shared" si="58"/>
        <v>1</v>
      </c>
      <c r="N314" s="659"/>
      <c r="O314" s="21">
        <f t="shared" si="59"/>
        <v>1</v>
      </c>
      <c r="P314" s="659"/>
      <c r="Q314" s="21">
        <f t="shared" si="60"/>
        <v>1</v>
      </c>
      <c r="R314" s="655">
        <f t="shared" si="61"/>
        <v>0</v>
      </c>
      <c r="S314" s="311">
        <f t="shared" si="62"/>
        <v>0</v>
      </c>
    </row>
    <row r="315" spans="1:19">
      <c r="A315" s="145"/>
      <c r="B315" s="54"/>
      <c r="C315" s="21">
        <f t="shared" si="53"/>
        <v>1</v>
      </c>
      <c r="D315" s="659"/>
      <c r="E315" s="21">
        <f t="shared" si="54"/>
        <v>1</v>
      </c>
      <c r="F315" s="659"/>
      <c r="G315" s="21">
        <f t="shared" si="55"/>
        <v>1</v>
      </c>
      <c r="H315" s="659"/>
      <c r="I315" s="21">
        <f t="shared" si="56"/>
        <v>1</v>
      </c>
      <c r="J315" s="659"/>
      <c r="K315" s="21">
        <f t="shared" si="57"/>
        <v>1</v>
      </c>
      <c r="L315" s="659"/>
      <c r="M315" s="21">
        <f t="shared" si="58"/>
        <v>1</v>
      </c>
      <c r="N315" s="659"/>
      <c r="O315" s="21">
        <f t="shared" si="59"/>
        <v>1</v>
      </c>
      <c r="P315" s="659"/>
      <c r="Q315" s="21">
        <f t="shared" si="60"/>
        <v>1</v>
      </c>
      <c r="R315" s="655">
        <f t="shared" si="61"/>
        <v>0</v>
      </c>
      <c r="S315" s="311">
        <f t="shared" si="62"/>
        <v>0</v>
      </c>
    </row>
    <row r="316" spans="1:19">
      <c r="A316" s="145"/>
      <c r="B316" s="54"/>
      <c r="C316" s="21">
        <f t="shared" si="53"/>
        <v>1</v>
      </c>
      <c r="D316" s="659"/>
      <c r="E316" s="21">
        <f t="shared" si="54"/>
        <v>1</v>
      </c>
      <c r="F316" s="659"/>
      <c r="G316" s="21">
        <f t="shared" si="55"/>
        <v>1</v>
      </c>
      <c r="H316" s="659"/>
      <c r="I316" s="21">
        <f t="shared" si="56"/>
        <v>1</v>
      </c>
      <c r="J316" s="659"/>
      <c r="K316" s="21">
        <f t="shared" si="57"/>
        <v>1</v>
      </c>
      <c r="L316" s="659"/>
      <c r="M316" s="21">
        <f t="shared" si="58"/>
        <v>1</v>
      </c>
      <c r="N316" s="659"/>
      <c r="O316" s="21">
        <f t="shared" si="59"/>
        <v>1</v>
      </c>
      <c r="P316" s="659"/>
      <c r="Q316" s="21">
        <f t="shared" si="60"/>
        <v>1</v>
      </c>
      <c r="R316" s="655">
        <f t="shared" si="61"/>
        <v>0</v>
      </c>
      <c r="S316" s="311">
        <f t="shared" si="62"/>
        <v>0</v>
      </c>
    </row>
    <row r="317" spans="1:19">
      <c r="A317" s="145"/>
      <c r="B317" s="54"/>
      <c r="C317" s="21">
        <f t="shared" si="53"/>
        <v>1</v>
      </c>
      <c r="D317" s="659"/>
      <c r="E317" s="21">
        <f t="shared" si="54"/>
        <v>1</v>
      </c>
      <c r="F317" s="659"/>
      <c r="G317" s="21">
        <f t="shared" si="55"/>
        <v>1</v>
      </c>
      <c r="H317" s="659"/>
      <c r="I317" s="21">
        <f t="shared" si="56"/>
        <v>1</v>
      </c>
      <c r="J317" s="659"/>
      <c r="K317" s="21">
        <f t="shared" si="57"/>
        <v>1</v>
      </c>
      <c r="L317" s="659"/>
      <c r="M317" s="21">
        <f t="shared" si="58"/>
        <v>1</v>
      </c>
      <c r="N317" s="659"/>
      <c r="O317" s="21">
        <f t="shared" si="59"/>
        <v>1</v>
      </c>
      <c r="P317" s="659"/>
      <c r="Q317" s="21">
        <f t="shared" si="60"/>
        <v>1</v>
      </c>
      <c r="R317" s="655">
        <f t="shared" si="61"/>
        <v>0</v>
      </c>
      <c r="S317" s="311">
        <f t="shared" si="62"/>
        <v>0</v>
      </c>
    </row>
    <row r="318" spans="1:19">
      <c r="A318" s="145"/>
      <c r="B318" s="54"/>
      <c r="C318" s="21">
        <f t="shared" si="53"/>
        <v>1</v>
      </c>
      <c r="D318" s="659"/>
      <c r="E318" s="21">
        <f t="shared" si="54"/>
        <v>1</v>
      </c>
      <c r="F318" s="659"/>
      <c r="G318" s="21">
        <f t="shared" si="55"/>
        <v>1</v>
      </c>
      <c r="H318" s="659"/>
      <c r="I318" s="21">
        <f t="shared" si="56"/>
        <v>1</v>
      </c>
      <c r="J318" s="659"/>
      <c r="K318" s="21">
        <f t="shared" si="57"/>
        <v>1</v>
      </c>
      <c r="L318" s="659"/>
      <c r="M318" s="21">
        <f t="shared" si="58"/>
        <v>1</v>
      </c>
      <c r="N318" s="659"/>
      <c r="O318" s="21">
        <f t="shared" si="59"/>
        <v>1</v>
      </c>
      <c r="P318" s="659"/>
      <c r="Q318" s="21">
        <f t="shared" si="60"/>
        <v>1</v>
      </c>
      <c r="R318" s="655">
        <f t="shared" si="61"/>
        <v>0</v>
      </c>
      <c r="S318" s="311">
        <f t="shared" si="62"/>
        <v>0</v>
      </c>
    </row>
    <row r="319" spans="1:19">
      <c r="A319" s="145"/>
      <c r="B319" s="54"/>
      <c r="C319" s="21">
        <f t="shared" si="53"/>
        <v>1</v>
      </c>
      <c r="D319" s="659"/>
      <c r="E319" s="21">
        <f t="shared" si="54"/>
        <v>1</v>
      </c>
      <c r="F319" s="659"/>
      <c r="G319" s="21">
        <f t="shared" si="55"/>
        <v>1</v>
      </c>
      <c r="H319" s="659"/>
      <c r="I319" s="21">
        <f t="shared" si="56"/>
        <v>1</v>
      </c>
      <c r="J319" s="659"/>
      <c r="K319" s="21">
        <f t="shared" si="57"/>
        <v>1</v>
      </c>
      <c r="L319" s="659"/>
      <c r="M319" s="21">
        <f t="shared" si="58"/>
        <v>1</v>
      </c>
      <c r="N319" s="659"/>
      <c r="O319" s="21">
        <f t="shared" si="59"/>
        <v>1</v>
      </c>
      <c r="P319" s="659"/>
      <c r="Q319" s="21">
        <f t="shared" si="60"/>
        <v>1</v>
      </c>
      <c r="R319" s="655">
        <f t="shared" si="61"/>
        <v>0</v>
      </c>
      <c r="S319" s="311">
        <f t="shared" si="62"/>
        <v>0</v>
      </c>
    </row>
    <row r="320" spans="1:19">
      <c r="A320" s="145"/>
      <c r="B320" s="54"/>
      <c r="C320" s="21">
        <f t="shared" si="53"/>
        <v>1</v>
      </c>
      <c r="D320" s="659"/>
      <c r="E320" s="21">
        <f t="shared" si="54"/>
        <v>1</v>
      </c>
      <c r="F320" s="659"/>
      <c r="G320" s="21">
        <f t="shared" si="55"/>
        <v>1</v>
      </c>
      <c r="H320" s="659"/>
      <c r="I320" s="21">
        <f t="shared" si="56"/>
        <v>1</v>
      </c>
      <c r="J320" s="659"/>
      <c r="K320" s="21">
        <f t="shared" si="57"/>
        <v>1</v>
      </c>
      <c r="L320" s="659"/>
      <c r="M320" s="21">
        <f t="shared" si="58"/>
        <v>1</v>
      </c>
      <c r="N320" s="659"/>
      <c r="O320" s="21">
        <f t="shared" si="59"/>
        <v>1</v>
      </c>
      <c r="P320" s="659"/>
      <c r="Q320" s="21">
        <f t="shared" si="60"/>
        <v>1</v>
      </c>
      <c r="R320" s="655">
        <f t="shared" si="61"/>
        <v>0</v>
      </c>
      <c r="S320" s="311">
        <f t="shared" si="62"/>
        <v>0</v>
      </c>
    </row>
    <row r="321" spans="1:19">
      <c r="A321" s="145"/>
      <c r="B321" s="54"/>
      <c r="C321" s="21">
        <f t="shared" si="53"/>
        <v>1</v>
      </c>
      <c r="D321" s="659"/>
      <c r="E321" s="21">
        <f t="shared" si="54"/>
        <v>1</v>
      </c>
      <c r="F321" s="659"/>
      <c r="G321" s="21">
        <f t="shared" si="55"/>
        <v>1</v>
      </c>
      <c r="H321" s="659"/>
      <c r="I321" s="21">
        <f t="shared" si="56"/>
        <v>1</v>
      </c>
      <c r="J321" s="659"/>
      <c r="K321" s="21">
        <f t="shared" si="57"/>
        <v>1</v>
      </c>
      <c r="L321" s="659"/>
      <c r="M321" s="21">
        <f t="shared" si="58"/>
        <v>1</v>
      </c>
      <c r="N321" s="659"/>
      <c r="O321" s="21">
        <f t="shared" si="59"/>
        <v>1</v>
      </c>
      <c r="P321" s="659"/>
      <c r="Q321" s="21">
        <f t="shared" si="60"/>
        <v>1</v>
      </c>
      <c r="R321" s="655">
        <f t="shared" si="61"/>
        <v>0</v>
      </c>
      <c r="S321" s="311">
        <f t="shared" ref="S321:S384" si="63">ROUND(R321*B321/10000,0)</f>
        <v>0</v>
      </c>
    </row>
    <row r="322" spans="1:19">
      <c r="A322" s="145"/>
      <c r="B322" s="54"/>
      <c r="C322" s="21">
        <f t="shared" si="53"/>
        <v>1</v>
      </c>
      <c r="D322" s="659"/>
      <c r="E322" s="21">
        <f t="shared" si="54"/>
        <v>1</v>
      </c>
      <c r="F322" s="659"/>
      <c r="G322" s="21">
        <f t="shared" si="55"/>
        <v>1</v>
      </c>
      <c r="H322" s="659"/>
      <c r="I322" s="21">
        <f t="shared" si="56"/>
        <v>1</v>
      </c>
      <c r="J322" s="659"/>
      <c r="K322" s="21">
        <f t="shared" si="57"/>
        <v>1</v>
      </c>
      <c r="L322" s="659"/>
      <c r="M322" s="21">
        <f t="shared" si="58"/>
        <v>1</v>
      </c>
      <c r="N322" s="659"/>
      <c r="O322" s="21">
        <f t="shared" si="59"/>
        <v>1</v>
      </c>
      <c r="P322" s="659"/>
      <c r="Q322" s="21">
        <f t="shared" si="60"/>
        <v>1</v>
      </c>
      <c r="R322" s="655">
        <f t="shared" si="61"/>
        <v>0</v>
      </c>
      <c r="S322" s="311">
        <f t="shared" si="63"/>
        <v>0</v>
      </c>
    </row>
    <row r="323" spans="1:19">
      <c r="A323" s="145"/>
      <c r="B323" s="54"/>
      <c r="C323" s="21">
        <f t="shared" si="53"/>
        <v>1</v>
      </c>
      <c r="D323" s="659"/>
      <c r="E323" s="21">
        <f t="shared" si="54"/>
        <v>1</v>
      </c>
      <c r="F323" s="659"/>
      <c r="G323" s="21">
        <f t="shared" si="55"/>
        <v>1</v>
      </c>
      <c r="H323" s="659"/>
      <c r="I323" s="21">
        <f t="shared" si="56"/>
        <v>1</v>
      </c>
      <c r="J323" s="659"/>
      <c r="K323" s="21">
        <f t="shared" si="57"/>
        <v>1</v>
      </c>
      <c r="L323" s="659"/>
      <c r="M323" s="21">
        <f t="shared" si="58"/>
        <v>1</v>
      </c>
      <c r="N323" s="659"/>
      <c r="O323" s="21">
        <f t="shared" si="59"/>
        <v>1</v>
      </c>
      <c r="P323" s="659"/>
      <c r="Q323" s="21">
        <f t="shared" si="60"/>
        <v>1</v>
      </c>
      <c r="R323" s="655">
        <f t="shared" si="61"/>
        <v>0</v>
      </c>
      <c r="S323" s="311">
        <f t="shared" si="63"/>
        <v>0</v>
      </c>
    </row>
    <row r="324" spans="1:19">
      <c r="A324" s="145"/>
      <c r="B324" s="54"/>
      <c r="C324" s="21">
        <f t="shared" si="53"/>
        <v>1</v>
      </c>
      <c r="D324" s="659"/>
      <c r="E324" s="21">
        <f t="shared" si="54"/>
        <v>1</v>
      </c>
      <c r="F324" s="659"/>
      <c r="G324" s="21">
        <f t="shared" si="55"/>
        <v>1</v>
      </c>
      <c r="H324" s="659"/>
      <c r="I324" s="21">
        <f t="shared" si="56"/>
        <v>1</v>
      </c>
      <c r="J324" s="659"/>
      <c r="K324" s="21">
        <f t="shared" si="57"/>
        <v>1</v>
      </c>
      <c r="L324" s="659"/>
      <c r="M324" s="21">
        <f t="shared" si="58"/>
        <v>1</v>
      </c>
      <c r="N324" s="659"/>
      <c r="O324" s="21">
        <f t="shared" si="59"/>
        <v>1</v>
      </c>
      <c r="P324" s="659"/>
      <c r="Q324" s="21">
        <f t="shared" si="60"/>
        <v>1</v>
      </c>
      <c r="R324" s="655">
        <f t="shared" si="61"/>
        <v>0</v>
      </c>
      <c r="S324" s="311">
        <f t="shared" si="63"/>
        <v>0</v>
      </c>
    </row>
    <row r="325" spans="1:19">
      <c r="A325" s="145"/>
      <c r="B325" s="54"/>
      <c r="C325" s="21">
        <f t="shared" si="53"/>
        <v>1</v>
      </c>
      <c r="D325" s="659"/>
      <c r="E325" s="21">
        <f t="shared" si="54"/>
        <v>1</v>
      </c>
      <c r="F325" s="659"/>
      <c r="G325" s="21">
        <f t="shared" si="55"/>
        <v>1</v>
      </c>
      <c r="H325" s="659"/>
      <c r="I325" s="21">
        <f t="shared" si="56"/>
        <v>1</v>
      </c>
      <c r="J325" s="659"/>
      <c r="K325" s="21">
        <f t="shared" si="57"/>
        <v>1</v>
      </c>
      <c r="L325" s="659"/>
      <c r="M325" s="21">
        <f t="shared" si="58"/>
        <v>1</v>
      </c>
      <c r="N325" s="659"/>
      <c r="O325" s="21">
        <f t="shared" si="59"/>
        <v>1</v>
      </c>
      <c r="P325" s="659"/>
      <c r="Q325" s="21">
        <f t="shared" si="60"/>
        <v>1</v>
      </c>
      <c r="R325" s="655">
        <f t="shared" si="61"/>
        <v>0</v>
      </c>
      <c r="S325" s="311">
        <f t="shared" si="63"/>
        <v>0</v>
      </c>
    </row>
    <row r="326" spans="1:19">
      <c r="A326" s="145"/>
      <c r="B326" s="54"/>
      <c r="C326" s="21">
        <f t="shared" si="53"/>
        <v>1</v>
      </c>
      <c r="D326" s="659"/>
      <c r="E326" s="21">
        <f t="shared" si="54"/>
        <v>1</v>
      </c>
      <c r="F326" s="659"/>
      <c r="G326" s="21">
        <f t="shared" si="55"/>
        <v>1</v>
      </c>
      <c r="H326" s="659"/>
      <c r="I326" s="21">
        <f t="shared" si="56"/>
        <v>1</v>
      </c>
      <c r="J326" s="659"/>
      <c r="K326" s="21">
        <f t="shared" si="57"/>
        <v>1</v>
      </c>
      <c r="L326" s="659"/>
      <c r="M326" s="21">
        <f t="shared" si="58"/>
        <v>1</v>
      </c>
      <c r="N326" s="659"/>
      <c r="O326" s="21">
        <f t="shared" si="59"/>
        <v>1</v>
      </c>
      <c r="P326" s="659"/>
      <c r="Q326" s="21">
        <f t="shared" si="60"/>
        <v>1</v>
      </c>
      <c r="R326" s="655">
        <f t="shared" si="61"/>
        <v>0</v>
      </c>
      <c r="S326" s="311">
        <f t="shared" si="63"/>
        <v>0</v>
      </c>
    </row>
    <row r="327" spans="1:19">
      <c r="A327" s="145"/>
      <c r="B327" s="54"/>
      <c r="C327" s="21">
        <f t="shared" si="53"/>
        <v>1</v>
      </c>
      <c r="D327" s="659"/>
      <c r="E327" s="21">
        <f t="shared" si="54"/>
        <v>1</v>
      </c>
      <c r="F327" s="659"/>
      <c r="G327" s="21">
        <f t="shared" si="55"/>
        <v>1</v>
      </c>
      <c r="H327" s="659"/>
      <c r="I327" s="21">
        <f t="shared" si="56"/>
        <v>1</v>
      </c>
      <c r="J327" s="659"/>
      <c r="K327" s="21">
        <f t="shared" si="57"/>
        <v>1</v>
      </c>
      <c r="L327" s="659"/>
      <c r="M327" s="21">
        <f t="shared" si="58"/>
        <v>1</v>
      </c>
      <c r="N327" s="659"/>
      <c r="O327" s="21">
        <f t="shared" si="59"/>
        <v>1</v>
      </c>
      <c r="P327" s="659"/>
      <c r="Q327" s="21">
        <f t="shared" si="60"/>
        <v>1</v>
      </c>
      <c r="R327" s="655">
        <f t="shared" si="61"/>
        <v>0</v>
      </c>
      <c r="S327" s="311">
        <f t="shared" si="63"/>
        <v>0</v>
      </c>
    </row>
    <row r="328" spans="1:19">
      <c r="A328" s="145"/>
      <c r="B328" s="54"/>
      <c r="C328" s="21">
        <f t="shared" si="53"/>
        <v>1</v>
      </c>
      <c r="D328" s="659"/>
      <c r="E328" s="21">
        <f t="shared" si="54"/>
        <v>1</v>
      </c>
      <c r="F328" s="659"/>
      <c r="G328" s="21">
        <f t="shared" si="55"/>
        <v>1</v>
      </c>
      <c r="H328" s="659"/>
      <c r="I328" s="21">
        <f t="shared" si="56"/>
        <v>1</v>
      </c>
      <c r="J328" s="659"/>
      <c r="K328" s="21">
        <f t="shared" si="57"/>
        <v>1</v>
      </c>
      <c r="L328" s="659"/>
      <c r="M328" s="21">
        <f t="shared" si="58"/>
        <v>1</v>
      </c>
      <c r="N328" s="659"/>
      <c r="O328" s="21">
        <f t="shared" si="59"/>
        <v>1</v>
      </c>
      <c r="P328" s="659"/>
      <c r="Q328" s="21">
        <f t="shared" si="60"/>
        <v>1</v>
      </c>
      <c r="R328" s="655">
        <f t="shared" si="61"/>
        <v>0</v>
      </c>
      <c r="S328" s="311">
        <f t="shared" si="63"/>
        <v>0</v>
      </c>
    </row>
    <row r="329" spans="1:19">
      <c r="A329" s="145"/>
      <c r="B329" s="54"/>
      <c r="C329" s="21">
        <f t="shared" si="53"/>
        <v>1</v>
      </c>
      <c r="D329" s="659"/>
      <c r="E329" s="21">
        <f t="shared" si="54"/>
        <v>1</v>
      </c>
      <c r="F329" s="659"/>
      <c r="G329" s="21">
        <f t="shared" si="55"/>
        <v>1</v>
      </c>
      <c r="H329" s="659"/>
      <c r="I329" s="21">
        <f t="shared" si="56"/>
        <v>1</v>
      </c>
      <c r="J329" s="659"/>
      <c r="K329" s="21">
        <f t="shared" si="57"/>
        <v>1</v>
      </c>
      <c r="L329" s="659"/>
      <c r="M329" s="21">
        <f t="shared" si="58"/>
        <v>1</v>
      </c>
      <c r="N329" s="659"/>
      <c r="O329" s="21">
        <f t="shared" si="59"/>
        <v>1</v>
      </c>
      <c r="P329" s="659"/>
      <c r="Q329" s="21">
        <f t="shared" si="60"/>
        <v>1</v>
      </c>
      <c r="R329" s="655">
        <f t="shared" si="61"/>
        <v>0</v>
      </c>
      <c r="S329" s="311">
        <f t="shared" si="63"/>
        <v>0</v>
      </c>
    </row>
    <row r="330" spans="1:19">
      <c r="A330" s="145"/>
      <c r="B330" s="54"/>
      <c r="C330" s="21">
        <f t="shared" si="53"/>
        <v>1</v>
      </c>
      <c r="D330" s="659"/>
      <c r="E330" s="21">
        <f t="shared" si="54"/>
        <v>1</v>
      </c>
      <c r="F330" s="659"/>
      <c r="G330" s="21">
        <f t="shared" si="55"/>
        <v>1</v>
      </c>
      <c r="H330" s="659"/>
      <c r="I330" s="21">
        <f t="shared" si="56"/>
        <v>1</v>
      </c>
      <c r="J330" s="659"/>
      <c r="K330" s="21">
        <f t="shared" si="57"/>
        <v>1</v>
      </c>
      <c r="L330" s="659"/>
      <c r="M330" s="21">
        <f t="shared" si="58"/>
        <v>1</v>
      </c>
      <c r="N330" s="659"/>
      <c r="O330" s="21">
        <f t="shared" si="59"/>
        <v>1</v>
      </c>
      <c r="P330" s="659"/>
      <c r="Q330" s="21">
        <f t="shared" si="60"/>
        <v>1</v>
      </c>
      <c r="R330" s="655">
        <f t="shared" si="61"/>
        <v>0</v>
      </c>
      <c r="S330" s="311">
        <f t="shared" si="63"/>
        <v>0</v>
      </c>
    </row>
    <row r="331" spans="1:19">
      <c r="A331" s="145"/>
      <c r="B331" s="54"/>
      <c r="C331" s="21">
        <f t="shared" si="53"/>
        <v>1</v>
      </c>
      <c r="D331" s="659"/>
      <c r="E331" s="21">
        <f t="shared" si="54"/>
        <v>1</v>
      </c>
      <c r="F331" s="659"/>
      <c r="G331" s="21">
        <f t="shared" si="55"/>
        <v>1</v>
      </c>
      <c r="H331" s="659"/>
      <c r="I331" s="21">
        <f t="shared" si="56"/>
        <v>1</v>
      </c>
      <c r="J331" s="659"/>
      <c r="K331" s="21">
        <f t="shared" si="57"/>
        <v>1</v>
      </c>
      <c r="L331" s="659"/>
      <c r="M331" s="21">
        <f t="shared" si="58"/>
        <v>1</v>
      </c>
      <c r="N331" s="659"/>
      <c r="O331" s="21">
        <f t="shared" si="59"/>
        <v>1</v>
      </c>
      <c r="P331" s="659"/>
      <c r="Q331" s="21">
        <f t="shared" si="60"/>
        <v>1</v>
      </c>
      <c r="R331" s="655">
        <f t="shared" si="61"/>
        <v>0</v>
      </c>
      <c r="S331" s="311">
        <f t="shared" si="63"/>
        <v>0</v>
      </c>
    </row>
    <row r="332" spans="1:19">
      <c r="A332" s="145"/>
      <c r="B332" s="54"/>
      <c r="C332" s="21">
        <f t="shared" si="53"/>
        <v>1</v>
      </c>
      <c r="D332" s="659"/>
      <c r="E332" s="21">
        <f t="shared" si="54"/>
        <v>1</v>
      </c>
      <c r="F332" s="659"/>
      <c r="G332" s="21">
        <f t="shared" si="55"/>
        <v>1</v>
      </c>
      <c r="H332" s="659"/>
      <c r="I332" s="21">
        <f t="shared" si="56"/>
        <v>1</v>
      </c>
      <c r="J332" s="659"/>
      <c r="K332" s="21">
        <f t="shared" si="57"/>
        <v>1</v>
      </c>
      <c r="L332" s="659"/>
      <c r="M332" s="21">
        <f t="shared" si="58"/>
        <v>1</v>
      </c>
      <c r="N332" s="659"/>
      <c r="O332" s="21">
        <f t="shared" si="59"/>
        <v>1</v>
      </c>
      <c r="P332" s="659"/>
      <c r="Q332" s="21">
        <f t="shared" si="60"/>
        <v>1</v>
      </c>
      <c r="R332" s="655">
        <f t="shared" si="61"/>
        <v>0</v>
      </c>
      <c r="S332" s="311">
        <f t="shared" si="63"/>
        <v>0</v>
      </c>
    </row>
    <row r="333" spans="1:19">
      <c r="A333" s="145"/>
      <c r="B333" s="54"/>
      <c r="C333" s="21">
        <f t="shared" si="53"/>
        <v>1</v>
      </c>
      <c r="D333" s="659"/>
      <c r="E333" s="21">
        <f t="shared" si="54"/>
        <v>1</v>
      </c>
      <c r="F333" s="659"/>
      <c r="G333" s="21">
        <f t="shared" si="55"/>
        <v>1</v>
      </c>
      <c r="H333" s="659"/>
      <c r="I333" s="21">
        <f t="shared" si="56"/>
        <v>1</v>
      </c>
      <c r="J333" s="659"/>
      <c r="K333" s="21">
        <f t="shared" si="57"/>
        <v>1</v>
      </c>
      <c r="L333" s="659"/>
      <c r="M333" s="21">
        <f t="shared" si="58"/>
        <v>1</v>
      </c>
      <c r="N333" s="659"/>
      <c r="O333" s="21">
        <f t="shared" si="59"/>
        <v>1</v>
      </c>
      <c r="P333" s="659"/>
      <c r="Q333" s="21">
        <f t="shared" si="60"/>
        <v>1</v>
      </c>
      <c r="R333" s="655">
        <f t="shared" si="61"/>
        <v>0</v>
      </c>
      <c r="S333" s="311">
        <f t="shared" si="63"/>
        <v>0</v>
      </c>
    </row>
    <row r="334" spans="1:19">
      <c r="A334" s="145"/>
      <c r="B334" s="54"/>
      <c r="C334" s="21">
        <f t="shared" si="53"/>
        <v>1</v>
      </c>
      <c r="D334" s="659"/>
      <c r="E334" s="21">
        <f t="shared" si="54"/>
        <v>1</v>
      </c>
      <c r="F334" s="659"/>
      <c r="G334" s="21">
        <f t="shared" si="55"/>
        <v>1</v>
      </c>
      <c r="H334" s="659"/>
      <c r="I334" s="21">
        <f t="shared" si="56"/>
        <v>1</v>
      </c>
      <c r="J334" s="659"/>
      <c r="K334" s="21">
        <f t="shared" si="57"/>
        <v>1</v>
      </c>
      <c r="L334" s="659"/>
      <c r="M334" s="21">
        <f t="shared" si="58"/>
        <v>1</v>
      </c>
      <c r="N334" s="659"/>
      <c r="O334" s="21">
        <f t="shared" si="59"/>
        <v>1</v>
      </c>
      <c r="P334" s="659"/>
      <c r="Q334" s="21">
        <f t="shared" si="60"/>
        <v>1</v>
      </c>
      <c r="R334" s="655">
        <f t="shared" si="61"/>
        <v>0</v>
      </c>
      <c r="S334" s="311">
        <f t="shared" si="63"/>
        <v>0</v>
      </c>
    </row>
    <row r="335" spans="1:19">
      <c r="A335" s="145"/>
      <c r="B335" s="54"/>
      <c r="C335" s="21">
        <f t="shared" si="53"/>
        <v>1</v>
      </c>
      <c r="D335" s="659"/>
      <c r="E335" s="21">
        <f t="shared" si="54"/>
        <v>1</v>
      </c>
      <c r="F335" s="659"/>
      <c r="G335" s="21">
        <f t="shared" si="55"/>
        <v>1</v>
      </c>
      <c r="H335" s="659"/>
      <c r="I335" s="21">
        <f t="shared" si="56"/>
        <v>1</v>
      </c>
      <c r="J335" s="659"/>
      <c r="K335" s="21">
        <f t="shared" si="57"/>
        <v>1</v>
      </c>
      <c r="L335" s="659"/>
      <c r="M335" s="21">
        <f t="shared" si="58"/>
        <v>1</v>
      </c>
      <c r="N335" s="659"/>
      <c r="O335" s="21">
        <f t="shared" si="59"/>
        <v>1</v>
      </c>
      <c r="P335" s="659"/>
      <c r="Q335" s="21">
        <f t="shared" si="60"/>
        <v>1</v>
      </c>
      <c r="R335" s="655">
        <f t="shared" si="61"/>
        <v>0</v>
      </c>
      <c r="S335" s="311">
        <f t="shared" si="63"/>
        <v>0</v>
      </c>
    </row>
    <row r="336" spans="1:19">
      <c r="A336" s="145"/>
      <c r="B336" s="54"/>
      <c r="C336" s="21">
        <f t="shared" si="53"/>
        <v>1</v>
      </c>
      <c r="D336" s="659"/>
      <c r="E336" s="21">
        <f t="shared" si="54"/>
        <v>1</v>
      </c>
      <c r="F336" s="659"/>
      <c r="G336" s="21">
        <f t="shared" si="55"/>
        <v>1</v>
      </c>
      <c r="H336" s="659"/>
      <c r="I336" s="21">
        <f t="shared" si="56"/>
        <v>1</v>
      </c>
      <c r="J336" s="659"/>
      <c r="K336" s="21">
        <f t="shared" si="57"/>
        <v>1</v>
      </c>
      <c r="L336" s="659"/>
      <c r="M336" s="21">
        <f t="shared" si="58"/>
        <v>1</v>
      </c>
      <c r="N336" s="659"/>
      <c r="O336" s="21">
        <f t="shared" si="59"/>
        <v>1</v>
      </c>
      <c r="P336" s="659"/>
      <c r="Q336" s="21">
        <f t="shared" si="60"/>
        <v>1</v>
      </c>
      <c r="R336" s="655">
        <f t="shared" si="61"/>
        <v>0</v>
      </c>
      <c r="S336" s="311">
        <f t="shared" si="63"/>
        <v>0</v>
      </c>
    </row>
    <row r="337" spans="1:19">
      <c r="A337" s="145"/>
      <c r="B337" s="54"/>
      <c r="C337" s="21">
        <f t="shared" si="53"/>
        <v>1</v>
      </c>
      <c r="D337" s="659"/>
      <c r="E337" s="21">
        <f t="shared" si="54"/>
        <v>1</v>
      </c>
      <c r="F337" s="659"/>
      <c r="G337" s="21">
        <f t="shared" si="55"/>
        <v>1</v>
      </c>
      <c r="H337" s="659"/>
      <c r="I337" s="21">
        <f t="shared" si="56"/>
        <v>1</v>
      </c>
      <c r="J337" s="659"/>
      <c r="K337" s="21">
        <f t="shared" si="57"/>
        <v>1</v>
      </c>
      <c r="L337" s="659"/>
      <c r="M337" s="21">
        <f t="shared" si="58"/>
        <v>1</v>
      </c>
      <c r="N337" s="659"/>
      <c r="O337" s="21">
        <f t="shared" si="59"/>
        <v>1</v>
      </c>
      <c r="P337" s="659"/>
      <c r="Q337" s="21">
        <f t="shared" si="60"/>
        <v>1</v>
      </c>
      <c r="R337" s="655">
        <f t="shared" si="61"/>
        <v>0</v>
      </c>
      <c r="S337" s="311">
        <f t="shared" si="63"/>
        <v>0</v>
      </c>
    </row>
    <row r="338" spans="1:19">
      <c r="A338" s="145"/>
      <c r="B338" s="54"/>
      <c r="C338" s="21">
        <f t="shared" si="53"/>
        <v>1</v>
      </c>
      <c r="D338" s="659"/>
      <c r="E338" s="21">
        <f t="shared" si="54"/>
        <v>1</v>
      </c>
      <c r="F338" s="659"/>
      <c r="G338" s="21">
        <f t="shared" si="55"/>
        <v>1</v>
      </c>
      <c r="H338" s="659"/>
      <c r="I338" s="21">
        <f t="shared" si="56"/>
        <v>1</v>
      </c>
      <c r="J338" s="659"/>
      <c r="K338" s="21">
        <f t="shared" si="57"/>
        <v>1</v>
      </c>
      <c r="L338" s="659"/>
      <c r="M338" s="21">
        <f t="shared" si="58"/>
        <v>1</v>
      </c>
      <c r="N338" s="659"/>
      <c r="O338" s="21">
        <f t="shared" si="59"/>
        <v>1</v>
      </c>
      <c r="P338" s="659"/>
      <c r="Q338" s="21">
        <f t="shared" si="60"/>
        <v>1</v>
      </c>
      <c r="R338" s="655">
        <f t="shared" si="61"/>
        <v>0</v>
      </c>
      <c r="S338" s="311">
        <f t="shared" si="63"/>
        <v>0</v>
      </c>
    </row>
    <row r="339" spans="1:19">
      <c r="A339" s="145"/>
      <c r="B339" s="54"/>
      <c r="C339" s="21">
        <f t="shared" si="53"/>
        <v>1</v>
      </c>
      <c r="D339" s="659"/>
      <c r="E339" s="21">
        <f t="shared" si="54"/>
        <v>1</v>
      </c>
      <c r="F339" s="659"/>
      <c r="G339" s="21">
        <f t="shared" si="55"/>
        <v>1</v>
      </c>
      <c r="H339" s="659"/>
      <c r="I339" s="21">
        <f t="shared" si="56"/>
        <v>1</v>
      </c>
      <c r="J339" s="659"/>
      <c r="K339" s="21">
        <f t="shared" si="57"/>
        <v>1</v>
      </c>
      <c r="L339" s="659"/>
      <c r="M339" s="21">
        <f t="shared" si="58"/>
        <v>1</v>
      </c>
      <c r="N339" s="659"/>
      <c r="O339" s="21">
        <f t="shared" si="59"/>
        <v>1</v>
      </c>
      <c r="P339" s="659"/>
      <c r="Q339" s="21">
        <f t="shared" si="60"/>
        <v>1</v>
      </c>
      <c r="R339" s="655">
        <f t="shared" si="61"/>
        <v>0</v>
      </c>
      <c r="S339" s="311">
        <f t="shared" si="63"/>
        <v>0</v>
      </c>
    </row>
    <row r="340" spans="1:19">
      <c r="A340" s="145"/>
      <c r="B340" s="54"/>
      <c r="C340" s="21">
        <f t="shared" si="53"/>
        <v>1</v>
      </c>
      <c r="D340" s="659"/>
      <c r="E340" s="21">
        <f t="shared" si="54"/>
        <v>1</v>
      </c>
      <c r="F340" s="659"/>
      <c r="G340" s="21">
        <f t="shared" si="55"/>
        <v>1</v>
      </c>
      <c r="H340" s="659"/>
      <c r="I340" s="21">
        <f t="shared" si="56"/>
        <v>1</v>
      </c>
      <c r="J340" s="659"/>
      <c r="K340" s="21">
        <f t="shared" si="57"/>
        <v>1</v>
      </c>
      <c r="L340" s="659"/>
      <c r="M340" s="21">
        <f t="shared" si="58"/>
        <v>1</v>
      </c>
      <c r="N340" s="659"/>
      <c r="O340" s="21">
        <f t="shared" si="59"/>
        <v>1</v>
      </c>
      <c r="P340" s="659"/>
      <c r="Q340" s="21">
        <f t="shared" si="60"/>
        <v>1</v>
      </c>
      <c r="R340" s="655">
        <f t="shared" si="61"/>
        <v>0</v>
      </c>
      <c r="S340" s="311">
        <f t="shared" si="63"/>
        <v>0</v>
      </c>
    </row>
    <row r="341" spans="1:19">
      <c r="A341" s="145"/>
      <c r="B341" s="54"/>
      <c r="C341" s="21">
        <f t="shared" si="53"/>
        <v>1</v>
      </c>
      <c r="D341" s="659"/>
      <c r="E341" s="21">
        <f t="shared" si="54"/>
        <v>1</v>
      </c>
      <c r="F341" s="659"/>
      <c r="G341" s="21">
        <f t="shared" si="55"/>
        <v>1</v>
      </c>
      <c r="H341" s="659"/>
      <c r="I341" s="21">
        <f t="shared" si="56"/>
        <v>1</v>
      </c>
      <c r="J341" s="659"/>
      <c r="K341" s="21">
        <f t="shared" si="57"/>
        <v>1</v>
      </c>
      <c r="L341" s="659"/>
      <c r="M341" s="21">
        <f t="shared" si="58"/>
        <v>1</v>
      </c>
      <c r="N341" s="659"/>
      <c r="O341" s="21">
        <f t="shared" si="59"/>
        <v>1</v>
      </c>
      <c r="P341" s="659"/>
      <c r="Q341" s="21">
        <f t="shared" si="60"/>
        <v>1</v>
      </c>
      <c r="R341" s="655">
        <f t="shared" si="61"/>
        <v>0</v>
      </c>
      <c r="S341" s="311">
        <f t="shared" si="63"/>
        <v>0</v>
      </c>
    </row>
    <row r="342" spans="1:19">
      <c r="A342" s="145"/>
      <c r="B342" s="54"/>
      <c r="C342" s="21">
        <f t="shared" si="53"/>
        <v>1</v>
      </c>
      <c r="D342" s="659"/>
      <c r="E342" s="21">
        <f t="shared" si="54"/>
        <v>1</v>
      </c>
      <c r="F342" s="659"/>
      <c r="G342" s="21">
        <f t="shared" si="55"/>
        <v>1</v>
      </c>
      <c r="H342" s="659"/>
      <c r="I342" s="21">
        <f t="shared" si="56"/>
        <v>1</v>
      </c>
      <c r="J342" s="659"/>
      <c r="K342" s="21">
        <f t="shared" si="57"/>
        <v>1</v>
      </c>
      <c r="L342" s="659"/>
      <c r="M342" s="21">
        <f t="shared" si="58"/>
        <v>1</v>
      </c>
      <c r="N342" s="659"/>
      <c r="O342" s="21">
        <f t="shared" si="59"/>
        <v>1</v>
      </c>
      <c r="P342" s="659"/>
      <c r="Q342" s="21">
        <f t="shared" si="60"/>
        <v>1</v>
      </c>
      <c r="R342" s="655">
        <f t="shared" si="61"/>
        <v>0</v>
      </c>
      <c r="S342" s="311">
        <f t="shared" si="63"/>
        <v>0</v>
      </c>
    </row>
    <row r="343" spans="1:19">
      <c r="A343" s="145"/>
      <c r="B343" s="54"/>
      <c r="C343" s="21">
        <f t="shared" si="53"/>
        <v>1</v>
      </c>
      <c r="D343" s="659"/>
      <c r="E343" s="21">
        <f t="shared" si="54"/>
        <v>1</v>
      </c>
      <c r="F343" s="659"/>
      <c r="G343" s="21">
        <f t="shared" si="55"/>
        <v>1</v>
      </c>
      <c r="H343" s="659"/>
      <c r="I343" s="21">
        <f t="shared" si="56"/>
        <v>1</v>
      </c>
      <c r="J343" s="659"/>
      <c r="K343" s="21">
        <f t="shared" si="57"/>
        <v>1</v>
      </c>
      <c r="L343" s="659"/>
      <c r="M343" s="21">
        <f t="shared" si="58"/>
        <v>1</v>
      </c>
      <c r="N343" s="659"/>
      <c r="O343" s="21">
        <f t="shared" si="59"/>
        <v>1</v>
      </c>
      <c r="P343" s="659"/>
      <c r="Q343" s="21">
        <f t="shared" si="60"/>
        <v>1</v>
      </c>
      <c r="R343" s="655">
        <f t="shared" si="61"/>
        <v>0</v>
      </c>
      <c r="S343" s="311">
        <f t="shared" si="63"/>
        <v>0</v>
      </c>
    </row>
    <row r="344" spans="1:19">
      <c r="A344" s="145"/>
      <c r="B344" s="54"/>
      <c r="C344" s="21">
        <f t="shared" si="53"/>
        <v>1</v>
      </c>
      <c r="D344" s="659"/>
      <c r="E344" s="21">
        <f t="shared" si="54"/>
        <v>1</v>
      </c>
      <c r="F344" s="659"/>
      <c r="G344" s="21">
        <f t="shared" si="55"/>
        <v>1</v>
      </c>
      <c r="H344" s="659"/>
      <c r="I344" s="21">
        <f t="shared" si="56"/>
        <v>1</v>
      </c>
      <c r="J344" s="659"/>
      <c r="K344" s="21">
        <f t="shared" si="57"/>
        <v>1</v>
      </c>
      <c r="L344" s="659"/>
      <c r="M344" s="21">
        <f t="shared" si="58"/>
        <v>1</v>
      </c>
      <c r="N344" s="659"/>
      <c r="O344" s="21">
        <f t="shared" si="59"/>
        <v>1</v>
      </c>
      <c r="P344" s="659"/>
      <c r="Q344" s="21">
        <f t="shared" si="60"/>
        <v>1</v>
      </c>
      <c r="R344" s="655">
        <f t="shared" si="61"/>
        <v>0</v>
      </c>
      <c r="S344" s="311">
        <f t="shared" si="63"/>
        <v>0</v>
      </c>
    </row>
    <row r="345" spans="1:19">
      <c r="A345" s="145"/>
      <c r="B345" s="54"/>
      <c r="C345" s="21">
        <f t="shared" si="53"/>
        <v>1</v>
      </c>
      <c r="D345" s="659"/>
      <c r="E345" s="21">
        <f t="shared" si="54"/>
        <v>1</v>
      </c>
      <c r="F345" s="659"/>
      <c r="G345" s="21">
        <f t="shared" si="55"/>
        <v>1</v>
      </c>
      <c r="H345" s="659"/>
      <c r="I345" s="21">
        <f t="shared" si="56"/>
        <v>1</v>
      </c>
      <c r="J345" s="659"/>
      <c r="K345" s="21">
        <f t="shared" si="57"/>
        <v>1</v>
      </c>
      <c r="L345" s="659"/>
      <c r="M345" s="21">
        <f t="shared" si="58"/>
        <v>1</v>
      </c>
      <c r="N345" s="659"/>
      <c r="O345" s="21">
        <f t="shared" si="59"/>
        <v>1</v>
      </c>
      <c r="P345" s="659"/>
      <c r="Q345" s="21">
        <f t="shared" si="60"/>
        <v>1</v>
      </c>
      <c r="R345" s="655">
        <f t="shared" si="61"/>
        <v>0</v>
      </c>
      <c r="S345" s="311">
        <f t="shared" si="63"/>
        <v>0</v>
      </c>
    </row>
    <row r="346" spans="1:19">
      <c r="A346" s="145"/>
      <c r="B346" s="54"/>
      <c r="C346" s="21">
        <f t="shared" ref="C346:C409" si="64">IF(B346="",1,(LOOKUP(B346,$3:$3,$4:$4)-LOOKUP($B$24,$3:$3,$4:$4)+100)/100)</f>
        <v>1</v>
      </c>
      <c r="D346" s="659"/>
      <c r="E346" s="21">
        <f t="shared" ref="E346:E409" si="65">(SUMIF($5:$5,D346,$6:$6)-SUMIF($5:$5,$D$24,$6:$6)+100)/100</f>
        <v>1</v>
      </c>
      <c r="F346" s="659"/>
      <c r="G346" s="21">
        <f t="shared" ref="G346:G409" si="66">(SUMIF($7:$7,F346,$8:$8)-SUMIF($7:$7,$F$24,$8:$8)+100)/100</f>
        <v>1</v>
      </c>
      <c r="H346" s="659"/>
      <c r="I346" s="21">
        <f t="shared" ref="I346:I409" si="67">(SUMIF($9:$9,H346,$10:$10)-SUMIF($9:$9,$H$24,$10:$10)+100)/100</f>
        <v>1</v>
      </c>
      <c r="J346" s="659"/>
      <c r="K346" s="21">
        <f t="shared" ref="K346:K409" si="68">(SUMIF($11:$11,J346,$12:$12)-SUMIF($11:$11,$J$24,$12:$12)+100)/100</f>
        <v>1</v>
      </c>
      <c r="L346" s="659"/>
      <c r="M346" s="21">
        <f t="shared" ref="M346:M409" si="69">(SUMIF($13:$13,L346,$14:$14)-SUMIF($13:$13,$L$24,$14:$14)+100)/100</f>
        <v>1</v>
      </c>
      <c r="N346" s="659"/>
      <c r="O346" s="21">
        <f t="shared" ref="O346:O409" si="70">(SUMIF($15:$15,N346,$16:$16)-SUMIF($15:$15,$N$24,$16:$16)+100)/100</f>
        <v>1</v>
      </c>
      <c r="P346" s="659"/>
      <c r="Q346" s="21">
        <f t="shared" ref="Q346:Q409" si="71">(SUMIF($17:$17,P346,$18:$18)-SUMIF($17:$17,$P$24,$18:$18)+100)/100</f>
        <v>1</v>
      </c>
      <c r="R346" s="655">
        <f t="shared" ref="R346:R409" si="72">IF(B346="",0,ROUND($R$24*C346*E346*G346*I346*K346*M346*O346*Q346,0))</f>
        <v>0</v>
      </c>
      <c r="S346" s="311">
        <f t="shared" si="63"/>
        <v>0</v>
      </c>
    </row>
    <row r="347" spans="1:19">
      <c r="A347" s="145"/>
      <c r="B347" s="54"/>
      <c r="C347" s="21">
        <f t="shared" si="64"/>
        <v>1</v>
      </c>
      <c r="D347" s="659"/>
      <c r="E347" s="21">
        <f t="shared" si="65"/>
        <v>1</v>
      </c>
      <c r="F347" s="659"/>
      <c r="G347" s="21">
        <f t="shared" si="66"/>
        <v>1</v>
      </c>
      <c r="H347" s="659"/>
      <c r="I347" s="21">
        <f t="shared" si="67"/>
        <v>1</v>
      </c>
      <c r="J347" s="659"/>
      <c r="K347" s="21">
        <f t="shared" si="68"/>
        <v>1</v>
      </c>
      <c r="L347" s="659"/>
      <c r="M347" s="21">
        <f t="shared" si="69"/>
        <v>1</v>
      </c>
      <c r="N347" s="659"/>
      <c r="O347" s="21">
        <f t="shared" si="70"/>
        <v>1</v>
      </c>
      <c r="P347" s="659"/>
      <c r="Q347" s="21">
        <f t="shared" si="71"/>
        <v>1</v>
      </c>
      <c r="R347" s="655">
        <f t="shared" si="72"/>
        <v>0</v>
      </c>
      <c r="S347" s="311">
        <f t="shared" si="63"/>
        <v>0</v>
      </c>
    </row>
    <row r="348" spans="1:19">
      <c r="A348" s="145"/>
      <c r="B348" s="54"/>
      <c r="C348" s="21">
        <f t="shared" si="64"/>
        <v>1</v>
      </c>
      <c r="D348" s="659"/>
      <c r="E348" s="21">
        <f t="shared" si="65"/>
        <v>1</v>
      </c>
      <c r="F348" s="659"/>
      <c r="G348" s="21">
        <f t="shared" si="66"/>
        <v>1</v>
      </c>
      <c r="H348" s="659"/>
      <c r="I348" s="21">
        <f t="shared" si="67"/>
        <v>1</v>
      </c>
      <c r="J348" s="659"/>
      <c r="K348" s="21">
        <f t="shared" si="68"/>
        <v>1</v>
      </c>
      <c r="L348" s="659"/>
      <c r="M348" s="21">
        <f t="shared" si="69"/>
        <v>1</v>
      </c>
      <c r="N348" s="659"/>
      <c r="O348" s="21">
        <f t="shared" si="70"/>
        <v>1</v>
      </c>
      <c r="P348" s="659"/>
      <c r="Q348" s="21">
        <f t="shared" si="71"/>
        <v>1</v>
      </c>
      <c r="R348" s="655">
        <f t="shared" si="72"/>
        <v>0</v>
      </c>
      <c r="S348" s="311">
        <f t="shared" si="63"/>
        <v>0</v>
      </c>
    </row>
    <row r="349" spans="1:19">
      <c r="A349" s="145"/>
      <c r="B349" s="54"/>
      <c r="C349" s="21">
        <f t="shared" si="64"/>
        <v>1</v>
      </c>
      <c r="D349" s="659"/>
      <c r="E349" s="21">
        <f t="shared" si="65"/>
        <v>1</v>
      </c>
      <c r="F349" s="659"/>
      <c r="G349" s="21">
        <f t="shared" si="66"/>
        <v>1</v>
      </c>
      <c r="H349" s="659"/>
      <c r="I349" s="21">
        <f t="shared" si="67"/>
        <v>1</v>
      </c>
      <c r="J349" s="659"/>
      <c r="K349" s="21">
        <f t="shared" si="68"/>
        <v>1</v>
      </c>
      <c r="L349" s="659"/>
      <c r="M349" s="21">
        <f t="shared" si="69"/>
        <v>1</v>
      </c>
      <c r="N349" s="659"/>
      <c r="O349" s="21">
        <f t="shared" si="70"/>
        <v>1</v>
      </c>
      <c r="P349" s="659"/>
      <c r="Q349" s="21">
        <f t="shared" si="71"/>
        <v>1</v>
      </c>
      <c r="R349" s="655">
        <f t="shared" si="72"/>
        <v>0</v>
      </c>
      <c r="S349" s="311">
        <f t="shared" si="63"/>
        <v>0</v>
      </c>
    </row>
    <row r="350" spans="1:19">
      <c r="A350" s="145"/>
      <c r="B350" s="54"/>
      <c r="C350" s="21">
        <f t="shared" si="64"/>
        <v>1</v>
      </c>
      <c r="D350" s="659"/>
      <c r="E350" s="21">
        <f t="shared" si="65"/>
        <v>1</v>
      </c>
      <c r="F350" s="659"/>
      <c r="G350" s="21">
        <f t="shared" si="66"/>
        <v>1</v>
      </c>
      <c r="H350" s="659"/>
      <c r="I350" s="21">
        <f t="shared" si="67"/>
        <v>1</v>
      </c>
      <c r="J350" s="659"/>
      <c r="K350" s="21">
        <f t="shared" si="68"/>
        <v>1</v>
      </c>
      <c r="L350" s="659"/>
      <c r="M350" s="21">
        <f t="shared" si="69"/>
        <v>1</v>
      </c>
      <c r="N350" s="659"/>
      <c r="O350" s="21">
        <f t="shared" si="70"/>
        <v>1</v>
      </c>
      <c r="P350" s="659"/>
      <c r="Q350" s="21">
        <f t="shared" si="71"/>
        <v>1</v>
      </c>
      <c r="R350" s="655">
        <f t="shared" si="72"/>
        <v>0</v>
      </c>
      <c r="S350" s="311">
        <f t="shared" si="63"/>
        <v>0</v>
      </c>
    </row>
    <row r="351" spans="1:19">
      <c r="A351" s="145"/>
      <c r="B351" s="54"/>
      <c r="C351" s="21">
        <f t="shared" si="64"/>
        <v>1</v>
      </c>
      <c r="D351" s="659"/>
      <c r="E351" s="21">
        <f t="shared" si="65"/>
        <v>1</v>
      </c>
      <c r="F351" s="659"/>
      <c r="G351" s="21">
        <f t="shared" si="66"/>
        <v>1</v>
      </c>
      <c r="H351" s="659"/>
      <c r="I351" s="21">
        <f t="shared" si="67"/>
        <v>1</v>
      </c>
      <c r="J351" s="659"/>
      <c r="K351" s="21">
        <f t="shared" si="68"/>
        <v>1</v>
      </c>
      <c r="L351" s="659"/>
      <c r="M351" s="21">
        <f t="shared" si="69"/>
        <v>1</v>
      </c>
      <c r="N351" s="659"/>
      <c r="O351" s="21">
        <f t="shared" si="70"/>
        <v>1</v>
      </c>
      <c r="P351" s="659"/>
      <c r="Q351" s="21">
        <f t="shared" si="71"/>
        <v>1</v>
      </c>
      <c r="R351" s="655">
        <f t="shared" si="72"/>
        <v>0</v>
      </c>
      <c r="S351" s="311">
        <f t="shared" si="63"/>
        <v>0</v>
      </c>
    </row>
    <row r="352" spans="1:19">
      <c r="A352" s="145"/>
      <c r="B352" s="54"/>
      <c r="C352" s="21">
        <f t="shared" si="64"/>
        <v>1</v>
      </c>
      <c r="D352" s="659"/>
      <c r="E352" s="21">
        <f t="shared" si="65"/>
        <v>1</v>
      </c>
      <c r="F352" s="659"/>
      <c r="G352" s="21">
        <f t="shared" si="66"/>
        <v>1</v>
      </c>
      <c r="H352" s="659"/>
      <c r="I352" s="21">
        <f t="shared" si="67"/>
        <v>1</v>
      </c>
      <c r="J352" s="659"/>
      <c r="K352" s="21">
        <f t="shared" si="68"/>
        <v>1</v>
      </c>
      <c r="L352" s="659"/>
      <c r="M352" s="21">
        <f t="shared" si="69"/>
        <v>1</v>
      </c>
      <c r="N352" s="659"/>
      <c r="O352" s="21">
        <f t="shared" si="70"/>
        <v>1</v>
      </c>
      <c r="P352" s="659"/>
      <c r="Q352" s="21">
        <f t="shared" si="71"/>
        <v>1</v>
      </c>
      <c r="R352" s="655">
        <f t="shared" si="72"/>
        <v>0</v>
      </c>
      <c r="S352" s="311">
        <f t="shared" si="63"/>
        <v>0</v>
      </c>
    </row>
    <row r="353" spans="1:19">
      <c r="A353" s="145"/>
      <c r="B353" s="54"/>
      <c r="C353" s="21">
        <f t="shared" si="64"/>
        <v>1</v>
      </c>
      <c r="D353" s="659"/>
      <c r="E353" s="21">
        <f t="shared" si="65"/>
        <v>1</v>
      </c>
      <c r="F353" s="659"/>
      <c r="G353" s="21">
        <f t="shared" si="66"/>
        <v>1</v>
      </c>
      <c r="H353" s="659"/>
      <c r="I353" s="21">
        <f t="shared" si="67"/>
        <v>1</v>
      </c>
      <c r="J353" s="659"/>
      <c r="K353" s="21">
        <f t="shared" si="68"/>
        <v>1</v>
      </c>
      <c r="L353" s="659"/>
      <c r="M353" s="21">
        <f t="shared" si="69"/>
        <v>1</v>
      </c>
      <c r="N353" s="659"/>
      <c r="O353" s="21">
        <f t="shared" si="70"/>
        <v>1</v>
      </c>
      <c r="P353" s="659"/>
      <c r="Q353" s="21">
        <f t="shared" si="71"/>
        <v>1</v>
      </c>
      <c r="R353" s="655">
        <f t="shared" si="72"/>
        <v>0</v>
      </c>
      <c r="S353" s="311">
        <f t="shared" si="63"/>
        <v>0</v>
      </c>
    </row>
    <row r="354" spans="1:19">
      <c r="A354" s="145"/>
      <c r="B354" s="54"/>
      <c r="C354" s="21">
        <f t="shared" si="64"/>
        <v>1</v>
      </c>
      <c r="D354" s="659"/>
      <c r="E354" s="21">
        <f t="shared" si="65"/>
        <v>1</v>
      </c>
      <c r="F354" s="659"/>
      <c r="G354" s="21">
        <f t="shared" si="66"/>
        <v>1</v>
      </c>
      <c r="H354" s="659"/>
      <c r="I354" s="21">
        <f t="shared" si="67"/>
        <v>1</v>
      </c>
      <c r="J354" s="659"/>
      <c r="K354" s="21">
        <f t="shared" si="68"/>
        <v>1</v>
      </c>
      <c r="L354" s="659"/>
      <c r="M354" s="21">
        <f t="shared" si="69"/>
        <v>1</v>
      </c>
      <c r="N354" s="659"/>
      <c r="O354" s="21">
        <f t="shared" si="70"/>
        <v>1</v>
      </c>
      <c r="P354" s="659"/>
      <c r="Q354" s="21">
        <f t="shared" si="71"/>
        <v>1</v>
      </c>
      <c r="R354" s="655">
        <f t="shared" si="72"/>
        <v>0</v>
      </c>
      <c r="S354" s="311">
        <f t="shared" si="63"/>
        <v>0</v>
      </c>
    </row>
    <row r="355" spans="1:19">
      <c r="A355" s="145"/>
      <c r="B355" s="54"/>
      <c r="C355" s="21">
        <f t="shared" si="64"/>
        <v>1</v>
      </c>
      <c r="D355" s="659"/>
      <c r="E355" s="21">
        <f t="shared" si="65"/>
        <v>1</v>
      </c>
      <c r="F355" s="659"/>
      <c r="G355" s="21">
        <f t="shared" si="66"/>
        <v>1</v>
      </c>
      <c r="H355" s="659"/>
      <c r="I355" s="21">
        <f t="shared" si="67"/>
        <v>1</v>
      </c>
      <c r="J355" s="659"/>
      <c r="K355" s="21">
        <f t="shared" si="68"/>
        <v>1</v>
      </c>
      <c r="L355" s="659"/>
      <c r="M355" s="21">
        <f t="shared" si="69"/>
        <v>1</v>
      </c>
      <c r="N355" s="659"/>
      <c r="O355" s="21">
        <f t="shared" si="70"/>
        <v>1</v>
      </c>
      <c r="P355" s="659"/>
      <c r="Q355" s="21">
        <f t="shared" si="71"/>
        <v>1</v>
      </c>
      <c r="R355" s="655">
        <f t="shared" si="72"/>
        <v>0</v>
      </c>
      <c r="S355" s="311">
        <f t="shared" si="63"/>
        <v>0</v>
      </c>
    </row>
    <row r="356" spans="1:19">
      <c r="A356" s="145"/>
      <c r="B356" s="54"/>
      <c r="C356" s="21">
        <f t="shared" si="64"/>
        <v>1</v>
      </c>
      <c r="D356" s="659"/>
      <c r="E356" s="21">
        <f t="shared" si="65"/>
        <v>1</v>
      </c>
      <c r="F356" s="659"/>
      <c r="G356" s="21">
        <f t="shared" si="66"/>
        <v>1</v>
      </c>
      <c r="H356" s="659"/>
      <c r="I356" s="21">
        <f t="shared" si="67"/>
        <v>1</v>
      </c>
      <c r="J356" s="659"/>
      <c r="K356" s="21">
        <f t="shared" si="68"/>
        <v>1</v>
      </c>
      <c r="L356" s="659"/>
      <c r="M356" s="21">
        <f t="shared" si="69"/>
        <v>1</v>
      </c>
      <c r="N356" s="659"/>
      <c r="O356" s="21">
        <f t="shared" si="70"/>
        <v>1</v>
      </c>
      <c r="P356" s="659"/>
      <c r="Q356" s="21">
        <f t="shared" si="71"/>
        <v>1</v>
      </c>
      <c r="R356" s="655">
        <f t="shared" si="72"/>
        <v>0</v>
      </c>
      <c r="S356" s="311">
        <f t="shared" si="63"/>
        <v>0</v>
      </c>
    </row>
    <row r="357" spans="1:19">
      <c r="A357" s="145"/>
      <c r="B357" s="54"/>
      <c r="C357" s="21">
        <f t="shared" si="64"/>
        <v>1</v>
      </c>
      <c r="D357" s="659"/>
      <c r="E357" s="21">
        <f t="shared" si="65"/>
        <v>1</v>
      </c>
      <c r="F357" s="659"/>
      <c r="G357" s="21">
        <f t="shared" si="66"/>
        <v>1</v>
      </c>
      <c r="H357" s="659"/>
      <c r="I357" s="21">
        <f t="shared" si="67"/>
        <v>1</v>
      </c>
      <c r="J357" s="659"/>
      <c r="K357" s="21">
        <f t="shared" si="68"/>
        <v>1</v>
      </c>
      <c r="L357" s="659"/>
      <c r="M357" s="21">
        <f t="shared" si="69"/>
        <v>1</v>
      </c>
      <c r="N357" s="659"/>
      <c r="O357" s="21">
        <f t="shared" si="70"/>
        <v>1</v>
      </c>
      <c r="P357" s="659"/>
      <c r="Q357" s="21">
        <f t="shared" si="71"/>
        <v>1</v>
      </c>
      <c r="R357" s="655">
        <f t="shared" si="72"/>
        <v>0</v>
      </c>
      <c r="S357" s="311">
        <f t="shared" si="63"/>
        <v>0</v>
      </c>
    </row>
    <row r="358" spans="1:19">
      <c r="A358" s="145"/>
      <c r="B358" s="54"/>
      <c r="C358" s="21">
        <f t="shared" si="64"/>
        <v>1</v>
      </c>
      <c r="D358" s="659"/>
      <c r="E358" s="21">
        <f t="shared" si="65"/>
        <v>1</v>
      </c>
      <c r="F358" s="659"/>
      <c r="G358" s="21">
        <f t="shared" si="66"/>
        <v>1</v>
      </c>
      <c r="H358" s="659"/>
      <c r="I358" s="21">
        <f t="shared" si="67"/>
        <v>1</v>
      </c>
      <c r="J358" s="659"/>
      <c r="K358" s="21">
        <f t="shared" si="68"/>
        <v>1</v>
      </c>
      <c r="L358" s="659"/>
      <c r="M358" s="21">
        <f t="shared" si="69"/>
        <v>1</v>
      </c>
      <c r="N358" s="659"/>
      <c r="O358" s="21">
        <f t="shared" si="70"/>
        <v>1</v>
      </c>
      <c r="P358" s="659"/>
      <c r="Q358" s="21">
        <f t="shared" si="71"/>
        <v>1</v>
      </c>
      <c r="R358" s="655">
        <f t="shared" si="72"/>
        <v>0</v>
      </c>
      <c r="S358" s="311">
        <f t="shared" si="63"/>
        <v>0</v>
      </c>
    </row>
    <row r="359" spans="1:19">
      <c r="A359" s="145"/>
      <c r="B359" s="54"/>
      <c r="C359" s="21">
        <f t="shared" si="64"/>
        <v>1</v>
      </c>
      <c r="D359" s="659"/>
      <c r="E359" s="21">
        <f t="shared" si="65"/>
        <v>1</v>
      </c>
      <c r="F359" s="659"/>
      <c r="G359" s="21">
        <f t="shared" si="66"/>
        <v>1</v>
      </c>
      <c r="H359" s="659"/>
      <c r="I359" s="21">
        <f t="shared" si="67"/>
        <v>1</v>
      </c>
      <c r="J359" s="659"/>
      <c r="K359" s="21">
        <f t="shared" si="68"/>
        <v>1</v>
      </c>
      <c r="L359" s="659"/>
      <c r="M359" s="21">
        <f t="shared" si="69"/>
        <v>1</v>
      </c>
      <c r="N359" s="659"/>
      <c r="O359" s="21">
        <f t="shared" si="70"/>
        <v>1</v>
      </c>
      <c r="P359" s="659"/>
      <c r="Q359" s="21">
        <f t="shared" si="71"/>
        <v>1</v>
      </c>
      <c r="R359" s="655">
        <f t="shared" si="72"/>
        <v>0</v>
      </c>
      <c r="S359" s="311">
        <f t="shared" si="63"/>
        <v>0</v>
      </c>
    </row>
    <row r="360" spans="1:19">
      <c r="A360" s="145"/>
      <c r="B360" s="54"/>
      <c r="C360" s="21">
        <f t="shared" si="64"/>
        <v>1</v>
      </c>
      <c r="D360" s="659"/>
      <c r="E360" s="21">
        <f t="shared" si="65"/>
        <v>1</v>
      </c>
      <c r="F360" s="659"/>
      <c r="G360" s="21">
        <f t="shared" si="66"/>
        <v>1</v>
      </c>
      <c r="H360" s="659"/>
      <c r="I360" s="21">
        <f t="shared" si="67"/>
        <v>1</v>
      </c>
      <c r="J360" s="659"/>
      <c r="K360" s="21">
        <f t="shared" si="68"/>
        <v>1</v>
      </c>
      <c r="L360" s="659"/>
      <c r="M360" s="21">
        <f t="shared" si="69"/>
        <v>1</v>
      </c>
      <c r="N360" s="659"/>
      <c r="O360" s="21">
        <f t="shared" si="70"/>
        <v>1</v>
      </c>
      <c r="P360" s="659"/>
      <c r="Q360" s="21">
        <f t="shared" si="71"/>
        <v>1</v>
      </c>
      <c r="R360" s="655">
        <f t="shared" si="72"/>
        <v>0</v>
      </c>
      <c r="S360" s="311">
        <f t="shared" si="63"/>
        <v>0</v>
      </c>
    </row>
    <row r="361" spans="1:19">
      <c r="A361" s="145"/>
      <c r="B361" s="54"/>
      <c r="C361" s="21">
        <f t="shared" si="64"/>
        <v>1</v>
      </c>
      <c r="D361" s="659"/>
      <c r="E361" s="21">
        <f t="shared" si="65"/>
        <v>1</v>
      </c>
      <c r="F361" s="659"/>
      <c r="G361" s="21">
        <f t="shared" si="66"/>
        <v>1</v>
      </c>
      <c r="H361" s="659"/>
      <c r="I361" s="21">
        <f t="shared" si="67"/>
        <v>1</v>
      </c>
      <c r="J361" s="659"/>
      <c r="K361" s="21">
        <f t="shared" si="68"/>
        <v>1</v>
      </c>
      <c r="L361" s="659"/>
      <c r="M361" s="21">
        <f t="shared" si="69"/>
        <v>1</v>
      </c>
      <c r="N361" s="659"/>
      <c r="O361" s="21">
        <f t="shared" si="70"/>
        <v>1</v>
      </c>
      <c r="P361" s="659"/>
      <c r="Q361" s="21">
        <f t="shared" si="71"/>
        <v>1</v>
      </c>
      <c r="R361" s="655">
        <f t="shared" si="72"/>
        <v>0</v>
      </c>
      <c r="S361" s="311">
        <f t="shared" si="63"/>
        <v>0</v>
      </c>
    </row>
    <row r="362" spans="1:19">
      <c r="A362" s="145"/>
      <c r="B362" s="54"/>
      <c r="C362" s="21">
        <f t="shared" si="64"/>
        <v>1</v>
      </c>
      <c r="D362" s="659"/>
      <c r="E362" s="21">
        <f t="shared" si="65"/>
        <v>1</v>
      </c>
      <c r="F362" s="659"/>
      <c r="G362" s="21">
        <f t="shared" si="66"/>
        <v>1</v>
      </c>
      <c r="H362" s="659"/>
      <c r="I362" s="21">
        <f t="shared" si="67"/>
        <v>1</v>
      </c>
      <c r="J362" s="659"/>
      <c r="K362" s="21">
        <f t="shared" si="68"/>
        <v>1</v>
      </c>
      <c r="L362" s="659"/>
      <c r="M362" s="21">
        <f t="shared" si="69"/>
        <v>1</v>
      </c>
      <c r="N362" s="659"/>
      <c r="O362" s="21">
        <f t="shared" si="70"/>
        <v>1</v>
      </c>
      <c r="P362" s="659"/>
      <c r="Q362" s="21">
        <f t="shared" si="71"/>
        <v>1</v>
      </c>
      <c r="R362" s="655">
        <f t="shared" si="72"/>
        <v>0</v>
      </c>
      <c r="S362" s="311">
        <f t="shared" si="63"/>
        <v>0</v>
      </c>
    </row>
    <row r="363" spans="1:19">
      <c r="A363" s="145"/>
      <c r="B363" s="54"/>
      <c r="C363" s="21">
        <f t="shared" si="64"/>
        <v>1</v>
      </c>
      <c r="D363" s="659"/>
      <c r="E363" s="21">
        <f t="shared" si="65"/>
        <v>1</v>
      </c>
      <c r="F363" s="659"/>
      <c r="G363" s="21">
        <f t="shared" si="66"/>
        <v>1</v>
      </c>
      <c r="H363" s="659"/>
      <c r="I363" s="21">
        <f t="shared" si="67"/>
        <v>1</v>
      </c>
      <c r="J363" s="659"/>
      <c r="K363" s="21">
        <f t="shared" si="68"/>
        <v>1</v>
      </c>
      <c r="L363" s="659"/>
      <c r="M363" s="21">
        <f t="shared" si="69"/>
        <v>1</v>
      </c>
      <c r="N363" s="659"/>
      <c r="O363" s="21">
        <f t="shared" si="70"/>
        <v>1</v>
      </c>
      <c r="P363" s="659"/>
      <c r="Q363" s="21">
        <f t="shared" si="71"/>
        <v>1</v>
      </c>
      <c r="R363" s="655">
        <f t="shared" si="72"/>
        <v>0</v>
      </c>
      <c r="S363" s="311">
        <f t="shared" si="63"/>
        <v>0</v>
      </c>
    </row>
    <row r="364" spans="1:19">
      <c r="A364" s="145"/>
      <c r="B364" s="54"/>
      <c r="C364" s="21">
        <f t="shared" si="64"/>
        <v>1</v>
      </c>
      <c r="D364" s="659"/>
      <c r="E364" s="21">
        <f t="shared" si="65"/>
        <v>1</v>
      </c>
      <c r="F364" s="659"/>
      <c r="G364" s="21">
        <f t="shared" si="66"/>
        <v>1</v>
      </c>
      <c r="H364" s="659"/>
      <c r="I364" s="21">
        <f t="shared" si="67"/>
        <v>1</v>
      </c>
      <c r="J364" s="659"/>
      <c r="K364" s="21">
        <f t="shared" si="68"/>
        <v>1</v>
      </c>
      <c r="L364" s="659"/>
      <c r="M364" s="21">
        <f t="shared" si="69"/>
        <v>1</v>
      </c>
      <c r="N364" s="659"/>
      <c r="O364" s="21">
        <f t="shared" si="70"/>
        <v>1</v>
      </c>
      <c r="P364" s="659"/>
      <c r="Q364" s="21">
        <f t="shared" si="71"/>
        <v>1</v>
      </c>
      <c r="R364" s="655">
        <f t="shared" si="72"/>
        <v>0</v>
      </c>
      <c r="S364" s="311">
        <f t="shared" si="63"/>
        <v>0</v>
      </c>
    </row>
    <row r="365" spans="1:19">
      <c r="A365" s="145"/>
      <c r="B365" s="54"/>
      <c r="C365" s="21">
        <f t="shared" si="64"/>
        <v>1</v>
      </c>
      <c r="D365" s="659"/>
      <c r="E365" s="21">
        <f t="shared" si="65"/>
        <v>1</v>
      </c>
      <c r="F365" s="659"/>
      <c r="G365" s="21">
        <f t="shared" si="66"/>
        <v>1</v>
      </c>
      <c r="H365" s="659"/>
      <c r="I365" s="21">
        <f t="shared" si="67"/>
        <v>1</v>
      </c>
      <c r="J365" s="659"/>
      <c r="K365" s="21">
        <f t="shared" si="68"/>
        <v>1</v>
      </c>
      <c r="L365" s="659"/>
      <c r="M365" s="21">
        <f t="shared" si="69"/>
        <v>1</v>
      </c>
      <c r="N365" s="659"/>
      <c r="O365" s="21">
        <f t="shared" si="70"/>
        <v>1</v>
      </c>
      <c r="P365" s="659"/>
      <c r="Q365" s="21">
        <f t="shared" si="71"/>
        <v>1</v>
      </c>
      <c r="R365" s="655">
        <f t="shared" si="72"/>
        <v>0</v>
      </c>
      <c r="S365" s="311">
        <f t="shared" si="63"/>
        <v>0</v>
      </c>
    </row>
    <row r="366" spans="1:19">
      <c r="A366" s="145"/>
      <c r="B366" s="54"/>
      <c r="C366" s="21">
        <f t="shared" si="64"/>
        <v>1</v>
      </c>
      <c r="D366" s="659"/>
      <c r="E366" s="21">
        <f t="shared" si="65"/>
        <v>1</v>
      </c>
      <c r="F366" s="659"/>
      <c r="G366" s="21">
        <f t="shared" si="66"/>
        <v>1</v>
      </c>
      <c r="H366" s="659"/>
      <c r="I366" s="21">
        <f t="shared" si="67"/>
        <v>1</v>
      </c>
      <c r="J366" s="659"/>
      <c r="K366" s="21">
        <f t="shared" si="68"/>
        <v>1</v>
      </c>
      <c r="L366" s="659"/>
      <c r="M366" s="21">
        <f t="shared" si="69"/>
        <v>1</v>
      </c>
      <c r="N366" s="659"/>
      <c r="O366" s="21">
        <f t="shared" si="70"/>
        <v>1</v>
      </c>
      <c r="P366" s="659"/>
      <c r="Q366" s="21">
        <f t="shared" si="71"/>
        <v>1</v>
      </c>
      <c r="R366" s="655">
        <f t="shared" si="72"/>
        <v>0</v>
      </c>
      <c r="S366" s="311">
        <f t="shared" si="63"/>
        <v>0</v>
      </c>
    </row>
    <row r="367" spans="1:19">
      <c r="A367" s="145"/>
      <c r="B367" s="54"/>
      <c r="C367" s="21">
        <f t="shared" si="64"/>
        <v>1</v>
      </c>
      <c r="D367" s="659"/>
      <c r="E367" s="21">
        <f t="shared" si="65"/>
        <v>1</v>
      </c>
      <c r="F367" s="659"/>
      <c r="G367" s="21">
        <f t="shared" si="66"/>
        <v>1</v>
      </c>
      <c r="H367" s="659"/>
      <c r="I367" s="21">
        <f t="shared" si="67"/>
        <v>1</v>
      </c>
      <c r="J367" s="659"/>
      <c r="K367" s="21">
        <f t="shared" si="68"/>
        <v>1</v>
      </c>
      <c r="L367" s="659"/>
      <c r="M367" s="21">
        <f t="shared" si="69"/>
        <v>1</v>
      </c>
      <c r="N367" s="659"/>
      <c r="O367" s="21">
        <f t="shared" si="70"/>
        <v>1</v>
      </c>
      <c r="P367" s="659"/>
      <c r="Q367" s="21">
        <f t="shared" si="71"/>
        <v>1</v>
      </c>
      <c r="R367" s="655">
        <f t="shared" si="72"/>
        <v>0</v>
      </c>
      <c r="S367" s="311">
        <f t="shared" si="63"/>
        <v>0</v>
      </c>
    </row>
    <row r="368" spans="1:19">
      <c r="A368" s="145"/>
      <c r="B368" s="54"/>
      <c r="C368" s="21">
        <f t="shared" si="64"/>
        <v>1</v>
      </c>
      <c r="D368" s="659"/>
      <c r="E368" s="21">
        <f t="shared" si="65"/>
        <v>1</v>
      </c>
      <c r="F368" s="659"/>
      <c r="G368" s="21">
        <f t="shared" si="66"/>
        <v>1</v>
      </c>
      <c r="H368" s="659"/>
      <c r="I368" s="21">
        <f t="shared" si="67"/>
        <v>1</v>
      </c>
      <c r="J368" s="659"/>
      <c r="K368" s="21">
        <f t="shared" si="68"/>
        <v>1</v>
      </c>
      <c r="L368" s="659"/>
      <c r="M368" s="21">
        <f t="shared" si="69"/>
        <v>1</v>
      </c>
      <c r="N368" s="659"/>
      <c r="O368" s="21">
        <f t="shared" si="70"/>
        <v>1</v>
      </c>
      <c r="P368" s="659"/>
      <c r="Q368" s="21">
        <f t="shared" si="71"/>
        <v>1</v>
      </c>
      <c r="R368" s="655">
        <f t="shared" si="72"/>
        <v>0</v>
      </c>
      <c r="S368" s="311">
        <f t="shared" si="63"/>
        <v>0</v>
      </c>
    </row>
    <row r="369" spans="1:19">
      <c r="A369" s="145"/>
      <c r="B369" s="54"/>
      <c r="C369" s="21">
        <f t="shared" si="64"/>
        <v>1</v>
      </c>
      <c r="D369" s="659"/>
      <c r="E369" s="21">
        <f t="shared" si="65"/>
        <v>1</v>
      </c>
      <c r="F369" s="659"/>
      <c r="G369" s="21">
        <f t="shared" si="66"/>
        <v>1</v>
      </c>
      <c r="H369" s="659"/>
      <c r="I369" s="21">
        <f t="shared" si="67"/>
        <v>1</v>
      </c>
      <c r="J369" s="659"/>
      <c r="K369" s="21">
        <f t="shared" si="68"/>
        <v>1</v>
      </c>
      <c r="L369" s="659"/>
      <c r="M369" s="21">
        <f t="shared" si="69"/>
        <v>1</v>
      </c>
      <c r="N369" s="659"/>
      <c r="O369" s="21">
        <f t="shared" si="70"/>
        <v>1</v>
      </c>
      <c r="P369" s="659"/>
      <c r="Q369" s="21">
        <f t="shared" si="71"/>
        <v>1</v>
      </c>
      <c r="R369" s="655">
        <f t="shared" si="72"/>
        <v>0</v>
      </c>
      <c r="S369" s="311">
        <f t="shared" si="63"/>
        <v>0</v>
      </c>
    </row>
    <row r="370" spans="1:19">
      <c r="A370" s="145"/>
      <c r="B370" s="54"/>
      <c r="C370" s="21">
        <f t="shared" si="64"/>
        <v>1</v>
      </c>
      <c r="D370" s="659"/>
      <c r="E370" s="21">
        <f t="shared" si="65"/>
        <v>1</v>
      </c>
      <c r="F370" s="659"/>
      <c r="G370" s="21">
        <f t="shared" si="66"/>
        <v>1</v>
      </c>
      <c r="H370" s="659"/>
      <c r="I370" s="21">
        <f t="shared" si="67"/>
        <v>1</v>
      </c>
      <c r="J370" s="659"/>
      <c r="K370" s="21">
        <f t="shared" si="68"/>
        <v>1</v>
      </c>
      <c r="L370" s="659"/>
      <c r="M370" s="21">
        <f t="shared" si="69"/>
        <v>1</v>
      </c>
      <c r="N370" s="659"/>
      <c r="O370" s="21">
        <f t="shared" si="70"/>
        <v>1</v>
      </c>
      <c r="P370" s="659"/>
      <c r="Q370" s="21">
        <f t="shared" si="71"/>
        <v>1</v>
      </c>
      <c r="R370" s="655">
        <f t="shared" si="72"/>
        <v>0</v>
      </c>
      <c r="S370" s="311">
        <f t="shared" si="63"/>
        <v>0</v>
      </c>
    </row>
    <row r="371" spans="1:19">
      <c r="A371" s="145"/>
      <c r="B371" s="54"/>
      <c r="C371" s="21">
        <f t="shared" si="64"/>
        <v>1</v>
      </c>
      <c r="D371" s="659"/>
      <c r="E371" s="21">
        <f t="shared" si="65"/>
        <v>1</v>
      </c>
      <c r="F371" s="659"/>
      <c r="G371" s="21">
        <f t="shared" si="66"/>
        <v>1</v>
      </c>
      <c r="H371" s="659"/>
      <c r="I371" s="21">
        <f t="shared" si="67"/>
        <v>1</v>
      </c>
      <c r="J371" s="659"/>
      <c r="K371" s="21">
        <f t="shared" si="68"/>
        <v>1</v>
      </c>
      <c r="L371" s="659"/>
      <c r="M371" s="21">
        <f t="shared" si="69"/>
        <v>1</v>
      </c>
      <c r="N371" s="659"/>
      <c r="O371" s="21">
        <f t="shared" si="70"/>
        <v>1</v>
      </c>
      <c r="P371" s="659"/>
      <c r="Q371" s="21">
        <f t="shared" si="71"/>
        <v>1</v>
      </c>
      <c r="R371" s="655">
        <f t="shared" si="72"/>
        <v>0</v>
      </c>
      <c r="S371" s="311">
        <f t="shared" si="63"/>
        <v>0</v>
      </c>
    </row>
    <row r="372" spans="1:19">
      <c r="A372" s="145"/>
      <c r="B372" s="54"/>
      <c r="C372" s="21">
        <f t="shared" si="64"/>
        <v>1</v>
      </c>
      <c r="D372" s="659"/>
      <c r="E372" s="21">
        <f t="shared" si="65"/>
        <v>1</v>
      </c>
      <c r="F372" s="659"/>
      <c r="G372" s="21">
        <f t="shared" si="66"/>
        <v>1</v>
      </c>
      <c r="H372" s="659"/>
      <c r="I372" s="21">
        <f t="shared" si="67"/>
        <v>1</v>
      </c>
      <c r="J372" s="659"/>
      <c r="K372" s="21">
        <f t="shared" si="68"/>
        <v>1</v>
      </c>
      <c r="L372" s="659"/>
      <c r="M372" s="21">
        <f t="shared" si="69"/>
        <v>1</v>
      </c>
      <c r="N372" s="659"/>
      <c r="O372" s="21">
        <f t="shared" si="70"/>
        <v>1</v>
      </c>
      <c r="P372" s="659"/>
      <c r="Q372" s="21">
        <f t="shared" si="71"/>
        <v>1</v>
      </c>
      <c r="R372" s="655">
        <f t="shared" si="72"/>
        <v>0</v>
      </c>
      <c r="S372" s="311">
        <f t="shared" si="63"/>
        <v>0</v>
      </c>
    </row>
    <row r="373" spans="1:19">
      <c r="A373" s="145"/>
      <c r="B373" s="54"/>
      <c r="C373" s="21">
        <f t="shared" si="64"/>
        <v>1</v>
      </c>
      <c r="D373" s="659"/>
      <c r="E373" s="21">
        <f t="shared" si="65"/>
        <v>1</v>
      </c>
      <c r="F373" s="659"/>
      <c r="G373" s="21">
        <f t="shared" si="66"/>
        <v>1</v>
      </c>
      <c r="H373" s="659"/>
      <c r="I373" s="21">
        <f t="shared" si="67"/>
        <v>1</v>
      </c>
      <c r="J373" s="659"/>
      <c r="K373" s="21">
        <f t="shared" si="68"/>
        <v>1</v>
      </c>
      <c r="L373" s="659"/>
      <c r="M373" s="21">
        <f t="shared" si="69"/>
        <v>1</v>
      </c>
      <c r="N373" s="659"/>
      <c r="O373" s="21">
        <f t="shared" si="70"/>
        <v>1</v>
      </c>
      <c r="P373" s="659"/>
      <c r="Q373" s="21">
        <f t="shared" si="71"/>
        <v>1</v>
      </c>
      <c r="R373" s="655">
        <f t="shared" si="72"/>
        <v>0</v>
      </c>
      <c r="S373" s="311">
        <f t="shared" si="63"/>
        <v>0</v>
      </c>
    </row>
    <row r="374" spans="1:19">
      <c r="A374" s="145"/>
      <c r="B374" s="54"/>
      <c r="C374" s="21">
        <f t="shared" si="64"/>
        <v>1</v>
      </c>
      <c r="D374" s="659"/>
      <c r="E374" s="21">
        <f t="shared" si="65"/>
        <v>1</v>
      </c>
      <c r="F374" s="659"/>
      <c r="G374" s="21">
        <f t="shared" si="66"/>
        <v>1</v>
      </c>
      <c r="H374" s="659"/>
      <c r="I374" s="21">
        <f t="shared" si="67"/>
        <v>1</v>
      </c>
      <c r="J374" s="659"/>
      <c r="K374" s="21">
        <f t="shared" si="68"/>
        <v>1</v>
      </c>
      <c r="L374" s="659"/>
      <c r="M374" s="21">
        <f t="shared" si="69"/>
        <v>1</v>
      </c>
      <c r="N374" s="659"/>
      <c r="O374" s="21">
        <f t="shared" si="70"/>
        <v>1</v>
      </c>
      <c r="P374" s="659"/>
      <c r="Q374" s="21">
        <f t="shared" si="71"/>
        <v>1</v>
      </c>
      <c r="R374" s="655">
        <f t="shared" si="72"/>
        <v>0</v>
      </c>
      <c r="S374" s="311">
        <f t="shared" si="63"/>
        <v>0</v>
      </c>
    </row>
    <row r="375" spans="1:19">
      <c r="A375" s="145"/>
      <c r="B375" s="54"/>
      <c r="C375" s="21">
        <f t="shared" si="64"/>
        <v>1</v>
      </c>
      <c r="D375" s="659"/>
      <c r="E375" s="21">
        <f t="shared" si="65"/>
        <v>1</v>
      </c>
      <c r="F375" s="659"/>
      <c r="G375" s="21">
        <f t="shared" si="66"/>
        <v>1</v>
      </c>
      <c r="H375" s="659"/>
      <c r="I375" s="21">
        <f t="shared" si="67"/>
        <v>1</v>
      </c>
      <c r="J375" s="659"/>
      <c r="K375" s="21">
        <f t="shared" si="68"/>
        <v>1</v>
      </c>
      <c r="L375" s="659"/>
      <c r="M375" s="21">
        <f t="shared" si="69"/>
        <v>1</v>
      </c>
      <c r="N375" s="659"/>
      <c r="O375" s="21">
        <f t="shared" si="70"/>
        <v>1</v>
      </c>
      <c r="P375" s="659"/>
      <c r="Q375" s="21">
        <f t="shared" si="71"/>
        <v>1</v>
      </c>
      <c r="R375" s="655">
        <f t="shared" si="72"/>
        <v>0</v>
      </c>
      <c r="S375" s="311">
        <f t="shared" si="63"/>
        <v>0</v>
      </c>
    </row>
    <row r="376" spans="1:19">
      <c r="A376" s="145"/>
      <c r="B376" s="54"/>
      <c r="C376" s="21">
        <f t="shared" si="64"/>
        <v>1</v>
      </c>
      <c r="D376" s="659"/>
      <c r="E376" s="21">
        <f t="shared" si="65"/>
        <v>1</v>
      </c>
      <c r="F376" s="659"/>
      <c r="G376" s="21">
        <f t="shared" si="66"/>
        <v>1</v>
      </c>
      <c r="H376" s="659"/>
      <c r="I376" s="21">
        <f t="shared" si="67"/>
        <v>1</v>
      </c>
      <c r="J376" s="659"/>
      <c r="K376" s="21">
        <f t="shared" si="68"/>
        <v>1</v>
      </c>
      <c r="L376" s="659"/>
      <c r="M376" s="21">
        <f t="shared" si="69"/>
        <v>1</v>
      </c>
      <c r="N376" s="659"/>
      <c r="O376" s="21">
        <f t="shared" si="70"/>
        <v>1</v>
      </c>
      <c r="P376" s="659"/>
      <c r="Q376" s="21">
        <f t="shared" si="71"/>
        <v>1</v>
      </c>
      <c r="R376" s="655">
        <f t="shared" si="72"/>
        <v>0</v>
      </c>
      <c r="S376" s="311">
        <f t="shared" si="63"/>
        <v>0</v>
      </c>
    </row>
    <row r="377" spans="1:19">
      <c r="A377" s="145"/>
      <c r="B377" s="54"/>
      <c r="C377" s="21">
        <f t="shared" si="64"/>
        <v>1</v>
      </c>
      <c r="D377" s="659"/>
      <c r="E377" s="21">
        <f t="shared" si="65"/>
        <v>1</v>
      </c>
      <c r="F377" s="659"/>
      <c r="G377" s="21">
        <f t="shared" si="66"/>
        <v>1</v>
      </c>
      <c r="H377" s="659"/>
      <c r="I377" s="21">
        <f t="shared" si="67"/>
        <v>1</v>
      </c>
      <c r="J377" s="659"/>
      <c r="K377" s="21">
        <f t="shared" si="68"/>
        <v>1</v>
      </c>
      <c r="L377" s="659"/>
      <c r="M377" s="21">
        <f t="shared" si="69"/>
        <v>1</v>
      </c>
      <c r="N377" s="659"/>
      <c r="O377" s="21">
        <f t="shared" si="70"/>
        <v>1</v>
      </c>
      <c r="P377" s="659"/>
      <c r="Q377" s="21">
        <f t="shared" si="71"/>
        <v>1</v>
      </c>
      <c r="R377" s="655">
        <f t="shared" si="72"/>
        <v>0</v>
      </c>
      <c r="S377" s="311">
        <f t="shared" si="63"/>
        <v>0</v>
      </c>
    </row>
    <row r="378" spans="1:19">
      <c r="A378" s="145"/>
      <c r="B378" s="54"/>
      <c r="C378" s="21">
        <f t="shared" si="64"/>
        <v>1</v>
      </c>
      <c r="D378" s="659"/>
      <c r="E378" s="21">
        <f t="shared" si="65"/>
        <v>1</v>
      </c>
      <c r="F378" s="659"/>
      <c r="G378" s="21">
        <f t="shared" si="66"/>
        <v>1</v>
      </c>
      <c r="H378" s="659"/>
      <c r="I378" s="21">
        <f t="shared" si="67"/>
        <v>1</v>
      </c>
      <c r="J378" s="659"/>
      <c r="K378" s="21">
        <f t="shared" si="68"/>
        <v>1</v>
      </c>
      <c r="L378" s="659"/>
      <c r="M378" s="21">
        <f t="shared" si="69"/>
        <v>1</v>
      </c>
      <c r="N378" s="659"/>
      <c r="O378" s="21">
        <f t="shared" si="70"/>
        <v>1</v>
      </c>
      <c r="P378" s="659"/>
      <c r="Q378" s="21">
        <f t="shared" si="71"/>
        <v>1</v>
      </c>
      <c r="R378" s="655">
        <f t="shared" si="72"/>
        <v>0</v>
      </c>
      <c r="S378" s="311">
        <f t="shared" si="63"/>
        <v>0</v>
      </c>
    </row>
    <row r="379" spans="1:19">
      <c r="A379" s="145"/>
      <c r="B379" s="54"/>
      <c r="C379" s="21">
        <f t="shared" si="64"/>
        <v>1</v>
      </c>
      <c r="D379" s="659"/>
      <c r="E379" s="21">
        <f t="shared" si="65"/>
        <v>1</v>
      </c>
      <c r="F379" s="659"/>
      <c r="G379" s="21">
        <f t="shared" si="66"/>
        <v>1</v>
      </c>
      <c r="H379" s="659"/>
      <c r="I379" s="21">
        <f t="shared" si="67"/>
        <v>1</v>
      </c>
      <c r="J379" s="659"/>
      <c r="K379" s="21">
        <f t="shared" si="68"/>
        <v>1</v>
      </c>
      <c r="L379" s="659"/>
      <c r="M379" s="21">
        <f t="shared" si="69"/>
        <v>1</v>
      </c>
      <c r="N379" s="659"/>
      <c r="O379" s="21">
        <f t="shared" si="70"/>
        <v>1</v>
      </c>
      <c r="P379" s="659"/>
      <c r="Q379" s="21">
        <f t="shared" si="71"/>
        <v>1</v>
      </c>
      <c r="R379" s="655">
        <f t="shared" si="72"/>
        <v>0</v>
      </c>
      <c r="S379" s="311">
        <f t="shared" si="63"/>
        <v>0</v>
      </c>
    </row>
    <row r="380" spans="1:19">
      <c r="A380" s="145"/>
      <c r="B380" s="54"/>
      <c r="C380" s="21">
        <f t="shared" si="64"/>
        <v>1</v>
      </c>
      <c r="D380" s="659"/>
      <c r="E380" s="21">
        <f t="shared" si="65"/>
        <v>1</v>
      </c>
      <c r="F380" s="659"/>
      <c r="G380" s="21">
        <f t="shared" si="66"/>
        <v>1</v>
      </c>
      <c r="H380" s="659"/>
      <c r="I380" s="21">
        <f t="shared" si="67"/>
        <v>1</v>
      </c>
      <c r="J380" s="659"/>
      <c r="K380" s="21">
        <f t="shared" si="68"/>
        <v>1</v>
      </c>
      <c r="L380" s="659"/>
      <c r="M380" s="21">
        <f t="shared" si="69"/>
        <v>1</v>
      </c>
      <c r="N380" s="659"/>
      <c r="O380" s="21">
        <f t="shared" si="70"/>
        <v>1</v>
      </c>
      <c r="P380" s="659"/>
      <c r="Q380" s="21">
        <f t="shared" si="71"/>
        <v>1</v>
      </c>
      <c r="R380" s="655">
        <f t="shared" si="72"/>
        <v>0</v>
      </c>
      <c r="S380" s="311">
        <f t="shared" si="63"/>
        <v>0</v>
      </c>
    </row>
    <row r="381" spans="1:19">
      <c r="A381" s="145"/>
      <c r="B381" s="54"/>
      <c r="C381" s="21">
        <f t="shared" si="64"/>
        <v>1</v>
      </c>
      <c r="D381" s="659"/>
      <c r="E381" s="21">
        <f t="shared" si="65"/>
        <v>1</v>
      </c>
      <c r="F381" s="659"/>
      <c r="G381" s="21">
        <f t="shared" si="66"/>
        <v>1</v>
      </c>
      <c r="H381" s="659"/>
      <c r="I381" s="21">
        <f t="shared" si="67"/>
        <v>1</v>
      </c>
      <c r="J381" s="659"/>
      <c r="K381" s="21">
        <f t="shared" si="68"/>
        <v>1</v>
      </c>
      <c r="L381" s="659"/>
      <c r="M381" s="21">
        <f t="shared" si="69"/>
        <v>1</v>
      </c>
      <c r="N381" s="659"/>
      <c r="O381" s="21">
        <f t="shared" si="70"/>
        <v>1</v>
      </c>
      <c r="P381" s="659"/>
      <c r="Q381" s="21">
        <f t="shared" si="71"/>
        <v>1</v>
      </c>
      <c r="R381" s="655">
        <f t="shared" si="72"/>
        <v>0</v>
      </c>
      <c r="S381" s="311">
        <f t="shared" si="63"/>
        <v>0</v>
      </c>
    </row>
    <row r="382" spans="1:19">
      <c r="A382" s="145"/>
      <c r="B382" s="54"/>
      <c r="C382" s="21">
        <f t="shared" si="64"/>
        <v>1</v>
      </c>
      <c r="D382" s="659"/>
      <c r="E382" s="21">
        <f t="shared" si="65"/>
        <v>1</v>
      </c>
      <c r="F382" s="659"/>
      <c r="G382" s="21">
        <f t="shared" si="66"/>
        <v>1</v>
      </c>
      <c r="H382" s="659"/>
      <c r="I382" s="21">
        <f t="shared" si="67"/>
        <v>1</v>
      </c>
      <c r="J382" s="659"/>
      <c r="K382" s="21">
        <f t="shared" si="68"/>
        <v>1</v>
      </c>
      <c r="L382" s="659"/>
      <c r="M382" s="21">
        <f t="shared" si="69"/>
        <v>1</v>
      </c>
      <c r="N382" s="659"/>
      <c r="O382" s="21">
        <f t="shared" si="70"/>
        <v>1</v>
      </c>
      <c r="P382" s="659"/>
      <c r="Q382" s="21">
        <f t="shared" si="71"/>
        <v>1</v>
      </c>
      <c r="R382" s="655">
        <f t="shared" si="72"/>
        <v>0</v>
      </c>
      <c r="S382" s="311">
        <f t="shared" si="63"/>
        <v>0</v>
      </c>
    </row>
    <row r="383" spans="1:19">
      <c r="A383" s="145"/>
      <c r="B383" s="54"/>
      <c r="C383" s="21">
        <f t="shared" si="64"/>
        <v>1</v>
      </c>
      <c r="D383" s="659"/>
      <c r="E383" s="21">
        <f t="shared" si="65"/>
        <v>1</v>
      </c>
      <c r="F383" s="659"/>
      <c r="G383" s="21">
        <f t="shared" si="66"/>
        <v>1</v>
      </c>
      <c r="H383" s="659"/>
      <c r="I383" s="21">
        <f t="shared" si="67"/>
        <v>1</v>
      </c>
      <c r="J383" s="659"/>
      <c r="K383" s="21">
        <f t="shared" si="68"/>
        <v>1</v>
      </c>
      <c r="L383" s="659"/>
      <c r="M383" s="21">
        <f t="shared" si="69"/>
        <v>1</v>
      </c>
      <c r="N383" s="659"/>
      <c r="O383" s="21">
        <f t="shared" si="70"/>
        <v>1</v>
      </c>
      <c r="P383" s="659"/>
      <c r="Q383" s="21">
        <f t="shared" si="71"/>
        <v>1</v>
      </c>
      <c r="R383" s="655">
        <f t="shared" si="72"/>
        <v>0</v>
      </c>
      <c r="S383" s="311">
        <f t="shared" si="63"/>
        <v>0</v>
      </c>
    </row>
    <row r="384" spans="1:19">
      <c r="A384" s="145"/>
      <c r="B384" s="54"/>
      <c r="C384" s="21">
        <f t="shared" si="64"/>
        <v>1</v>
      </c>
      <c r="D384" s="659"/>
      <c r="E384" s="21">
        <f t="shared" si="65"/>
        <v>1</v>
      </c>
      <c r="F384" s="659"/>
      <c r="G384" s="21">
        <f t="shared" si="66"/>
        <v>1</v>
      </c>
      <c r="H384" s="659"/>
      <c r="I384" s="21">
        <f t="shared" si="67"/>
        <v>1</v>
      </c>
      <c r="J384" s="659"/>
      <c r="K384" s="21">
        <f t="shared" si="68"/>
        <v>1</v>
      </c>
      <c r="L384" s="659"/>
      <c r="M384" s="21">
        <f t="shared" si="69"/>
        <v>1</v>
      </c>
      <c r="N384" s="659"/>
      <c r="O384" s="21">
        <f t="shared" si="70"/>
        <v>1</v>
      </c>
      <c r="P384" s="659"/>
      <c r="Q384" s="21">
        <f t="shared" si="71"/>
        <v>1</v>
      </c>
      <c r="R384" s="655">
        <f t="shared" si="72"/>
        <v>0</v>
      </c>
      <c r="S384" s="311">
        <f t="shared" si="63"/>
        <v>0</v>
      </c>
    </row>
    <row r="385" spans="1:19">
      <c r="A385" s="145"/>
      <c r="B385" s="54"/>
      <c r="C385" s="21">
        <f t="shared" si="64"/>
        <v>1</v>
      </c>
      <c r="D385" s="659"/>
      <c r="E385" s="21">
        <f t="shared" si="65"/>
        <v>1</v>
      </c>
      <c r="F385" s="659"/>
      <c r="G385" s="21">
        <f t="shared" si="66"/>
        <v>1</v>
      </c>
      <c r="H385" s="659"/>
      <c r="I385" s="21">
        <f t="shared" si="67"/>
        <v>1</v>
      </c>
      <c r="J385" s="659"/>
      <c r="K385" s="21">
        <f t="shared" si="68"/>
        <v>1</v>
      </c>
      <c r="L385" s="659"/>
      <c r="M385" s="21">
        <f t="shared" si="69"/>
        <v>1</v>
      </c>
      <c r="N385" s="659"/>
      <c r="O385" s="21">
        <f t="shared" si="70"/>
        <v>1</v>
      </c>
      <c r="P385" s="659"/>
      <c r="Q385" s="21">
        <f t="shared" si="71"/>
        <v>1</v>
      </c>
      <c r="R385" s="655">
        <f t="shared" si="72"/>
        <v>0</v>
      </c>
      <c r="S385" s="311">
        <f t="shared" ref="S385:S422" si="73">ROUND(R385*B385/10000,0)</f>
        <v>0</v>
      </c>
    </row>
    <row r="386" spans="1:19">
      <c r="A386" s="145"/>
      <c r="B386" s="54"/>
      <c r="C386" s="21">
        <f t="shared" si="64"/>
        <v>1</v>
      </c>
      <c r="D386" s="659"/>
      <c r="E386" s="21">
        <f t="shared" si="65"/>
        <v>1</v>
      </c>
      <c r="F386" s="659"/>
      <c r="G386" s="21">
        <f t="shared" si="66"/>
        <v>1</v>
      </c>
      <c r="H386" s="659"/>
      <c r="I386" s="21">
        <f t="shared" si="67"/>
        <v>1</v>
      </c>
      <c r="J386" s="659"/>
      <c r="K386" s="21">
        <f t="shared" si="68"/>
        <v>1</v>
      </c>
      <c r="L386" s="659"/>
      <c r="M386" s="21">
        <f t="shared" si="69"/>
        <v>1</v>
      </c>
      <c r="N386" s="659"/>
      <c r="O386" s="21">
        <f t="shared" si="70"/>
        <v>1</v>
      </c>
      <c r="P386" s="659"/>
      <c r="Q386" s="21">
        <f t="shared" si="71"/>
        <v>1</v>
      </c>
      <c r="R386" s="655">
        <f t="shared" si="72"/>
        <v>0</v>
      </c>
      <c r="S386" s="311">
        <f t="shared" si="73"/>
        <v>0</v>
      </c>
    </row>
    <row r="387" spans="1:19">
      <c r="A387" s="145"/>
      <c r="B387" s="54"/>
      <c r="C387" s="21">
        <f t="shared" si="64"/>
        <v>1</v>
      </c>
      <c r="D387" s="659"/>
      <c r="E387" s="21">
        <f t="shared" si="65"/>
        <v>1</v>
      </c>
      <c r="F387" s="659"/>
      <c r="G387" s="21">
        <f t="shared" si="66"/>
        <v>1</v>
      </c>
      <c r="H387" s="659"/>
      <c r="I387" s="21">
        <f t="shared" si="67"/>
        <v>1</v>
      </c>
      <c r="J387" s="659"/>
      <c r="K387" s="21">
        <f t="shared" si="68"/>
        <v>1</v>
      </c>
      <c r="L387" s="659"/>
      <c r="M387" s="21">
        <f t="shared" si="69"/>
        <v>1</v>
      </c>
      <c r="N387" s="659"/>
      <c r="O387" s="21">
        <f t="shared" si="70"/>
        <v>1</v>
      </c>
      <c r="P387" s="659"/>
      <c r="Q387" s="21">
        <f t="shared" si="71"/>
        <v>1</v>
      </c>
      <c r="R387" s="655">
        <f t="shared" si="72"/>
        <v>0</v>
      </c>
      <c r="S387" s="311">
        <f t="shared" si="73"/>
        <v>0</v>
      </c>
    </row>
    <row r="388" spans="1:19">
      <c r="A388" s="145"/>
      <c r="B388" s="54"/>
      <c r="C388" s="21">
        <f t="shared" si="64"/>
        <v>1</v>
      </c>
      <c r="D388" s="659"/>
      <c r="E388" s="21">
        <f t="shared" si="65"/>
        <v>1</v>
      </c>
      <c r="F388" s="659"/>
      <c r="G388" s="21">
        <f t="shared" si="66"/>
        <v>1</v>
      </c>
      <c r="H388" s="659"/>
      <c r="I388" s="21">
        <f t="shared" si="67"/>
        <v>1</v>
      </c>
      <c r="J388" s="659"/>
      <c r="K388" s="21">
        <f t="shared" si="68"/>
        <v>1</v>
      </c>
      <c r="L388" s="659"/>
      <c r="M388" s="21">
        <f t="shared" si="69"/>
        <v>1</v>
      </c>
      <c r="N388" s="659"/>
      <c r="O388" s="21">
        <f t="shared" si="70"/>
        <v>1</v>
      </c>
      <c r="P388" s="659"/>
      <c r="Q388" s="21">
        <f t="shared" si="71"/>
        <v>1</v>
      </c>
      <c r="R388" s="655">
        <f t="shared" si="72"/>
        <v>0</v>
      </c>
      <c r="S388" s="311">
        <f t="shared" si="73"/>
        <v>0</v>
      </c>
    </row>
    <row r="389" spans="1:19">
      <c r="A389" s="145"/>
      <c r="B389" s="54"/>
      <c r="C389" s="21">
        <f t="shared" si="64"/>
        <v>1</v>
      </c>
      <c r="D389" s="659"/>
      <c r="E389" s="21">
        <f t="shared" si="65"/>
        <v>1</v>
      </c>
      <c r="F389" s="659"/>
      <c r="G389" s="21">
        <f t="shared" si="66"/>
        <v>1</v>
      </c>
      <c r="H389" s="659"/>
      <c r="I389" s="21">
        <f t="shared" si="67"/>
        <v>1</v>
      </c>
      <c r="J389" s="659"/>
      <c r="K389" s="21">
        <f t="shared" si="68"/>
        <v>1</v>
      </c>
      <c r="L389" s="659"/>
      <c r="M389" s="21">
        <f t="shared" si="69"/>
        <v>1</v>
      </c>
      <c r="N389" s="659"/>
      <c r="O389" s="21">
        <f t="shared" si="70"/>
        <v>1</v>
      </c>
      <c r="P389" s="659"/>
      <c r="Q389" s="21">
        <f t="shared" si="71"/>
        <v>1</v>
      </c>
      <c r="R389" s="655">
        <f t="shared" si="72"/>
        <v>0</v>
      </c>
      <c r="S389" s="311">
        <f t="shared" si="73"/>
        <v>0</v>
      </c>
    </row>
    <row r="390" spans="1:19">
      <c r="A390" s="145"/>
      <c r="B390" s="54"/>
      <c r="C390" s="21">
        <f t="shared" si="64"/>
        <v>1</v>
      </c>
      <c r="D390" s="659"/>
      <c r="E390" s="21">
        <f t="shared" si="65"/>
        <v>1</v>
      </c>
      <c r="F390" s="659"/>
      <c r="G390" s="21">
        <f t="shared" si="66"/>
        <v>1</v>
      </c>
      <c r="H390" s="659"/>
      <c r="I390" s="21">
        <f t="shared" si="67"/>
        <v>1</v>
      </c>
      <c r="J390" s="659"/>
      <c r="K390" s="21">
        <f t="shared" si="68"/>
        <v>1</v>
      </c>
      <c r="L390" s="659"/>
      <c r="M390" s="21">
        <f t="shared" si="69"/>
        <v>1</v>
      </c>
      <c r="N390" s="659"/>
      <c r="O390" s="21">
        <f t="shared" si="70"/>
        <v>1</v>
      </c>
      <c r="P390" s="659"/>
      <c r="Q390" s="21">
        <f t="shared" si="71"/>
        <v>1</v>
      </c>
      <c r="R390" s="655">
        <f t="shared" si="72"/>
        <v>0</v>
      </c>
      <c r="S390" s="311">
        <f t="shared" si="73"/>
        <v>0</v>
      </c>
    </row>
    <row r="391" spans="1:19">
      <c r="A391" s="145"/>
      <c r="B391" s="54"/>
      <c r="C391" s="21">
        <f t="shared" si="64"/>
        <v>1</v>
      </c>
      <c r="D391" s="659"/>
      <c r="E391" s="21">
        <f t="shared" si="65"/>
        <v>1</v>
      </c>
      <c r="F391" s="659"/>
      <c r="G391" s="21">
        <f t="shared" si="66"/>
        <v>1</v>
      </c>
      <c r="H391" s="659"/>
      <c r="I391" s="21">
        <f t="shared" si="67"/>
        <v>1</v>
      </c>
      <c r="J391" s="659"/>
      <c r="K391" s="21">
        <f t="shared" si="68"/>
        <v>1</v>
      </c>
      <c r="L391" s="659"/>
      <c r="M391" s="21">
        <f t="shared" si="69"/>
        <v>1</v>
      </c>
      <c r="N391" s="659"/>
      <c r="O391" s="21">
        <f t="shared" si="70"/>
        <v>1</v>
      </c>
      <c r="P391" s="659"/>
      <c r="Q391" s="21">
        <f t="shared" si="71"/>
        <v>1</v>
      </c>
      <c r="R391" s="655">
        <f t="shared" si="72"/>
        <v>0</v>
      </c>
      <c r="S391" s="311">
        <f t="shared" si="73"/>
        <v>0</v>
      </c>
    </row>
    <row r="392" spans="1:19">
      <c r="A392" s="145"/>
      <c r="B392" s="54"/>
      <c r="C392" s="21">
        <f t="shared" si="64"/>
        <v>1</v>
      </c>
      <c r="D392" s="659"/>
      <c r="E392" s="21">
        <f t="shared" si="65"/>
        <v>1</v>
      </c>
      <c r="F392" s="659"/>
      <c r="G392" s="21">
        <f t="shared" si="66"/>
        <v>1</v>
      </c>
      <c r="H392" s="659"/>
      <c r="I392" s="21">
        <f t="shared" si="67"/>
        <v>1</v>
      </c>
      <c r="J392" s="659"/>
      <c r="K392" s="21">
        <f t="shared" si="68"/>
        <v>1</v>
      </c>
      <c r="L392" s="659"/>
      <c r="M392" s="21">
        <f t="shared" si="69"/>
        <v>1</v>
      </c>
      <c r="N392" s="659"/>
      <c r="O392" s="21">
        <f t="shared" si="70"/>
        <v>1</v>
      </c>
      <c r="P392" s="659"/>
      <c r="Q392" s="21">
        <f t="shared" si="71"/>
        <v>1</v>
      </c>
      <c r="R392" s="655">
        <f t="shared" si="72"/>
        <v>0</v>
      </c>
      <c r="S392" s="311">
        <f t="shared" si="73"/>
        <v>0</v>
      </c>
    </row>
    <row r="393" spans="1:19">
      <c r="A393" s="145"/>
      <c r="B393" s="54"/>
      <c r="C393" s="21">
        <f t="shared" si="64"/>
        <v>1</v>
      </c>
      <c r="D393" s="659"/>
      <c r="E393" s="21">
        <f t="shared" si="65"/>
        <v>1</v>
      </c>
      <c r="F393" s="659"/>
      <c r="G393" s="21">
        <f t="shared" si="66"/>
        <v>1</v>
      </c>
      <c r="H393" s="659"/>
      <c r="I393" s="21">
        <f t="shared" si="67"/>
        <v>1</v>
      </c>
      <c r="J393" s="659"/>
      <c r="K393" s="21">
        <f t="shared" si="68"/>
        <v>1</v>
      </c>
      <c r="L393" s="659"/>
      <c r="M393" s="21">
        <f t="shared" si="69"/>
        <v>1</v>
      </c>
      <c r="N393" s="659"/>
      <c r="O393" s="21">
        <f t="shared" si="70"/>
        <v>1</v>
      </c>
      <c r="P393" s="659"/>
      <c r="Q393" s="21">
        <f t="shared" si="71"/>
        <v>1</v>
      </c>
      <c r="R393" s="655">
        <f t="shared" si="72"/>
        <v>0</v>
      </c>
      <c r="S393" s="311">
        <f t="shared" si="73"/>
        <v>0</v>
      </c>
    </row>
    <row r="394" spans="1:19">
      <c r="A394" s="145"/>
      <c r="B394" s="54"/>
      <c r="C394" s="21">
        <f t="shared" si="64"/>
        <v>1</v>
      </c>
      <c r="D394" s="659"/>
      <c r="E394" s="21">
        <f t="shared" si="65"/>
        <v>1</v>
      </c>
      <c r="F394" s="659"/>
      <c r="G394" s="21">
        <f t="shared" si="66"/>
        <v>1</v>
      </c>
      <c r="H394" s="659"/>
      <c r="I394" s="21">
        <f t="shared" si="67"/>
        <v>1</v>
      </c>
      <c r="J394" s="659"/>
      <c r="K394" s="21">
        <f t="shared" si="68"/>
        <v>1</v>
      </c>
      <c r="L394" s="659"/>
      <c r="M394" s="21">
        <f t="shared" si="69"/>
        <v>1</v>
      </c>
      <c r="N394" s="659"/>
      <c r="O394" s="21">
        <f t="shared" si="70"/>
        <v>1</v>
      </c>
      <c r="P394" s="659"/>
      <c r="Q394" s="21">
        <f t="shared" si="71"/>
        <v>1</v>
      </c>
      <c r="R394" s="655">
        <f t="shared" si="72"/>
        <v>0</v>
      </c>
      <c r="S394" s="311">
        <f t="shared" si="73"/>
        <v>0</v>
      </c>
    </row>
    <row r="395" spans="1:19">
      <c r="A395" s="145"/>
      <c r="B395" s="54"/>
      <c r="C395" s="21">
        <f t="shared" si="64"/>
        <v>1</v>
      </c>
      <c r="D395" s="659"/>
      <c r="E395" s="21">
        <f t="shared" si="65"/>
        <v>1</v>
      </c>
      <c r="F395" s="659"/>
      <c r="G395" s="21">
        <f t="shared" si="66"/>
        <v>1</v>
      </c>
      <c r="H395" s="659"/>
      <c r="I395" s="21">
        <f t="shared" si="67"/>
        <v>1</v>
      </c>
      <c r="J395" s="659"/>
      <c r="K395" s="21">
        <f t="shared" si="68"/>
        <v>1</v>
      </c>
      <c r="L395" s="659"/>
      <c r="M395" s="21">
        <f t="shared" si="69"/>
        <v>1</v>
      </c>
      <c r="N395" s="659"/>
      <c r="O395" s="21">
        <f t="shared" si="70"/>
        <v>1</v>
      </c>
      <c r="P395" s="659"/>
      <c r="Q395" s="21">
        <f t="shared" si="71"/>
        <v>1</v>
      </c>
      <c r="R395" s="655">
        <f t="shared" si="72"/>
        <v>0</v>
      </c>
      <c r="S395" s="311">
        <f t="shared" si="73"/>
        <v>0</v>
      </c>
    </row>
    <row r="396" spans="1:19">
      <c r="A396" s="145"/>
      <c r="B396" s="54"/>
      <c r="C396" s="21">
        <f t="shared" si="64"/>
        <v>1</v>
      </c>
      <c r="D396" s="659"/>
      <c r="E396" s="21">
        <f t="shared" si="65"/>
        <v>1</v>
      </c>
      <c r="F396" s="659"/>
      <c r="G396" s="21">
        <f t="shared" si="66"/>
        <v>1</v>
      </c>
      <c r="H396" s="659"/>
      <c r="I396" s="21">
        <f t="shared" si="67"/>
        <v>1</v>
      </c>
      <c r="J396" s="659"/>
      <c r="K396" s="21">
        <f t="shared" si="68"/>
        <v>1</v>
      </c>
      <c r="L396" s="659"/>
      <c r="M396" s="21">
        <f t="shared" si="69"/>
        <v>1</v>
      </c>
      <c r="N396" s="659"/>
      <c r="O396" s="21">
        <f t="shared" si="70"/>
        <v>1</v>
      </c>
      <c r="P396" s="659"/>
      <c r="Q396" s="21">
        <f t="shared" si="71"/>
        <v>1</v>
      </c>
      <c r="R396" s="655">
        <f t="shared" si="72"/>
        <v>0</v>
      </c>
      <c r="S396" s="311">
        <f t="shared" si="73"/>
        <v>0</v>
      </c>
    </row>
    <row r="397" spans="1:19">
      <c r="A397" s="145"/>
      <c r="B397" s="54"/>
      <c r="C397" s="21">
        <f t="shared" si="64"/>
        <v>1</v>
      </c>
      <c r="D397" s="659"/>
      <c r="E397" s="21">
        <f t="shared" si="65"/>
        <v>1</v>
      </c>
      <c r="F397" s="659"/>
      <c r="G397" s="21">
        <f t="shared" si="66"/>
        <v>1</v>
      </c>
      <c r="H397" s="659"/>
      <c r="I397" s="21">
        <f t="shared" si="67"/>
        <v>1</v>
      </c>
      <c r="J397" s="659"/>
      <c r="K397" s="21">
        <f t="shared" si="68"/>
        <v>1</v>
      </c>
      <c r="L397" s="659"/>
      <c r="M397" s="21">
        <f t="shared" si="69"/>
        <v>1</v>
      </c>
      <c r="N397" s="659"/>
      <c r="O397" s="21">
        <f t="shared" si="70"/>
        <v>1</v>
      </c>
      <c r="P397" s="659"/>
      <c r="Q397" s="21">
        <f t="shared" si="71"/>
        <v>1</v>
      </c>
      <c r="R397" s="655">
        <f t="shared" si="72"/>
        <v>0</v>
      </c>
      <c r="S397" s="311">
        <f t="shared" si="73"/>
        <v>0</v>
      </c>
    </row>
    <row r="398" spans="1:19">
      <c r="A398" s="145"/>
      <c r="B398" s="54"/>
      <c r="C398" s="21">
        <f t="shared" si="64"/>
        <v>1</v>
      </c>
      <c r="D398" s="659"/>
      <c r="E398" s="21">
        <f t="shared" si="65"/>
        <v>1</v>
      </c>
      <c r="F398" s="659"/>
      <c r="G398" s="21">
        <f t="shared" si="66"/>
        <v>1</v>
      </c>
      <c r="H398" s="659"/>
      <c r="I398" s="21">
        <f t="shared" si="67"/>
        <v>1</v>
      </c>
      <c r="J398" s="659"/>
      <c r="K398" s="21">
        <f t="shared" si="68"/>
        <v>1</v>
      </c>
      <c r="L398" s="659"/>
      <c r="M398" s="21">
        <f t="shared" si="69"/>
        <v>1</v>
      </c>
      <c r="N398" s="659"/>
      <c r="O398" s="21">
        <f t="shared" si="70"/>
        <v>1</v>
      </c>
      <c r="P398" s="659"/>
      <c r="Q398" s="21">
        <f t="shared" si="71"/>
        <v>1</v>
      </c>
      <c r="R398" s="655">
        <f t="shared" si="72"/>
        <v>0</v>
      </c>
      <c r="S398" s="311">
        <f t="shared" si="73"/>
        <v>0</v>
      </c>
    </row>
    <row r="399" spans="1:19">
      <c r="A399" s="145"/>
      <c r="B399" s="54"/>
      <c r="C399" s="21">
        <f t="shared" si="64"/>
        <v>1</v>
      </c>
      <c r="D399" s="659"/>
      <c r="E399" s="21">
        <f t="shared" si="65"/>
        <v>1</v>
      </c>
      <c r="F399" s="659"/>
      <c r="G399" s="21">
        <f t="shared" si="66"/>
        <v>1</v>
      </c>
      <c r="H399" s="659"/>
      <c r="I399" s="21">
        <f t="shared" si="67"/>
        <v>1</v>
      </c>
      <c r="J399" s="659"/>
      <c r="K399" s="21">
        <f t="shared" si="68"/>
        <v>1</v>
      </c>
      <c r="L399" s="659"/>
      <c r="M399" s="21">
        <f t="shared" si="69"/>
        <v>1</v>
      </c>
      <c r="N399" s="659"/>
      <c r="O399" s="21">
        <f t="shared" si="70"/>
        <v>1</v>
      </c>
      <c r="P399" s="659"/>
      <c r="Q399" s="21">
        <f t="shared" si="71"/>
        <v>1</v>
      </c>
      <c r="R399" s="655">
        <f t="shared" si="72"/>
        <v>0</v>
      </c>
      <c r="S399" s="311">
        <f t="shared" si="73"/>
        <v>0</v>
      </c>
    </row>
    <row r="400" spans="1:19">
      <c r="A400" s="145"/>
      <c r="B400" s="54"/>
      <c r="C400" s="21">
        <f t="shared" si="64"/>
        <v>1</v>
      </c>
      <c r="D400" s="659"/>
      <c r="E400" s="21">
        <f t="shared" si="65"/>
        <v>1</v>
      </c>
      <c r="F400" s="659"/>
      <c r="G400" s="21">
        <f t="shared" si="66"/>
        <v>1</v>
      </c>
      <c r="H400" s="659"/>
      <c r="I400" s="21">
        <f t="shared" si="67"/>
        <v>1</v>
      </c>
      <c r="J400" s="659"/>
      <c r="K400" s="21">
        <f t="shared" si="68"/>
        <v>1</v>
      </c>
      <c r="L400" s="659"/>
      <c r="M400" s="21">
        <f t="shared" si="69"/>
        <v>1</v>
      </c>
      <c r="N400" s="659"/>
      <c r="O400" s="21">
        <f t="shared" si="70"/>
        <v>1</v>
      </c>
      <c r="P400" s="659"/>
      <c r="Q400" s="21">
        <f t="shared" si="71"/>
        <v>1</v>
      </c>
      <c r="R400" s="655">
        <f t="shared" si="72"/>
        <v>0</v>
      </c>
      <c r="S400" s="311">
        <f t="shared" si="73"/>
        <v>0</v>
      </c>
    </row>
    <row r="401" spans="1:19">
      <c r="A401" s="145"/>
      <c r="B401" s="54"/>
      <c r="C401" s="21">
        <f t="shared" si="64"/>
        <v>1</v>
      </c>
      <c r="D401" s="659"/>
      <c r="E401" s="21">
        <f t="shared" si="65"/>
        <v>1</v>
      </c>
      <c r="F401" s="659"/>
      <c r="G401" s="21">
        <f t="shared" si="66"/>
        <v>1</v>
      </c>
      <c r="H401" s="659"/>
      <c r="I401" s="21">
        <f t="shared" si="67"/>
        <v>1</v>
      </c>
      <c r="J401" s="659"/>
      <c r="K401" s="21">
        <f t="shared" si="68"/>
        <v>1</v>
      </c>
      <c r="L401" s="659"/>
      <c r="M401" s="21">
        <f t="shared" si="69"/>
        <v>1</v>
      </c>
      <c r="N401" s="659"/>
      <c r="O401" s="21">
        <f t="shared" si="70"/>
        <v>1</v>
      </c>
      <c r="P401" s="659"/>
      <c r="Q401" s="21">
        <f t="shared" si="71"/>
        <v>1</v>
      </c>
      <c r="R401" s="655">
        <f t="shared" si="72"/>
        <v>0</v>
      </c>
      <c r="S401" s="311">
        <f t="shared" si="73"/>
        <v>0</v>
      </c>
    </row>
    <row r="402" spans="1:19">
      <c r="A402" s="145"/>
      <c r="B402" s="54"/>
      <c r="C402" s="21">
        <f t="shared" si="64"/>
        <v>1</v>
      </c>
      <c r="D402" s="659"/>
      <c r="E402" s="21">
        <f t="shared" si="65"/>
        <v>1</v>
      </c>
      <c r="F402" s="659"/>
      <c r="G402" s="21">
        <f t="shared" si="66"/>
        <v>1</v>
      </c>
      <c r="H402" s="659"/>
      <c r="I402" s="21">
        <f t="shared" si="67"/>
        <v>1</v>
      </c>
      <c r="J402" s="659"/>
      <c r="K402" s="21">
        <f t="shared" si="68"/>
        <v>1</v>
      </c>
      <c r="L402" s="659"/>
      <c r="M402" s="21">
        <f t="shared" si="69"/>
        <v>1</v>
      </c>
      <c r="N402" s="659"/>
      <c r="O402" s="21">
        <f t="shared" si="70"/>
        <v>1</v>
      </c>
      <c r="P402" s="659"/>
      <c r="Q402" s="21">
        <f t="shared" si="71"/>
        <v>1</v>
      </c>
      <c r="R402" s="655">
        <f t="shared" si="72"/>
        <v>0</v>
      </c>
      <c r="S402" s="311">
        <f t="shared" si="73"/>
        <v>0</v>
      </c>
    </row>
    <row r="403" spans="1:19">
      <c r="A403" s="145"/>
      <c r="B403" s="54"/>
      <c r="C403" s="21">
        <f t="shared" si="64"/>
        <v>1</v>
      </c>
      <c r="D403" s="659"/>
      <c r="E403" s="21">
        <f t="shared" si="65"/>
        <v>1</v>
      </c>
      <c r="F403" s="659"/>
      <c r="G403" s="21">
        <f t="shared" si="66"/>
        <v>1</v>
      </c>
      <c r="H403" s="659"/>
      <c r="I403" s="21">
        <f t="shared" si="67"/>
        <v>1</v>
      </c>
      <c r="J403" s="659"/>
      <c r="K403" s="21">
        <f t="shared" si="68"/>
        <v>1</v>
      </c>
      <c r="L403" s="659"/>
      <c r="M403" s="21">
        <f t="shared" si="69"/>
        <v>1</v>
      </c>
      <c r="N403" s="659"/>
      <c r="O403" s="21">
        <f t="shared" si="70"/>
        <v>1</v>
      </c>
      <c r="P403" s="659"/>
      <c r="Q403" s="21">
        <f t="shared" si="71"/>
        <v>1</v>
      </c>
      <c r="R403" s="655">
        <f t="shared" si="72"/>
        <v>0</v>
      </c>
      <c r="S403" s="311">
        <f t="shared" si="73"/>
        <v>0</v>
      </c>
    </row>
    <row r="404" spans="1:19">
      <c r="A404" s="145"/>
      <c r="B404" s="54"/>
      <c r="C404" s="21">
        <f t="shared" si="64"/>
        <v>1</v>
      </c>
      <c r="D404" s="659"/>
      <c r="E404" s="21">
        <f t="shared" si="65"/>
        <v>1</v>
      </c>
      <c r="F404" s="659"/>
      <c r="G404" s="21">
        <f t="shared" si="66"/>
        <v>1</v>
      </c>
      <c r="H404" s="659"/>
      <c r="I404" s="21">
        <f t="shared" si="67"/>
        <v>1</v>
      </c>
      <c r="J404" s="659"/>
      <c r="K404" s="21">
        <f t="shared" si="68"/>
        <v>1</v>
      </c>
      <c r="L404" s="659"/>
      <c r="M404" s="21">
        <f t="shared" si="69"/>
        <v>1</v>
      </c>
      <c r="N404" s="659"/>
      <c r="O404" s="21">
        <f t="shared" si="70"/>
        <v>1</v>
      </c>
      <c r="P404" s="659"/>
      <c r="Q404" s="21">
        <f t="shared" si="71"/>
        <v>1</v>
      </c>
      <c r="R404" s="655">
        <f t="shared" si="72"/>
        <v>0</v>
      </c>
      <c r="S404" s="311">
        <f t="shared" si="73"/>
        <v>0</v>
      </c>
    </row>
    <row r="405" spans="1:19">
      <c r="A405" s="145"/>
      <c r="B405" s="54"/>
      <c r="C405" s="21">
        <f t="shared" si="64"/>
        <v>1</v>
      </c>
      <c r="D405" s="659"/>
      <c r="E405" s="21">
        <f t="shared" si="65"/>
        <v>1</v>
      </c>
      <c r="F405" s="659"/>
      <c r="G405" s="21">
        <f t="shared" si="66"/>
        <v>1</v>
      </c>
      <c r="H405" s="659"/>
      <c r="I405" s="21">
        <f t="shared" si="67"/>
        <v>1</v>
      </c>
      <c r="J405" s="659"/>
      <c r="K405" s="21">
        <f t="shared" si="68"/>
        <v>1</v>
      </c>
      <c r="L405" s="659"/>
      <c r="M405" s="21">
        <f t="shared" si="69"/>
        <v>1</v>
      </c>
      <c r="N405" s="659"/>
      <c r="O405" s="21">
        <f t="shared" si="70"/>
        <v>1</v>
      </c>
      <c r="P405" s="659"/>
      <c r="Q405" s="21">
        <f t="shared" si="71"/>
        <v>1</v>
      </c>
      <c r="R405" s="655">
        <f t="shared" si="72"/>
        <v>0</v>
      </c>
      <c r="S405" s="311">
        <f t="shared" si="73"/>
        <v>0</v>
      </c>
    </row>
    <row r="406" spans="1:19">
      <c r="A406" s="145"/>
      <c r="B406" s="54"/>
      <c r="C406" s="21">
        <f t="shared" si="64"/>
        <v>1</v>
      </c>
      <c r="D406" s="659"/>
      <c r="E406" s="21">
        <f t="shared" si="65"/>
        <v>1</v>
      </c>
      <c r="F406" s="659"/>
      <c r="G406" s="21">
        <f t="shared" si="66"/>
        <v>1</v>
      </c>
      <c r="H406" s="659"/>
      <c r="I406" s="21">
        <f t="shared" si="67"/>
        <v>1</v>
      </c>
      <c r="J406" s="659"/>
      <c r="K406" s="21">
        <f t="shared" si="68"/>
        <v>1</v>
      </c>
      <c r="L406" s="659"/>
      <c r="M406" s="21">
        <f t="shared" si="69"/>
        <v>1</v>
      </c>
      <c r="N406" s="659"/>
      <c r="O406" s="21">
        <f t="shared" si="70"/>
        <v>1</v>
      </c>
      <c r="P406" s="659"/>
      <c r="Q406" s="21">
        <f t="shared" si="71"/>
        <v>1</v>
      </c>
      <c r="R406" s="655">
        <f t="shared" si="72"/>
        <v>0</v>
      </c>
      <c r="S406" s="311">
        <f t="shared" si="73"/>
        <v>0</v>
      </c>
    </row>
    <row r="407" spans="1:19">
      <c r="A407" s="145"/>
      <c r="B407" s="54"/>
      <c r="C407" s="21">
        <f t="shared" si="64"/>
        <v>1</v>
      </c>
      <c r="D407" s="659"/>
      <c r="E407" s="21">
        <f t="shared" si="65"/>
        <v>1</v>
      </c>
      <c r="F407" s="659"/>
      <c r="G407" s="21">
        <f t="shared" si="66"/>
        <v>1</v>
      </c>
      <c r="H407" s="659"/>
      <c r="I407" s="21">
        <f t="shared" si="67"/>
        <v>1</v>
      </c>
      <c r="J407" s="659"/>
      <c r="K407" s="21">
        <f t="shared" si="68"/>
        <v>1</v>
      </c>
      <c r="L407" s="659"/>
      <c r="M407" s="21">
        <f t="shared" si="69"/>
        <v>1</v>
      </c>
      <c r="N407" s="659"/>
      <c r="O407" s="21">
        <f t="shared" si="70"/>
        <v>1</v>
      </c>
      <c r="P407" s="659"/>
      <c r="Q407" s="21">
        <f t="shared" si="71"/>
        <v>1</v>
      </c>
      <c r="R407" s="655">
        <f t="shared" si="72"/>
        <v>0</v>
      </c>
      <c r="S407" s="311">
        <f t="shared" si="73"/>
        <v>0</v>
      </c>
    </row>
    <row r="408" spans="1:19">
      <c r="A408" s="145"/>
      <c r="B408" s="54"/>
      <c r="C408" s="21">
        <f t="shared" si="64"/>
        <v>1</v>
      </c>
      <c r="D408" s="659"/>
      <c r="E408" s="21">
        <f t="shared" si="65"/>
        <v>1</v>
      </c>
      <c r="F408" s="659"/>
      <c r="G408" s="21">
        <f t="shared" si="66"/>
        <v>1</v>
      </c>
      <c r="H408" s="659"/>
      <c r="I408" s="21">
        <f t="shared" si="67"/>
        <v>1</v>
      </c>
      <c r="J408" s="659"/>
      <c r="K408" s="21">
        <f t="shared" si="68"/>
        <v>1</v>
      </c>
      <c r="L408" s="659"/>
      <c r="M408" s="21">
        <f t="shared" si="69"/>
        <v>1</v>
      </c>
      <c r="N408" s="659"/>
      <c r="O408" s="21">
        <f t="shared" si="70"/>
        <v>1</v>
      </c>
      <c r="P408" s="659"/>
      <c r="Q408" s="21">
        <f t="shared" si="71"/>
        <v>1</v>
      </c>
      <c r="R408" s="655">
        <f t="shared" si="72"/>
        <v>0</v>
      </c>
      <c r="S408" s="311">
        <f t="shared" si="73"/>
        <v>0</v>
      </c>
    </row>
    <row r="409" spans="1:19">
      <c r="A409" s="145"/>
      <c r="B409" s="54"/>
      <c r="C409" s="21">
        <f t="shared" si="64"/>
        <v>1</v>
      </c>
      <c r="D409" s="659"/>
      <c r="E409" s="21">
        <f t="shared" si="65"/>
        <v>1</v>
      </c>
      <c r="F409" s="659"/>
      <c r="G409" s="21">
        <f t="shared" si="66"/>
        <v>1</v>
      </c>
      <c r="H409" s="659"/>
      <c r="I409" s="21">
        <f t="shared" si="67"/>
        <v>1</v>
      </c>
      <c r="J409" s="659"/>
      <c r="K409" s="21">
        <f t="shared" si="68"/>
        <v>1</v>
      </c>
      <c r="L409" s="659"/>
      <c r="M409" s="21">
        <f t="shared" si="69"/>
        <v>1</v>
      </c>
      <c r="N409" s="659"/>
      <c r="O409" s="21">
        <f t="shared" si="70"/>
        <v>1</v>
      </c>
      <c r="P409" s="659"/>
      <c r="Q409" s="21">
        <f t="shared" si="71"/>
        <v>1</v>
      </c>
      <c r="R409" s="655">
        <f t="shared" si="72"/>
        <v>0</v>
      </c>
      <c r="S409" s="311">
        <f t="shared" si="73"/>
        <v>0</v>
      </c>
    </row>
    <row r="410" spans="1:19">
      <c r="A410" s="145"/>
      <c r="B410" s="54"/>
      <c r="C410" s="21">
        <f t="shared" ref="C410:C473" si="74">IF(B410="",1,(LOOKUP(B410,$3:$3,$4:$4)-LOOKUP($B$24,$3:$3,$4:$4)+100)/100)</f>
        <v>1</v>
      </c>
      <c r="D410" s="659"/>
      <c r="E410" s="21">
        <f t="shared" ref="E410:E473" si="75">(SUMIF($5:$5,D410,$6:$6)-SUMIF($5:$5,$D$24,$6:$6)+100)/100</f>
        <v>1</v>
      </c>
      <c r="F410" s="659"/>
      <c r="G410" s="21">
        <f t="shared" ref="G410:G473" si="76">(SUMIF($7:$7,F410,$8:$8)-SUMIF($7:$7,$F$24,$8:$8)+100)/100</f>
        <v>1</v>
      </c>
      <c r="H410" s="659"/>
      <c r="I410" s="21">
        <f t="shared" ref="I410:I473" si="77">(SUMIF($9:$9,H410,$10:$10)-SUMIF($9:$9,$H$24,$10:$10)+100)/100</f>
        <v>1</v>
      </c>
      <c r="J410" s="659"/>
      <c r="K410" s="21">
        <f t="shared" ref="K410:K473" si="78">(SUMIF($11:$11,J410,$12:$12)-SUMIF($11:$11,$J$24,$12:$12)+100)/100</f>
        <v>1</v>
      </c>
      <c r="L410" s="659"/>
      <c r="M410" s="21">
        <f t="shared" ref="M410:M473" si="79">(SUMIF($13:$13,L410,$14:$14)-SUMIF($13:$13,$L$24,$14:$14)+100)/100</f>
        <v>1</v>
      </c>
      <c r="N410" s="659"/>
      <c r="O410" s="21">
        <f t="shared" ref="O410:O473" si="80">(SUMIF($15:$15,N410,$16:$16)-SUMIF($15:$15,$N$24,$16:$16)+100)/100</f>
        <v>1</v>
      </c>
      <c r="P410" s="659"/>
      <c r="Q410" s="21">
        <f t="shared" ref="Q410:Q473" si="81">(SUMIF($17:$17,P410,$18:$18)-SUMIF($17:$17,$P$24,$18:$18)+100)/100</f>
        <v>1</v>
      </c>
      <c r="R410" s="655">
        <f t="shared" ref="R410:R473" si="82">IF(B410="",0,ROUND($R$24*C410*E410*G410*I410*K410*M410*O410*Q410,0))</f>
        <v>0</v>
      </c>
      <c r="S410" s="311">
        <f t="shared" si="73"/>
        <v>0</v>
      </c>
    </row>
    <row r="411" spans="1:19">
      <c r="A411" s="145"/>
      <c r="B411" s="54"/>
      <c r="C411" s="21">
        <f t="shared" si="74"/>
        <v>1</v>
      </c>
      <c r="D411" s="659"/>
      <c r="E411" s="21">
        <f t="shared" si="75"/>
        <v>1</v>
      </c>
      <c r="F411" s="659"/>
      <c r="G411" s="21">
        <f t="shared" si="76"/>
        <v>1</v>
      </c>
      <c r="H411" s="659"/>
      <c r="I411" s="21">
        <f t="shared" si="77"/>
        <v>1</v>
      </c>
      <c r="J411" s="659"/>
      <c r="K411" s="21">
        <f t="shared" si="78"/>
        <v>1</v>
      </c>
      <c r="L411" s="659"/>
      <c r="M411" s="21">
        <f t="shared" si="79"/>
        <v>1</v>
      </c>
      <c r="N411" s="659"/>
      <c r="O411" s="21">
        <f t="shared" si="80"/>
        <v>1</v>
      </c>
      <c r="P411" s="659"/>
      <c r="Q411" s="21">
        <f t="shared" si="81"/>
        <v>1</v>
      </c>
      <c r="R411" s="655">
        <f t="shared" si="82"/>
        <v>0</v>
      </c>
      <c r="S411" s="311">
        <f t="shared" si="73"/>
        <v>0</v>
      </c>
    </row>
    <row r="412" spans="1:19">
      <c r="A412" s="145"/>
      <c r="B412" s="54"/>
      <c r="C412" s="21">
        <f t="shared" si="74"/>
        <v>1</v>
      </c>
      <c r="D412" s="659"/>
      <c r="E412" s="21">
        <f t="shared" si="75"/>
        <v>1</v>
      </c>
      <c r="F412" s="659"/>
      <c r="G412" s="21">
        <f t="shared" si="76"/>
        <v>1</v>
      </c>
      <c r="H412" s="659"/>
      <c r="I412" s="21">
        <f t="shared" si="77"/>
        <v>1</v>
      </c>
      <c r="J412" s="659"/>
      <c r="K412" s="21">
        <f t="shared" si="78"/>
        <v>1</v>
      </c>
      <c r="L412" s="659"/>
      <c r="M412" s="21">
        <f t="shared" si="79"/>
        <v>1</v>
      </c>
      <c r="N412" s="659"/>
      <c r="O412" s="21">
        <f t="shared" si="80"/>
        <v>1</v>
      </c>
      <c r="P412" s="659"/>
      <c r="Q412" s="21">
        <f t="shared" si="81"/>
        <v>1</v>
      </c>
      <c r="R412" s="655">
        <f t="shared" si="82"/>
        <v>0</v>
      </c>
      <c r="S412" s="311">
        <f t="shared" si="73"/>
        <v>0</v>
      </c>
    </row>
    <row r="413" spans="1:19">
      <c r="A413" s="145"/>
      <c r="B413" s="54"/>
      <c r="C413" s="21">
        <f t="shared" si="74"/>
        <v>1</v>
      </c>
      <c r="D413" s="659"/>
      <c r="E413" s="21">
        <f t="shared" si="75"/>
        <v>1</v>
      </c>
      <c r="F413" s="659"/>
      <c r="G413" s="21">
        <f t="shared" si="76"/>
        <v>1</v>
      </c>
      <c r="H413" s="659"/>
      <c r="I413" s="21">
        <f t="shared" si="77"/>
        <v>1</v>
      </c>
      <c r="J413" s="659"/>
      <c r="K413" s="21">
        <f t="shared" si="78"/>
        <v>1</v>
      </c>
      <c r="L413" s="659"/>
      <c r="M413" s="21">
        <f t="shared" si="79"/>
        <v>1</v>
      </c>
      <c r="N413" s="659"/>
      <c r="O413" s="21">
        <f t="shared" si="80"/>
        <v>1</v>
      </c>
      <c r="P413" s="659"/>
      <c r="Q413" s="21">
        <f t="shared" si="81"/>
        <v>1</v>
      </c>
      <c r="R413" s="655">
        <f t="shared" si="82"/>
        <v>0</v>
      </c>
      <c r="S413" s="311">
        <f t="shared" si="73"/>
        <v>0</v>
      </c>
    </row>
    <row r="414" spans="1:19">
      <c r="A414" s="145"/>
      <c r="B414" s="54"/>
      <c r="C414" s="21">
        <f t="shared" si="74"/>
        <v>1</v>
      </c>
      <c r="D414" s="659"/>
      <c r="E414" s="21">
        <f t="shared" si="75"/>
        <v>1</v>
      </c>
      <c r="F414" s="659"/>
      <c r="G414" s="21">
        <f t="shared" si="76"/>
        <v>1</v>
      </c>
      <c r="H414" s="659"/>
      <c r="I414" s="21">
        <f t="shared" si="77"/>
        <v>1</v>
      </c>
      <c r="J414" s="659"/>
      <c r="K414" s="21">
        <f t="shared" si="78"/>
        <v>1</v>
      </c>
      <c r="L414" s="659"/>
      <c r="M414" s="21">
        <f t="shared" si="79"/>
        <v>1</v>
      </c>
      <c r="N414" s="659"/>
      <c r="O414" s="21">
        <f t="shared" si="80"/>
        <v>1</v>
      </c>
      <c r="P414" s="659"/>
      <c r="Q414" s="21">
        <f t="shared" si="81"/>
        <v>1</v>
      </c>
      <c r="R414" s="655">
        <f t="shared" si="82"/>
        <v>0</v>
      </c>
      <c r="S414" s="311">
        <f t="shared" si="73"/>
        <v>0</v>
      </c>
    </row>
    <row r="415" spans="1:19">
      <c r="A415" s="145"/>
      <c r="B415" s="54"/>
      <c r="C415" s="21">
        <f t="shared" si="74"/>
        <v>1</v>
      </c>
      <c r="D415" s="659"/>
      <c r="E415" s="21">
        <f t="shared" si="75"/>
        <v>1</v>
      </c>
      <c r="F415" s="659"/>
      <c r="G415" s="21">
        <f t="shared" si="76"/>
        <v>1</v>
      </c>
      <c r="H415" s="659"/>
      <c r="I415" s="21">
        <f t="shared" si="77"/>
        <v>1</v>
      </c>
      <c r="J415" s="659"/>
      <c r="K415" s="21">
        <f t="shared" si="78"/>
        <v>1</v>
      </c>
      <c r="L415" s="659"/>
      <c r="M415" s="21">
        <f t="shared" si="79"/>
        <v>1</v>
      </c>
      <c r="N415" s="659"/>
      <c r="O415" s="21">
        <f t="shared" si="80"/>
        <v>1</v>
      </c>
      <c r="P415" s="659"/>
      <c r="Q415" s="21">
        <f t="shared" si="81"/>
        <v>1</v>
      </c>
      <c r="R415" s="655">
        <f t="shared" si="82"/>
        <v>0</v>
      </c>
      <c r="S415" s="311">
        <f t="shared" si="73"/>
        <v>0</v>
      </c>
    </row>
    <row r="416" spans="1:19">
      <c r="A416" s="145"/>
      <c r="B416" s="54"/>
      <c r="C416" s="21">
        <f t="shared" si="74"/>
        <v>1</v>
      </c>
      <c r="D416" s="659"/>
      <c r="E416" s="21">
        <f t="shared" si="75"/>
        <v>1</v>
      </c>
      <c r="F416" s="659"/>
      <c r="G416" s="21">
        <f t="shared" si="76"/>
        <v>1</v>
      </c>
      <c r="H416" s="659"/>
      <c r="I416" s="21">
        <f t="shared" si="77"/>
        <v>1</v>
      </c>
      <c r="J416" s="659"/>
      <c r="K416" s="21">
        <f t="shared" si="78"/>
        <v>1</v>
      </c>
      <c r="L416" s="659"/>
      <c r="M416" s="21">
        <f t="shared" si="79"/>
        <v>1</v>
      </c>
      <c r="N416" s="659"/>
      <c r="O416" s="21">
        <f t="shared" si="80"/>
        <v>1</v>
      </c>
      <c r="P416" s="659"/>
      <c r="Q416" s="21">
        <f t="shared" si="81"/>
        <v>1</v>
      </c>
      <c r="R416" s="655">
        <f t="shared" si="82"/>
        <v>0</v>
      </c>
      <c r="S416" s="311">
        <f t="shared" si="73"/>
        <v>0</v>
      </c>
    </row>
    <row r="417" spans="1:19">
      <c r="A417" s="145"/>
      <c r="B417" s="54"/>
      <c r="C417" s="21">
        <f t="shared" si="74"/>
        <v>1</v>
      </c>
      <c r="D417" s="659"/>
      <c r="E417" s="21">
        <f t="shared" si="75"/>
        <v>1</v>
      </c>
      <c r="F417" s="659"/>
      <c r="G417" s="21">
        <f t="shared" si="76"/>
        <v>1</v>
      </c>
      <c r="H417" s="659"/>
      <c r="I417" s="21">
        <f t="shared" si="77"/>
        <v>1</v>
      </c>
      <c r="J417" s="659"/>
      <c r="K417" s="21">
        <f t="shared" si="78"/>
        <v>1</v>
      </c>
      <c r="L417" s="659"/>
      <c r="M417" s="21">
        <f t="shared" si="79"/>
        <v>1</v>
      </c>
      <c r="N417" s="659"/>
      <c r="O417" s="21">
        <f t="shared" si="80"/>
        <v>1</v>
      </c>
      <c r="P417" s="659"/>
      <c r="Q417" s="21">
        <f t="shared" si="81"/>
        <v>1</v>
      </c>
      <c r="R417" s="655">
        <f t="shared" si="82"/>
        <v>0</v>
      </c>
      <c r="S417" s="311">
        <f t="shared" si="73"/>
        <v>0</v>
      </c>
    </row>
    <row r="418" spans="1:19">
      <c r="A418" s="145"/>
      <c r="B418" s="54"/>
      <c r="C418" s="21">
        <f t="shared" si="74"/>
        <v>1</v>
      </c>
      <c r="D418" s="659"/>
      <c r="E418" s="21">
        <f t="shared" si="75"/>
        <v>1</v>
      </c>
      <c r="F418" s="659"/>
      <c r="G418" s="21">
        <f t="shared" si="76"/>
        <v>1</v>
      </c>
      <c r="H418" s="659"/>
      <c r="I418" s="21">
        <f t="shared" si="77"/>
        <v>1</v>
      </c>
      <c r="J418" s="659"/>
      <c r="K418" s="21">
        <f t="shared" si="78"/>
        <v>1</v>
      </c>
      <c r="L418" s="659"/>
      <c r="M418" s="21">
        <f t="shared" si="79"/>
        <v>1</v>
      </c>
      <c r="N418" s="659"/>
      <c r="O418" s="21">
        <f t="shared" si="80"/>
        <v>1</v>
      </c>
      <c r="P418" s="659"/>
      <c r="Q418" s="21">
        <f t="shared" si="81"/>
        <v>1</v>
      </c>
      <c r="R418" s="655">
        <f t="shared" si="82"/>
        <v>0</v>
      </c>
      <c r="S418" s="311">
        <f t="shared" si="73"/>
        <v>0</v>
      </c>
    </row>
    <row r="419" spans="1:19">
      <c r="A419" s="145"/>
      <c r="B419" s="54"/>
      <c r="C419" s="21">
        <f t="shared" si="74"/>
        <v>1</v>
      </c>
      <c r="D419" s="659"/>
      <c r="E419" s="21">
        <f t="shared" si="75"/>
        <v>1</v>
      </c>
      <c r="F419" s="659"/>
      <c r="G419" s="21">
        <f t="shared" si="76"/>
        <v>1</v>
      </c>
      <c r="H419" s="659"/>
      <c r="I419" s="21">
        <f t="shared" si="77"/>
        <v>1</v>
      </c>
      <c r="J419" s="659"/>
      <c r="K419" s="21">
        <f t="shared" si="78"/>
        <v>1</v>
      </c>
      <c r="L419" s="659"/>
      <c r="M419" s="21">
        <f t="shared" si="79"/>
        <v>1</v>
      </c>
      <c r="N419" s="659"/>
      <c r="O419" s="21">
        <f t="shared" si="80"/>
        <v>1</v>
      </c>
      <c r="P419" s="659"/>
      <c r="Q419" s="21">
        <f t="shared" si="81"/>
        <v>1</v>
      </c>
      <c r="R419" s="655">
        <f t="shared" si="82"/>
        <v>0</v>
      </c>
      <c r="S419" s="311">
        <f t="shared" si="73"/>
        <v>0</v>
      </c>
    </row>
    <row r="420" spans="1:19">
      <c r="A420" s="145"/>
      <c r="B420" s="54"/>
      <c r="C420" s="21">
        <f t="shared" si="74"/>
        <v>1</v>
      </c>
      <c r="D420" s="659"/>
      <c r="E420" s="21">
        <f t="shared" si="75"/>
        <v>1</v>
      </c>
      <c r="F420" s="659"/>
      <c r="G420" s="21">
        <f t="shared" si="76"/>
        <v>1</v>
      </c>
      <c r="H420" s="659"/>
      <c r="I420" s="21">
        <f t="shared" si="77"/>
        <v>1</v>
      </c>
      <c r="J420" s="659"/>
      <c r="K420" s="21">
        <f t="shared" si="78"/>
        <v>1</v>
      </c>
      <c r="L420" s="659"/>
      <c r="M420" s="21">
        <f t="shared" si="79"/>
        <v>1</v>
      </c>
      <c r="N420" s="659"/>
      <c r="O420" s="21">
        <f t="shared" si="80"/>
        <v>1</v>
      </c>
      <c r="P420" s="659"/>
      <c r="Q420" s="21">
        <f t="shared" si="81"/>
        <v>1</v>
      </c>
      <c r="R420" s="655">
        <f t="shared" si="82"/>
        <v>0</v>
      </c>
      <c r="S420" s="311">
        <f t="shared" si="73"/>
        <v>0</v>
      </c>
    </row>
    <row r="421" spans="1:19">
      <c r="A421" s="145"/>
      <c r="B421" s="54"/>
      <c r="C421" s="21">
        <f t="shared" si="74"/>
        <v>1</v>
      </c>
      <c r="D421" s="659"/>
      <c r="E421" s="21">
        <f t="shared" si="75"/>
        <v>1</v>
      </c>
      <c r="F421" s="659"/>
      <c r="G421" s="21">
        <f t="shared" si="76"/>
        <v>1</v>
      </c>
      <c r="H421" s="659"/>
      <c r="I421" s="21">
        <f t="shared" si="77"/>
        <v>1</v>
      </c>
      <c r="J421" s="659"/>
      <c r="K421" s="21">
        <f t="shared" si="78"/>
        <v>1</v>
      </c>
      <c r="L421" s="659"/>
      <c r="M421" s="21">
        <f t="shared" si="79"/>
        <v>1</v>
      </c>
      <c r="N421" s="659"/>
      <c r="O421" s="21">
        <f t="shared" si="80"/>
        <v>1</v>
      </c>
      <c r="P421" s="659"/>
      <c r="Q421" s="21">
        <f t="shared" si="81"/>
        <v>1</v>
      </c>
      <c r="R421" s="655">
        <f t="shared" si="82"/>
        <v>0</v>
      </c>
      <c r="S421" s="311">
        <f t="shared" si="73"/>
        <v>0</v>
      </c>
    </row>
    <row r="422" spans="1:19">
      <c r="A422" s="145"/>
      <c r="B422" s="54"/>
      <c r="C422" s="21">
        <f t="shared" si="74"/>
        <v>1</v>
      </c>
      <c r="D422" s="659"/>
      <c r="E422" s="21">
        <f t="shared" si="75"/>
        <v>1</v>
      </c>
      <c r="F422" s="659"/>
      <c r="G422" s="21">
        <f t="shared" si="76"/>
        <v>1</v>
      </c>
      <c r="H422" s="659"/>
      <c r="I422" s="21">
        <f t="shared" si="77"/>
        <v>1</v>
      </c>
      <c r="J422" s="659"/>
      <c r="K422" s="21">
        <f t="shared" si="78"/>
        <v>1</v>
      </c>
      <c r="L422" s="659"/>
      <c r="M422" s="21">
        <f t="shared" si="79"/>
        <v>1</v>
      </c>
      <c r="N422" s="659"/>
      <c r="O422" s="21">
        <f t="shared" si="80"/>
        <v>1</v>
      </c>
      <c r="P422" s="659"/>
      <c r="Q422" s="21">
        <f t="shared" si="81"/>
        <v>1</v>
      </c>
      <c r="R422" s="655">
        <f t="shared" si="82"/>
        <v>0</v>
      </c>
      <c r="S422" s="311">
        <f t="shared" si="73"/>
        <v>0</v>
      </c>
    </row>
    <row r="423" spans="1:19">
      <c r="A423" s="145"/>
      <c r="B423" s="54"/>
      <c r="C423" s="21">
        <f t="shared" si="74"/>
        <v>1</v>
      </c>
      <c r="D423" s="659"/>
      <c r="E423" s="21">
        <f t="shared" si="75"/>
        <v>1</v>
      </c>
      <c r="F423" s="659"/>
      <c r="G423" s="21">
        <f t="shared" si="76"/>
        <v>1</v>
      </c>
      <c r="H423" s="659"/>
      <c r="I423" s="21">
        <f t="shared" si="77"/>
        <v>1</v>
      </c>
      <c r="J423" s="659"/>
      <c r="K423" s="21">
        <f t="shared" si="78"/>
        <v>1</v>
      </c>
      <c r="L423" s="659"/>
      <c r="M423" s="21">
        <f t="shared" si="79"/>
        <v>1</v>
      </c>
      <c r="N423" s="659"/>
      <c r="O423" s="21">
        <f t="shared" si="80"/>
        <v>1</v>
      </c>
      <c r="P423" s="659"/>
      <c r="Q423" s="21">
        <f t="shared" si="81"/>
        <v>1</v>
      </c>
      <c r="R423" s="655">
        <f t="shared" si="82"/>
        <v>0</v>
      </c>
      <c r="S423" s="311">
        <f t="shared" ref="S423:S467" si="83">ROUND(R423*B423/10000,0)</f>
        <v>0</v>
      </c>
    </row>
    <row r="424" spans="1:19">
      <c r="A424" s="145"/>
      <c r="B424" s="54"/>
      <c r="C424" s="21">
        <f t="shared" si="74"/>
        <v>1</v>
      </c>
      <c r="D424" s="659"/>
      <c r="E424" s="21">
        <f t="shared" si="75"/>
        <v>1</v>
      </c>
      <c r="F424" s="659"/>
      <c r="G424" s="21">
        <f t="shared" si="76"/>
        <v>1</v>
      </c>
      <c r="H424" s="659"/>
      <c r="I424" s="21">
        <f t="shared" si="77"/>
        <v>1</v>
      </c>
      <c r="J424" s="659"/>
      <c r="K424" s="21">
        <f t="shared" si="78"/>
        <v>1</v>
      </c>
      <c r="L424" s="659"/>
      <c r="M424" s="21">
        <f t="shared" si="79"/>
        <v>1</v>
      </c>
      <c r="N424" s="659"/>
      <c r="O424" s="21">
        <f t="shared" si="80"/>
        <v>1</v>
      </c>
      <c r="P424" s="659"/>
      <c r="Q424" s="21">
        <f t="shared" si="81"/>
        <v>1</v>
      </c>
      <c r="R424" s="655">
        <f t="shared" si="82"/>
        <v>0</v>
      </c>
      <c r="S424" s="311">
        <f t="shared" si="83"/>
        <v>0</v>
      </c>
    </row>
    <row r="425" spans="1:19">
      <c r="A425" s="145"/>
      <c r="B425" s="54"/>
      <c r="C425" s="21">
        <f t="shared" si="74"/>
        <v>1</v>
      </c>
      <c r="D425" s="659"/>
      <c r="E425" s="21">
        <f t="shared" si="75"/>
        <v>1</v>
      </c>
      <c r="F425" s="659"/>
      <c r="G425" s="21">
        <f t="shared" si="76"/>
        <v>1</v>
      </c>
      <c r="H425" s="659"/>
      <c r="I425" s="21">
        <f t="shared" si="77"/>
        <v>1</v>
      </c>
      <c r="J425" s="659"/>
      <c r="K425" s="21">
        <f t="shared" si="78"/>
        <v>1</v>
      </c>
      <c r="L425" s="659"/>
      <c r="M425" s="21">
        <f t="shared" si="79"/>
        <v>1</v>
      </c>
      <c r="N425" s="659"/>
      <c r="O425" s="21">
        <f t="shared" si="80"/>
        <v>1</v>
      </c>
      <c r="P425" s="659"/>
      <c r="Q425" s="21">
        <f t="shared" si="81"/>
        <v>1</v>
      </c>
      <c r="R425" s="655">
        <f t="shared" si="82"/>
        <v>0</v>
      </c>
      <c r="S425" s="311">
        <f t="shared" si="83"/>
        <v>0</v>
      </c>
    </row>
    <row r="426" spans="1:19">
      <c r="A426" s="145"/>
      <c r="B426" s="54"/>
      <c r="C426" s="21">
        <f t="shared" si="74"/>
        <v>1</v>
      </c>
      <c r="D426" s="659"/>
      <c r="E426" s="21">
        <f t="shared" si="75"/>
        <v>1</v>
      </c>
      <c r="F426" s="659"/>
      <c r="G426" s="21">
        <f t="shared" si="76"/>
        <v>1</v>
      </c>
      <c r="H426" s="659"/>
      <c r="I426" s="21">
        <f t="shared" si="77"/>
        <v>1</v>
      </c>
      <c r="J426" s="659"/>
      <c r="K426" s="21">
        <f t="shared" si="78"/>
        <v>1</v>
      </c>
      <c r="L426" s="659"/>
      <c r="M426" s="21">
        <f t="shared" si="79"/>
        <v>1</v>
      </c>
      <c r="N426" s="659"/>
      <c r="O426" s="21">
        <f t="shared" si="80"/>
        <v>1</v>
      </c>
      <c r="P426" s="659"/>
      <c r="Q426" s="21">
        <f t="shared" si="81"/>
        <v>1</v>
      </c>
      <c r="R426" s="655">
        <f t="shared" si="82"/>
        <v>0</v>
      </c>
      <c r="S426" s="311">
        <f t="shared" si="83"/>
        <v>0</v>
      </c>
    </row>
    <row r="427" spans="1:19">
      <c r="A427" s="145"/>
      <c r="B427" s="54"/>
      <c r="C427" s="21">
        <f t="shared" si="74"/>
        <v>1</v>
      </c>
      <c r="D427" s="659"/>
      <c r="E427" s="21">
        <f t="shared" si="75"/>
        <v>1</v>
      </c>
      <c r="F427" s="659"/>
      <c r="G427" s="21">
        <f t="shared" si="76"/>
        <v>1</v>
      </c>
      <c r="H427" s="659"/>
      <c r="I427" s="21">
        <f t="shared" si="77"/>
        <v>1</v>
      </c>
      <c r="J427" s="659"/>
      <c r="K427" s="21">
        <f t="shared" si="78"/>
        <v>1</v>
      </c>
      <c r="L427" s="659"/>
      <c r="M427" s="21">
        <f t="shared" si="79"/>
        <v>1</v>
      </c>
      <c r="N427" s="659"/>
      <c r="O427" s="21">
        <f t="shared" si="80"/>
        <v>1</v>
      </c>
      <c r="P427" s="659"/>
      <c r="Q427" s="21">
        <f t="shared" si="81"/>
        <v>1</v>
      </c>
      <c r="R427" s="655">
        <f t="shared" si="82"/>
        <v>0</v>
      </c>
      <c r="S427" s="311">
        <f t="shared" si="83"/>
        <v>0</v>
      </c>
    </row>
    <row r="428" spans="1:19">
      <c r="A428" s="145"/>
      <c r="B428" s="54"/>
      <c r="C428" s="21">
        <f t="shared" si="74"/>
        <v>1</v>
      </c>
      <c r="D428" s="659"/>
      <c r="E428" s="21">
        <f t="shared" si="75"/>
        <v>1</v>
      </c>
      <c r="F428" s="659"/>
      <c r="G428" s="21">
        <f t="shared" si="76"/>
        <v>1</v>
      </c>
      <c r="H428" s="659"/>
      <c r="I428" s="21">
        <f t="shared" si="77"/>
        <v>1</v>
      </c>
      <c r="J428" s="659"/>
      <c r="K428" s="21">
        <f t="shared" si="78"/>
        <v>1</v>
      </c>
      <c r="L428" s="659"/>
      <c r="M428" s="21">
        <f t="shared" si="79"/>
        <v>1</v>
      </c>
      <c r="N428" s="659"/>
      <c r="O428" s="21">
        <f t="shared" si="80"/>
        <v>1</v>
      </c>
      <c r="P428" s="659"/>
      <c r="Q428" s="21">
        <f t="shared" si="81"/>
        <v>1</v>
      </c>
      <c r="R428" s="655">
        <f t="shared" si="82"/>
        <v>0</v>
      </c>
      <c r="S428" s="311">
        <f t="shared" si="83"/>
        <v>0</v>
      </c>
    </row>
    <row r="429" spans="1:19">
      <c r="A429" s="145"/>
      <c r="B429" s="54"/>
      <c r="C429" s="21">
        <f t="shared" si="74"/>
        <v>1</v>
      </c>
      <c r="D429" s="659"/>
      <c r="E429" s="21">
        <f t="shared" si="75"/>
        <v>1</v>
      </c>
      <c r="F429" s="659"/>
      <c r="G429" s="21">
        <f t="shared" si="76"/>
        <v>1</v>
      </c>
      <c r="H429" s="659"/>
      <c r="I429" s="21">
        <f t="shared" si="77"/>
        <v>1</v>
      </c>
      <c r="J429" s="659"/>
      <c r="K429" s="21">
        <f t="shared" si="78"/>
        <v>1</v>
      </c>
      <c r="L429" s="659"/>
      <c r="M429" s="21">
        <f t="shared" si="79"/>
        <v>1</v>
      </c>
      <c r="N429" s="659"/>
      <c r="O429" s="21">
        <f t="shared" si="80"/>
        <v>1</v>
      </c>
      <c r="P429" s="659"/>
      <c r="Q429" s="21">
        <f t="shared" si="81"/>
        <v>1</v>
      </c>
      <c r="R429" s="655">
        <f t="shared" si="82"/>
        <v>0</v>
      </c>
      <c r="S429" s="311">
        <f t="shared" si="83"/>
        <v>0</v>
      </c>
    </row>
    <row r="430" spans="1:19">
      <c r="A430" s="145"/>
      <c r="B430" s="54"/>
      <c r="C430" s="21">
        <f t="shared" si="74"/>
        <v>1</v>
      </c>
      <c r="D430" s="659"/>
      <c r="E430" s="21">
        <f t="shared" si="75"/>
        <v>1</v>
      </c>
      <c r="F430" s="659"/>
      <c r="G430" s="21">
        <f t="shared" si="76"/>
        <v>1</v>
      </c>
      <c r="H430" s="659"/>
      <c r="I430" s="21">
        <f t="shared" si="77"/>
        <v>1</v>
      </c>
      <c r="J430" s="659"/>
      <c r="K430" s="21">
        <f t="shared" si="78"/>
        <v>1</v>
      </c>
      <c r="L430" s="659"/>
      <c r="M430" s="21">
        <f t="shared" si="79"/>
        <v>1</v>
      </c>
      <c r="N430" s="659"/>
      <c r="O430" s="21">
        <f t="shared" si="80"/>
        <v>1</v>
      </c>
      <c r="P430" s="659"/>
      <c r="Q430" s="21">
        <f t="shared" si="81"/>
        <v>1</v>
      </c>
      <c r="R430" s="655">
        <f t="shared" si="82"/>
        <v>0</v>
      </c>
      <c r="S430" s="311">
        <f t="shared" si="83"/>
        <v>0</v>
      </c>
    </row>
    <row r="431" spans="1:19">
      <c r="A431" s="145"/>
      <c r="B431" s="54"/>
      <c r="C431" s="21">
        <f t="shared" si="74"/>
        <v>1</v>
      </c>
      <c r="D431" s="659"/>
      <c r="E431" s="21">
        <f t="shared" si="75"/>
        <v>1</v>
      </c>
      <c r="F431" s="659"/>
      <c r="G431" s="21">
        <f t="shared" si="76"/>
        <v>1</v>
      </c>
      <c r="H431" s="659"/>
      <c r="I431" s="21">
        <f t="shared" si="77"/>
        <v>1</v>
      </c>
      <c r="J431" s="659"/>
      <c r="K431" s="21">
        <f t="shared" si="78"/>
        <v>1</v>
      </c>
      <c r="L431" s="659"/>
      <c r="M431" s="21">
        <f t="shared" si="79"/>
        <v>1</v>
      </c>
      <c r="N431" s="659"/>
      <c r="O431" s="21">
        <f t="shared" si="80"/>
        <v>1</v>
      </c>
      <c r="P431" s="659"/>
      <c r="Q431" s="21">
        <f t="shared" si="81"/>
        <v>1</v>
      </c>
      <c r="R431" s="655">
        <f t="shared" si="82"/>
        <v>0</v>
      </c>
      <c r="S431" s="311">
        <f t="shared" si="83"/>
        <v>0</v>
      </c>
    </row>
    <row r="432" spans="1:19">
      <c r="A432" s="145"/>
      <c r="B432" s="54"/>
      <c r="C432" s="21">
        <f t="shared" si="74"/>
        <v>1</v>
      </c>
      <c r="D432" s="659"/>
      <c r="E432" s="21">
        <f t="shared" si="75"/>
        <v>1</v>
      </c>
      <c r="F432" s="659"/>
      <c r="G432" s="21">
        <f t="shared" si="76"/>
        <v>1</v>
      </c>
      <c r="H432" s="659"/>
      <c r="I432" s="21">
        <f t="shared" si="77"/>
        <v>1</v>
      </c>
      <c r="J432" s="659"/>
      <c r="K432" s="21">
        <f t="shared" si="78"/>
        <v>1</v>
      </c>
      <c r="L432" s="659"/>
      <c r="M432" s="21">
        <f t="shared" si="79"/>
        <v>1</v>
      </c>
      <c r="N432" s="659"/>
      <c r="O432" s="21">
        <f t="shared" si="80"/>
        <v>1</v>
      </c>
      <c r="P432" s="659"/>
      <c r="Q432" s="21">
        <f t="shared" si="81"/>
        <v>1</v>
      </c>
      <c r="R432" s="655">
        <f t="shared" si="82"/>
        <v>0</v>
      </c>
      <c r="S432" s="311">
        <f t="shared" si="83"/>
        <v>0</v>
      </c>
    </row>
    <row r="433" spans="1:19">
      <c r="A433" s="145"/>
      <c r="B433" s="54"/>
      <c r="C433" s="21">
        <f t="shared" si="74"/>
        <v>1</v>
      </c>
      <c r="D433" s="659"/>
      <c r="E433" s="21">
        <f t="shared" si="75"/>
        <v>1</v>
      </c>
      <c r="F433" s="659"/>
      <c r="G433" s="21">
        <f t="shared" si="76"/>
        <v>1</v>
      </c>
      <c r="H433" s="659"/>
      <c r="I433" s="21">
        <f t="shared" si="77"/>
        <v>1</v>
      </c>
      <c r="J433" s="659"/>
      <c r="K433" s="21">
        <f t="shared" si="78"/>
        <v>1</v>
      </c>
      <c r="L433" s="659"/>
      <c r="M433" s="21">
        <f t="shared" si="79"/>
        <v>1</v>
      </c>
      <c r="N433" s="659"/>
      <c r="O433" s="21">
        <f t="shared" si="80"/>
        <v>1</v>
      </c>
      <c r="P433" s="659"/>
      <c r="Q433" s="21">
        <f t="shared" si="81"/>
        <v>1</v>
      </c>
      <c r="R433" s="655">
        <f t="shared" si="82"/>
        <v>0</v>
      </c>
      <c r="S433" s="311">
        <f t="shared" si="83"/>
        <v>0</v>
      </c>
    </row>
    <row r="434" spans="1:19">
      <c r="A434" s="145"/>
      <c r="B434" s="54"/>
      <c r="C434" s="21">
        <f t="shared" si="74"/>
        <v>1</v>
      </c>
      <c r="D434" s="659"/>
      <c r="E434" s="21">
        <f t="shared" si="75"/>
        <v>1</v>
      </c>
      <c r="F434" s="659"/>
      <c r="G434" s="21">
        <f t="shared" si="76"/>
        <v>1</v>
      </c>
      <c r="H434" s="659"/>
      <c r="I434" s="21">
        <f t="shared" si="77"/>
        <v>1</v>
      </c>
      <c r="J434" s="659"/>
      <c r="K434" s="21">
        <f t="shared" si="78"/>
        <v>1</v>
      </c>
      <c r="L434" s="659"/>
      <c r="M434" s="21">
        <f t="shared" si="79"/>
        <v>1</v>
      </c>
      <c r="N434" s="659"/>
      <c r="O434" s="21">
        <f t="shared" si="80"/>
        <v>1</v>
      </c>
      <c r="P434" s="659"/>
      <c r="Q434" s="21">
        <f t="shared" si="81"/>
        <v>1</v>
      </c>
      <c r="R434" s="655">
        <f t="shared" si="82"/>
        <v>0</v>
      </c>
      <c r="S434" s="311">
        <f t="shared" si="83"/>
        <v>0</v>
      </c>
    </row>
    <row r="435" spans="1:19">
      <c r="A435" s="145"/>
      <c r="B435" s="54"/>
      <c r="C435" s="21">
        <f t="shared" si="74"/>
        <v>1</v>
      </c>
      <c r="D435" s="659"/>
      <c r="E435" s="21">
        <f t="shared" si="75"/>
        <v>1</v>
      </c>
      <c r="F435" s="659"/>
      <c r="G435" s="21">
        <f t="shared" si="76"/>
        <v>1</v>
      </c>
      <c r="H435" s="659"/>
      <c r="I435" s="21">
        <f t="shared" si="77"/>
        <v>1</v>
      </c>
      <c r="J435" s="659"/>
      <c r="K435" s="21">
        <f t="shared" si="78"/>
        <v>1</v>
      </c>
      <c r="L435" s="659"/>
      <c r="M435" s="21">
        <f t="shared" si="79"/>
        <v>1</v>
      </c>
      <c r="N435" s="659"/>
      <c r="O435" s="21">
        <f t="shared" si="80"/>
        <v>1</v>
      </c>
      <c r="P435" s="659"/>
      <c r="Q435" s="21">
        <f t="shared" si="81"/>
        <v>1</v>
      </c>
      <c r="R435" s="655">
        <f t="shared" si="82"/>
        <v>0</v>
      </c>
      <c r="S435" s="311">
        <f t="shared" si="83"/>
        <v>0</v>
      </c>
    </row>
    <row r="436" spans="1:19">
      <c r="A436" s="145"/>
      <c r="B436" s="54"/>
      <c r="C436" s="21">
        <f t="shared" si="74"/>
        <v>1</v>
      </c>
      <c r="D436" s="659"/>
      <c r="E436" s="21">
        <f t="shared" si="75"/>
        <v>1</v>
      </c>
      <c r="F436" s="659"/>
      <c r="G436" s="21">
        <f t="shared" si="76"/>
        <v>1</v>
      </c>
      <c r="H436" s="659"/>
      <c r="I436" s="21">
        <f t="shared" si="77"/>
        <v>1</v>
      </c>
      <c r="J436" s="659"/>
      <c r="K436" s="21">
        <f t="shared" si="78"/>
        <v>1</v>
      </c>
      <c r="L436" s="659"/>
      <c r="M436" s="21">
        <f t="shared" si="79"/>
        <v>1</v>
      </c>
      <c r="N436" s="659"/>
      <c r="O436" s="21">
        <f t="shared" si="80"/>
        <v>1</v>
      </c>
      <c r="P436" s="659"/>
      <c r="Q436" s="21">
        <f t="shared" si="81"/>
        <v>1</v>
      </c>
      <c r="R436" s="655">
        <f t="shared" si="82"/>
        <v>0</v>
      </c>
      <c r="S436" s="311">
        <f t="shared" si="83"/>
        <v>0</v>
      </c>
    </row>
    <row r="437" spans="1:19">
      <c r="A437" s="145"/>
      <c r="B437" s="54"/>
      <c r="C437" s="21">
        <f t="shared" si="74"/>
        <v>1</v>
      </c>
      <c r="D437" s="659"/>
      <c r="E437" s="21">
        <f t="shared" si="75"/>
        <v>1</v>
      </c>
      <c r="F437" s="659"/>
      <c r="G437" s="21">
        <f t="shared" si="76"/>
        <v>1</v>
      </c>
      <c r="H437" s="659"/>
      <c r="I437" s="21">
        <f t="shared" si="77"/>
        <v>1</v>
      </c>
      <c r="J437" s="659"/>
      <c r="K437" s="21">
        <f t="shared" si="78"/>
        <v>1</v>
      </c>
      <c r="L437" s="659"/>
      <c r="M437" s="21">
        <f t="shared" si="79"/>
        <v>1</v>
      </c>
      <c r="N437" s="659"/>
      <c r="O437" s="21">
        <f t="shared" si="80"/>
        <v>1</v>
      </c>
      <c r="P437" s="659"/>
      <c r="Q437" s="21">
        <f t="shared" si="81"/>
        <v>1</v>
      </c>
      <c r="R437" s="655">
        <f t="shared" si="82"/>
        <v>0</v>
      </c>
      <c r="S437" s="311">
        <f t="shared" si="83"/>
        <v>0</v>
      </c>
    </row>
    <row r="438" spans="1:19">
      <c r="A438" s="145"/>
      <c r="B438" s="54"/>
      <c r="C438" s="21">
        <f t="shared" si="74"/>
        <v>1</v>
      </c>
      <c r="D438" s="659"/>
      <c r="E438" s="21">
        <f t="shared" si="75"/>
        <v>1</v>
      </c>
      <c r="F438" s="659"/>
      <c r="G438" s="21">
        <f t="shared" si="76"/>
        <v>1</v>
      </c>
      <c r="H438" s="659"/>
      <c r="I438" s="21">
        <f t="shared" si="77"/>
        <v>1</v>
      </c>
      <c r="J438" s="659"/>
      <c r="K438" s="21">
        <f t="shared" si="78"/>
        <v>1</v>
      </c>
      <c r="L438" s="659"/>
      <c r="M438" s="21">
        <f t="shared" si="79"/>
        <v>1</v>
      </c>
      <c r="N438" s="659"/>
      <c r="O438" s="21">
        <f t="shared" si="80"/>
        <v>1</v>
      </c>
      <c r="P438" s="659"/>
      <c r="Q438" s="21">
        <f t="shared" si="81"/>
        <v>1</v>
      </c>
      <c r="R438" s="655">
        <f t="shared" si="82"/>
        <v>0</v>
      </c>
      <c r="S438" s="311">
        <f t="shared" si="83"/>
        <v>0</v>
      </c>
    </row>
    <row r="439" spans="1:19">
      <c r="A439" s="145"/>
      <c r="B439" s="54"/>
      <c r="C439" s="21">
        <f t="shared" si="74"/>
        <v>1</v>
      </c>
      <c r="D439" s="659"/>
      <c r="E439" s="21">
        <f t="shared" si="75"/>
        <v>1</v>
      </c>
      <c r="F439" s="659"/>
      <c r="G439" s="21">
        <f t="shared" si="76"/>
        <v>1</v>
      </c>
      <c r="H439" s="659"/>
      <c r="I439" s="21">
        <f t="shared" si="77"/>
        <v>1</v>
      </c>
      <c r="J439" s="659"/>
      <c r="K439" s="21">
        <f t="shared" si="78"/>
        <v>1</v>
      </c>
      <c r="L439" s="659"/>
      <c r="M439" s="21">
        <f t="shared" si="79"/>
        <v>1</v>
      </c>
      <c r="N439" s="659"/>
      <c r="O439" s="21">
        <f t="shared" si="80"/>
        <v>1</v>
      </c>
      <c r="P439" s="659"/>
      <c r="Q439" s="21">
        <f t="shared" si="81"/>
        <v>1</v>
      </c>
      <c r="R439" s="655">
        <f t="shared" si="82"/>
        <v>0</v>
      </c>
      <c r="S439" s="311">
        <f t="shared" si="83"/>
        <v>0</v>
      </c>
    </row>
    <row r="440" spans="1:19">
      <c r="A440" s="145"/>
      <c r="B440" s="54"/>
      <c r="C440" s="21">
        <f t="shared" si="74"/>
        <v>1</v>
      </c>
      <c r="D440" s="659"/>
      <c r="E440" s="21">
        <f t="shared" si="75"/>
        <v>1</v>
      </c>
      <c r="F440" s="659"/>
      <c r="G440" s="21">
        <f t="shared" si="76"/>
        <v>1</v>
      </c>
      <c r="H440" s="659"/>
      <c r="I440" s="21">
        <f t="shared" si="77"/>
        <v>1</v>
      </c>
      <c r="J440" s="659"/>
      <c r="K440" s="21">
        <f t="shared" si="78"/>
        <v>1</v>
      </c>
      <c r="L440" s="659"/>
      <c r="M440" s="21">
        <f t="shared" si="79"/>
        <v>1</v>
      </c>
      <c r="N440" s="659"/>
      <c r="O440" s="21">
        <f t="shared" si="80"/>
        <v>1</v>
      </c>
      <c r="P440" s="659"/>
      <c r="Q440" s="21">
        <f t="shared" si="81"/>
        <v>1</v>
      </c>
      <c r="R440" s="655">
        <f t="shared" si="82"/>
        <v>0</v>
      </c>
      <c r="S440" s="311">
        <f t="shared" si="83"/>
        <v>0</v>
      </c>
    </row>
    <row r="441" spans="1:19">
      <c r="A441" s="145"/>
      <c r="B441" s="54"/>
      <c r="C441" s="21">
        <f t="shared" si="74"/>
        <v>1</v>
      </c>
      <c r="D441" s="659"/>
      <c r="E441" s="21">
        <f t="shared" si="75"/>
        <v>1</v>
      </c>
      <c r="F441" s="659"/>
      <c r="G441" s="21">
        <f t="shared" si="76"/>
        <v>1</v>
      </c>
      <c r="H441" s="659"/>
      <c r="I441" s="21">
        <f t="shared" si="77"/>
        <v>1</v>
      </c>
      <c r="J441" s="659"/>
      <c r="K441" s="21">
        <f t="shared" si="78"/>
        <v>1</v>
      </c>
      <c r="L441" s="659"/>
      <c r="M441" s="21">
        <f t="shared" si="79"/>
        <v>1</v>
      </c>
      <c r="N441" s="659"/>
      <c r="O441" s="21">
        <f t="shared" si="80"/>
        <v>1</v>
      </c>
      <c r="P441" s="659"/>
      <c r="Q441" s="21">
        <f t="shared" si="81"/>
        <v>1</v>
      </c>
      <c r="R441" s="655">
        <f t="shared" si="82"/>
        <v>0</v>
      </c>
      <c r="S441" s="311">
        <f t="shared" si="83"/>
        <v>0</v>
      </c>
    </row>
    <row r="442" spans="1:19">
      <c r="A442" s="145"/>
      <c r="B442" s="54"/>
      <c r="C442" s="21">
        <f t="shared" si="74"/>
        <v>1</v>
      </c>
      <c r="D442" s="659"/>
      <c r="E442" s="21">
        <f t="shared" si="75"/>
        <v>1</v>
      </c>
      <c r="F442" s="659"/>
      <c r="G442" s="21">
        <f t="shared" si="76"/>
        <v>1</v>
      </c>
      <c r="H442" s="659"/>
      <c r="I442" s="21">
        <f t="shared" si="77"/>
        <v>1</v>
      </c>
      <c r="J442" s="659"/>
      <c r="K442" s="21">
        <f t="shared" si="78"/>
        <v>1</v>
      </c>
      <c r="L442" s="659"/>
      <c r="M442" s="21">
        <f t="shared" si="79"/>
        <v>1</v>
      </c>
      <c r="N442" s="659"/>
      <c r="O442" s="21">
        <f t="shared" si="80"/>
        <v>1</v>
      </c>
      <c r="P442" s="659"/>
      <c r="Q442" s="21">
        <f t="shared" si="81"/>
        <v>1</v>
      </c>
      <c r="R442" s="655">
        <f t="shared" si="82"/>
        <v>0</v>
      </c>
      <c r="S442" s="311">
        <f t="shared" si="83"/>
        <v>0</v>
      </c>
    </row>
    <row r="443" spans="1:19">
      <c r="A443" s="145"/>
      <c r="B443" s="54"/>
      <c r="C443" s="21">
        <f t="shared" si="74"/>
        <v>1</v>
      </c>
      <c r="D443" s="659"/>
      <c r="E443" s="21">
        <f t="shared" si="75"/>
        <v>1</v>
      </c>
      <c r="F443" s="659"/>
      <c r="G443" s="21">
        <f t="shared" si="76"/>
        <v>1</v>
      </c>
      <c r="H443" s="659"/>
      <c r="I443" s="21">
        <f t="shared" si="77"/>
        <v>1</v>
      </c>
      <c r="J443" s="659"/>
      <c r="K443" s="21">
        <f t="shared" si="78"/>
        <v>1</v>
      </c>
      <c r="L443" s="659"/>
      <c r="M443" s="21">
        <f t="shared" si="79"/>
        <v>1</v>
      </c>
      <c r="N443" s="659"/>
      <c r="O443" s="21">
        <f t="shared" si="80"/>
        <v>1</v>
      </c>
      <c r="P443" s="659"/>
      <c r="Q443" s="21">
        <f t="shared" si="81"/>
        <v>1</v>
      </c>
      <c r="R443" s="655">
        <f t="shared" si="82"/>
        <v>0</v>
      </c>
      <c r="S443" s="311">
        <f t="shared" si="83"/>
        <v>0</v>
      </c>
    </row>
    <row r="444" spans="1:19">
      <c r="A444" s="145"/>
      <c r="B444" s="54"/>
      <c r="C444" s="21">
        <f t="shared" si="74"/>
        <v>1</v>
      </c>
      <c r="D444" s="659"/>
      <c r="E444" s="21">
        <f t="shared" si="75"/>
        <v>1</v>
      </c>
      <c r="F444" s="659"/>
      <c r="G444" s="21">
        <f t="shared" si="76"/>
        <v>1</v>
      </c>
      <c r="H444" s="659"/>
      <c r="I444" s="21">
        <f t="shared" si="77"/>
        <v>1</v>
      </c>
      <c r="J444" s="659"/>
      <c r="K444" s="21">
        <f t="shared" si="78"/>
        <v>1</v>
      </c>
      <c r="L444" s="659"/>
      <c r="M444" s="21">
        <f t="shared" si="79"/>
        <v>1</v>
      </c>
      <c r="N444" s="659"/>
      <c r="O444" s="21">
        <f t="shared" si="80"/>
        <v>1</v>
      </c>
      <c r="P444" s="659"/>
      <c r="Q444" s="21">
        <f t="shared" si="81"/>
        <v>1</v>
      </c>
      <c r="R444" s="655">
        <f t="shared" si="82"/>
        <v>0</v>
      </c>
      <c r="S444" s="311">
        <f t="shared" si="83"/>
        <v>0</v>
      </c>
    </row>
    <row r="445" spans="1:19">
      <c r="A445" s="145"/>
      <c r="B445" s="54"/>
      <c r="C445" s="21">
        <f t="shared" si="74"/>
        <v>1</v>
      </c>
      <c r="D445" s="659"/>
      <c r="E445" s="21">
        <f t="shared" si="75"/>
        <v>1</v>
      </c>
      <c r="F445" s="659"/>
      <c r="G445" s="21">
        <f t="shared" si="76"/>
        <v>1</v>
      </c>
      <c r="H445" s="659"/>
      <c r="I445" s="21">
        <f t="shared" si="77"/>
        <v>1</v>
      </c>
      <c r="J445" s="659"/>
      <c r="K445" s="21">
        <f t="shared" si="78"/>
        <v>1</v>
      </c>
      <c r="L445" s="659"/>
      <c r="M445" s="21">
        <f t="shared" si="79"/>
        <v>1</v>
      </c>
      <c r="N445" s="659"/>
      <c r="O445" s="21">
        <f t="shared" si="80"/>
        <v>1</v>
      </c>
      <c r="P445" s="659"/>
      <c r="Q445" s="21">
        <f t="shared" si="81"/>
        <v>1</v>
      </c>
      <c r="R445" s="655">
        <f t="shared" si="82"/>
        <v>0</v>
      </c>
      <c r="S445" s="311">
        <f t="shared" si="83"/>
        <v>0</v>
      </c>
    </row>
    <row r="446" spans="1:19">
      <c r="A446" s="145"/>
      <c r="B446" s="54"/>
      <c r="C446" s="21">
        <f t="shared" si="74"/>
        <v>1</v>
      </c>
      <c r="D446" s="659"/>
      <c r="E446" s="21">
        <f t="shared" si="75"/>
        <v>1</v>
      </c>
      <c r="F446" s="659"/>
      <c r="G446" s="21">
        <f t="shared" si="76"/>
        <v>1</v>
      </c>
      <c r="H446" s="659"/>
      <c r="I446" s="21">
        <f t="shared" si="77"/>
        <v>1</v>
      </c>
      <c r="J446" s="659"/>
      <c r="K446" s="21">
        <f t="shared" si="78"/>
        <v>1</v>
      </c>
      <c r="L446" s="659"/>
      <c r="M446" s="21">
        <f t="shared" si="79"/>
        <v>1</v>
      </c>
      <c r="N446" s="659"/>
      <c r="O446" s="21">
        <f t="shared" si="80"/>
        <v>1</v>
      </c>
      <c r="P446" s="659"/>
      <c r="Q446" s="21">
        <f t="shared" si="81"/>
        <v>1</v>
      </c>
      <c r="R446" s="655">
        <f t="shared" si="82"/>
        <v>0</v>
      </c>
      <c r="S446" s="311">
        <f t="shared" si="83"/>
        <v>0</v>
      </c>
    </row>
    <row r="447" spans="1:19">
      <c r="A447" s="145"/>
      <c r="B447" s="54"/>
      <c r="C447" s="21">
        <f t="shared" si="74"/>
        <v>1</v>
      </c>
      <c r="D447" s="659"/>
      <c r="E447" s="21">
        <f t="shared" si="75"/>
        <v>1</v>
      </c>
      <c r="F447" s="659"/>
      <c r="G447" s="21">
        <f t="shared" si="76"/>
        <v>1</v>
      </c>
      <c r="H447" s="659"/>
      <c r="I447" s="21">
        <f t="shared" si="77"/>
        <v>1</v>
      </c>
      <c r="J447" s="659"/>
      <c r="K447" s="21">
        <f t="shared" si="78"/>
        <v>1</v>
      </c>
      <c r="L447" s="659"/>
      <c r="M447" s="21">
        <f t="shared" si="79"/>
        <v>1</v>
      </c>
      <c r="N447" s="659"/>
      <c r="O447" s="21">
        <f t="shared" si="80"/>
        <v>1</v>
      </c>
      <c r="P447" s="659"/>
      <c r="Q447" s="21">
        <f t="shared" si="81"/>
        <v>1</v>
      </c>
      <c r="R447" s="655">
        <f t="shared" si="82"/>
        <v>0</v>
      </c>
      <c r="S447" s="311">
        <f t="shared" si="83"/>
        <v>0</v>
      </c>
    </row>
    <row r="448" spans="1:19">
      <c r="A448" s="145"/>
      <c r="B448" s="54"/>
      <c r="C448" s="21">
        <f t="shared" si="74"/>
        <v>1</v>
      </c>
      <c r="D448" s="659"/>
      <c r="E448" s="21">
        <f t="shared" si="75"/>
        <v>1</v>
      </c>
      <c r="F448" s="659"/>
      <c r="G448" s="21">
        <f t="shared" si="76"/>
        <v>1</v>
      </c>
      <c r="H448" s="659"/>
      <c r="I448" s="21">
        <f t="shared" si="77"/>
        <v>1</v>
      </c>
      <c r="J448" s="659"/>
      <c r="K448" s="21">
        <f t="shared" si="78"/>
        <v>1</v>
      </c>
      <c r="L448" s="659"/>
      <c r="M448" s="21">
        <f t="shared" si="79"/>
        <v>1</v>
      </c>
      <c r="N448" s="659"/>
      <c r="O448" s="21">
        <f t="shared" si="80"/>
        <v>1</v>
      </c>
      <c r="P448" s="659"/>
      <c r="Q448" s="21">
        <f t="shared" si="81"/>
        <v>1</v>
      </c>
      <c r="R448" s="655">
        <f t="shared" si="82"/>
        <v>0</v>
      </c>
      <c r="S448" s="311">
        <f t="shared" si="83"/>
        <v>0</v>
      </c>
    </row>
    <row r="449" spans="1:19">
      <c r="A449" s="145"/>
      <c r="B449" s="54"/>
      <c r="C449" s="21">
        <f t="shared" si="74"/>
        <v>1</v>
      </c>
      <c r="D449" s="659"/>
      <c r="E449" s="21">
        <f t="shared" si="75"/>
        <v>1</v>
      </c>
      <c r="F449" s="659"/>
      <c r="G449" s="21">
        <f t="shared" si="76"/>
        <v>1</v>
      </c>
      <c r="H449" s="659"/>
      <c r="I449" s="21">
        <f t="shared" si="77"/>
        <v>1</v>
      </c>
      <c r="J449" s="659"/>
      <c r="K449" s="21">
        <f t="shared" si="78"/>
        <v>1</v>
      </c>
      <c r="L449" s="659"/>
      <c r="M449" s="21">
        <f t="shared" si="79"/>
        <v>1</v>
      </c>
      <c r="N449" s="659"/>
      <c r="O449" s="21">
        <f t="shared" si="80"/>
        <v>1</v>
      </c>
      <c r="P449" s="659"/>
      <c r="Q449" s="21">
        <f t="shared" si="81"/>
        <v>1</v>
      </c>
      <c r="R449" s="655">
        <f t="shared" si="82"/>
        <v>0</v>
      </c>
      <c r="S449" s="311">
        <f t="shared" si="83"/>
        <v>0</v>
      </c>
    </row>
    <row r="450" spans="1:19">
      <c r="A450" s="145"/>
      <c r="B450" s="54"/>
      <c r="C450" s="21">
        <f t="shared" si="74"/>
        <v>1</v>
      </c>
      <c r="D450" s="659"/>
      <c r="E450" s="21">
        <f t="shared" si="75"/>
        <v>1</v>
      </c>
      <c r="F450" s="659"/>
      <c r="G450" s="21">
        <f t="shared" si="76"/>
        <v>1</v>
      </c>
      <c r="H450" s="659"/>
      <c r="I450" s="21">
        <f t="shared" si="77"/>
        <v>1</v>
      </c>
      <c r="J450" s="659"/>
      <c r="K450" s="21">
        <f t="shared" si="78"/>
        <v>1</v>
      </c>
      <c r="L450" s="659"/>
      <c r="M450" s="21">
        <f t="shared" si="79"/>
        <v>1</v>
      </c>
      <c r="N450" s="659"/>
      <c r="O450" s="21">
        <f t="shared" si="80"/>
        <v>1</v>
      </c>
      <c r="P450" s="659"/>
      <c r="Q450" s="21">
        <f t="shared" si="81"/>
        <v>1</v>
      </c>
      <c r="R450" s="655">
        <f t="shared" si="82"/>
        <v>0</v>
      </c>
      <c r="S450" s="311">
        <f t="shared" si="83"/>
        <v>0</v>
      </c>
    </row>
    <row r="451" spans="1:19">
      <c r="A451" s="145"/>
      <c r="B451" s="54"/>
      <c r="C451" s="21">
        <f t="shared" si="74"/>
        <v>1</v>
      </c>
      <c r="D451" s="659"/>
      <c r="E451" s="21">
        <f t="shared" si="75"/>
        <v>1</v>
      </c>
      <c r="F451" s="659"/>
      <c r="G451" s="21">
        <f t="shared" si="76"/>
        <v>1</v>
      </c>
      <c r="H451" s="659"/>
      <c r="I451" s="21">
        <f t="shared" si="77"/>
        <v>1</v>
      </c>
      <c r="J451" s="659"/>
      <c r="K451" s="21">
        <f t="shared" si="78"/>
        <v>1</v>
      </c>
      <c r="L451" s="659"/>
      <c r="M451" s="21">
        <f t="shared" si="79"/>
        <v>1</v>
      </c>
      <c r="N451" s="659"/>
      <c r="O451" s="21">
        <f t="shared" si="80"/>
        <v>1</v>
      </c>
      <c r="P451" s="659"/>
      <c r="Q451" s="21">
        <f t="shared" si="81"/>
        <v>1</v>
      </c>
      <c r="R451" s="655">
        <f t="shared" si="82"/>
        <v>0</v>
      </c>
      <c r="S451" s="311">
        <f t="shared" si="83"/>
        <v>0</v>
      </c>
    </row>
    <row r="452" spans="1:19">
      <c r="A452" s="145"/>
      <c r="B452" s="54"/>
      <c r="C452" s="21">
        <f t="shared" si="74"/>
        <v>1</v>
      </c>
      <c r="D452" s="659"/>
      <c r="E452" s="21">
        <f t="shared" si="75"/>
        <v>1</v>
      </c>
      <c r="F452" s="659"/>
      <c r="G452" s="21">
        <f t="shared" si="76"/>
        <v>1</v>
      </c>
      <c r="H452" s="659"/>
      <c r="I452" s="21">
        <f t="shared" si="77"/>
        <v>1</v>
      </c>
      <c r="J452" s="659"/>
      <c r="K452" s="21">
        <f t="shared" si="78"/>
        <v>1</v>
      </c>
      <c r="L452" s="659"/>
      <c r="M452" s="21">
        <f t="shared" si="79"/>
        <v>1</v>
      </c>
      <c r="N452" s="659"/>
      <c r="O452" s="21">
        <f t="shared" si="80"/>
        <v>1</v>
      </c>
      <c r="P452" s="659"/>
      <c r="Q452" s="21">
        <f t="shared" si="81"/>
        <v>1</v>
      </c>
      <c r="R452" s="655">
        <f t="shared" si="82"/>
        <v>0</v>
      </c>
      <c r="S452" s="311">
        <f t="shared" si="83"/>
        <v>0</v>
      </c>
    </row>
    <row r="453" spans="1:19">
      <c r="A453" s="145"/>
      <c r="B453" s="54"/>
      <c r="C453" s="21">
        <f t="shared" si="74"/>
        <v>1</v>
      </c>
      <c r="D453" s="659"/>
      <c r="E453" s="21">
        <f t="shared" si="75"/>
        <v>1</v>
      </c>
      <c r="F453" s="659"/>
      <c r="G453" s="21">
        <f t="shared" si="76"/>
        <v>1</v>
      </c>
      <c r="H453" s="659"/>
      <c r="I453" s="21">
        <f t="shared" si="77"/>
        <v>1</v>
      </c>
      <c r="J453" s="659"/>
      <c r="K453" s="21">
        <f t="shared" si="78"/>
        <v>1</v>
      </c>
      <c r="L453" s="659"/>
      <c r="M453" s="21">
        <f t="shared" si="79"/>
        <v>1</v>
      </c>
      <c r="N453" s="659"/>
      <c r="O453" s="21">
        <f t="shared" si="80"/>
        <v>1</v>
      </c>
      <c r="P453" s="659"/>
      <c r="Q453" s="21">
        <f t="shared" si="81"/>
        <v>1</v>
      </c>
      <c r="R453" s="655">
        <f t="shared" si="82"/>
        <v>0</v>
      </c>
      <c r="S453" s="311">
        <f t="shared" si="83"/>
        <v>0</v>
      </c>
    </row>
    <row r="454" spans="1:19">
      <c r="A454" s="145"/>
      <c r="B454" s="54"/>
      <c r="C454" s="21">
        <f t="shared" si="74"/>
        <v>1</v>
      </c>
      <c r="D454" s="659"/>
      <c r="E454" s="21">
        <f t="shared" si="75"/>
        <v>1</v>
      </c>
      <c r="F454" s="659"/>
      <c r="G454" s="21">
        <f t="shared" si="76"/>
        <v>1</v>
      </c>
      <c r="H454" s="659"/>
      <c r="I454" s="21">
        <f t="shared" si="77"/>
        <v>1</v>
      </c>
      <c r="J454" s="659"/>
      <c r="K454" s="21">
        <f t="shared" si="78"/>
        <v>1</v>
      </c>
      <c r="L454" s="659"/>
      <c r="M454" s="21">
        <f t="shared" si="79"/>
        <v>1</v>
      </c>
      <c r="N454" s="659"/>
      <c r="O454" s="21">
        <f t="shared" si="80"/>
        <v>1</v>
      </c>
      <c r="P454" s="659"/>
      <c r="Q454" s="21">
        <f t="shared" si="81"/>
        <v>1</v>
      </c>
      <c r="R454" s="655">
        <f t="shared" si="82"/>
        <v>0</v>
      </c>
      <c r="S454" s="311">
        <f t="shared" si="83"/>
        <v>0</v>
      </c>
    </row>
    <row r="455" spans="1:19">
      <c r="A455" s="145"/>
      <c r="B455" s="54"/>
      <c r="C455" s="21">
        <f t="shared" si="74"/>
        <v>1</v>
      </c>
      <c r="D455" s="659"/>
      <c r="E455" s="21">
        <f t="shared" si="75"/>
        <v>1</v>
      </c>
      <c r="F455" s="659"/>
      <c r="G455" s="21">
        <f t="shared" si="76"/>
        <v>1</v>
      </c>
      <c r="H455" s="659"/>
      <c r="I455" s="21">
        <f t="shared" si="77"/>
        <v>1</v>
      </c>
      <c r="J455" s="659"/>
      <c r="K455" s="21">
        <f t="shared" si="78"/>
        <v>1</v>
      </c>
      <c r="L455" s="659"/>
      <c r="M455" s="21">
        <f t="shared" si="79"/>
        <v>1</v>
      </c>
      <c r="N455" s="659"/>
      <c r="O455" s="21">
        <f t="shared" si="80"/>
        <v>1</v>
      </c>
      <c r="P455" s="659"/>
      <c r="Q455" s="21">
        <f t="shared" si="81"/>
        <v>1</v>
      </c>
      <c r="R455" s="655">
        <f t="shared" si="82"/>
        <v>0</v>
      </c>
      <c r="S455" s="311">
        <f t="shared" si="83"/>
        <v>0</v>
      </c>
    </row>
    <row r="456" spans="1:19">
      <c r="A456" s="145"/>
      <c r="B456" s="54"/>
      <c r="C456" s="21">
        <f t="shared" si="74"/>
        <v>1</v>
      </c>
      <c r="D456" s="659"/>
      <c r="E456" s="21">
        <f t="shared" si="75"/>
        <v>1</v>
      </c>
      <c r="F456" s="659"/>
      <c r="G456" s="21">
        <f t="shared" si="76"/>
        <v>1</v>
      </c>
      <c r="H456" s="659"/>
      <c r="I456" s="21">
        <f t="shared" si="77"/>
        <v>1</v>
      </c>
      <c r="J456" s="659"/>
      <c r="K456" s="21">
        <f t="shared" si="78"/>
        <v>1</v>
      </c>
      <c r="L456" s="659"/>
      <c r="M456" s="21">
        <f t="shared" si="79"/>
        <v>1</v>
      </c>
      <c r="N456" s="659"/>
      <c r="O456" s="21">
        <f t="shared" si="80"/>
        <v>1</v>
      </c>
      <c r="P456" s="659"/>
      <c r="Q456" s="21">
        <f t="shared" si="81"/>
        <v>1</v>
      </c>
      <c r="R456" s="655">
        <f t="shared" si="82"/>
        <v>0</v>
      </c>
      <c r="S456" s="311">
        <f t="shared" si="83"/>
        <v>0</v>
      </c>
    </row>
    <row r="457" spans="1:19">
      <c r="A457" s="145"/>
      <c r="B457" s="54"/>
      <c r="C457" s="21">
        <f t="shared" si="74"/>
        <v>1</v>
      </c>
      <c r="D457" s="659"/>
      <c r="E457" s="21">
        <f t="shared" si="75"/>
        <v>1</v>
      </c>
      <c r="F457" s="659"/>
      <c r="G457" s="21">
        <f t="shared" si="76"/>
        <v>1</v>
      </c>
      <c r="H457" s="659"/>
      <c r="I457" s="21">
        <f t="shared" si="77"/>
        <v>1</v>
      </c>
      <c r="J457" s="659"/>
      <c r="K457" s="21">
        <f t="shared" si="78"/>
        <v>1</v>
      </c>
      <c r="L457" s="659"/>
      <c r="M457" s="21">
        <f t="shared" si="79"/>
        <v>1</v>
      </c>
      <c r="N457" s="659"/>
      <c r="O457" s="21">
        <f t="shared" si="80"/>
        <v>1</v>
      </c>
      <c r="P457" s="659"/>
      <c r="Q457" s="21">
        <f t="shared" si="81"/>
        <v>1</v>
      </c>
      <c r="R457" s="655">
        <f t="shared" si="82"/>
        <v>0</v>
      </c>
      <c r="S457" s="311">
        <f t="shared" si="83"/>
        <v>0</v>
      </c>
    </row>
    <row r="458" spans="1:19">
      <c r="A458" s="145"/>
      <c r="B458" s="54"/>
      <c r="C458" s="21">
        <f t="shared" si="74"/>
        <v>1</v>
      </c>
      <c r="D458" s="659"/>
      <c r="E458" s="21">
        <f t="shared" si="75"/>
        <v>1</v>
      </c>
      <c r="F458" s="659"/>
      <c r="G458" s="21">
        <f t="shared" si="76"/>
        <v>1</v>
      </c>
      <c r="H458" s="659"/>
      <c r="I458" s="21">
        <f t="shared" si="77"/>
        <v>1</v>
      </c>
      <c r="J458" s="659"/>
      <c r="K458" s="21">
        <f t="shared" si="78"/>
        <v>1</v>
      </c>
      <c r="L458" s="659"/>
      <c r="M458" s="21">
        <f t="shared" si="79"/>
        <v>1</v>
      </c>
      <c r="N458" s="659"/>
      <c r="O458" s="21">
        <f t="shared" si="80"/>
        <v>1</v>
      </c>
      <c r="P458" s="659"/>
      <c r="Q458" s="21">
        <f t="shared" si="81"/>
        <v>1</v>
      </c>
      <c r="R458" s="655">
        <f t="shared" si="82"/>
        <v>0</v>
      </c>
      <c r="S458" s="311">
        <f t="shared" si="83"/>
        <v>0</v>
      </c>
    </row>
    <row r="459" spans="1:19">
      <c r="A459" s="145"/>
      <c r="B459" s="54"/>
      <c r="C459" s="21">
        <f t="shared" si="74"/>
        <v>1</v>
      </c>
      <c r="D459" s="659"/>
      <c r="E459" s="21">
        <f t="shared" si="75"/>
        <v>1</v>
      </c>
      <c r="F459" s="659"/>
      <c r="G459" s="21">
        <f t="shared" si="76"/>
        <v>1</v>
      </c>
      <c r="H459" s="659"/>
      <c r="I459" s="21">
        <f t="shared" si="77"/>
        <v>1</v>
      </c>
      <c r="J459" s="659"/>
      <c r="K459" s="21">
        <f t="shared" si="78"/>
        <v>1</v>
      </c>
      <c r="L459" s="659"/>
      <c r="M459" s="21">
        <f t="shared" si="79"/>
        <v>1</v>
      </c>
      <c r="N459" s="659"/>
      <c r="O459" s="21">
        <f t="shared" si="80"/>
        <v>1</v>
      </c>
      <c r="P459" s="659"/>
      <c r="Q459" s="21">
        <f t="shared" si="81"/>
        <v>1</v>
      </c>
      <c r="R459" s="655">
        <f t="shared" si="82"/>
        <v>0</v>
      </c>
      <c r="S459" s="311">
        <f t="shared" si="83"/>
        <v>0</v>
      </c>
    </row>
    <row r="460" spans="1:19">
      <c r="A460" s="145"/>
      <c r="B460" s="54"/>
      <c r="C460" s="21">
        <f t="shared" si="74"/>
        <v>1</v>
      </c>
      <c r="D460" s="659"/>
      <c r="E460" s="21">
        <f t="shared" si="75"/>
        <v>1</v>
      </c>
      <c r="F460" s="659"/>
      <c r="G460" s="21">
        <f t="shared" si="76"/>
        <v>1</v>
      </c>
      <c r="H460" s="659"/>
      <c r="I460" s="21">
        <f t="shared" si="77"/>
        <v>1</v>
      </c>
      <c r="J460" s="659"/>
      <c r="K460" s="21">
        <f t="shared" si="78"/>
        <v>1</v>
      </c>
      <c r="L460" s="659"/>
      <c r="M460" s="21">
        <f t="shared" si="79"/>
        <v>1</v>
      </c>
      <c r="N460" s="659"/>
      <c r="O460" s="21">
        <f t="shared" si="80"/>
        <v>1</v>
      </c>
      <c r="P460" s="659"/>
      <c r="Q460" s="21">
        <f t="shared" si="81"/>
        <v>1</v>
      </c>
      <c r="R460" s="655">
        <f t="shared" si="82"/>
        <v>0</v>
      </c>
      <c r="S460" s="311">
        <f t="shared" si="83"/>
        <v>0</v>
      </c>
    </row>
    <row r="461" spans="1:19">
      <c r="A461" s="145"/>
      <c r="B461" s="54"/>
      <c r="C461" s="21">
        <f t="shared" si="74"/>
        <v>1</v>
      </c>
      <c r="D461" s="659"/>
      <c r="E461" s="21">
        <f t="shared" si="75"/>
        <v>1</v>
      </c>
      <c r="F461" s="659"/>
      <c r="G461" s="21">
        <f t="shared" si="76"/>
        <v>1</v>
      </c>
      <c r="H461" s="659"/>
      <c r="I461" s="21">
        <f t="shared" si="77"/>
        <v>1</v>
      </c>
      <c r="J461" s="659"/>
      <c r="K461" s="21">
        <f t="shared" si="78"/>
        <v>1</v>
      </c>
      <c r="L461" s="659"/>
      <c r="M461" s="21">
        <f t="shared" si="79"/>
        <v>1</v>
      </c>
      <c r="N461" s="659"/>
      <c r="O461" s="21">
        <f t="shared" si="80"/>
        <v>1</v>
      </c>
      <c r="P461" s="659"/>
      <c r="Q461" s="21">
        <f t="shared" si="81"/>
        <v>1</v>
      </c>
      <c r="R461" s="655">
        <f t="shared" si="82"/>
        <v>0</v>
      </c>
      <c r="S461" s="311">
        <f t="shared" si="83"/>
        <v>0</v>
      </c>
    </row>
    <row r="462" spans="1:19">
      <c r="A462" s="145"/>
      <c r="B462" s="54"/>
      <c r="C462" s="21">
        <f t="shared" si="74"/>
        <v>1</v>
      </c>
      <c r="D462" s="659"/>
      <c r="E462" s="21">
        <f t="shared" si="75"/>
        <v>1</v>
      </c>
      <c r="F462" s="659"/>
      <c r="G462" s="21">
        <f t="shared" si="76"/>
        <v>1</v>
      </c>
      <c r="H462" s="659"/>
      <c r="I462" s="21">
        <f t="shared" si="77"/>
        <v>1</v>
      </c>
      <c r="J462" s="659"/>
      <c r="K462" s="21">
        <f t="shared" si="78"/>
        <v>1</v>
      </c>
      <c r="L462" s="659"/>
      <c r="M462" s="21">
        <f t="shared" si="79"/>
        <v>1</v>
      </c>
      <c r="N462" s="659"/>
      <c r="O462" s="21">
        <f t="shared" si="80"/>
        <v>1</v>
      </c>
      <c r="P462" s="659"/>
      <c r="Q462" s="21">
        <f t="shared" si="81"/>
        <v>1</v>
      </c>
      <c r="R462" s="655">
        <f t="shared" si="82"/>
        <v>0</v>
      </c>
      <c r="S462" s="311">
        <f t="shared" si="83"/>
        <v>0</v>
      </c>
    </row>
    <row r="463" spans="1:19">
      <c r="A463" s="145"/>
      <c r="B463" s="54"/>
      <c r="C463" s="21">
        <f t="shared" si="74"/>
        <v>1</v>
      </c>
      <c r="D463" s="659"/>
      <c r="E463" s="21">
        <f t="shared" si="75"/>
        <v>1</v>
      </c>
      <c r="F463" s="659"/>
      <c r="G463" s="21">
        <f t="shared" si="76"/>
        <v>1</v>
      </c>
      <c r="H463" s="659"/>
      <c r="I463" s="21">
        <f t="shared" si="77"/>
        <v>1</v>
      </c>
      <c r="J463" s="659"/>
      <c r="K463" s="21">
        <f t="shared" si="78"/>
        <v>1</v>
      </c>
      <c r="L463" s="659"/>
      <c r="M463" s="21">
        <f t="shared" si="79"/>
        <v>1</v>
      </c>
      <c r="N463" s="659"/>
      <c r="O463" s="21">
        <f t="shared" si="80"/>
        <v>1</v>
      </c>
      <c r="P463" s="659"/>
      <c r="Q463" s="21">
        <f t="shared" si="81"/>
        <v>1</v>
      </c>
      <c r="R463" s="655">
        <f t="shared" si="82"/>
        <v>0</v>
      </c>
      <c r="S463" s="311">
        <f t="shared" si="83"/>
        <v>0</v>
      </c>
    </row>
    <row r="464" spans="1:19">
      <c r="A464" s="145"/>
      <c r="B464" s="54"/>
      <c r="C464" s="21">
        <f t="shared" si="74"/>
        <v>1</v>
      </c>
      <c r="D464" s="659"/>
      <c r="E464" s="21">
        <f t="shared" si="75"/>
        <v>1</v>
      </c>
      <c r="F464" s="659"/>
      <c r="G464" s="21">
        <f t="shared" si="76"/>
        <v>1</v>
      </c>
      <c r="H464" s="659"/>
      <c r="I464" s="21">
        <f t="shared" si="77"/>
        <v>1</v>
      </c>
      <c r="J464" s="659"/>
      <c r="K464" s="21">
        <f t="shared" si="78"/>
        <v>1</v>
      </c>
      <c r="L464" s="659"/>
      <c r="M464" s="21">
        <f t="shared" si="79"/>
        <v>1</v>
      </c>
      <c r="N464" s="659"/>
      <c r="O464" s="21">
        <f t="shared" si="80"/>
        <v>1</v>
      </c>
      <c r="P464" s="659"/>
      <c r="Q464" s="21">
        <f t="shared" si="81"/>
        <v>1</v>
      </c>
      <c r="R464" s="655">
        <f t="shared" si="82"/>
        <v>0</v>
      </c>
      <c r="S464" s="311">
        <f t="shared" si="83"/>
        <v>0</v>
      </c>
    </row>
    <row r="465" spans="1:19">
      <c r="A465" s="145"/>
      <c r="B465" s="54"/>
      <c r="C465" s="21">
        <f t="shared" si="74"/>
        <v>1</v>
      </c>
      <c r="D465" s="659"/>
      <c r="E465" s="21">
        <f t="shared" si="75"/>
        <v>1</v>
      </c>
      <c r="F465" s="659"/>
      <c r="G465" s="21">
        <f t="shared" si="76"/>
        <v>1</v>
      </c>
      <c r="H465" s="659"/>
      <c r="I465" s="21">
        <f t="shared" si="77"/>
        <v>1</v>
      </c>
      <c r="J465" s="659"/>
      <c r="K465" s="21">
        <f t="shared" si="78"/>
        <v>1</v>
      </c>
      <c r="L465" s="659"/>
      <c r="M465" s="21">
        <f t="shared" si="79"/>
        <v>1</v>
      </c>
      <c r="N465" s="659"/>
      <c r="O465" s="21">
        <f t="shared" si="80"/>
        <v>1</v>
      </c>
      <c r="P465" s="659"/>
      <c r="Q465" s="21">
        <f t="shared" si="81"/>
        <v>1</v>
      </c>
      <c r="R465" s="655">
        <f t="shared" si="82"/>
        <v>0</v>
      </c>
      <c r="S465" s="311">
        <f t="shared" si="83"/>
        <v>0</v>
      </c>
    </row>
    <row r="466" spans="1:19">
      <c r="A466" s="145"/>
      <c r="B466" s="54"/>
      <c r="C466" s="21">
        <f t="shared" si="74"/>
        <v>1</v>
      </c>
      <c r="D466" s="659"/>
      <c r="E466" s="21">
        <f t="shared" si="75"/>
        <v>1</v>
      </c>
      <c r="F466" s="659"/>
      <c r="G466" s="21">
        <f t="shared" si="76"/>
        <v>1</v>
      </c>
      <c r="H466" s="659"/>
      <c r="I466" s="21">
        <f t="shared" si="77"/>
        <v>1</v>
      </c>
      <c r="J466" s="659"/>
      <c r="K466" s="21">
        <f t="shared" si="78"/>
        <v>1</v>
      </c>
      <c r="L466" s="659"/>
      <c r="M466" s="21">
        <f t="shared" si="79"/>
        <v>1</v>
      </c>
      <c r="N466" s="659"/>
      <c r="O466" s="21">
        <f t="shared" si="80"/>
        <v>1</v>
      </c>
      <c r="P466" s="659"/>
      <c r="Q466" s="21">
        <f t="shared" si="81"/>
        <v>1</v>
      </c>
      <c r="R466" s="655">
        <f t="shared" si="82"/>
        <v>0</v>
      </c>
      <c r="S466" s="311">
        <f t="shared" si="83"/>
        <v>0</v>
      </c>
    </row>
    <row r="467" spans="1:19">
      <c r="A467" s="145"/>
      <c r="B467" s="54"/>
      <c r="C467" s="21">
        <f t="shared" si="74"/>
        <v>1</v>
      </c>
      <c r="D467" s="659"/>
      <c r="E467" s="21">
        <f t="shared" si="75"/>
        <v>1</v>
      </c>
      <c r="F467" s="659"/>
      <c r="G467" s="21">
        <f t="shared" si="76"/>
        <v>1</v>
      </c>
      <c r="H467" s="659"/>
      <c r="I467" s="21">
        <f t="shared" si="77"/>
        <v>1</v>
      </c>
      <c r="J467" s="659"/>
      <c r="K467" s="21">
        <f t="shared" si="78"/>
        <v>1</v>
      </c>
      <c r="L467" s="659"/>
      <c r="M467" s="21">
        <f t="shared" si="79"/>
        <v>1</v>
      </c>
      <c r="N467" s="659"/>
      <c r="O467" s="21">
        <f t="shared" si="80"/>
        <v>1</v>
      </c>
      <c r="P467" s="659"/>
      <c r="Q467" s="21">
        <f t="shared" si="81"/>
        <v>1</v>
      </c>
      <c r="R467" s="655">
        <f t="shared" si="82"/>
        <v>0</v>
      </c>
      <c r="S467" s="311">
        <f t="shared" si="83"/>
        <v>0</v>
      </c>
    </row>
    <row r="468" spans="1:19">
      <c r="A468" s="145"/>
      <c r="B468" s="54"/>
      <c r="C468" s="21">
        <f t="shared" si="74"/>
        <v>1</v>
      </c>
      <c r="D468" s="659"/>
      <c r="E468" s="21">
        <f t="shared" si="75"/>
        <v>1</v>
      </c>
      <c r="F468" s="659"/>
      <c r="G468" s="21">
        <f t="shared" si="76"/>
        <v>1</v>
      </c>
      <c r="H468" s="659"/>
      <c r="I468" s="21">
        <f t="shared" si="77"/>
        <v>1</v>
      </c>
      <c r="J468" s="659"/>
      <c r="K468" s="21">
        <f t="shared" si="78"/>
        <v>1</v>
      </c>
      <c r="L468" s="659"/>
      <c r="M468" s="21">
        <f t="shared" si="79"/>
        <v>1</v>
      </c>
      <c r="N468" s="659"/>
      <c r="O468" s="21">
        <f t="shared" si="80"/>
        <v>1</v>
      </c>
      <c r="P468" s="659"/>
      <c r="Q468" s="21">
        <f t="shared" si="81"/>
        <v>1</v>
      </c>
      <c r="R468" s="655">
        <f t="shared" si="82"/>
        <v>0</v>
      </c>
      <c r="S468" s="311">
        <f t="shared" ref="S468:S497" si="84">ROUND(R468*B468/10000,0)</f>
        <v>0</v>
      </c>
    </row>
    <row r="469" spans="1:19">
      <c r="A469" s="145"/>
      <c r="B469" s="54"/>
      <c r="C469" s="21">
        <f t="shared" si="74"/>
        <v>1</v>
      </c>
      <c r="D469" s="659"/>
      <c r="E469" s="21">
        <f t="shared" si="75"/>
        <v>1</v>
      </c>
      <c r="F469" s="659"/>
      <c r="G469" s="21">
        <f t="shared" si="76"/>
        <v>1</v>
      </c>
      <c r="H469" s="659"/>
      <c r="I469" s="21">
        <f t="shared" si="77"/>
        <v>1</v>
      </c>
      <c r="J469" s="659"/>
      <c r="K469" s="21">
        <f t="shared" si="78"/>
        <v>1</v>
      </c>
      <c r="L469" s="659"/>
      <c r="M469" s="21">
        <f t="shared" si="79"/>
        <v>1</v>
      </c>
      <c r="N469" s="659"/>
      <c r="O469" s="21">
        <f t="shared" si="80"/>
        <v>1</v>
      </c>
      <c r="P469" s="659"/>
      <c r="Q469" s="21">
        <f t="shared" si="81"/>
        <v>1</v>
      </c>
      <c r="R469" s="655">
        <f t="shared" si="82"/>
        <v>0</v>
      </c>
      <c r="S469" s="311">
        <f t="shared" si="84"/>
        <v>0</v>
      </c>
    </row>
    <row r="470" spans="1:19">
      <c r="A470" s="145"/>
      <c r="B470" s="54"/>
      <c r="C470" s="21">
        <f t="shared" si="74"/>
        <v>1</v>
      </c>
      <c r="D470" s="659"/>
      <c r="E470" s="21">
        <f t="shared" si="75"/>
        <v>1</v>
      </c>
      <c r="F470" s="659"/>
      <c r="G470" s="21">
        <f t="shared" si="76"/>
        <v>1</v>
      </c>
      <c r="H470" s="659"/>
      <c r="I470" s="21">
        <f t="shared" si="77"/>
        <v>1</v>
      </c>
      <c r="J470" s="659"/>
      <c r="K470" s="21">
        <f t="shared" si="78"/>
        <v>1</v>
      </c>
      <c r="L470" s="659"/>
      <c r="M470" s="21">
        <f t="shared" si="79"/>
        <v>1</v>
      </c>
      <c r="N470" s="659"/>
      <c r="O470" s="21">
        <f t="shared" si="80"/>
        <v>1</v>
      </c>
      <c r="P470" s="659"/>
      <c r="Q470" s="21">
        <f t="shared" si="81"/>
        <v>1</v>
      </c>
      <c r="R470" s="655">
        <f t="shared" si="82"/>
        <v>0</v>
      </c>
      <c r="S470" s="311">
        <f t="shared" si="84"/>
        <v>0</v>
      </c>
    </row>
    <row r="471" spans="1:19">
      <c r="A471" s="145"/>
      <c r="B471" s="54"/>
      <c r="C471" s="21">
        <f t="shared" si="74"/>
        <v>1</v>
      </c>
      <c r="D471" s="659"/>
      <c r="E471" s="21">
        <f t="shared" si="75"/>
        <v>1</v>
      </c>
      <c r="F471" s="659"/>
      <c r="G471" s="21">
        <f t="shared" si="76"/>
        <v>1</v>
      </c>
      <c r="H471" s="659"/>
      <c r="I471" s="21">
        <f t="shared" si="77"/>
        <v>1</v>
      </c>
      <c r="J471" s="659"/>
      <c r="K471" s="21">
        <f t="shared" si="78"/>
        <v>1</v>
      </c>
      <c r="L471" s="659"/>
      <c r="M471" s="21">
        <f t="shared" si="79"/>
        <v>1</v>
      </c>
      <c r="N471" s="659"/>
      <c r="O471" s="21">
        <f t="shared" si="80"/>
        <v>1</v>
      </c>
      <c r="P471" s="659"/>
      <c r="Q471" s="21">
        <f t="shared" si="81"/>
        <v>1</v>
      </c>
      <c r="R471" s="655">
        <f t="shared" si="82"/>
        <v>0</v>
      </c>
      <c r="S471" s="311">
        <f t="shared" si="84"/>
        <v>0</v>
      </c>
    </row>
    <row r="472" spans="1:19">
      <c r="A472" s="145"/>
      <c r="B472" s="54"/>
      <c r="C472" s="21">
        <f t="shared" si="74"/>
        <v>1</v>
      </c>
      <c r="D472" s="659"/>
      <c r="E472" s="21">
        <f t="shared" si="75"/>
        <v>1</v>
      </c>
      <c r="F472" s="659"/>
      <c r="G472" s="21">
        <f t="shared" si="76"/>
        <v>1</v>
      </c>
      <c r="H472" s="659"/>
      <c r="I472" s="21">
        <f t="shared" si="77"/>
        <v>1</v>
      </c>
      <c r="J472" s="659"/>
      <c r="K472" s="21">
        <f t="shared" si="78"/>
        <v>1</v>
      </c>
      <c r="L472" s="659"/>
      <c r="M472" s="21">
        <f t="shared" si="79"/>
        <v>1</v>
      </c>
      <c r="N472" s="659"/>
      <c r="O472" s="21">
        <f t="shared" si="80"/>
        <v>1</v>
      </c>
      <c r="P472" s="659"/>
      <c r="Q472" s="21">
        <f t="shared" si="81"/>
        <v>1</v>
      </c>
      <c r="R472" s="655">
        <f t="shared" si="82"/>
        <v>0</v>
      </c>
      <c r="S472" s="311">
        <f t="shared" si="84"/>
        <v>0</v>
      </c>
    </row>
    <row r="473" spans="1:19">
      <c r="A473" s="145"/>
      <c r="B473" s="54"/>
      <c r="C473" s="21">
        <f t="shared" si="74"/>
        <v>1</v>
      </c>
      <c r="D473" s="659"/>
      <c r="E473" s="21">
        <f t="shared" si="75"/>
        <v>1</v>
      </c>
      <c r="F473" s="659"/>
      <c r="G473" s="21">
        <f t="shared" si="76"/>
        <v>1</v>
      </c>
      <c r="H473" s="659"/>
      <c r="I473" s="21">
        <f t="shared" si="77"/>
        <v>1</v>
      </c>
      <c r="J473" s="659"/>
      <c r="K473" s="21">
        <f t="shared" si="78"/>
        <v>1</v>
      </c>
      <c r="L473" s="659"/>
      <c r="M473" s="21">
        <f t="shared" si="79"/>
        <v>1</v>
      </c>
      <c r="N473" s="659"/>
      <c r="O473" s="21">
        <f t="shared" si="80"/>
        <v>1</v>
      </c>
      <c r="P473" s="659"/>
      <c r="Q473" s="21">
        <f t="shared" si="81"/>
        <v>1</v>
      </c>
      <c r="R473" s="655">
        <f t="shared" si="82"/>
        <v>0</v>
      </c>
      <c r="S473" s="311">
        <f t="shared" si="84"/>
        <v>0</v>
      </c>
    </row>
    <row r="474" spans="1:19">
      <c r="A474" s="145"/>
      <c r="B474" s="54"/>
      <c r="C474" s="21">
        <f t="shared" ref="C474:C524" si="85">IF(B474="",1,(LOOKUP(B474,$3:$3,$4:$4)-LOOKUP($B$24,$3:$3,$4:$4)+100)/100)</f>
        <v>1</v>
      </c>
      <c r="D474" s="659"/>
      <c r="E474" s="21">
        <f t="shared" ref="E474:E524" si="86">(SUMIF($5:$5,D474,$6:$6)-SUMIF($5:$5,$D$24,$6:$6)+100)/100</f>
        <v>1</v>
      </c>
      <c r="F474" s="659"/>
      <c r="G474" s="21">
        <f t="shared" ref="G474:G524" si="87">(SUMIF($7:$7,F474,$8:$8)-SUMIF($7:$7,$F$24,$8:$8)+100)/100</f>
        <v>1</v>
      </c>
      <c r="H474" s="659"/>
      <c r="I474" s="21">
        <f t="shared" ref="I474:I524" si="88">(SUMIF($9:$9,H474,$10:$10)-SUMIF($9:$9,$H$24,$10:$10)+100)/100</f>
        <v>1</v>
      </c>
      <c r="J474" s="659"/>
      <c r="K474" s="21">
        <f t="shared" ref="K474:K524" si="89">(SUMIF($11:$11,J474,$12:$12)-SUMIF($11:$11,$J$24,$12:$12)+100)/100</f>
        <v>1</v>
      </c>
      <c r="L474" s="659"/>
      <c r="M474" s="21">
        <f t="shared" ref="M474:M524" si="90">(SUMIF($13:$13,L474,$14:$14)-SUMIF($13:$13,$L$24,$14:$14)+100)/100</f>
        <v>1</v>
      </c>
      <c r="N474" s="659"/>
      <c r="O474" s="21">
        <f t="shared" ref="O474:O524" si="91">(SUMIF($15:$15,N474,$16:$16)-SUMIF($15:$15,$N$24,$16:$16)+100)/100</f>
        <v>1</v>
      </c>
      <c r="P474" s="659"/>
      <c r="Q474" s="21">
        <f t="shared" ref="Q474:Q524" si="92">(SUMIF($17:$17,P474,$18:$18)-SUMIF($17:$17,$P$24,$18:$18)+100)/100</f>
        <v>1</v>
      </c>
      <c r="R474" s="655">
        <f t="shared" ref="R474:R524" si="93">IF(B474="",0,ROUND($R$24*C474*E474*G474*I474*K474*M474*O474*Q474,0))</f>
        <v>0</v>
      </c>
      <c r="S474" s="311">
        <f t="shared" si="84"/>
        <v>0</v>
      </c>
    </row>
    <row r="475" spans="1:19">
      <c r="A475" s="145"/>
      <c r="B475" s="54"/>
      <c r="C475" s="21">
        <f t="shared" si="85"/>
        <v>1</v>
      </c>
      <c r="D475" s="659"/>
      <c r="E475" s="21">
        <f t="shared" si="86"/>
        <v>1</v>
      </c>
      <c r="F475" s="659"/>
      <c r="G475" s="21">
        <f t="shared" si="87"/>
        <v>1</v>
      </c>
      <c r="H475" s="659"/>
      <c r="I475" s="21">
        <f t="shared" si="88"/>
        <v>1</v>
      </c>
      <c r="J475" s="659"/>
      <c r="K475" s="21">
        <f t="shared" si="89"/>
        <v>1</v>
      </c>
      <c r="L475" s="659"/>
      <c r="M475" s="21">
        <f t="shared" si="90"/>
        <v>1</v>
      </c>
      <c r="N475" s="659"/>
      <c r="O475" s="21">
        <f t="shared" si="91"/>
        <v>1</v>
      </c>
      <c r="P475" s="659"/>
      <c r="Q475" s="21">
        <f t="shared" si="92"/>
        <v>1</v>
      </c>
      <c r="R475" s="655">
        <f t="shared" si="93"/>
        <v>0</v>
      </c>
      <c r="S475" s="311">
        <f t="shared" si="84"/>
        <v>0</v>
      </c>
    </row>
    <row r="476" spans="1:19">
      <c r="A476" s="145"/>
      <c r="B476" s="54"/>
      <c r="C476" s="21">
        <f t="shared" si="85"/>
        <v>1</v>
      </c>
      <c r="D476" s="659"/>
      <c r="E476" s="21">
        <f t="shared" si="86"/>
        <v>1</v>
      </c>
      <c r="F476" s="659"/>
      <c r="G476" s="21">
        <f t="shared" si="87"/>
        <v>1</v>
      </c>
      <c r="H476" s="659"/>
      <c r="I476" s="21">
        <f t="shared" si="88"/>
        <v>1</v>
      </c>
      <c r="J476" s="659"/>
      <c r="K476" s="21">
        <f t="shared" si="89"/>
        <v>1</v>
      </c>
      <c r="L476" s="659"/>
      <c r="M476" s="21">
        <f t="shared" si="90"/>
        <v>1</v>
      </c>
      <c r="N476" s="659"/>
      <c r="O476" s="21">
        <f t="shared" si="91"/>
        <v>1</v>
      </c>
      <c r="P476" s="659"/>
      <c r="Q476" s="21">
        <f t="shared" si="92"/>
        <v>1</v>
      </c>
      <c r="R476" s="655">
        <f t="shared" si="93"/>
        <v>0</v>
      </c>
      <c r="S476" s="311">
        <f t="shared" si="84"/>
        <v>0</v>
      </c>
    </row>
    <row r="477" spans="1:19">
      <c r="A477" s="145"/>
      <c r="B477" s="54"/>
      <c r="C477" s="21">
        <f t="shared" si="85"/>
        <v>1</v>
      </c>
      <c r="D477" s="659"/>
      <c r="E477" s="21">
        <f t="shared" si="86"/>
        <v>1</v>
      </c>
      <c r="F477" s="659"/>
      <c r="G477" s="21">
        <f t="shared" si="87"/>
        <v>1</v>
      </c>
      <c r="H477" s="659"/>
      <c r="I477" s="21">
        <f t="shared" si="88"/>
        <v>1</v>
      </c>
      <c r="J477" s="659"/>
      <c r="K477" s="21">
        <f t="shared" si="89"/>
        <v>1</v>
      </c>
      <c r="L477" s="659"/>
      <c r="M477" s="21">
        <f t="shared" si="90"/>
        <v>1</v>
      </c>
      <c r="N477" s="659"/>
      <c r="O477" s="21">
        <f t="shared" si="91"/>
        <v>1</v>
      </c>
      <c r="P477" s="659"/>
      <c r="Q477" s="21">
        <f t="shared" si="92"/>
        <v>1</v>
      </c>
      <c r="R477" s="655">
        <f t="shared" si="93"/>
        <v>0</v>
      </c>
      <c r="S477" s="311">
        <f t="shared" si="84"/>
        <v>0</v>
      </c>
    </row>
    <row r="478" spans="1:19">
      <c r="A478" s="145"/>
      <c r="B478" s="54"/>
      <c r="C478" s="21">
        <f t="shared" si="85"/>
        <v>1</v>
      </c>
      <c r="D478" s="659"/>
      <c r="E478" s="21">
        <f t="shared" si="86"/>
        <v>1</v>
      </c>
      <c r="F478" s="659"/>
      <c r="G478" s="21">
        <f t="shared" si="87"/>
        <v>1</v>
      </c>
      <c r="H478" s="659"/>
      <c r="I478" s="21">
        <f t="shared" si="88"/>
        <v>1</v>
      </c>
      <c r="J478" s="659"/>
      <c r="K478" s="21">
        <f t="shared" si="89"/>
        <v>1</v>
      </c>
      <c r="L478" s="659"/>
      <c r="M478" s="21">
        <f t="shared" si="90"/>
        <v>1</v>
      </c>
      <c r="N478" s="659"/>
      <c r="O478" s="21">
        <f t="shared" si="91"/>
        <v>1</v>
      </c>
      <c r="P478" s="659"/>
      <c r="Q478" s="21">
        <f t="shared" si="92"/>
        <v>1</v>
      </c>
      <c r="R478" s="655">
        <f t="shared" si="93"/>
        <v>0</v>
      </c>
      <c r="S478" s="311">
        <f t="shared" si="84"/>
        <v>0</v>
      </c>
    </row>
    <row r="479" spans="1:19">
      <c r="A479" s="145"/>
      <c r="B479" s="54"/>
      <c r="C479" s="21">
        <f t="shared" si="85"/>
        <v>1</v>
      </c>
      <c r="D479" s="659"/>
      <c r="E479" s="21">
        <f t="shared" si="86"/>
        <v>1</v>
      </c>
      <c r="F479" s="659"/>
      <c r="G479" s="21">
        <f t="shared" si="87"/>
        <v>1</v>
      </c>
      <c r="H479" s="659"/>
      <c r="I479" s="21">
        <f t="shared" si="88"/>
        <v>1</v>
      </c>
      <c r="J479" s="659"/>
      <c r="K479" s="21">
        <f t="shared" si="89"/>
        <v>1</v>
      </c>
      <c r="L479" s="659"/>
      <c r="M479" s="21">
        <f t="shared" si="90"/>
        <v>1</v>
      </c>
      <c r="N479" s="659"/>
      <c r="O479" s="21">
        <f t="shared" si="91"/>
        <v>1</v>
      </c>
      <c r="P479" s="659"/>
      <c r="Q479" s="21">
        <f t="shared" si="92"/>
        <v>1</v>
      </c>
      <c r="R479" s="655">
        <f t="shared" si="93"/>
        <v>0</v>
      </c>
      <c r="S479" s="311">
        <f t="shared" si="84"/>
        <v>0</v>
      </c>
    </row>
    <row r="480" spans="1:19">
      <c r="A480" s="145"/>
      <c r="B480" s="54"/>
      <c r="C480" s="21">
        <f t="shared" si="85"/>
        <v>1</v>
      </c>
      <c r="D480" s="659"/>
      <c r="E480" s="21">
        <f t="shared" si="86"/>
        <v>1</v>
      </c>
      <c r="F480" s="659"/>
      <c r="G480" s="21">
        <f t="shared" si="87"/>
        <v>1</v>
      </c>
      <c r="H480" s="659"/>
      <c r="I480" s="21">
        <f t="shared" si="88"/>
        <v>1</v>
      </c>
      <c r="J480" s="659"/>
      <c r="K480" s="21">
        <f t="shared" si="89"/>
        <v>1</v>
      </c>
      <c r="L480" s="659"/>
      <c r="M480" s="21">
        <f t="shared" si="90"/>
        <v>1</v>
      </c>
      <c r="N480" s="659"/>
      <c r="O480" s="21">
        <f t="shared" si="91"/>
        <v>1</v>
      </c>
      <c r="P480" s="659"/>
      <c r="Q480" s="21">
        <f t="shared" si="92"/>
        <v>1</v>
      </c>
      <c r="R480" s="655">
        <f t="shared" si="93"/>
        <v>0</v>
      </c>
      <c r="S480" s="311">
        <f t="shared" si="84"/>
        <v>0</v>
      </c>
    </row>
    <row r="481" spans="1:19">
      <c r="A481" s="145"/>
      <c r="B481" s="54"/>
      <c r="C481" s="21">
        <f t="shared" si="85"/>
        <v>1</v>
      </c>
      <c r="D481" s="659"/>
      <c r="E481" s="21">
        <f t="shared" si="86"/>
        <v>1</v>
      </c>
      <c r="F481" s="659"/>
      <c r="G481" s="21">
        <f t="shared" si="87"/>
        <v>1</v>
      </c>
      <c r="H481" s="659"/>
      <c r="I481" s="21">
        <f t="shared" si="88"/>
        <v>1</v>
      </c>
      <c r="J481" s="659"/>
      <c r="K481" s="21">
        <f t="shared" si="89"/>
        <v>1</v>
      </c>
      <c r="L481" s="659"/>
      <c r="M481" s="21">
        <f t="shared" si="90"/>
        <v>1</v>
      </c>
      <c r="N481" s="659"/>
      <c r="O481" s="21">
        <f t="shared" si="91"/>
        <v>1</v>
      </c>
      <c r="P481" s="659"/>
      <c r="Q481" s="21">
        <f t="shared" si="92"/>
        <v>1</v>
      </c>
      <c r="R481" s="655">
        <f t="shared" si="93"/>
        <v>0</v>
      </c>
      <c r="S481" s="311">
        <f t="shared" si="84"/>
        <v>0</v>
      </c>
    </row>
    <row r="482" spans="1:19">
      <c r="A482" s="145"/>
      <c r="B482" s="54"/>
      <c r="C482" s="21">
        <f t="shared" si="85"/>
        <v>1</v>
      </c>
      <c r="D482" s="659"/>
      <c r="E482" s="21">
        <f t="shared" si="86"/>
        <v>1</v>
      </c>
      <c r="F482" s="659"/>
      <c r="G482" s="21">
        <f t="shared" si="87"/>
        <v>1</v>
      </c>
      <c r="H482" s="659"/>
      <c r="I482" s="21">
        <f t="shared" si="88"/>
        <v>1</v>
      </c>
      <c r="J482" s="659"/>
      <c r="K482" s="21">
        <f t="shared" si="89"/>
        <v>1</v>
      </c>
      <c r="L482" s="659"/>
      <c r="M482" s="21">
        <f t="shared" si="90"/>
        <v>1</v>
      </c>
      <c r="N482" s="659"/>
      <c r="O482" s="21">
        <f t="shared" si="91"/>
        <v>1</v>
      </c>
      <c r="P482" s="659"/>
      <c r="Q482" s="21">
        <f t="shared" si="92"/>
        <v>1</v>
      </c>
      <c r="R482" s="655">
        <f t="shared" si="93"/>
        <v>0</v>
      </c>
      <c r="S482" s="311">
        <f t="shared" si="84"/>
        <v>0</v>
      </c>
    </row>
    <row r="483" spans="1:19">
      <c r="A483" s="145"/>
      <c r="B483" s="54"/>
      <c r="C483" s="21">
        <f t="shared" si="85"/>
        <v>1</v>
      </c>
      <c r="D483" s="659"/>
      <c r="E483" s="21">
        <f t="shared" si="86"/>
        <v>1</v>
      </c>
      <c r="F483" s="659"/>
      <c r="G483" s="21">
        <f t="shared" si="87"/>
        <v>1</v>
      </c>
      <c r="H483" s="659"/>
      <c r="I483" s="21">
        <f t="shared" si="88"/>
        <v>1</v>
      </c>
      <c r="J483" s="659"/>
      <c r="K483" s="21">
        <f t="shared" si="89"/>
        <v>1</v>
      </c>
      <c r="L483" s="659"/>
      <c r="M483" s="21">
        <f t="shared" si="90"/>
        <v>1</v>
      </c>
      <c r="N483" s="659"/>
      <c r="O483" s="21">
        <f t="shared" si="91"/>
        <v>1</v>
      </c>
      <c r="P483" s="659"/>
      <c r="Q483" s="21">
        <f t="shared" si="92"/>
        <v>1</v>
      </c>
      <c r="R483" s="655">
        <f t="shared" si="93"/>
        <v>0</v>
      </c>
      <c r="S483" s="311">
        <f t="shared" si="84"/>
        <v>0</v>
      </c>
    </row>
    <row r="484" spans="1:19">
      <c r="A484" s="145"/>
      <c r="B484" s="54"/>
      <c r="C484" s="21">
        <f t="shared" si="85"/>
        <v>1</v>
      </c>
      <c r="D484" s="659"/>
      <c r="E484" s="21">
        <f t="shared" si="86"/>
        <v>1</v>
      </c>
      <c r="F484" s="659"/>
      <c r="G484" s="21">
        <f t="shared" si="87"/>
        <v>1</v>
      </c>
      <c r="H484" s="659"/>
      <c r="I484" s="21">
        <f t="shared" si="88"/>
        <v>1</v>
      </c>
      <c r="J484" s="659"/>
      <c r="K484" s="21">
        <f t="shared" si="89"/>
        <v>1</v>
      </c>
      <c r="L484" s="659"/>
      <c r="M484" s="21">
        <f t="shared" si="90"/>
        <v>1</v>
      </c>
      <c r="N484" s="659"/>
      <c r="O484" s="21">
        <f t="shared" si="91"/>
        <v>1</v>
      </c>
      <c r="P484" s="659"/>
      <c r="Q484" s="21">
        <f t="shared" si="92"/>
        <v>1</v>
      </c>
      <c r="R484" s="655">
        <f t="shared" si="93"/>
        <v>0</v>
      </c>
      <c r="S484" s="311">
        <f t="shared" si="84"/>
        <v>0</v>
      </c>
    </row>
    <row r="485" spans="1:19">
      <c r="A485" s="145"/>
      <c r="B485" s="54"/>
      <c r="C485" s="21">
        <f t="shared" si="85"/>
        <v>1</v>
      </c>
      <c r="D485" s="659"/>
      <c r="E485" s="21">
        <f t="shared" si="86"/>
        <v>1</v>
      </c>
      <c r="F485" s="659"/>
      <c r="G485" s="21">
        <f t="shared" si="87"/>
        <v>1</v>
      </c>
      <c r="H485" s="659"/>
      <c r="I485" s="21">
        <f t="shared" si="88"/>
        <v>1</v>
      </c>
      <c r="J485" s="659"/>
      <c r="K485" s="21">
        <f t="shared" si="89"/>
        <v>1</v>
      </c>
      <c r="L485" s="659"/>
      <c r="M485" s="21">
        <f t="shared" si="90"/>
        <v>1</v>
      </c>
      <c r="N485" s="659"/>
      <c r="O485" s="21">
        <f t="shared" si="91"/>
        <v>1</v>
      </c>
      <c r="P485" s="659"/>
      <c r="Q485" s="21">
        <f t="shared" si="92"/>
        <v>1</v>
      </c>
      <c r="R485" s="655">
        <f t="shared" si="93"/>
        <v>0</v>
      </c>
      <c r="S485" s="311">
        <f t="shared" si="84"/>
        <v>0</v>
      </c>
    </row>
    <row r="486" spans="1:19">
      <c r="A486" s="145"/>
      <c r="B486" s="54"/>
      <c r="C486" s="21">
        <f t="shared" si="85"/>
        <v>1</v>
      </c>
      <c r="D486" s="659"/>
      <c r="E486" s="21">
        <f t="shared" si="86"/>
        <v>1</v>
      </c>
      <c r="F486" s="659"/>
      <c r="G486" s="21">
        <f t="shared" si="87"/>
        <v>1</v>
      </c>
      <c r="H486" s="659"/>
      <c r="I486" s="21">
        <f t="shared" si="88"/>
        <v>1</v>
      </c>
      <c r="J486" s="659"/>
      <c r="K486" s="21">
        <f t="shared" si="89"/>
        <v>1</v>
      </c>
      <c r="L486" s="659"/>
      <c r="M486" s="21">
        <f t="shared" si="90"/>
        <v>1</v>
      </c>
      <c r="N486" s="659"/>
      <c r="O486" s="21">
        <f t="shared" si="91"/>
        <v>1</v>
      </c>
      <c r="P486" s="659"/>
      <c r="Q486" s="21">
        <f t="shared" si="92"/>
        <v>1</v>
      </c>
      <c r="R486" s="655">
        <f t="shared" si="93"/>
        <v>0</v>
      </c>
      <c r="S486" s="311">
        <f t="shared" si="84"/>
        <v>0</v>
      </c>
    </row>
    <row r="487" spans="1:19">
      <c r="A487" s="145"/>
      <c r="B487" s="54"/>
      <c r="C487" s="21">
        <f t="shared" si="85"/>
        <v>1</v>
      </c>
      <c r="D487" s="659"/>
      <c r="E487" s="21">
        <f t="shared" si="86"/>
        <v>1</v>
      </c>
      <c r="F487" s="659"/>
      <c r="G487" s="21">
        <f t="shared" si="87"/>
        <v>1</v>
      </c>
      <c r="H487" s="659"/>
      <c r="I487" s="21">
        <f t="shared" si="88"/>
        <v>1</v>
      </c>
      <c r="J487" s="659"/>
      <c r="K487" s="21">
        <f t="shared" si="89"/>
        <v>1</v>
      </c>
      <c r="L487" s="659"/>
      <c r="M487" s="21">
        <f t="shared" si="90"/>
        <v>1</v>
      </c>
      <c r="N487" s="659"/>
      <c r="O487" s="21">
        <f t="shared" si="91"/>
        <v>1</v>
      </c>
      <c r="P487" s="659"/>
      <c r="Q487" s="21">
        <f t="shared" si="92"/>
        <v>1</v>
      </c>
      <c r="R487" s="655">
        <f t="shared" si="93"/>
        <v>0</v>
      </c>
      <c r="S487" s="311">
        <f t="shared" si="84"/>
        <v>0</v>
      </c>
    </row>
    <row r="488" spans="1:19">
      <c r="A488" s="145"/>
      <c r="B488" s="54"/>
      <c r="C488" s="21">
        <f t="shared" si="85"/>
        <v>1</v>
      </c>
      <c r="D488" s="659"/>
      <c r="E488" s="21">
        <f t="shared" si="86"/>
        <v>1</v>
      </c>
      <c r="F488" s="659"/>
      <c r="G488" s="21">
        <f t="shared" si="87"/>
        <v>1</v>
      </c>
      <c r="H488" s="659"/>
      <c r="I488" s="21">
        <f t="shared" si="88"/>
        <v>1</v>
      </c>
      <c r="J488" s="659"/>
      <c r="K488" s="21">
        <f t="shared" si="89"/>
        <v>1</v>
      </c>
      <c r="L488" s="659"/>
      <c r="M488" s="21">
        <f t="shared" si="90"/>
        <v>1</v>
      </c>
      <c r="N488" s="659"/>
      <c r="O488" s="21">
        <f t="shared" si="91"/>
        <v>1</v>
      </c>
      <c r="P488" s="659"/>
      <c r="Q488" s="21">
        <f t="shared" si="92"/>
        <v>1</v>
      </c>
      <c r="R488" s="655">
        <f t="shared" si="93"/>
        <v>0</v>
      </c>
      <c r="S488" s="311">
        <f t="shared" si="84"/>
        <v>0</v>
      </c>
    </row>
    <row r="489" spans="1:19">
      <c r="A489" s="145"/>
      <c r="B489" s="54"/>
      <c r="C489" s="21">
        <f t="shared" si="85"/>
        <v>1</v>
      </c>
      <c r="D489" s="659"/>
      <c r="E489" s="21">
        <f t="shared" si="86"/>
        <v>1</v>
      </c>
      <c r="F489" s="659"/>
      <c r="G489" s="21">
        <f t="shared" si="87"/>
        <v>1</v>
      </c>
      <c r="H489" s="659"/>
      <c r="I489" s="21">
        <f t="shared" si="88"/>
        <v>1</v>
      </c>
      <c r="J489" s="659"/>
      <c r="K489" s="21">
        <f t="shared" si="89"/>
        <v>1</v>
      </c>
      <c r="L489" s="659"/>
      <c r="M489" s="21">
        <f t="shared" si="90"/>
        <v>1</v>
      </c>
      <c r="N489" s="659"/>
      <c r="O489" s="21">
        <f t="shared" si="91"/>
        <v>1</v>
      </c>
      <c r="P489" s="659"/>
      <c r="Q489" s="21">
        <f t="shared" si="92"/>
        <v>1</v>
      </c>
      <c r="R489" s="655">
        <f t="shared" si="93"/>
        <v>0</v>
      </c>
      <c r="S489" s="311">
        <f t="shared" si="84"/>
        <v>0</v>
      </c>
    </row>
    <row r="490" spans="1:19">
      <c r="A490" s="145"/>
      <c r="B490" s="54"/>
      <c r="C490" s="21">
        <f t="shared" si="85"/>
        <v>1</v>
      </c>
      <c r="D490" s="659"/>
      <c r="E490" s="21">
        <f t="shared" si="86"/>
        <v>1</v>
      </c>
      <c r="F490" s="659"/>
      <c r="G490" s="21">
        <f t="shared" si="87"/>
        <v>1</v>
      </c>
      <c r="H490" s="659"/>
      <c r="I490" s="21">
        <f t="shared" si="88"/>
        <v>1</v>
      </c>
      <c r="J490" s="659"/>
      <c r="K490" s="21">
        <f t="shared" si="89"/>
        <v>1</v>
      </c>
      <c r="L490" s="659"/>
      <c r="M490" s="21">
        <f t="shared" si="90"/>
        <v>1</v>
      </c>
      <c r="N490" s="659"/>
      <c r="O490" s="21">
        <f t="shared" si="91"/>
        <v>1</v>
      </c>
      <c r="P490" s="659"/>
      <c r="Q490" s="21">
        <f t="shared" si="92"/>
        <v>1</v>
      </c>
      <c r="R490" s="655">
        <f t="shared" si="93"/>
        <v>0</v>
      </c>
      <c r="S490" s="311">
        <f t="shared" si="84"/>
        <v>0</v>
      </c>
    </row>
    <row r="491" spans="1:19">
      <c r="A491" s="145"/>
      <c r="B491" s="54"/>
      <c r="C491" s="21">
        <f t="shared" si="85"/>
        <v>1</v>
      </c>
      <c r="D491" s="659"/>
      <c r="E491" s="21">
        <f t="shared" si="86"/>
        <v>1</v>
      </c>
      <c r="F491" s="659"/>
      <c r="G491" s="21">
        <f t="shared" si="87"/>
        <v>1</v>
      </c>
      <c r="H491" s="659"/>
      <c r="I491" s="21">
        <f t="shared" si="88"/>
        <v>1</v>
      </c>
      <c r="J491" s="659"/>
      <c r="K491" s="21">
        <f t="shared" si="89"/>
        <v>1</v>
      </c>
      <c r="L491" s="659"/>
      <c r="M491" s="21">
        <f t="shared" si="90"/>
        <v>1</v>
      </c>
      <c r="N491" s="659"/>
      <c r="O491" s="21">
        <f t="shared" si="91"/>
        <v>1</v>
      </c>
      <c r="P491" s="659"/>
      <c r="Q491" s="21">
        <f t="shared" si="92"/>
        <v>1</v>
      </c>
      <c r="R491" s="655">
        <f t="shared" si="93"/>
        <v>0</v>
      </c>
      <c r="S491" s="311">
        <f t="shared" si="84"/>
        <v>0</v>
      </c>
    </row>
    <row r="492" spans="1:19">
      <c r="A492" s="145"/>
      <c r="B492" s="54"/>
      <c r="C492" s="21">
        <f t="shared" si="85"/>
        <v>1</v>
      </c>
      <c r="D492" s="659"/>
      <c r="E492" s="21">
        <f t="shared" si="86"/>
        <v>1</v>
      </c>
      <c r="F492" s="659"/>
      <c r="G492" s="21">
        <f t="shared" si="87"/>
        <v>1</v>
      </c>
      <c r="H492" s="659"/>
      <c r="I492" s="21">
        <f t="shared" si="88"/>
        <v>1</v>
      </c>
      <c r="J492" s="659"/>
      <c r="K492" s="21">
        <f t="shared" si="89"/>
        <v>1</v>
      </c>
      <c r="L492" s="659"/>
      <c r="M492" s="21">
        <f t="shared" si="90"/>
        <v>1</v>
      </c>
      <c r="N492" s="659"/>
      <c r="O492" s="21">
        <f t="shared" si="91"/>
        <v>1</v>
      </c>
      <c r="P492" s="659"/>
      <c r="Q492" s="21">
        <f t="shared" si="92"/>
        <v>1</v>
      </c>
      <c r="R492" s="655">
        <f t="shared" si="93"/>
        <v>0</v>
      </c>
      <c r="S492" s="311">
        <f t="shared" si="84"/>
        <v>0</v>
      </c>
    </row>
    <row r="493" spans="1:19">
      <c r="A493" s="145"/>
      <c r="B493" s="54"/>
      <c r="C493" s="21">
        <f t="shared" si="85"/>
        <v>1</v>
      </c>
      <c r="D493" s="659"/>
      <c r="E493" s="21">
        <f t="shared" si="86"/>
        <v>1</v>
      </c>
      <c r="F493" s="659"/>
      <c r="G493" s="21">
        <f t="shared" si="87"/>
        <v>1</v>
      </c>
      <c r="H493" s="659"/>
      <c r="I493" s="21">
        <f t="shared" si="88"/>
        <v>1</v>
      </c>
      <c r="J493" s="659"/>
      <c r="K493" s="21">
        <f t="shared" si="89"/>
        <v>1</v>
      </c>
      <c r="L493" s="659"/>
      <c r="M493" s="21">
        <f t="shared" si="90"/>
        <v>1</v>
      </c>
      <c r="N493" s="659"/>
      <c r="O493" s="21">
        <f t="shared" si="91"/>
        <v>1</v>
      </c>
      <c r="P493" s="659"/>
      <c r="Q493" s="21">
        <f t="shared" si="92"/>
        <v>1</v>
      </c>
      <c r="R493" s="655">
        <f t="shared" si="93"/>
        <v>0</v>
      </c>
      <c r="S493" s="311">
        <f t="shared" si="84"/>
        <v>0</v>
      </c>
    </row>
    <row r="494" spans="1:19">
      <c r="A494" s="145"/>
      <c r="B494" s="54"/>
      <c r="C494" s="21">
        <f t="shared" si="85"/>
        <v>1</v>
      </c>
      <c r="D494" s="659"/>
      <c r="E494" s="21">
        <f t="shared" si="86"/>
        <v>1</v>
      </c>
      <c r="F494" s="659"/>
      <c r="G494" s="21">
        <f t="shared" si="87"/>
        <v>1</v>
      </c>
      <c r="H494" s="659"/>
      <c r="I494" s="21">
        <f t="shared" si="88"/>
        <v>1</v>
      </c>
      <c r="J494" s="659"/>
      <c r="K494" s="21">
        <f t="shared" si="89"/>
        <v>1</v>
      </c>
      <c r="L494" s="659"/>
      <c r="M494" s="21">
        <f t="shared" si="90"/>
        <v>1</v>
      </c>
      <c r="N494" s="659"/>
      <c r="O494" s="21">
        <f t="shared" si="91"/>
        <v>1</v>
      </c>
      <c r="P494" s="659"/>
      <c r="Q494" s="21">
        <f t="shared" si="92"/>
        <v>1</v>
      </c>
      <c r="R494" s="655">
        <f t="shared" si="93"/>
        <v>0</v>
      </c>
      <c r="S494" s="311">
        <f t="shared" si="84"/>
        <v>0</v>
      </c>
    </row>
    <row r="495" spans="1:19">
      <c r="A495" s="145"/>
      <c r="B495" s="54"/>
      <c r="C495" s="21">
        <f t="shared" si="85"/>
        <v>1</v>
      </c>
      <c r="D495" s="659"/>
      <c r="E495" s="21">
        <f t="shared" si="86"/>
        <v>1</v>
      </c>
      <c r="F495" s="659"/>
      <c r="G495" s="21">
        <f t="shared" si="87"/>
        <v>1</v>
      </c>
      <c r="H495" s="659"/>
      <c r="I495" s="21">
        <f t="shared" si="88"/>
        <v>1</v>
      </c>
      <c r="J495" s="659"/>
      <c r="K495" s="21">
        <f t="shared" si="89"/>
        <v>1</v>
      </c>
      <c r="L495" s="659"/>
      <c r="M495" s="21">
        <f t="shared" si="90"/>
        <v>1</v>
      </c>
      <c r="N495" s="659"/>
      <c r="O495" s="21">
        <f t="shared" si="91"/>
        <v>1</v>
      </c>
      <c r="P495" s="659"/>
      <c r="Q495" s="21">
        <f t="shared" si="92"/>
        <v>1</v>
      </c>
      <c r="R495" s="655">
        <f t="shared" si="93"/>
        <v>0</v>
      </c>
      <c r="S495" s="311">
        <f t="shared" si="84"/>
        <v>0</v>
      </c>
    </row>
    <row r="496" spans="1:19">
      <c r="A496" s="145"/>
      <c r="B496" s="54"/>
      <c r="C496" s="21">
        <f t="shared" si="85"/>
        <v>1</v>
      </c>
      <c r="D496" s="659"/>
      <c r="E496" s="21">
        <f t="shared" si="86"/>
        <v>1</v>
      </c>
      <c r="F496" s="659"/>
      <c r="G496" s="21">
        <f t="shared" si="87"/>
        <v>1</v>
      </c>
      <c r="H496" s="659"/>
      <c r="I496" s="21">
        <f t="shared" si="88"/>
        <v>1</v>
      </c>
      <c r="J496" s="659"/>
      <c r="K496" s="21">
        <f t="shared" si="89"/>
        <v>1</v>
      </c>
      <c r="L496" s="659"/>
      <c r="M496" s="21">
        <f t="shared" si="90"/>
        <v>1</v>
      </c>
      <c r="N496" s="659"/>
      <c r="O496" s="21">
        <f t="shared" si="91"/>
        <v>1</v>
      </c>
      <c r="P496" s="659"/>
      <c r="Q496" s="21">
        <f t="shared" si="92"/>
        <v>1</v>
      </c>
      <c r="R496" s="655">
        <f t="shared" si="93"/>
        <v>0</v>
      </c>
      <c r="S496" s="311">
        <f t="shared" si="84"/>
        <v>0</v>
      </c>
    </row>
    <row r="497" spans="1:19">
      <c r="A497" s="145"/>
      <c r="B497" s="54"/>
      <c r="C497" s="21">
        <f t="shared" si="85"/>
        <v>1</v>
      </c>
      <c r="D497" s="659"/>
      <c r="E497" s="21">
        <f t="shared" si="86"/>
        <v>1</v>
      </c>
      <c r="F497" s="659"/>
      <c r="G497" s="21">
        <f t="shared" si="87"/>
        <v>1</v>
      </c>
      <c r="H497" s="659"/>
      <c r="I497" s="21">
        <f t="shared" si="88"/>
        <v>1</v>
      </c>
      <c r="J497" s="659"/>
      <c r="K497" s="21">
        <f t="shared" si="89"/>
        <v>1</v>
      </c>
      <c r="L497" s="659"/>
      <c r="M497" s="21">
        <f t="shared" si="90"/>
        <v>1</v>
      </c>
      <c r="N497" s="659"/>
      <c r="O497" s="21">
        <f t="shared" si="91"/>
        <v>1</v>
      </c>
      <c r="P497" s="659"/>
      <c r="Q497" s="21">
        <f t="shared" si="92"/>
        <v>1</v>
      </c>
      <c r="R497" s="655">
        <f t="shared" si="93"/>
        <v>0</v>
      </c>
      <c r="S497" s="311">
        <f t="shared" si="84"/>
        <v>0</v>
      </c>
    </row>
    <row r="498" spans="1:19">
      <c r="A498" s="145"/>
      <c r="B498" s="54"/>
      <c r="C498" s="21">
        <f t="shared" si="85"/>
        <v>1</v>
      </c>
      <c r="D498" s="659"/>
      <c r="E498" s="21">
        <f t="shared" si="86"/>
        <v>1</v>
      </c>
      <c r="F498" s="659"/>
      <c r="G498" s="21">
        <f t="shared" si="87"/>
        <v>1</v>
      </c>
      <c r="H498" s="659"/>
      <c r="I498" s="21">
        <f t="shared" si="88"/>
        <v>1</v>
      </c>
      <c r="J498" s="659"/>
      <c r="K498" s="21">
        <f t="shared" si="89"/>
        <v>1</v>
      </c>
      <c r="L498" s="659"/>
      <c r="M498" s="21">
        <f t="shared" si="90"/>
        <v>1</v>
      </c>
      <c r="N498" s="659"/>
      <c r="O498" s="21">
        <f t="shared" si="91"/>
        <v>1</v>
      </c>
      <c r="P498" s="659"/>
      <c r="Q498" s="21">
        <f t="shared" si="92"/>
        <v>1</v>
      </c>
      <c r="R498" s="655">
        <f t="shared" si="93"/>
        <v>0</v>
      </c>
      <c r="S498" s="311">
        <f t="shared" ref="S498:S524" si="94">ROUND(R498*B498/10000,0)</f>
        <v>0</v>
      </c>
    </row>
    <row r="499" spans="1:19">
      <c r="A499" s="145"/>
      <c r="B499" s="54"/>
      <c r="C499" s="21">
        <f t="shared" si="85"/>
        <v>1</v>
      </c>
      <c r="D499" s="659"/>
      <c r="E499" s="21">
        <f t="shared" si="86"/>
        <v>1</v>
      </c>
      <c r="F499" s="659"/>
      <c r="G499" s="21">
        <f t="shared" si="87"/>
        <v>1</v>
      </c>
      <c r="H499" s="659"/>
      <c r="I499" s="21">
        <f t="shared" si="88"/>
        <v>1</v>
      </c>
      <c r="J499" s="659"/>
      <c r="K499" s="21">
        <f t="shared" si="89"/>
        <v>1</v>
      </c>
      <c r="L499" s="659"/>
      <c r="M499" s="21">
        <f t="shared" si="90"/>
        <v>1</v>
      </c>
      <c r="N499" s="659"/>
      <c r="O499" s="21">
        <f t="shared" si="91"/>
        <v>1</v>
      </c>
      <c r="P499" s="659"/>
      <c r="Q499" s="21">
        <f t="shared" si="92"/>
        <v>1</v>
      </c>
      <c r="R499" s="655">
        <f t="shared" si="93"/>
        <v>0</v>
      </c>
      <c r="S499" s="311">
        <f t="shared" si="94"/>
        <v>0</v>
      </c>
    </row>
    <row r="500" spans="1:19">
      <c r="A500" s="145"/>
      <c r="B500" s="54"/>
      <c r="C500" s="21">
        <f t="shared" si="85"/>
        <v>1</v>
      </c>
      <c r="D500" s="659"/>
      <c r="E500" s="21">
        <f t="shared" si="86"/>
        <v>1</v>
      </c>
      <c r="F500" s="659"/>
      <c r="G500" s="21">
        <f t="shared" si="87"/>
        <v>1</v>
      </c>
      <c r="H500" s="659"/>
      <c r="I500" s="21">
        <f t="shared" si="88"/>
        <v>1</v>
      </c>
      <c r="J500" s="659"/>
      <c r="K500" s="21">
        <f t="shared" si="89"/>
        <v>1</v>
      </c>
      <c r="L500" s="659"/>
      <c r="M500" s="21">
        <f t="shared" si="90"/>
        <v>1</v>
      </c>
      <c r="N500" s="659"/>
      <c r="O500" s="21">
        <f t="shared" si="91"/>
        <v>1</v>
      </c>
      <c r="P500" s="659"/>
      <c r="Q500" s="21">
        <f t="shared" si="92"/>
        <v>1</v>
      </c>
      <c r="R500" s="655">
        <f t="shared" si="93"/>
        <v>0</v>
      </c>
      <c r="S500" s="311">
        <f t="shared" si="94"/>
        <v>0</v>
      </c>
    </row>
    <row r="501" spans="1:19">
      <c r="A501" s="145"/>
      <c r="B501" s="54"/>
      <c r="C501" s="21">
        <f t="shared" si="85"/>
        <v>1</v>
      </c>
      <c r="D501" s="659"/>
      <c r="E501" s="21">
        <f t="shared" si="86"/>
        <v>1</v>
      </c>
      <c r="F501" s="659"/>
      <c r="G501" s="21">
        <f t="shared" si="87"/>
        <v>1</v>
      </c>
      <c r="H501" s="659"/>
      <c r="I501" s="21">
        <f t="shared" si="88"/>
        <v>1</v>
      </c>
      <c r="J501" s="659"/>
      <c r="K501" s="21">
        <f t="shared" si="89"/>
        <v>1</v>
      </c>
      <c r="L501" s="659"/>
      <c r="M501" s="21">
        <f t="shared" si="90"/>
        <v>1</v>
      </c>
      <c r="N501" s="659"/>
      <c r="O501" s="21">
        <f t="shared" si="91"/>
        <v>1</v>
      </c>
      <c r="P501" s="659"/>
      <c r="Q501" s="21">
        <f t="shared" si="92"/>
        <v>1</v>
      </c>
      <c r="R501" s="655">
        <f t="shared" si="93"/>
        <v>0</v>
      </c>
      <c r="S501" s="311">
        <f t="shared" si="94"/>
        <v>0</v>
      </c>
    </row>
    <row r="502" spans="1:19">
      <c r="A502" s="145"/>
      <c r="B502" s="54"/>
      <c r="C502" s="21">
        <f t="shared" si="85"/>
        <v>1</v>
      </c>
      <c r="D502" s="659"/>
      <c r="E502" s="21">
        <f t="shared" si="86"/>
        <v>1</v>
      </c>
      <c r="F502" s="659"/>
      <c r="G502" s="21">
        <f t="shared" si="87"/>
        <v>1</v>
      </c>
      <c r="H502" s="659"/>
      <c r="I502" s="21">
        <f t="shared" si="88"/>
        <v>1</v>
      </c>
      <c r="J502" s="659"/>
      <c r="K502" s="21">
        <f t="shared" si="89"/>
        <v>1</v>
      </c>
      <c r="L502" s="659"/>
      <c r="M502" s="21">
        <f t="shared" si="90"/>
        <v>1</v>
      </c>
      <c r="N502" s="659"/>
      <c r="O502" s="21">
        <f t="shared" si="91"/>
        <v>1</v>
      </c>
      <c r="P502" s="659"/>
      <c r="Q502" s="21">
        <f t="shared" si="92"/>
        <v>1</v>
      </c>
      <c r="R502" s="655">
        <f t="shared" si="93"/>
        <v>0</v>
      </c>
      <c r="S502" s="311">
        <f t="shared" si="94"/>
        <v>0</v>
      </c>
    </row>
    <row r="503" spans="1:19">
      <c r="A503" s="145"/>
      <c r="B503" s="54"/>
      <c r="C503" s="21">
        <f t="shared" si="85"/>
        <v>1</v>
      </c>
      <c r="D503" s="659"/>
      <c r="E503" s="21">
        <f t="shared" si="86"/>
        <v>1</v>
      </c>
      <c r="F503" s="659"/>
      <c r="G503" s="21">
        <f t="shared" si="87"/>
        <v>1</v>
      </c>
      <c r="H503" s="659"/>
      <c r="I503" s="21">
        <f t="shared" si="88"/>
        <v>1</v>
      </c>
      <c r="J503" s="659"/>
      <c r="K503" s="21">
        <f t="shared" si="89"/>
        <v>1</v>
      </c>
      <c r="L503" s="659"/>
      <c r="M503" s="21">
        <f t="shared" si="90"/>
        <v>1</v>
      </c>
      <c r="N503" s="659"/>
      <c r="O503" s="21">
        <f t="shared" si="91"/>
        <v>1</v>
      </c>
      <c r="P503" s="659"/>
      <c r="Q503" s="21">
        <f t="shared" si="92"/>
        <v>1</v>
      </c>
      <c r="R503" s="655">
        <f t="shared" si="93"/>
        <v>0</v>
      </c>
      <c r="S503" s="311">
        <f t="shared" si="94"/>
        <v>0</v>
      </c>
    </row>
    <row r="504" spans="1:19">
      <c r="A504" s="145"/>
      <c r="B504" s="54"/>
      <c r="C504" s="21">
        <f t="shared" si="85"/>
        <v>1</v>
      </c>
      <c r="D504" s="659"/>
      <c r="E504" s="21">
        <f t="shared" si="86"/>
        <v>1</v>
      </c>
      <c r="F504" s="659"/>
      <c r="G504" s="21">
        <f t="shared" si="87"/>
        <v>1</v>
      </c>
      <c r="H504" s="659"/>
      <c r="I504" s="21">
        <f t="shared" si="88"/>
        <v>1</v>
      </c>
      <c r="J504" s="659"/>
      <c r="K504" s="21">
        <f t="shared" si="89"/>
        <v>1</v>
      </c>
      <c r="L504" s="659"/>
      <c r="M504" s="21">
        <f t="shared" si="90"/>
        <v>1</v>
      </c>
      <c r="N504" s="659"/>
      <c r="O504" s="21">
        <f t="shared" si="91"/>
        <v>1</v>
      </c>
      <c r="P504" s="659"/>
      <c r="Q504" s="21">
        <f t="shared" si="92"/>
        <v>1</v>
      </c>
      <c r="R504" s="655">
        <f t="shared" si="93"/>
        <v>0</v>
      </c>
      <c r="S504" s="311">
        <f t="shared" si="94"/>
        <v>0</v>
      </c>
    </row>
    <row r="505" spans="1:19">
      <c r="A505" s="145"/>
      <c r="B505" s="54"/>
      <c r="C505" s="21">
        <f t="shared" si="85"/>
        <v>1</v>
      </c>
      <c r="D505" s="659"/>
      <c r="E505" s="21">
        <f t="shared" si="86"/>
        <v>1</v>
      </c>
      <c r="F505" s="659"/>
      <c r="G505" s="21">
        <f t="shared" si="87"/>
        <v>1</v>
      </c>
      <c r="H505" s="659"/>
      <c r="I505" s="21">
        <f t="shared" si="88"/>
        <v>1</v>
      </c>
      <c r="J505" s="659"/>
      <c r="K505" s="21">
        <f t="shared" si="89"/>
        <v>1</v>
      </c>
      <c r="L505" s="659"/>
      <c r="M505" s="21">
        <f t="shared" si="90"/>
        <v>1</v>
      </c>
      <c r="N505" s="659"/>
      <c r="O505" s="21">
        <f t="shared" si="91"/>
        <v>1</v>
      </c>
      <c r="P505" s="659"/>
      <c r="Q505" s="21">
        <f t="shared" si="92"/>
        <v>1</v>
      </c>
      <c r="R505" s="655">
        <f t="shared" si="93"/>
        <v>0</v>
      </c>
      <c r="S505" s="311">
        <f t="shared" si="94"/>
        <v>0</v>
      </c>
    </row>
    <row r="506" spans="1:19">
      <c r="A506" s="145"/>
      <c r="B506" s="54"/>
      <c r="C506" s="21">
        <f t="shared" si="85"/>
        <v>1</v>
      </c>
      <c r="D506" s="659"/>
      <c r="E506" s="21">
        <f t="shared" si="86"/>
        <v>1</v>
      </c>
      <c r="F506" s="659"/>
      <c r="G506" s="21">
        <f t="shared" si="87"/>
        <v>1</v>
      </c>
      <c r="H506" s="659"/>
      <c r="I506" s="21">
        <f t="shared" si="88"/>
        <v>1</v>
      </c>
      <c r="J506" s="659"/>
      <c r="K506" s="21">
        <f t="shared" si="89"/>
        <v>1</v>
      </c>
      <c r="L506" s="659"/>
      <c r="M506" s="21">
        <f t="shared" si="90"/>
        <v>1</v>
      </c>
      <c r="N506" s="659"/>
      <c r="O506" s="21">
        <f t="shared" si="91"/>
        <v>1</v>
      </c>
      <c r="P506" s="659"/>
      <c r="Q506" s="21">
        <f t="shared" si="92"/>
        <v>1</v>
      </c>
      <c r="R506" s="655">
        <f t="shared" si="93"/>
        <v>0</v>
      </c>
      <c r="S506" s="311">
        <f t="shared" si="94"/>
        <v>0</v>
      </c>
    </row>
    <row r="507" spans="1:19">
      <c r="A507" s="145"/>
      <c r="B507" s="54"/>
      <c r="C507" s="21">
        <f t="shared" si="85"/>
        <v>1</v>
      </c>
      <c r="D507" s="659"/>
      <c r="E507" s="21">
        <f t="shared" si="86"/>
        <v>1</v>
      </c>
      <c r="F507" s="659"/>
      <c r="G507" s="21">
        <f t="shared" si="87"/>
        <v>1</v>
      </c>
      <c r="H507" s="659"/>
      <c r="I507" s="21">
        <f t="shared" si="88"/>
        <v>1</v>
      </c>
      <c r="J507" s="659"/>
      <c r="K507" s="21">
        <f t="shared" si="89"/>
        <v>1</v>
      </c>
      <c r="L507" s="659"/>
      <c r="M507" s="21">
        <f t="shared" si="90"/>
        <v>1</v>
      </c>
      <c r="N507" s="659"/>
      <c r="O507" s="21">
        <f t="shared" si="91"/>
        <v>1</v>
      </c>
      <c r="P507" s="659"/>
      <c r="Q507" s="21">
        <f t="shared" si="92"/>
        <v>1</v>
      </c>
      <c r="R507" s="655">
        <f t="shared" si="93"/>
        <v>0</v>
      </c>
      <c r="S507" s="311">
        <f t="shared" si="94"/>
        <v>0</v>
      </c>
    </row>
    <row r="508" spans="1:19">
      <c r="A508" s="145"/>
      <c r="B508" s="54"/>
      <c r="C508" s="21">
        <f t="shared" si="85"/>
        <v>1</v>
      </c>
      <c r="D508" s="659"/>
      <c r="E508" s="21">
        <f t="shared" si="86"/>
        <v>1</v>
      </c>
      <c r="F508" s="659"/>
      <c r="G508" s="21">
        <f t="shared" si="87"/>
        <v>1</v>
      </c>
      <c r="H508" s="659"/>
      <c r="I508" s="21">
        <f t="shared" si="88"/>
        <v>1</v>
      </c>
      <c r="J508" s="659"/>
      <c r="K508" s="21">
        <f t="shared" si="89"/>
        <v>1</v>
      </c>
      <c r="L508" s="659"/>
      <c r="M508" s="21">
        <f t="shared" si="90"/>
        <v>1</v>
      </c>
      <c r="N508" s="659"/>
      <c r="O508" s="21">
        <f t="shared" si="91"/>
        <v>1</v>
      </c>
      <c r="P508" s="659"/>
      <c r="Q508" s="21">
        <f t="shared" si="92"/>
        <v>1</v>
      </c>
      <c r="R508" s="655">
        <f t="shared" si="93"/>
        <v>0</v>
      </c>
      <c r="S508" s="311">
        <f t="shared" si="94"/>
        <v>0</v>
      </c>
    </row>
    <row r="509" spans="1:19">
      <c r="A509" s="145"/>
      <c r="B509" s="54"/>
      <c r="C509" s="21">
        <f t="shared" si="85"/>
        <v>1</v>
      </c>
      <c r="D509" s="659"/>
      <c r="E509" s="21">
        <f t="shared" si="86"/>
        <v>1</v>
      </c>
      <c r="F509" s="659"/>
      <c r="G509" s="21">
        <f t="shared" si="87"/>
        <v>1</v>
      </c>
      <c r="H509" s="659"/>
      <c r="I509" s="21">
        <f t="shared" si="88"/>
        <v>1</v>
      </c>
      <c r="J509" s="659"/>
      <c r="K509" s="21">
        <f t="shared" si="89"/>
        <v>1</v>
      </c>
      <c r="L509" s="659"/>
      <c r="M509" s="21">
        <f t="shared" si="90"/>
        <v>1</v>
      </c>
      <c r="N509" s="659"/>
      <c r="O509" s="21">
        <f t="shared" si="91"/>
        <v>1</v>
      </c>
      <c r="P509" s="659"/>
      <c r="Q509" s="21">
        <f t="shared" si="92"/>
        <v>1</v>
      </c>
      <c r="R509" s="655">
        <f t="shared" si="93"/>
        <v>0</v>
      </c>
      <c r="S509" s="311">
        <f t="shared" si="94"/>
        <v>0</v>
      </c>
    </row>
    <row r="510" spans="1:19">
      <c r="A510" s="145"/>
      <c r="B510" s="54"/>
      <c r="C510" s="21">
        <f t="shared" si="85"/>
        <v>1</v>
      </c>
      <c r="D510" s="659"/>
      <c r="E510" s="21">
        <f t="shared" si="86"/>
        <v>1</v>
      </c>
      <c r="F510" s="659"/>
      <c r="G510" s="21">
        <f t="shared" si="87"/>
        <v>1</v>
      </c>
      <c r="H510" s="659"/>
      <c r="I510" s="21">
        <f t="shared" si="88"/>
        <v>1</v>
      </c>
      <c r="J510" s="659"/>
      <c r="K510" s="21">
        <f t="shared" si="89"/>
        <v>1</v>
      </c>
      <c r="L510" s="659"/>
      <c r="M510" s="21">
        <f t="shared" si="90"/>
        <v>1</v>
      </c>
      <c r="N510" s="659"/>
      <c r="O510" s="21">
        <f t="shared" si="91"/>
        <v>1</v>
      </c>
      <c r="P510" s="659"/>
      <c r="Q510" s="21">
        <f t="shared" si="92"/>
        <v>1</v>
      </c>
      <c r="R510" s="655">
        <f t="shared" si="93"/>
        <v>0</v>
      </c>
      <c r="S510" s="311">
        <f t="shared" si="94"/>
        <v>0</v>
      </c>
    </row>
    <row r="511" spans="1:19">
      <c r="A511" s="145"/>
      <c r="B511" s="54"/>
      <c r="C511" s="21">
        <f t="shared" si="85"/>
        <v>1</v>
      </c>
      <c r="D511" s="659"/>
      <c r="E511" s="21">
        <f t="shared" si="86"/>
        <v>1</v>
      </c>
      <c r="F511" s="659"/>
      <c r="G511" s="21">
        <f t="shared" si="87"/>
        <v>1</v>
      </c>
      <c r="H511" s="659"/>
      <c r="I511" s="21">
        <f t="shared" si="88"/>
        <v>1</v>
      </c>
      <c r="J511" s="659"/>
      <c r="K511" s="21">
        <f t="shared" si="89"/>
        <v>1</v>
      </c>
      <c r="L511" s="659"/>
      <c r="M511" s="21">
        <f t="shared" si="90"/>
        <v>1</v>
      </c>
      <c r="N511" s="659"/>
      <c r="O511" s="21">
        <f t="shared" si="91"/>
        <v>1</v>
      </c>
      <c r="P511" s="659"/>
      <c r="Q511" s="21">
        <f t="shared" si="92"/>
        <v>1</v>
      </c>
      <c r="R511" s="655">
        <f t="shared" si="93"/>
        <v>0</v>
      </c>
      <c r="S511" s="311">
        <f t="shared" si="94"/>
        <v>0</v>
      </c>
    </row>
    <row r="512" spans="1:19">
      <c r="A512" s="145"/>
      <c r="B512" s="54"/>
      <c r="C512" s="21">
        <f t="shared" si="85"/>
        <v>1</v>
      </c>
      <c r="D512" s="659"/>
      <c r="E512" s="21">
        <f t="shared" si="86"/>
        <v>1</v>
      </c>
      <c r="F512" s="659"/>
      <c r="G512" s="21">
        <f t="shared" si="87"/>
        <v>1</v>
      </c>
      <c r="H512" s="659"/>
      <c r="I512" s="21">
        <f t="shared" si="88"/>
        <v>1</v>
      </c>
      <c r="J512" s="659"/>
      <c r="K512" s="21">
        <f t="shared" si="89"/>
        <v>1</v>
      </c>
      <c r="L512" s="659"/>
      <c r="M512" s="21">
        <f t="shared" si="90"/>
        <v>1</v>
      </c>
      <c r="N512" s="659"/>
      <c r="O512" s="21">
        <f t="shared" si="91"/>
        <v>1</v>
      </c>
      <c r="P512" s="659"/>
      <c r="Q512" s="21">
        <f t="shared" si="92"/>
        <v>1</v>
      </c>
      <c r="R512" s="655">
        <f t="shared" si="93"/>
        <v>0</v>
      </c>
      <c r="S512" s="311">
        <f t="shared" si="94"/>
        <v>0</v>
      </c>
    </row>
    <row r="513" spans="1:19">
      <c r="A513" s="145"/>
      <c r="B513" s="54"/>
      <c r="C513" s="21">
        <f t="shared" si="85"/>
        <v>1</v>
      </c>
      <c r="D513" s="659"/>
      <c r="E513" s="21">
        <f t="shared" si="86"/>
        <v>1</v>
      </c>
      <c r="F513" s="659"/>
      <c r="G513" s="21">
        <f t="shared" si="87"/>
        <v>1</v>
      </c>
      <c r="H513" s="659"/>
      <c r="I513" s="21">
        <f t="shared" si="88"/>
        <v>1</v>
      </c>
      <c r="J513" s="659"/>
      <c r="K513" s="21">
        <f t="shared" si="89"/>
        <v>1</v>
      </c>
      <c r="L513" s="659"/>
      <c r="M513" s="21">
        <f t="shared" si="90"/>
        <v>1</v>
      </c>
      <c r="N513" s="659"/>
      <c r="O513" s="21">
        <f t="shared" si="91"/>
        <v>1</v>
      </c>
      <c r="P513" s="659"/>
      <c r="Q513" s="21">
        <f t="shared" si="92"/>
        <v>1</v>
      </c>
      <c r="R513" s="655">
        <f t="shared" si="93"/>
        <v>0</v>
      </c>
      <c r="S513" s="311">
        <f t="shared" si="94"/>
        <v>0</v>
      </c>
    </row>
    <row r="514" spans="1:19">
      <c r="A514" s="145"/>
      <c r="B514" s="54"/>
      <c r="C514" s="21">
        <f t="shared" si="85"/>
        <v>1</v>
      </c>
      <c r="D514" s="659"/>
      <c r="E514" s="21">
        <f t="shared" si="86"/>
        <v>1</v>
      </c>
      <c r="F514" s="659"/>
      <c r="G514" s="21">
        <f t="shared" si="87"/>
        <v>1</v>
      </c>
      <c r="H514" s="659"/>
      <c r="I514" s="21">
        <f t="shared" si="88"/>
        <v>1</v>
      </c>
      <c r="J514" s="659"/>
      <c r="K514" s="21">
        <f t="shared" si="89"/>
        <v>1</v>
      </c>
      <c r="L514" s="659"/>
      <c r="M514" s="21">
        <f t="shared" si="90"/>
        <v>1</v>
      </c>
      <c r="N514" s="659"/>
      <c r="O514" s="21">
        <f t="shared" si="91"/>
        <v>1</v>
      </c>
      <c r="P514" s="659"/>
      <c r="Q514" s="21">
        <f t="shared" si="92"/>
        <v>1</v>
      </c>
      <c r="R514" s="655">
        <f t="shared" si="93"/>
        <v>0</v>
      </c>
      <c r="S514" s="311">
        <f t="shared" si="94"/>
        <v>0</v>
      </c>
    </row>
    <row r="515" spans="1:19">
      <c r="A515" s="145"/>
      <c r="B515" s="54"/>
      <c r="C515" s="21">
        <f t="shared" si="85"/>
        <v>1</v>
      </c>
      <c r="D515" s="659"/>
      <c r="E515" s="21">
        <f t="shared" si="86"/>
        <v>1</v>
      </c>
      <c r="F515" s="659"/>
      <c r="G515" s="21">
        <f t="shared" si="87"/>
        <v>1</v>
      </c>
      <c r="H515" s="659"/>
      <c r="I515" s="21">
        <f t="shared" si="88"/>
        <v>1</v>
      </c>
      <c r="J515" s="659"/>
      <c r="K515" s="21">
        <f t="shared" si="89"/>
        <v>1</v>
      </c>
      <c r="L515" s="659"/>
      <c r="M515" s="21">
        <f t="shared" si="90"/>
        <v>1</v>
      </c>
      <c r="N515" s="659"/>
      <c r="O515" s="21">
        <f t="shared" si="91"/>
        <v>1</v>
      </c>
      <c r="P515" s="659"/>
      <c r="Q515" s="21">
        <f t="shared" si="92"/>
        <v>1</v>
      </c>
      <c r="R515" s="655">
        <f t="shared" si="93"/>
        <v>0</v>
      </c>
      <c r="S515" s="311">
        <f t="shared" si="94"/>
        <v>0</v>
      </c>
    </row>
    <row r="516" spans="1:19">
      <c r="A516" s="145"/>
      <c r="B516" s="54"/>
      <c r="C516" s="21">
        <f t="shared" si="85"/>
        <v>1</v>
      </c>
      <c r="D516" s="659"/>
      <c r="E516" s="21">
        <f t="shared" si="86"/>
        <v>1</v>
      </c>
      <c r="F516" s="659"/>
      <c r="G516" s="21">
        <f t="shared" si="87"/>
        <v>1</v>
      </c>
      <c r="H516" s="659"/>
      <c r="I516" s="21">
        <f t="shared" si="88"/>
        <v>1</v>
      </c>
      <c r="J516" s="659"/>
      <c r="K516" s="21">
        <f t="shared" si="89"/>
        <v>1</v>
      </c>
      <c r="L516" s="659"/>
      <c r="M516" s="21">
        <f t="shared" si="90"/>
        <v>1</v>
      </c>
      <c r="N516" s="659"/>
      <c r="O516" s="21">
        <f t="shared" si="91"/>
        <v>1</v>
      </c>
      <c r="P516" s="659"/>
      <c r="Q516" s="21">
        <f t="shared" si="92"/>
        <v>1</v>
      </c>
      <c r="R516" s="655">
        <f t="shared" si="93"/>
        <v>0</v>
      </c>
      <c r="S516" s="311">
        <f t="shared" si="94"/>
        <v>0</v>
      </c>
    </row>
    <row r="517" spans="1:19">
      <c r="A517" s="145"/>
      <c r="B517" s="54"/>
      <c r="C517" s="21">
        <f t="shared" si="85"/>
        <v>1</v>
      </c>
      <c r="D517" s="659"/>
      <c r="E517" s="21">
        <f t="shared" si="86"/>
        <v>1</v>
      </c>
      <c r="F517" s="659"/>
      <c r="G517" s="21">
        <f t="shared" si="87"/>
        <v>1</v>
      </c>
      <c r="H517" s="659"/>
      <c r="I517" s="21">
        <f t="shared" si="88"/>
        <v>1</v>
      </c>
      <c r="J517" s="659"/>
      <c r="K517" s="21">
        <f t="shared" si="89"/>
        <v>1</v>
      </c>
      <c r="L517" s="659"/>
      <c r="M517" s="21">
        <f t="shared" si="90"/>
        <v>1</v>
      </c>
      <c r="N517" s="659"/>
      <c r="O517" s="21">
        <f t="shared" si="91"/>
        <v>1</v>
      </c>
      <c r="P517" s="659"/>
      <c r="Q517" s="21">
        <f t="shared" si="92"/>
        <v>1</v>
      </c>
      <c r="R517" s="655">
        <f t="shared" si="93"/>
        <v>0</v>
      </c>
      <c r="S517" s="311">
        <f t="shared" si="94"/>
        <v>0</v>
      </c>
    </row>
    <row r="518" spans="1:19">
      <c r="A518" s="145"/>
      <c r="B518" s="54"/>
      <c r="C518" s="21">
        <f t="shared" si="85"/>
        <v>1</v>
      </c>
      <c r="D518" s="659"/>
      <c r="E518" s="21">
        <f t="shared" si="86"/>
        <v>1</v>
      </c>
      <c r="F518" s="659"/>
      <c r="G518" s="21">
        <f t="shared" si="87"/>
        <v>1</v>
      </c>
      <c r="H518" s="659"/>
      <c r="I518" s="21">
        <f t="shared" si="88"/>
        <v>1</v>
      </c>
      <c r="J518" s="659"/>
      <c r="K518" s="21">
        <f t="shared" si="89"/>
        <v>1</v>
      </c>
      <c r="L518" s="659"/>
      <c r="M518" s="21">
        <f t="shared" si="90"/>
        <v>1</v>
      </c>
      <c r="N518" s="659"/>
      <c r="O518" s="21">
        <f t="shared" si="91"/>
        <v>1</v>
      </c>
      <c r="P518" s="659"/>
      <c r="Q518" s="21">
        <f t="shared" si="92"/>
        <v>1</v>
      </c>
      <c r="R518" s="655">
        <f t="shared" si="93"/>
        <v>0</v>
      </c>
      <c r="S518" s="311">
        <f t="shared" si="94"/>
        <v>0</v>
      </c>
    </row>
    <row r="519" spans="1:19">
      <c r="A519" s="145"/>
      <c r="B519" s="54"/>
      <c r="C519" s="21">
        <f t="shared" si="85"/>
        <v>1</v>
      </c>
      <c r="D519" s="659"/>
      <c r="E519" s="21">
        <f t="shared" si="86"/>
        <v>1</v>
      </c>
      <c r="F519" s="659"/>
      <c r="G519" s="21">
        <f t="shared" si="87"/>
        <v>1</v>
      </c>
      <c r="H519" s="659"/>
      <c r="I519" s="21">
        <f t="shared" si="88"/>
        <v>1</v>
      </c>
      <c r="J519" s="659"/>
      <c r="K519" s="21">
        <f t="shared" si="89"/>
        <v>1</v>
      </c>
      <c r="L519" s="659"/>
      <c r="M519" s="21">
        <f t="shared" si="90"/>
        <v>1</v>
      </c>
      <c r="N519" s="659"/>
      <c r="O519" s="21">
        <f t="shared" si="91"/>
        <v>1</v>
      </c>
      <c r="P519" s="659"/>
      <c r="Q519" s="21">
        <f t="shared" si="92"/>
        <v>1</v>
      </c>
      <c r="R519" s="655">
        <f t="shared" si="93"/>
        <v>0</v>
      </c>
      <c r="S519" s="311">
        <f t="shared" si="94"/>
        <v>0</v>
      </c>
    </row>
    <row r="520" spans="1:19">
      <c r="A520" s="145"/>
      <c r="B520" s="54"/>
      <c r="C520" s="21">
        <f t="shared" si="85"/>
        <v>1</v>
      </c>
      <c r="D520" s="659"/>
      <c r="E520" s="21">
        <f t="shared" si="86"/>
        <v>1</v>
      </c>
      <c r="F520" s="659"/>
      <c r="G520" s="21">
        <f t="shared" si="87"/>
        <v>1</v>
      </c>
      <c r="H520" s="659"/>
      <c r="I520" s="21">
        <f t="shared" si="88"/>
        <v>1</v>
      </c>
      <c r="J520" s="659"/>
      <c r="K520" s="21">
        <f t="shared" si="89"/>
        <v>1</v>
      </c>
      <c r="L520" s="659"/>
      <c r="M520" s="21">
        <f t="shared" si="90"/>
        <v>1</v>
      </c>
      <c r="N520" s="659"/>
      <c r="O520" s="21">
        <f t="shared" si="91"/>
        <v>1</v>
      </c>
      <c r="P520" s="659"/>
      <c r="Q520" s="21">
        <f t="shared" si="92"/>
        <v>1</v>
      </c>
      <c r="R520" s="655">
        <f t="shared" si="93"/>
        <v>0</v>
      </c>
      <c r="S520" s="311">
        <f t="shared" si="94"/>
        <v>0</v>
      </c>
    </row>
    <row r="521" spans="1:19">
      <c r="A521" s="145"/>
      <c r="B521" s="54"/>
      <c r="C521" s="21">
        <f t="shared" si="85"/>
        <v>1</v>
      </c>
      <c r="D521" s="659"/>
      <c r="E521" s="21">
        <f t="shared" si="86"/>
        <v>1</v>
      </c>
      <c r="F521" s="659"/>
      <c r="G521" s="21">
        <f t="shared" si="87"/>
        <v>1</v>
      </c>
      <c r="H521" s="659"/>
      <c r="I521" s="21">
        <f t="shared" si="88"/>
        <v>1</v>
      </c>
      <c r="J521" s="659"/>
      <c r="K521" s="21">
        <f t="shared" si="89"/>
        <v>1</v>
      </c>
      <c r="L521" s="659"/>
      <c r="M521" s="21">
        <f t="shared" si="90"/>
        <v>1</v>
      </c>
      <c r="N521" s="659"/>
      <c r="O521" s="21">
        <f t="shared" si="91"/>
        <v>1</v>
      </c>
      <c r="P521" s="659"/>
      <c r="Q521" s="21">
        <f t="shared" si="92"/>
        <v>1</v>
      </c>
      <c r="R521" s="655">
        <f t="shared" si="93"/>
        <v>0</v>
      </c>
      <c r="S521" s="311">
        <f t="shared" si="94"/>
        <v>0</v>
      </c>
    </row>
    <row r="522" spans="1:19">
      <c r="A522" s="145"/>
      <c r="B522" s="54"/>
      <c r="C522" s="21">
        <f t="shared" si="85"/>
        <v>1</v>
      </c>
      <c r="D522" s="659"/>
      <c r="E522" s="21">
        <f t="shared" si="86"/>
        <v>1</v>
      </c>
      <c r="F522" s="659"/>
      <c r="G522" s="21">
        <f t="shared" si="87"/>
        <v>1</v>
      </c>
      <c r="H522" s="659"/>
      <c r="I522" s="21">
        <f t="shared" si="88"/>
        <v>1</v>
      </c>
      <c r="J522" s="659"/>
      <c r="K522" s="21">
        <f t="shared" si="89"/>
        <v>1</v>
      </c>
      <c r="L522" s="659"/>
      <c r="M522" s="21">
        <f t="shared" si="90"/>
        <v>1</v>
      </c>
      <c r="N522" s="659"/>
      <c r="O522" s="21">
        <f t="shared" si="91"/>
        <v>1</v>
      </c>
      <c r="P522" s="659"/>
      <c r="Q522" s="21">
        <f t="shared" si="92"/>
        <v>1</v>
      </c>
      <c r="R522" s="655">
        <f t="shared" si="93"/>
        <v>0</v>
      </c>
      <c r="S522" s="311">
        <f t="shared" si="94"/>
        <v>0</v>
      </c>
    </row>
    <row r="523" spans="1:19">
      <c r="A523" s="145"/>
      <c r="B523" s="54"/>
      <c r="C523" s="21">
        <f t="shared" si="85"/>
        <v>1</v>
      </c>
      <c r="D523" s="659"/>
      <c r="E523" s="21">
        <f t="shared" si="86"/>
        <v>1</v>
      </c>
      <c r="F523" s="659"/>
      <c r="G523" s="21">
        <f t="shared" si="87"/>
        <v>1</v>
      </c>
      <c r="H523" s="659"/>
      <c r="I523" s="21">
        <f t="shared" si="88"/>
        <v>1</v>
      </c>
      <c r="J523" s="659"/>
      <c r="K523" s="21">
        <f t="shared" si="89"/>
        <v>1</v>
      </c>
      <c r="L523" s="659"/>
      <c r="M523" s="21">
        <f t="shared" si="90"/>
        <v>1</v>
      </c>
      <c r="N523" s="659"/>
      <c r="O523" s="21">
        <f t="shared" si="91"/>
        <v>1</v>
      </c>
      <c r="P523" s="659"/>
      <c r="Q523" s="21">
        <f t="shared" si="92"/>
        <v>1</v>
      </c>
      <c r="R523" s="655">
        <f t="shared" si="93"/>
        <v>0</v>
      </c>
      <c r="S523" s="311">
        <f t="shared" si="94"/>
        <v>0</v>
      </c>
    </row>
    <row r="524" spans="1:19">
      <c r="A524" s="145"/>
      <c r="B524" s="54"/>
      <c r="C524" s="21">
        <f t="shared" si="85"/>
        <v>1</v>
      </c>
      <c r="D524" s="659"/>
      <c r="E524" s="21">
        <f t="shared" si="86"/>
        <v>1</v>
      </c>
      <c r="F524" s="659"/>
      <c r="G524" s="21">
        <f t="shared" si="87"/>
        <v>1</v>
      </c>
      <c r="H524" s="659"/>
      <c r="I524" s="21">
        <f t="shared" si="88"/>
        <v>1</v>
      </c>
      <c r="J524" s="659"/>
      <c r="K524" s="21">
        <f t="shared" si="89"/>
        <v>1</v>
      </c>
      <c r="L524" s="659"/>
      <c r="M524" s="21">
        <f t="shared" si="90"/>
        <v>1</v>
      </c>
      <c r="N524" s="659"/>
      <c r="O524" s="21">
        <f t="shared" si="91"/>
        <v>1</v>
      </c>
      <c r="P524" s="659"/>
      <c r="Q524" s="21">
        <f t="shared" si="92"/>
        <v>1</v>
      </c>
      <c r="R524" s="655">
        <f t="shared" si="93"/>
        <v>0</v>
      </c>
      <c r="S524" s="31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64" customWidth="1"/>
    <col min="2" max="2" width="12.44140625" style="1464" customWidth="1"/>
    <col min="3" max="3" width="12.109375" style="1464" customWidth="1"/>
    <col min="4" max="4" width="14.109375" style="1464" customWidth="1"/>
    <col min="5" max="5" width="12.44140625" style="1464" customWidth="1"/>
    <col min="6" max="16384" width="9" style="1464"/>
  </cols>
  <sheetData>
    <row r="1" spans="1:16" ht="21.6">
      <c r="A1" s="1844" t="s">
        <v>2081</v>
      </c>
      <c r="B1" s="2119"/>
      <c r="C1" s="2119"/>
      <c r="D1" s="2119"/>
      <c r="E1" s="2119"/>
      <c r="F1" s="2764"/>
      <c r="G1" s="2764"/>
      <c r="H1" s="2764"/>
      <c r="I1" s="2764"/>
      <c r="J1" s="2764"/>
      <c r="K1" s="2764"/>
      <c r="L1" s="2764"/>
      <c r="M1" s="2764"/>
      <c r="N1" s="2764"/>
      <c r="O1" s="2764"/>
      <c r="P1" s="2764"/>
    </row>
    <row r="2" spans="1:16" ht="15.6">
      <c r="A2" s="2117" t="s">
        <v>2073</v>
      </c>
      <c r="B2" s="2573" t="e">
        <f ca="1">SUMIF(B6:B13,"&lt;&gt;#ref!",B6:B13)</f>
        <v>#DIV/0!</v>
      </c>
      <c r="C2" s="2117" t="s">
        <v>2074</v>
      </c>
      <c r="D2" s="2117" t="s">
        <v>2075</v>
      </c>
      <c r="E2" s="2583">
        <f ca="1">SUMIF(E6:E13,"&lt;&gt;#ref!",E6:E13)</f>
        <v>0</v>
      </c>
      <c r="F2" s="2764"/>
      <c r="G2" s="2764"/>
      <c r="H2" s="2764"/>
      <c r="I2" s="2764"/>
      <c r="J2" s="2764"/>
      <c r="K2" s="2764"/>
      <c r="L2" s="2764"/>
      <c r="M2" s="2764"/>
      <c r="N2" s="2764"/>
      <c r="O2" s="2764"/>
      <c r="P2" s="2764"/>
    </row>
    <row r="3" spans="1:16" ht="15.6">
      <c r="A3" s="2117" t="s">
        <v>2076</v>
      </c>
      <c r="B3" s="2573" t="e">
        <f ca="1">ROUND(B2*10000/E2,0)</f>
        <v>#DIV/0!</v>
      </c>
      <c r="C3" s="2117" t="s">
        <v>2082</v>
      </c>
      <c r="D3" s="2764"/>
      <c r="E3" s="2764"/>
      <c r="F3" s="2764"/>
      <c r="G3" s="2764"/>
      <c r="H3" s="2764"/>
      <c r="I3" s="2764"/>
      <c r="J3" s="2764"/>
      <c r="K3" s="2764"/>
      <c r="L3" s="2764"/>
      <c r="M3" s="2764"/>
      <c r="N3" s="2764"/>
      <c r="O3" s="2764"/>
      <c r="P3" s="2764"/>
    </row>
    <row r="4" spans="1:16" ht="15.6">
      <c r="A4" s="2765"/>
      <c r="B4" s="2764"/>
      <c r="C4" s="2764"/>
      <c r="D4" s="2764"/>
      <c r="E4" s="2764"/>
      <c r="F4" s="2764"/>
      <c r="G4" s="2764"/>
      <c r="H4" s="2764"/>
      <c r="I4" s="2764"/>
      <c r="J4" s="2764"/>
      <c r="K4" s="2764"/>
      <c r="L4" s="2764"/>
      <c r="M4" s="2764"/>
      <c r="N4" s="2764"/>
      <c r="O4" s="2764"/>
      <c r="P4" s="2764"/>
    </row>
    <row r="5" spans="1:16" ht="31.2">
      <c r="A5" s="2579" t="s">
        <v>2077</v>
      </c>
      <c r="B5" s="2581" t="s">
        <v>2078</v>
      </c>
      <c r="C5" s="2118"/>
      <c r="D5" s="2764"/>
      <c r="E5" s="2582" t="s">
        <v>2079</v>
      </c>
      <c r="F5" s="2764"/>
      <c r="G5" s="2764"/>
      <c r="H5" s="2764"/>
      <c r="I5" s="2764"/>
      <c r="J5" s="2764"/>
      <c r="K5" s="2764"/>
      <c r="L5" s="2764"/>
      <c r="M5" s="2764"/>
      <c r="N5" s="2764"/>
      <c r="O5" s="2764"/>
      <c r="P5" s="2764"/>
    </row>
    <row r="6" spans="1:16" ht="15.6">
      <c r="A6" s="2580" t="s">
        <v>2080</v>
      </c>
      <c r="B6" s="2573" t="e">
        <f ca="1">SUMIF(INDIRECT("'"&amp;A6&amp;"'"&amp;"!A:A"),"总价",INDIRECT("'"&amp;A6&amp;"'"&amp;"!B:B"))</f>
        <v>#DIV/0!</v>
      </c>
      <c r="C6" s="2117" t="s">
        <v>2074</v>
      </c>
      <c r="D6" s="2764"/>
      <c r="E6" s="2583">
        <f ca="1">SUMIF(INDIRECT("'"&amp;A6&amp;"'"&amp;"!C:C"),"建筑面积",INDIRECT("'"&amp;A6&amp;"'"&amp;"!D:D"))</f>
        <v>0</v>
      </c>
      <c r="F6" s="2764"/>
      <c r="G6" s="2764"/>
      <c r="H6" s="2764"/>
      <c r="I6" s="2764"/>
      <c r="J6" s="2764"/>
      <c r="K6" s="2764"/>
      <c r="L6" s="2764"/>
      <c r="M6" s="2764"/>
      <c r="N6" s="2764"/>
      <c r="O6" s="2764"/>
      <c r="P6" s="2764"/>
    </row>
    <row r="7" spans="1:16" ht="15.6">
      <c r="A7" s="2580"/>
      <c r="B7" s="2573" t="e">
        <f ca="1">SUMIF(INDIRECT("'"&amp;A7&amp;"'"&amp;"!A:A"),"总价",INDIRECT("'"&amp;A7&amp;"'"&amp;"!B:B"))</f>
        <v>#REF!</v>
      </c>
      <c r="C7" s="2117" t="s">
        <v>2074</v>
      </c>
      <c r="D7" s="2764"/>
      <c r="E7" s="2583" t="e">
        <f t="shared" ref="E7:E13" ca="1" si="0">SUMIF(INDIRECT("'"&amp;A7&amp;"'"&amp;"!C:C"),"建筑面积",INDIRECT("'"&amp;A7&amp;"'"&amp;"!D:D"))</f>
        <v>#REF!</v>
      </c>
      <c r="F7" s="2764"/>
      <c r="G7" s="2764"/>
      <c r="H7" s="2764"/>
      <c r="I7" s="2764"/>
      <c r="J7" s="2764"/>
      <c r="K7" s="2764"/>
      <c r="L7" s="2764"/>
      <c r="M7" s="2764"/>
      <c r="N7" s="2764"/>
      <c r="O7" s="2764"/>
      <c r="P7" s="2764"/>
    </row>
    <row r="8" spans="1:16" ht="15.6">
      <c r="A8" s="2580"/>
      <c r="B8" s="2573" t="e">
        <f t="shared" ref="B8:B13" ca="1" si="1">SUMIF(INDIRECT("'"&amp;A8&amp;"'"&amp;"!A:A"),"总价",INDIRECT("'"&amp;A8&amp;"'"&amp;"!B:B"))</f>
        <v>#REF!</v>
      </c>
      <c r="C8" s="2117" t="s">
        <v>2074</v>
      </c>
      <c r="D8" s="2764"/>
      <c r="E8" s="2583" t="e">
        <f t="shared" ca="1" si="0"/>
        <v>#REF!</v>
      </c>
      <c r="F8" s="2764"/>
      <c r="G8" s="2764"/>
      <c r="H8" s="2764"/>
      <c r="I8" s="2764"/>
      <c r="J8" s="2764"/>
      <c r="K8" s="2764"/>
      <c r="L8" s="2764"/>
      <c r="M8" s="2764"/>
      <c r="N8" s="2764"/>
      <c r="O8" s="2764"/>
      <c r="P8" s="2764"/>
    </row>
    <row r="9" spans="1:16" ht="15.6">
      <c r="A9" s="2580"/>
      <c r="B9" s="2573" t="e">
        <f t="shared" ca="1" si="1"/>
        <v>#REF!</v>
      </c>
      <c r="C9" s="2117" t="s">
        <v>2074</v>
      </c>
      <c r="D9" s="2764"/>
      <c r="E9" s="2583" t="e">
        <f t="shared" ca="1" si="0"/>
        <v>#REF!</v>
      </c>
      <c r="F9" s="2764"/>
      <c r="G9" s="2764"/>
      <c r="H9" s="2764"/>
      <c r="I9" s="2764"/>
      <c r="J9" s="2764"/>
      <c r="K9" s="2764"/>
      <c r="L9" s="2764"/>
      <c r="M9" s="2764"/>
      <c r="N9" s="2764"/>
      <c r="O9" s="2764"/>
      <c r="P9" s="2764"/>
    </row>
    <row r="10" spans="1:16" ht="15.6">
      <c r="A10" s="2580"/>
      <c r="B10" s="2573" t="e">
        <f t="shared" ca="1" si="1"/>
        <v>#REF!</v>
      </c>
      <c r="C10" s="2117" t="s">
        <v>2074</v>
      </c>
      <c r="D10" s="2764"/>
      <c r="E10" s="2583" t="e">
        <f t="shared" ca="1" si="0"/>
        <v>#REF!</v>
      </c>
      <c r="F10" s="2764"/>
      <c r="G10" s="2764"/>
      <c r="H10" s="2764"/>
      <c r="I10" s="2764"/>
      <c r="J10" s="2764"/>
      <c r="K10" s="2764"/>
      <c r="L10" s="2764"/>
      <c r="M10" s="2764"/>
      <c r="N10" s="2764"/>
      <c r="O10" s="2764"/>
      <c r="P10" s="2764"/>
    </row>
    <row r="11" spans="1:16" ht="15.6">
      <c r="A11" s="2580"/>
      <c r="B11" s="2573" t="e">
        <f t="shared" ca="1" si="1"/>
        <v>#REF!</v>
      </c>
      <c r="C11" s="2117" t="s">
        <v>2074</v>
      </c>
      <c r="D11" s="2764"/>
      <c r="E11" s="2583" t="e">
        <f t="shared" ca="1" si="0"/>
        <v>#REF!</v>
      </c>
      <c r="F11" s="2764"/>
      <c r="G11" s="2764"/>
      <c r="H11" s="2764"/>
      <c r="I11" s="2764"/>
      <c r="J11" s="2764"/>
      <c r="K11" s="2764"/>
      <c r="L11" s="2764"/>
      <c r="M11" s="2764"/>
      <c r="N11" s="2764"/>
      <c r="O11" s="2764"/>
      <c r="P11" s="2764"/>
    </row>
    <row r="12" spans="1:16" ht="15.6">
      <c r="A12" s="2580"/>
      <c r="B12" s="2573" t="e">
        <f t="shared" ca="1" si="1"/>
        <v>#REF!</v>
      </c>
      <c r="C12" s="2117" t="s">
        <v>2074</v>
      </c>
      <c r="D12" s="2764"/>
      <c r="E12" s="2583" t="e">
        <f t="shared" ca="1" si="0"/>
        <v>#REF!</v>
      </c>
      <c r="F12" s="2764"/>
      <c r="G12" s="2764"/>
      <c r="H12" s="2764"/>
      <c r="I12" s="2764"/>
      <c r="J12" s="2764"/>
      <c r="K12" s="2764"/>
      <c r="L12" s="2764"/>
      <c r="M12" s="2764"/>
      <c r="N12" s="2764"/>
      <c r="O12" s="2764"/>
      <c r="P12" s="2764"/>
    </row>
    <row r="13" spans="1:16" ht="15.6">
      <c r="A13" s="2580"/>
      <c r="B13" s="2573" t="e">
        <f t="shared" ca="1" si="1"/>
        <v>#REF!</v>
      </c>
      <c r="C13" s="2117" t="s">
        <v>2074</v>
      </c>
      <c r="D13" s="2764"/>
      <c r="E13" s="2583"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2025" customWidth="1"/>
    <col min="2" max="2" width="22.44140625" style="2116" customWidth="1"/>
    <col min="3" max="3" width="12" style="1970"/>
    <col min="4" max="4" width="14.88671875" style="1970" customWidth="1"/>
    <col min="5" max="5" width="14.6640625" style="1970" customWidth="1"/>
    <col min="6" max="8" width="12" style="1970"/>
    <col min="9" max="9" width="12.21875" style="1970" bestFit="1" customWidth="1"/>
    <col min="10" max="10" width="12" style="1970"/>
    <col min="11" max="11" width="8.109375" style="2021" customWidth="1"/>
    <col min="12" max="12" width="19.44140625" style="1970" customWidth="1"/>
    <col min="13" max="13" width="8.44140625" style="1970" customWidth="1"/>
    <col min="14" max="14" width="9.77734375" style="1970" customWidth="1"/>
    <col min="15" max="25" width="12" style="1970"/>
    <col min="26" max="26" width="9.33203125" style="2025" customWidth="1"/>
    <col min="27" max="32" width="9.33203125" style="1111" customWidth="1"/>
    <col min="33" max="36" width="9.33203125" style="2025" customWidth="1"/>
    <col min="37" max="38" width="9.33203125" style="1970" customWidth="1"/>
    <col min="39" max="16384" width="12" style="1970"/>
  </cols>
  <sheetData>
    <row r="1" spans="1:36" ht="31.2">
      <c r="A1" s="191" t="s">
        <v>1926</v>
      </c>
      <c r="B1" s="192"/>
      <c r="C1" s="196" t="s">
        <v>1927</v>
      </c>
      <c r="D1" s="337">
        <f>SUM(D33:D34,D37:D42)</f>
        <v>0</v>
      </c>
      <c r="E1" s="1967"/>
      <c r="F1" s="1967"/>
      <c r="G1" s="1967"/>
      <c r="H1" s="1967"/>
      <c r="I1" s="1967"/>
      <c r="J1" s="1967"/>
      <c r="K1" s="1109"/>
      <c r="L1" s="1968" t="s">
        <v>1928</v>
      </c>
      <c r="M1" s="853">
        <f>SUMPRODUCT((区片价!B5:B9=I2)*(区片价!C3:G3=E2)*(区片价!C5:G9))</f>
        <v>0</v>
      </c>
      <c r="N1" s="856">
        <f>SUMPRODUCT((因素修正幅度!B5:B9=I2)*(因素修正幅度!C3:G3=E2)*(因素修正幅度!C5:G9))</f>
        <v>0</v>
      </c>
      <c r="O1" s="1969"/>
      <c r="P1" s="1969"/>
      <c r="Q1" s="1109"/>
      <c r="R1" s="1199" t="s">
        <v>1929</v>
      </c>
      <c r="S1" s="1199" t="s">
        <v>1930</v>
      </c>
      <c r="T1" s="1199" t="s">
        <v>1931</v>
      </c>
      <c r="U1" s="1199" t="s">
        <v>1932</v>
      </c>
      <c r="V1" s="1199" t="s">
        <v>1933</v>
      </c>
      <c r="W1" s="1203"/>
      <c r="X1" s="1203"/>
      <c r="Y1" s="1203"/>
      <c r="Z1" s="1203"/>
      <c r="AA1" s="1203"/>
      <c r="AB1" s="1203"/>
      <c r="AC1" s="1204"/>
      <c r="AD1" s="1205"/>
      <c r="AE1" s="1205"/>
      <c r="AF1" s="1205"/>
      <c r="AG1" s="1205"/>
      <c r="AH1" s="1205"/>
      <c r="AI1" s="1205"/>
      <c r="AJ1" s="1206"/>
    </row>
    <row r="2" spans="1:36" ht="15.6">
      <c r="A2" s="196" t="s">
        <v>1934</v>
      </c>
      <c r="B2" s="199" t="e">
        <f>C30</f>
        <v>#DIV/0!</v>
      </c>
      <c r="C2" s="1971" t="s">
        <v>1935</v>
      </c>
      <c r="D2" s="1972" t="s">
        <v>1936</v>
      </c>
      <c r="E2" s="3393"/>
      <c r="F2" s="1972" t="s">
        <v>1937</v>
      </c>
      <c r="G2" s="1973">
        <f>IF(E2="商业",项目基本情况!B37,IF(E2="办公",项目基本情况!C37,IF(E2="住宅",项目基本情况!D37,IF(E2="工业",项目基本情况!E37,项目基本情况!F37))))</f>
        <v>0</v>
      </c>
      <c r="H2" s="1972" t="s">
        <v>1938</v>
      </c>
      <c r="I2" s="1973">
        <f>IF(E2="商业",项目基本情况!B38,IF(E2="办公",项目基本情况!C38,IF(E2="住宅",项目基本情况!D38,IF(E2="工业",项目基本情况!E38,项目基本情况!F38))))</f>
        <v>0</v>
      </c>
      <c r="J2" s="1974"/>
      <c r="K2" s="1109"/>
      <c r="L2" s="1975" t="s">
        <v>1939</v>
      </c>
      <c r="M2" s="854">
        <f>SUMPRODUCT((区片价!B10:B29=I2)*(区片价!C3:G3=E2)*(区片价!C10:G29))</f>
        <v>0</v>
      </c>
      <c r="N2" s="856">
        <f>SUMPRODUCT((因素修正幅度!B10:B29=I2)*(因素修正幅度!C3:G3=E2)*(因素修正幅度!C10:G29))</f>
        <v>0</v>
      </c>
      <c r="O2" s="1109"/>
      <c r="P2" s="1109"/>
      <c r="Q2" s="1109"/>
      <c r="R2" s="1199">
        <v>1</v>
      </c>
      <c r="S2" s="3332">
        <f>ROUND(SUMPRODUCT((B106:B110=R2)*(C105:N105=G2)*(C106:N110)),4)</f>
        <v>0</v>
      </c>
      <c r="T2" s="3332" t="e">
        <f t="shared" ref="T2:T16" si="0">ROUND($C$5*$C$22*$C$23*$C$24*S2*$C$28,0)</f>
        <v>#DIV/0!</v>
      </c>
      <c r="U2" s="1200"/>
      <c r="V2" s="3332" t="e">
        <f>ROUND(T2*U2/10000,0)</f>
        <v>#DIV/0!</v>
      </c>
      <c r="W2" s="1203"/>
      <c r="X2" s="1203"/>
      <c r="Y2" s="1203"/>
      <c r="Z2" s="1203"/>
      <c r="AA2" s="1203"/>
      <c r="AB2" s="1203"/>
      <c r="AC2" s="1204"/>
      <c r="AD2" s="1205"/>
      <c r="AE2" s="1205"/>
      <c r="AF2" s="1205"/>
      <c r="AG2" s="1205"/>
      <c r="AH2" s="1205"/>
      <c r="AI2" s="1205"/>
      <c r="AJ2" s="1206"/>
    </row>
    <row r="3" spans="1:36" ht="15.6">
      <c r="A3" s="198" t="s">
        <v>1940</v>
      </c>
      <c r="B3" s="199" t="e">
        <f>ROUND(B2*10000/D1,0)</f>
        <v>#DIV/0!</v>
      </c>
      <c r="C3" s="1971" t="s">
        <v>1941</v>
      </c>
      <c r="D3" s="1972" t="s">
        <v>1942</v>
      </c>
      <c r="E3" s="3391"/>
      <c r="F3" s="1976"/>
      <c r="G3" s="742">
        <f>IF(F3="宗地容积率",'数据-汇总表'!I4,IF(F3="估价对象容积率",'数据-汇总表'!I6,'数据-汇总表'!I7))</f>
        <v>0</v>
      </c>
      <c r="H3" s="165" t="s">
        <v>1943</v>
      </c>
      <c r="I3" s="765"/>
      <c r="J3" s="1974" t="s">
        <v>1944</v>
      </c>
      <c r="K3" s="1109"/>
      <c r="L3" s="1975" t="s">
        <v>1945</v>
      </c>
      <c r="M3" s="854">
        <f>SUMPRODUCT((区片价!B30:B54=I2)*(区片价!C3:G3=E2)*(区片价!C30:G54))</f>
        <v>0</v>
      </c>
      <c r="N3" s="856">
        <f>SUMPRODUCT((因素修正幅度!B30:B54=I2)*(因素修正幅度!C3:G3=E2)*(因素修正幅度!C30:G54))</f>
        <v>0</v>
      </c>
      <c r="O3" s="1109"/>
      <c r="P3" s="1109"/>
      <c r="Q3" s="1109"/>
      <c r="R3" s="1199">
        <v>2</v>
      </c>
      <c r="S3" s="3332">
        <f>ROUND(SUMPRODUCT((B106:B110=R3)*(C105:N105=G2)*(C106:N110)),4)</f>
        <v>0</v>
      </c>
      <c r="T3" s="3332" t="e">
        <f t="shared" si="0"/>
        <v>#DIV/0!</v>
      </c>
      <c r="U3" s="1200"/>
      <c r="V3" s="3332" t="e">
        <f t="shared" ref="V3:V16" si="1">ROUND(T3*U3/10000,0)</f>
        <v>#DIV/0!</v>
      </c>
      <c r="W3" s="1203"/>
      <c r="X3" s="1203"/>
      <c r="Y3" s="1203"/>
      <c r="Z3" s="1203"/>
      <c r="AA3" s="1203"/>
      <c r="AB3" s="1203"/>
      <c r="AC3" s="1204"/>
      <c r="AD3" s="1205"/>
      <c r="AE3" s="1205"/>
      <c r="AF3" s="1205"/>
      <c r="AG3" s="1205"/>
      <c r="AH3" s="1205"/>
      <c r="AI3" s="1205"/>
      <c r="AJ3" s="1206"/>
    </row>
    <row r="4" spans="1:36" ht="15.6">
      <c r="A4" s="4262"/>
      <c r="B4" s="4263"/>
      <c r="C4" s="4263"/>
      <c r="D4" s="4264"/>
      <c r="E4" s="4264"/>
      <c r="F4" s="4264"/>
      <c r="G4" s="4264"/>
      <c r="H4" s="4264"/>
      <c r="I4" s="4264"/>
      <c r="J4" s="4265"/>
      <c r="K4" s="1109"/>
      <c r="L4" s="1975" t="s">
        <v>1946</v>
      </c>
      <c r="M4" s="854">
        <f>SUMPRODUCT((区片价!B55:B86=I2)*(区片价!C3:G3=E2)*(区片价!C55:G86))</f>
        <v>0</v>
      </c>
      <c r="N4" s="856">
        <f>SUMPRODUCT((因素修正幅度!B55:B86=I2)*(因素修正幅度!C3:G3=E2)*(因素修正幅度!C55:G86))</f>
        <v>0</v>
      </c>
      <c r="O4" s="1109"/>
      <c r="P4" s="1109"/>
      <c r="Q4" s="1109"/>
      <c r="R4" s="1199">
        <v>3</v>
      </c>
      <c r="S4" s="3332">
        <f>ROUND(SUMPRODUCT((B106:B110=R4)*(C105:N105=G2)*(C106:N110)),4)</f>
        <v>0</v>
      </c>
      <c r="T4" s="3332" t="e">
        <f t="shared" si="0"/>
        <v>#DIV/0!</v>
      </c>
      <c r="U4" s="1200"/>
      <c r="V4" s="3332" t="e">
        <f t="shared" si="1"/>
        <v>#DIV/0!</v>
      </c>
      <c r="W4" s="1203"/>
      <c r="X4" s="1203"/>
      <c r="Y4" s="1203"/>
      <c r="Z4" s="1203"/>
      <c r="AA4" s="1203"/>
      <c r="AB4" s="1203"/>
      <c r="AC4" s="1204"/>
      <c r="AD4" s="1205"/>
      <c r="AE4" s="1205"/>
      <c r="AF4" s="1205"/>
      <c r="AG4" s="1205"/>
      <c r="AH4" s="1205"/>
      <c r="AI4" s="1205"/>
      <c r="AJ4" s="1206"/>
    </row>
    <row r="5" spans="1:36" s="1986" customFormat="1" ht="15.6" thickBot="1">
      <c r="A5" s="1977" t="s">
        <v>362</v>
      </c>
      <c r="B5" s="1978" t="s">
        <v>1947</v>
      </c>
      <c r="C5" s="743" t="e">
        <f>ROUND(IF(E2="商业",C6*C7*C17+C20,(IF(E2="住宅",C6*C13*C17+C20,IF(E2="办公",C6*C12*C17+C20,C6+C20)))),0)</f>
        <v>#DIV/0!</v>
      </c>
      <c r="D5" s="1326" t="e">
        <f>ROUND(C6*C17+C20,0)</f>
        <v>#DIV/0!</v>
      </c>
      <c r="E5" s="1326"/>
      <c r="F5" s="1979"/>
      <c r="G5" s="1980"/>
      <c r="H5" s="1980"/>
      <c r="I5" s="1980"/>
      <c r="J5" s="1981"/>
      <c r="K5" s="1982"/>
      <c r="L5" s="1975" t="s">
        <v>1948</v>
      </c>
      <c r="M5" s="854">
        <f>SUMPRODUCT((区片价!B87:B126=I2)*(区片价!C3:G3=E2)*(区片价!C87:G126))</f>
        <v>0</v>
      </c>
      <c r="N5" s="856">
        <f>SUMPRODUCT((因素修正幅度!B87:B126=I2)*(因素修正幅度!C3:G3=E2)*(因素修正幅度!C87:G126))</f>
        <v>0</v>
      </c>
      <c r="O5" s="1109"/>
      <c r="P5" s="1109"/>
      <c r="Q5" s="1109"/>
      <c r="R5" s="1199">
        <v>4</v>
      </c>
      <c r="S5" s="3332">
        <f>ROUND(SUMPRODUCT((B106:B110=R5)*(C105:N105=G2)*(C106:N110)),4)</f>
        <v>0</v>
      </c>
      <c r="T5" s="3332" t="e">
        <f t="shared" si="0"/>
        <v>#DIV/0!</v>
      </c>
      <c r="U5" s="1200"/>
      <c r="V5" s="3332" t="e">
        <f t="shared" si="1"/>
        <v>#DIV/0!</v>
      </c>
      <c r="W5" s="1203"/>
      <c r="X5" s="1203"/>
      <c r="Y5" s="1203"/>
      <c r="Z5" s="1203"/>
      <c r="AA5" s="1203"/>
      <c r="AB5" s="1203"/>
      <c r="AC5" s="1983"/>
      <c r="AD5" s="1984"/>
      <c r="AE5" s="1984"/>
      <c r="AF5" s="1984"/>
      <c r="AG5" s="1984"/>
      <c r="AH5" s="1984"/>
      <c r="AI5" s="1984"/>
      <c r="AJ5" s="1985"/>
    </row>
    <row r="6" spans="1:36" ht="15.6" thickBot="1">
      <c r="A6" s="1987" t="s">
        <v>1949</v>
      </c>
      <c r="B6" s="1988" t="s">
        <v>1950</v>
      </c>
      <c r="C6" s="744">
        <f>SUMIF(L1:L12,G2,M1:M12)</f>
        <v>0</v>
      </c>
      <c r="D6" s="1989"/>
      <c r="E6" s="1990"/>
      <c r="F6" s="1990"/>
      <c r="G6" s="1991"/>
      <c r="H6" s="1991"/>
      <c r="I6" s="1991"/>
      <c r="J6" s="1992"/>
      <c r="K6" s="1371"/>
      <c r="L6" s="1975" t="s">
        <v>1951</v>
      </c>
      <c r="M6" s="854">
        <f>SUMPRODUCT((区片价!B127:B189=I2)*(区片价!C3:G3=E2)*(区片价!C127:G189))</f>
        <v>0</v>
      </c>
      <c r="N6" s="856">
        <f>SUMPRODUCT((因素修正幅度!B127:B189=I2)*(因素修正幅度!C3:G3=E2)*(因素修正幅度!C127:G189))</f>
        <v>0</v>
      </c>
      <c r="O6" s="1109"/>
      <c r="P6" s="1109"/>
      <c r="Q6" s="1109"/>
      <c r="R6" s="1199">
        <v>5</v>
      </c>
      <c r="S6" s="3332">
        <f>ROUND(SUMPRODUCT((B106:B110=R6)*(C105:N105=G2)*(C106:N110)),4)</f>
        <v>0</v>
      </c>
      <c r="T6" s="3332" t="e">
        <f t="shared" si="0"/>
        <v>#DIV/0!</v>
      </c>
      <c r="U6" s="1200"/>
      <c r="V6" s="3332" t="e">
        <f t="shared" si="1"/>
        <v>#DIV/0!</v>
      </c>
      <c r="W6" s="1203"/>
      <c r="X6" s="1203"/>
      <c r="Y6" s="1203"/>
      <c r="Z6" s="1203"/>
      <c r="AA6" s="1203"/>
      <c r="AB6" s="1203"/>
      <c r="AC6" s="1983"/>
      <c r="AD6" s="1984"/>
      <c r="AE6" s="1984"/>
      <c r="AF6" s="1984"/>
      <c r="AG6" s="1984"/>
      <c r="AH6" s="1984"/>
      <c r="AI6" s="1984"/>
      <c r="AJ6" s="1985"/>
    </row>
    <row r="7" spans="1:36" ht="24.6" thickBot="1">
      <c r="A7" s="3275" t="s">
        <v>3239</v>
      </c>
      <c r="B7" s="1993" t="s">
        <v>1952</v>
      </c>
      <c r="C7" s="745" t="e">
        <f>IF(C8="不临65条商业街",1,ROUND(1+(1.6*E8+1.2*E9+0.8*E10+0.4*E11)*C9,4))</f>
        <v>#DIV/0!</v>
      </c>
      <c r="D7" s="1994" t="s">
        <v>1953</v>
      </c>
      <c r="E7" s="766"/>
      <c r="F7" s="1995"/>
      <c r="G7" s="1996"/>
      <c r="H7" s="1996"/>
      <c r="I7" s="1996"/>
      <c r="J7" s="1997"/>
      <c r="K7" s="1371"/>
      <c r="L7" s="1975" t="s">
        <v>1954</v>
      </c>
      <c r="M7" s="854">
        <f>SUMPRODUCT((区片价!B190:B233=I2)*(区片价!C3:G3=E2)*(区片价!C190:G233))</f>
        <v>0</v>
      </c>
      <c r="N7" s="856">
        <f>SUMPRODUCT((因素修正幅度!B190:B233=I2)*(因素修正幅度!C3:G3=E2)*(因素修正幅度!C190:G233))</f>
        <v>0</v>
      </c>
      <c r="O7" s="1109"/>
      <c r="P7" s="1109"/>
      <c r="Q7" s="1109"/>
      <c r="R7" s="1199">
        <v>6</v>
      </c>
      <c r="S7" s="3390"/>
      <c r="T7" s="3332" t="e">
        <f t="shared" si="0"/>
        <v>#DIV/0!</v>
      </c>
      <c r="U7" s="1200"/>
      <c r="V7" s="3332" t="e">
        <f t="shared" si="1"/>
        <v>#DIV/0!</v>
      </c>
      <c r="W7" s="1345" t="s">
        <v>1955</v>
      </c>
      <c r="X7" s="1201">
        <f>G2</f>
        <v>0</v>
      </c>
      <c r="Y7" s="1201" t="s">
        <v>1956</v>
      </c>
      <c r="Z7" s="1202">
        <f>G3</f>
        <v>0</v>
      </c>
      <c r="AA7" s="1203"/>
      <c r="AB7" s="1203"/>
      <c r="AC7" s="1204"/>
      <c r="AD7" s="1205"/>
      <c r="AE7" s="1205"/>
      <c r="AF7" s="1205"/>
      <c r="AG7" s="1205"/>
      <c r="AH7" s="1205"/>
      <c r="AI7" s="1205"/>
      <c r="AJ7" s="1206"/>
    </row>
    <row r="8" spans="1:36" ht="15">
      <c r="A8" s="3270"/>
      <c r="B8" s="165" t="s">
        <v>1957</v>
      </c>
      <c r="C8" s="1998"/>
      <c r="D8" s="746" t="s">
        <v>112</v>
      </c>
      <c r="E8" s="747" t="e">
        <f>ROUND(C11/E7,4)</f>
        <v>#DIV/0!</v>
      </c>
      <c r="F8" s="1999" t="s">
        <v>1958</v>
      </c>
      <c r="G8" s="2000"/>
      <c r="H8" s="2000"/>
      <c r="I8" s="2000"/>
      <c r="J8" s="2001"/>
      <c r="K8" s="1109"/>
      <c r="L8" s="1975" t="s">
        <v>1959</v>
      </c>
      <c r="M8" s="854">
        <f>SUMPRODUCT((区片价!B234:B276=I2)*(区片价!C3:G3=E2)*(区片价!C234:G276))</f>
        <v>0</v>
      </c>
      <c r="N8" s="856">
        <f>SUMPRODUCT((因素修正幅度!B234:B276=I2)*(因素修正幅度!C3:G3=E2)*(因素修正幅度!C234:G276))</f>
        <v>0</v>
      </c>
      <c r="O8" s="1109"/>
      <c r="P8" s="1109"/>
      <c r="Q8" s="1109"/>
      <c r="R8" s="1199">
        <v>7</v>
      </c>
      <c r="S8" s="1200"/>
      <c r="T8" s="3332" t="e">
        <f t="shared" si="0"/>
        <v>#DIV/0!</v>
      </c>
      <c r="U8" s="1200"/>
      <c r="V8" s="3332" t="e">
        <f t="shared" si="1"/>
        <v>#DIV/0!</v>
      </c>
      <c r="W8" s="4259" t="s">
        <v>1960</v>
      </c>
      <c r="X8" s="4260"/>
      <c r="Y8" s="1207" t="s">
        <v>1961</v>
      </c>
      <c r="Z8" s="1207" t="s">
        <v>1962</v>
      </c>
      <c r="AA8" s="1207" t="s">
        <v>1963</v>
      </c>
      <c r="AB8" s="1207" t="s">
        <v>1964</v>
      </c>
      <c r="AC8" s="1207" t="s">
        <v>1965</v>
      </c>
      <c r="AD8" s="1207" t="s">
        <v>1966</v>
      </c>
      <c r="AE8" s="1207" t="s">
        <v>1967</v>
      </c>
      <c r="AF8" s="1207" t="s">
        <v>1968</v>
      </c>
      <c r="AG8" s="1207" t="s">
        <v>1969</v>
      </c>
      <c r="AH8" s="1207" t="s">
        <v>1970</v>
      </c>
      <c r="AI8" s="1207" t="s">
        <v>1971</v>
      </c>
      <c r="AJ8" s="1207" t="s">
        <v>1972</v>
      </c>
    </row>
    <row r="9" spans="1:36" ht="15">
      <c r="A9" s="3270"/>
      <c r="B9" s="165" t="s">
        <v>1973</v>
      </c>
      <c r="C9" s="748">
        <f>SUMIF(修正!C71:C138,C8,修正!E71:E138)</f>
        <v>0</v>
      </c>
      <c r="D9" s="166" t="s">
        <v>113</v>
      </c>
      <c r="E9" s="166" t="e">
        <f>ROUND(C11/E7,4)</f>
        <v>#DIV/0!</v>
      </c>
      <c r="F9" s="1999" t="s">
        <v>1974</v>
      </c>
      <c r="G9" s="2000"/>
      <c r="H9" s="2000"/>
      <c r="I9" s="2000"/>
      <c r="J9" s="2001"/>
      <c r="K9" s="1109"/>
      <c r="L9" s="1975" t="s">
        <v>1975</v>
      </c>
      <c r="M9" s="854">
        <f>SUMPRODUCT((区片价!B277:B326=I2)*(区片价!C3:G3=E2)*(区片价!C277:G326))</f>
        <v>0</v>
      </c>
      <c r="N9" s="856">
        <f>SUMPRODUCT((因素修正幅度!B277:B326=I2)*(因素修正幅度!C3:G3=E2)*(因素修正幅度!C277:G326))</f>
        <v>0</v>
      </c>
      <c r="O9" s="1109"/>
      <c r="P9" s="1109"/>
      <c r="Q9" s="1109"/>
      <c r="R9" s="1199">
        <v>8</v>
      </c>
      <c r="S9" s="1200"/>
      <c r="T9" s="3332" t="e">
        <f t="shared" si="0"/>
        <v>#DIV/0!</v>
      </c>
      <c r="U9" s="1200"/>
      <c r="V9" s="3332" t="e">
        <f t="shared" si="1"/>
        <v>#DIV/0!</v>
      </c>
      <c r="W9" s="4261"/>
      <c r="X9" s="3333" t="s">
        <v>3270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65" t="s">
        <v>1976</v>
      </c>
      <c r="C10" s="166">
        <f>SUMIF(修正!C71:C138,C8,修正!F71:F138)</f>
        <v>0</v>
      </c>
      <c r="D10" s="166" t="s">
        <v>114</v>
      </c>
      <c r="E10" s="166" t="e">
        <f>ROUND(C11/E7,4)</f>
        <v>#DIV/0!</v>
      </c>
      <c r="F10" s="1999" t="s">
        <v>1977</v>
      </c>
      <c r="G10" s="2000"/>
      <c r="H10" s="2000"/>
      <c r="I10" s="2000"/>
      <c r="J10" s="2001"/>
      <c r="K10" s="1109"/>
      <c r="L10" s="1975" t="s">
        <v>1978</v>
      </c>
      <c r="M10" s="854">
        <f>SUMPRODUCT((区片价!B327:B357=I2)*(区片价!C3:G3=E2)*(区片价!C327:G357))</f>
        <v>0</v>
      </c>
      <c r="N10" s="856">
        <f>SUMPRODUCT((因素修正幅度!B327:B357=I2)*(因素修正幅度!C3:G3=E2)*(因素修正幅度!C327:G357))</f>
        <v>0</v>
      </c>
      <c r="O10" s="1109"/>
      <c r="P10" s="1109"/>
      <c r="Q10" s="1109"/>
      <c r="R10" s="1199">
        <v>9</v>
      </c>
      <c r="S10" s="1200"/>
      <c r="T10" s="3332" t="e">
        <f t="shared" si="0"/>
        <v>#DIV/0!</v>
      </c>
      <c r="U10" s="1200"/>
      <c r="V10" s="3332" t="e">
        <f t="shared" si="1"/>
        <v>#DIV/0!</v>
      </c>
      <c r="W10" s="4261"/>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6" thickBot="1">
      <c r="A11" s="3274"/>
      <c r="B11" s="2002" t="s">
        <v>1979</v>
      </c>
      <c r="C11" s="749">
        <f>C10/4</f>
        <v>0</v>
      </c>
      <c r="D11" s="749" t="s">
        <v>115</v>
      </c>
      <c r="E11" s="749" t="e">
        <f>ROUND(C11/E7,4)</f>
        <v>#DIV/0!</v>
      </c>
      <c r="F11" s="2003" t="s">
        <v>1980</v>
      </c>
      <c r="G11" s="2004"/>
      <c r="H11" s="2004"/>
      <c r="I11" s="2004"/>
      <c r="J11" s="2005"/>
      <c r="K11" s="1109"/>
      <c r="L11" s="1975" t="s">
        <v>1981</v>
      </c>
      <c r="M11" s="854">
        <f>SUMPRODUCT((区片价!B358:B377=I2)*(区片价!C3:G3=E2)*(区片价!C358:G377))</f>
        <v>0</v>
      </c>
      <c r="N11" s="856">
        <f>SUMPRODUCT((因素修正幅度!B358:B377=I2)*(因素修正幅度!C3:G3=E2)*(因素修正幅度!C358:G377))</f>
        <v>0</v>
      </c>
      <c r="O11" s="1109"/>
      <c r="P11" s="1109"/>
      <c r="Q11" s="1109"/>
      <c r="R11" s="1199">
        <v>10</v>
      </c>
      <c r="S11" s="1200"/>
      <c r="T11" s="3332" t="e">
        <f t="shared" si="0"/>
        <v>#DIV/0!</v>
      </c>
      <c r="U11" s="1200"/>
      <c r="V11" s="3332" t="e">
        <f t="shared" si="1"/>
        <v>#DIV/0!</v>
      </c>
      <c r="W11" s="1203"/>
      <c r="X11" s="1203"/>
      <c r="Y11" s="1203"/>
      <c r="Z11" s="1203"/>
      <c r="AA11" s="1203"/>
      <c r="AB11" s="1203"/>
      <c r="AC11" s="1204"/>
      <c r="AD11" s="2760"/>
      <c r="AE11" s="2760"/>
      <c r="AF11" s="2760"/>
      <c r="AG11" s="2760"/>
      <c r="AH11" s="2760"/>
      <c r="AI11" s="2760"/>
      <c r="AJ11" s="2761"/>
    </row>
    <row r="12" spans="1:36" ht="25.8" thickBot="1">
      <c r="A12" s="3275" t="s">
        <v>3240</v>
      </c>
      <c r="B12" s="3276" t="s">
        <v>3241</v>
      </c>
      <c r="C12" s="3277"/>
      <c r="D12" s="3278" t="s">
        <v>3242</v>
      </c>
      <c r="E12" s="3279" t="s">
        <v>3243</v>
      </c>
      <c r="F12" s="3280"/>
      <c r="G12" s="3281"/>
      <c r="H12" s="3281"/>
      <c r="I12" s="3281"/>
      <c r="J12" s="3282"/>
      <c r="K12" s="1109"/>
      <c r="L12" s="2011" t="s">
        <v>1984</v>
      </c>
      <c r="M12" s="855">
        <f>SUMPRODUCT((区片价!B378:B384=I2)*(区片价!C3:G3=E2)*(区片价!C378:G384))</f>
        <v>0</v>
      </c>
      <c r="N12" s="856">
        <f>SUMPRODUCT((因素修正幅度!B378:B384=I2)*(因素修正幅度!C3:G3=E2)*(因素修正幅度!C378:G384))</f>
        <v>0</v>
      </c>
      <c r="O12" s="1109"/>
      <c r="P12" s="1109"/>
      <c r="Q12" s="1109"/>
      <c r="R12" s="1199">
        <v>11</v>
      </c>
      <c r="S12" s="1200"/>
      <c r="T12" s="3332" t="e">
        <f t="shared" si="0"/>
        <v>#DIV/0!</v>
      </c>
      <c r="U12" s="1200"/>
      <c r="V12" s="3332" t="e">
        <f t="shared" si="1"/>
        <v>#DIV/0!</v>
      </c>
      <c r="W12" s="1203"/>
      <c r="X12" s="1203"/>
      <c r="Y12" s="1203"/>
      <c r="Z12" s="1203"/>
      <c r="AA12" s="1203"/>
      <c r="AB12" s="1203"/>
      <c r="AC12" s="1204"/>
      <c r="AD12" s="2760"/>
      <c r="AE12" s="2760"/>
      <c r="AF12" s="2760"/>
      <c r="AG12" s="2760"/>
      <c r="AH12" s="2760"/>
      <c r="AI12" s="2760"/>
      <c r="AJ12" s="2761"/>
    </row>
    <row r="13" spans="1:36" ht="24.6" thickBot="1">
      <c r="A13" s="3275" t="s">
        <v>3244</v>
      </c>
      <c r="B13" s="2006" t="s">
        <v>1982</v>
      </c>
      <c r="C13" s="745">
        <f>ROUND(C16*D16*E16*F16*G16*H16*I16*J16,4)</f>
        <v>0</v>
      </c>
      <c r="D13" s="2007" t="s">
        <v>1983</v>
      </c>
      <c r="E13" s="2008"/>
      <c r="F13" s="2008"/>
      <c r="G13" s="2009"/>
      <c r="H13" s="2009"/>
      <c r="I13" s="2009"/>
      <c r="J13" s="2010"/>
      <c r="K13" s="1109"/>
      <c r="L13" s="3271"/>
      <c r="M13" s="3272"/>
      <c r="N13" s="3273"/>
      <c r="O13" s="1109"/>
      <c r="P13" s="1109"/>
      <c r="Q13" s="1109"/>
      <c r="R13" s="1199">
        <v>12</v>
      </c>
      <c r="S13" s="1200"/>
      <c r="T13" s="3332" t="e">
        <f t="shared" si="0"/>
        <v>#DIV/0!</v>
      </c>
      <c r="U13" s="1200"/>
      <c r="V13" s="3332" t="e">
        <f t="shared" si="1"/>
        <v>#DIV/0!</v>
      </c>
      <c r="W13" s="1203"/>
      <c r="X13" s="1203"/>
      <c r="Y13" s="1203"/>
      <c r="Z13" s="1203"/>
      <c r="AA13" s="1203"/>
      <c r="AB13" s="1203"/>
      <c r="AC13" s="1204"/>
      <c r="AD13" s="2760"/>
      <c r="AE13" s="2760"/>
      <c r="AF13" s="2760"/>
      <c r="AG13" s="2760"/>
      <c r="AH13" s="2760"/>
      <c r="AI13" s="2760"/>
      <c r="AJ13" s="2761"/>
    </row>
    <row r="14" spans="1:36" ht="24">
      <c r="A14" s="3269"/>
      <c r="B14" s="2012" t="s">
        <v>1985</v>
      </c>
      <c r="C14" s="2013" t="s">
        <v>1986</v>
      </c>
      <c r="D14" s="1337" t="s">
        <v>1987</v>
      </c>
      <c r="E14" s="27" t="s">
        <v>1988</v>
      </c>
      <c r="F14" s="3283" t="s">
        <v>3245</v>
      </c>
      <c r="G14" s="3283" t="s">
        <v>3245</v>
      </c>
      <c r="H14" s="3283" t="s">
        <v>3245</v>
      </c>
      <c r="I14" s="3283" t="s">
        <v>3245</v>
      </c>
      <c r="J14" s="3283" t="s">
        <v>3245</v>
      </c>
      <c r="K14" s="1109"/>
      <c r="L14" s="1109"/>
      <c r="M14" s="1109"/>
      <c r="N14" s="1109"/>
      <c r="O14" s="1109"/>
      <c r="P14" s="1109"/>
      <c r="Q14" s="1109"/>
      <c r="R14" s="1199">
        <v>13</v>
      </c>
      <c r="S14" s="1200"/>
      <c r="T14" s="3332" t="e">
        <f t="shared" si="0"/>
        <v>#DIV/0!</v>
      </c>
      <c r="U14" s="1200"/>
      <c r="V14" s="3332" t="e">
        <f t="shared" si="1"/>
        <v>#DIV/0!</v>
      </c>
      <c r="W14" s="1203"/>
      <c r="X14" s="1203"/>
      <c r="Y14" s="1203"/>
      <c r="Z14" s="1203"/>
      <c r="AA14" s="1203"/>
      <c r="AB14" s="1203"/>
      <c r="AC14" s="1204"/>
      <c r="AD14" s="2760"/>
      <c r="AE14" s="2760"/>
      <c r="AF14" s="2760"/>
      <c r="AG14" s="2760"/>
      <c r="AH14" s="2760"/>
      <c r="AI14" s="2760"/>
      <c r="AJ14" s="2761"/>
    </row>
    <row r="15" spans="1:36" ht="15">
      <c r="A15" s="3269"/>
      <c r="B15" s="2014"/>
      <c r="C15" s="2015"/>
      <c r="D15" s="2016"/>
      <c r="E15" s="2017"/>
      <c r="F15" s="3284" t="s">
        <v>3246</v>
      </c>
      <c r="G15" s="3285"/>
      <c r="H15" s="3286"/>
      <c r="I15" s="3287"/>
      <c r="J15" s="3288"/>
      <c r="K15" s="1109"/>
      <c r="L15" s="1109"/>
      <c r="M15" s="1109"/>
      <c r="N15" s="1109"/>
      <c r="O15" s="1109"/>
      <c r="P15" s="1109"/>
      <c r="Q15" s="1109"/>
      <c r="R15" s="1199">
        <v>14</v>
      </c>
      <c r="S15" s="1200"/>
      <c r="T15" s="3332" t="e">
        <f t="shared" si="0"/>
        <v>#DIV/0!</v>
      </c>
      <c r="U15" s="1200"/>
      <c r="V15" s="3332" t="e">
        <f t="shared" si="1"/>
        <v>#DIV/0!</v>
      </c>
      <c r="W15" s="1203"/>
      <c r="X15" s="1203"/>
      <c r="Y15" s="1203"/>
      <c r="Z15" s="1203"/>
      <c r="AA15" s="1203"/>
      <c r="AB15" s="1203"/>
      <c r="AC15" s="1204"/>
      <c r="AD15" s="2760"/>
      <c r="AE15" s="2760"/>
      <c r="AF15" s="2760"/>
      <c r="AG15" s="2760"/>
      <c r="AH15" s="2760"/>
      <c r="AI15" s="2760"/>
      <c r="AJ15" s="2761"/>
    </row>
    <row r="16" spans="1:36" ht="15.6" thickBot="1">
      <c r="A16" s="3269"/>
      <c r="B16" s="3291" t="s">
        <v>1989</v>
      </c>
      <c r="C16" s="3289"/>
      <c r="D16" s="3289"/>
      <c r="E16" s="3289"/>
      <c r="F16" s="3289">
        <v>1</v>
      </c>
      <c r="G16" s="3289">
        <v>1</v>
      </c>
      <c r="H16" s="3289">
        <v>1</v>
      </c>
      <c r="I16" s="3289">
        <v>1</v>
      </c>
      <c r="J16" s="3290">
        <v>1</v>
      </c>
      <c r="K16" s="1109"/>
      <c r="L16" s="1969"/>
      <c r="M16" s="1969"/>
      <c r="N16" s="1969"/>
      <c r="O16" s="1969"/>
      <c r="P16" s="1969"/>
      <c r="Q16" s="1109"/>
      <c r="R16" s="1199">
        <v>15</v>
      </c>
      <c r="S16" s="1200"/>
      <c r="T16" s="3332" t="e">
        <f t="shared" si="0"/>
        <v>#DIV/0!</v>
      </c>
      <c r="U16" s="1200"/>
      <c r="V16" s="3332" t="e">
        <f t="shared" si="1"/>
        <v>#DIV/0!</v>
      </c>
      <c r="W16" s="1203"/>
      <c r="X16" s="1203"/>
      <c r="Y16" s="1203"/>
      <c r="Z16" s="1203"/>
      <c r="AA16" s="1203"/>
      <c r="AB16" s="1203"/>
      <c r="AC16" s="1204"/>
      <c r="AD16" s="2760"/>
      <c r="AE16" s="2760"/>
      <c r="AF16" s="2760"/>
      <c r="AG16" s="2760"/>
      <c r="AH16" s="2760"/>
      <c r="AI16" s="2760"/>
      <c r="AJ16" s="2761"/>
    </row>
    <row r="17" spans="1:37" ht="24">
      <c r="A17" s="3301" t="s">
        <v>3247</v>
      </c>
      <c r="B17" s="3292" t="s">
        <v>3248</v>
      </c>
      <c r="C17" s="3302">
        <f>ROUND(IF(OR(E2="工业",E2="公共服务"),1,IF(AND(E18=0,E19=0),1,IF(AND(E18=J24,E19=G19),0.8,IF(E19=0,1+E17*(-0.2),1+E17*G17*(-0.2))))),4)</f>
        <v>1</v>
      </c>
      <c r="D17" s="3293" t="s">
        <v>3249</v>
      </c>
      <c r="E17" s="3302" t="e">
        <f>ROUND(G18/I18,2)</f>
        <v>#DIV/0!</v>
      </c>
      <c r="F17" s="3293" t="s">
        <v>3252</v>
      </c>
      <c r="G17" s="3302" t="e">
        <f>ROUND(E19/G19,2)</f>
        <v>#DIV/0!</v>
      </c>
      <c r="H17" s="3302"/>
      <c r="I17" s="3302"/>
      <c r="J17" s="3303"/>
      <c r="K17" s="1109"/>
      <c r="L17" s="1969"/>
      <c r="M17" s="1969"/>
      <c r="N17" s="1969"/>
      <c r="O17" s="1969"/>
      <c r="P17" s="1969"/>
      <c r="Q17" s="1109"/>
      <c r="R17" s="1109"/>
      <c r="S17" s="1109"/>
      <c r="T17" s="1109"/>
      <c r="U17" s="1109"/>
      <c r="V17" s="1109"/>
      <c r="W17" s="1109"/>
      <c r="X17" s="1109"/>
      <c r="Y17" s="1109"/>
      <c r="Z17" s="1110"/>
      <c r="AA17" s="1110"/>
      <c r="AB17" s="1110"/>
      <c r="AC17" s="1110"/>
      <c r="AD17" s="1110"/>
      <c r="AE17" s="1109"/>
      <c r="AF17" s="1109"/>
      <c r="AG17" s="1969"/>
      <c r="AH17" s="1969"/>
      <c r="AI17" s="1969"/>
      <c r="AJ17" s="1969"/>
    </row>
    <row r="18" spans="1:37" s="1986" customFormat="1" ht="13.8">
      <c r="A18" s="3304"/>
      <c r="B18" s="2981"/>
      <c r="C18" s="3299"/>
      <c r="D18" s="3294" t="s">
        <v>3250</v>
      </c>
      <c r="E18" s="3300"/>
      <c r="F18" s="3295" t="s">
        <v>3253</v>
      </c>
      <c r="G18" s="3299">
        <f>ROUND(1-(1/(POWER(1+G24,E18))),4)</f>
        <v>0</v>
      </c>
      <c r="H18" s="3295" t="s">
        <v>3255</v>
      </c>
      <c r="I18" s="3299">
        <f>ROUND(1-(1/(POWER(1+G24,J24))),4)</f>
        <v>0</v>
      </c>
      <c r="J18" s="3305"/>
      <c r="K18" s="1109"/>
      <c r="L18" s="1969"/>
      <c r="M18" s="1969"/>
      <c r="N18" s="1969"/>
      <c r="O18" s="1969"/>
      <c r="P18" s="1969"/>
      <c r="Q18" s="1109"/>
      <c r="R18" s="1114"/>
      <c r="S18" s="1114"/>
      <c r="T18" s="1110"/>
      <c r="U18" s="1110"/>
      <c r="V18" s="1110"/>
      <c r="W18" s="1109"/>
      <c r="X18" s="1109"/>
      <c r="Y18" s="1109"/>
      <c r="Z18" s="1115"/>
      <c r="AA18" s="1115"/>
      <c r="AB18" s="1115"/>
      <c r="AC18" s="1115"/>
      <c r="AD18" s="1115"/>
      <c r="AE18" s="1110"/>
      <c r="AF18" s="1110"/>
      <c r="AG18" s="2113"/>
      <c r="AH18" s="2113"/>
      <c r="AI18" s="2113"/>
      <c r="AJ18" s="2759"/>
    </row>
    <row r="19" spans="1:37" s="1986" customFormat="1" ht="14.4" thickBot="1">
      <c r="A19" s="3306"/>
      <c r="B19" s="3307"/>
      <c r="C19" s="3308"/>
      <c r="D19" s="3308" t="s">
        <v>3251</v>
      </c>
      <c r="E19" s="3309"/>
      <c r="F19" s="3310" t="s">
        <v>3254</v>
      </c>
      <c r="G19" s="3309"/>
      <c r="H19" s="3308"/>
      <c r="I19" s="3308"/>
      <c r="J19" s="3311"/>
      <c r="K19" s="1109"/>
      <c r="L19" s="1969"/>
      <c r="M19" s="1969"/>
      <c r="N19" s="1969"/>
      <c r="O19" s="1969"/>
      <c r="P19" s="1969"/>
      <c r="Q19" s="1114"/>
      <c r="R19" s="1114"/>
      <c r="S19" s="1114"/>
      <c r="T19" s="1110"/>
      <c r="U19" s="1110"/>
      <c r="V19" s="1110"/>
      <c r="W19" s="1109"/>
      <c r="X19" s="1109"/>
      <c r="Y19" s="1109"/>
      <c r="Z19" s="1115"/>
      <c r="AA19" s="1115"/>
      <c r="AB19" s="1115"/>
      <c r="AC19" s="1115"/>
      <c r="AD19" s="1115"/>
      <c r="AE19" s="1115"/>
      <c r="AF19" s="1114"/>
      <c r="AG19" s="2762"/>
      <c r="AH19" s="2113"/>
      <c r="AI19" s="2763"/>
      <c r="AJ19" s="2763"/>
      <c r="AK19" s="2029"/>
    </row>
    <row r="20" spans="1:37" s="1986" customFormat="1" ht="13.8">
      <c r="A20" s="4266" t="s">
        <v>3256</v>
      </c>
      <c r="B20" s="162" t="s">
        <v>1994</v>
      </c>
      <c r="C20" s="3296" t="e">
        <f>ROUND(IF(F21="与级别开发程度一致",0,(G21-E21)/C21),0)</f>
        <v>#DIV/0!</v>
      </c>
      <c r="D20" s="3312" t="s">
        <v>1998</v>
      </c>
      <c r="E20" s="3313"/>
      <c r="F20" s="4272" t="s">
        <v>1995</v>
      </c>
      <c r="G20" s="4273"/>
      <c r="H20" s="3297"/>
      <c r="I20" s="3297"/>
      <c r="J20" s="3298"/>
      <c r="K20" s="2019"/>
      <c r="L20" s="2019"/>
      <c r="M20" s="2019"/>
      <c r="N20" s="2019"/>
      <c r="O20" s="2020"/>
      <c r="P20" s="1969"/>
      <c r="Q20" s="1114"/>
      <c r="R20" s="1114"/>
      <c r="S20" s="1114"/>
      <c r="T20" s="1110"/>
      <c r="U20" s="1110"/>
      <c r="V20" s="1110"/>
      <c r="W20" s="1109"/>
      <c r="X20" s="1109"/>
      <c r="Y20" s="1109"/>
      <c r="Z20" s="1115"/>
      <c r="AA20" s="1115"/>
      <c r="AB20" s="1115"/>
      <c r="AC20" s="1115"/>
      <c r="AD20" s="1115"/>
      <c r="AE20" s="1115"/>
      <c r="AF20" s="1115"/>
      <c r="AG20" s="2759"/>
      <c r="AH20" s="2759"/>
      <c r="AI20" s="2759"/>
      <c r="AJ20" s="2759"/>
    </row>
    <row r="21" spans="1:37" s="1986" customFormat="1" ht="14.4" thickBot="1">
      <c r="A21" s="4267"/>
      <c r="B21" s="2136" t="s">
        <v>1997</v>
      </c>
      <c r="C21" s="2137">
        <f>IF(E3="M4科研用地",SUMPRODUCT((修正!A2:A7=E3)*(修正!B1:M1=G2)*(修正!B2:M7)),SUMPRODUCT((修正!A2:A7=E2)*(修正!B1:M1=G2)*(修正!B2:M7)))</f>
        <v>0</v>
      </c>
      <c r="D21" s="182" t="str">
        <f>IF(OR(G2="八级",G2="九级",G2="十级",G2="十一级",G2="十二级"),"五通一平","七通一平")</f>
        <v>七通一平</v>
      </c>
      <c r="E21" s="2127">
        <f>SUMPRODUCT((修正!B1:M1=G2)*(修正!B17:M17))</f>
        <v>0</v>
      </c>
      <c r="F21" s="2128"/>
      <c r="G21" s="2129">
        <f>SUM(H21:O21)</f>
        <v>0</v>
      </c>
      <c r="H21" s="2137">
        <f>SUMPRODUCT((七通一平=H20)*(修正!B1:M1=G2)*(修正!B8:M16))</f>
        <v>0</v>
      </c>
      <c r="I21" s="2137">
        <f>SUMPRODUCT((七通一平=I20)*(修正!B1:M1=G2)*(修正!B8:M16))</f>
        <v>0</v>
      </c>
      <c r="J21" s="2138">
        <f>SUMPRODUCT((七通一平=J20)*(修正!B1:M1=G2)*(修正!B8:M16))</f>
        <v>0</v>
      </c>
      <c r="K21" s="2137">
        <f>SUMPRODUCT((七通一平=K20)*(修正!B1:M1=G2)*(修正!B8:M16))</f>
        <v>0</v>
      </c>
      <c r="L21" s="2137">
        <f>SUMPRODUCT((七通一平=L20)*(修正!B1:M1=G2)*(修正!B8:M16))</f>
        <v>0</v>
      </c>
      <c r="M21" s="2137">
        <f>SUMPRODUCT((七通一平=M20)*(修正!B1:M1=G2)*(修正!B8:M16))</f>
        <v>0</v>
      </c>
      <c r="N21" s="2137">
        <f>SUMPRODUCT((七通一平=N20)*(修正!B1:M1=G2)*(修正!B8:M16))</f>
        <v>0</v>
      </c>
      <c r="O21" s="2139">
        <f>SUMPRODUCT((七通一平=O20)*(修正!B1:M1=G2)*(修正!B8:M16))</f>
        <v>0</v>
      </c>
      <c r="P21" s="1969"/>
      <c r="Q21" s="2759"/>
      <c r="R21" s="1114"/>
      <c r="S21" s="1114"/>
      <c r="T21" s="1110"/>
      <c r="U21" s="1110"/>
      <c r="V21" s="1110"/>
      <c r="W21" s="1109"/>
      <c r="X21" s="1109"/>
      <c r="Y21" s="1109"/>
      <c r="Z21" s="1115"/>
      <c r="AA21" s="1115"/>
      <c r="AB21" s="1115"/>
      <c r="AC21" s="1115"/>
      <c r="AD21" s="1115"/>
      <c r="AE21" s="1115"/>
      <c r="AF21" s="1115"/>
      <c r="AG21" s="2759"/>
      <c r="AH21" s="2759"/>
      <c r="AI21" s="2759"/>
      <c r="AJ21" s="2759"/>
    </row>
    <row r="22" spans="1:37" s="1986" customFormat="1" ht="15" thickBot="1">
      <c r="A22" s="2130" t="s">
        <v>363</v>
      </c>
      <c r="B22" s="2131" t="s">
        <v>2000</v>
      </c>
      <c r="C22" s="2132">
        <f>SUMIF(修正!C20:C51,E3,修正!E20:E51)</f>
        <v>0</v>
      </c>
      <c r="D22" s="2133"/>
      <c r="E22" s="2134"/>
      <c r="F22" s="2134"/>
      <c r="G22" s="2134"/>
      <c r="H22" s="2134"/>
      <c r="I22" s="2134"/>
      <c r="J22" s="2135"/>
      <c r="K22" s="1115"/>
      <c r="L22" s="2759"/>
      <c r="M22" s="2759"/>
      <c r="N22" s="2759"/>
      <c r="O22" s="1113"/>
      <c r="P22" s="1113"/>
      <c r="Q22" s="2759"/>
      <c r="R22" s="1114"/>
      <c r="S22" s="1114"/>
      <c r="T22" s="1110"/>
      <c r="U22" s="1110"/>
      <c r="V22" s="1110"/>
      <c r="W22" s="1109"/>
      <c r="X22" s="1109"/>
      <c r="Y22" s="1109"/>
      <c r="Z22" s="1115"/>
      <c r="AA22" s="1115"/>
      <c r="AB22" s="1115"/>
      <c r="AC22" s="1115"/>
      <c r="AD22" s="1115"/>
      <c r="AE22" s="1115"/>
      <c r="AF22" s="1115"/>
      <c r="AG22" s="2759"/>
      <c r="AH22" s="2759"/>
      <c r="AI22" s="2759"/>
      <c r="AJ22" s="2759"/>
    </row>
    <row r="23" spans="1:37" ht="27" thickBot="1">
      <c r="A23" s="2022" t="s">
        <v>364</v>
      </c>
      <c r="B23" s="2023" t="s">
        <v>2001</v>
      </c>
      <c r="C23" s="75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26" t="s">
        <v>2002</v>
      </c>
      <c r="E23" s="751">
        <v>44197</v>
      </c>
      <c r="F23" s="2026" t="s">
        <v>2003</v>
      </c>
      <c r="G23" s="752">
        <f>'数据-取费表'!B2</f>
        <v>37917</v>
      </c>
      <c r="H23" s="3314" t="s">
        <v>3258</v>
      </c>
      <c r="I23" s="3315" t="str">
        <f>IF(H23="季度增幅（自定义）",SUMIF(N25:N28,E2,O25:O28),"")</f>
        <v/>
      </c>
      <c r="J23" s="3417" t="s">
        <v>3257</v>
      </c>
      <c r="K23" s="1115"/>
      <c r="L23" s="2027" t="s">
        <v>2004</v>
      </c>
      <c r="M23" s="1315">
        <f>ROUND(SUMIF(地价!B2:G2,E2,地价!B16:G16),0)</f>
        <v>0</v>
      </c>
      <c r="N23" s="2028" t="s">
        <v>2005</v>
      </c>
      <c r="O23" s="753" t="e">
        <f>ROUNDDOWN(DATEDIF(E23,G23,"M")/3,0)</f>
        <v>#NUM!</v>
      </c>
      <c r="P23" s="1112"/>
      <c r="Q23" s="2759"/>
      <c r="R23" s="1114"/>
      <c r="S23" s="1114"/>
      <c r="T23" s="1110"/>
      <c r="U23" s="1110"/>
      <c r="V23" s="1110"/>
      <c r="W23" s="1109"/>
      <c r="X23" s="1109"/>
      <c r="Y23" s="1109"/>
      <c r="Z23" s="1115"/>
      <c r="AA23" s="1115"/>
      <c r="AB23" s="1115"/>
      <c r="AC23" s="1115"/>
      <c r="AD23" s="1115"/>
      <c r="AE23" s="1110"/>
      <c r="AF23" s="1110"/>
      <c r="AG23" s="2113"/>
      <c r="AH23" s="2113"/>
      <c r="AI23" s="2113"/>
      <c r="AJ23" s="2113"/>
      <c r="AK23" s="2025"/>
    </row>
    <row r="24" spans="1:37" s="1986" customFormat="1" ht="24.6" thickBot="1">
      <c r="A24" s="2030" t="s">
        <v>365</v>
      </c>
      <c r="B24" s="2031" t="s">
        <v>2006</v>
      </c>
      <c r="C24" s="754" t="e">
        <f>ROUND(POWER(1+G24,J24-I24)*(POWER(1+G24,I24)-1)/(POWER(1+G24,J24)-1),4)</f>
        <v>#DIV/0!</v>
      </c>
      <c r="D24" s="2032" t="s">
        <v>2007</v>
      </c>
      <c r="E24" s="1322">
        <f>存贷款利率!E26/100</f>
        <v>4.3499999999999997E-2</v>
      </c>
      <c r="F24" s="2032" t="s">
        <v>1999</v>
      </c>
      <c r="G24" s="758">
        <f>SUMIF(M30:Q30,E2,M33:Q33)</f>
        <v>0</v>
      </c>
      <c r="H24" s="2032" t="s">
        <v>2008</v>
      </c>
      <c r="I24" s="759" t="e">
        <f>SUMIF('数据-取费表'!C6:C15,E2,'数据-取费表'!F6:F15)/COUNTIF('数据-取费表'!C6:C15,E2)</f>
        <v>#DIV/0!</v>
      </c>
      <c r="J24" s="760">
        <f>IF(E2="住宅",70,IF(E2="商业",40,50))</f>
        <v>50</v>
      </c>
      <c r="K24" s="1115"/>
      <c r="L24" s="2033" t="s">
        <v>2009</v>
      </c>
      <c r="M24" s="1316">
        <f>ROUND(SUMPRODUCT((地价!A4:A16=YEAR(G23)&amp;"-"&amp;ROUNDUP(MONTH(G23)/3,0))*(地价!B2:G2=E2)*(地价!B4:G16)),0)</f>
        <v>0</v>
      </c>
      <c r="N24" s="2034" t="s">
        <v>2010</v>
      </c>
      <c r="O24" s="2035" t="s">
        <v>2011</v>
      </c>
      <c r="P24" s="2036" t="s">
        <v>2012</v>
      </c>
      <c r="Q24" s="1969"/>
      <c r="R24" s="1114"/>
      <c r="S24" s="1114"/>
      <c r="T24" s="1110"/>
      <c r="U24" s="1110"/>
      <c r="V24" s="1110"/>
      <c r="W24" s="1109"/>
      <c r="X24" s="1109"/>
      <c r="Y24" s="1109"/>
      <c r="Z24" s="1115"/>
      <c r="AA24" s="1115"/>
      <c r="AB24" s="1115"/>
      <c r="AC24" s="1115"/>
      <c r="AD24" s="1115"/>
      <c r="AE24" s="1115"/>
      <c r="AF24" s="1115"/>
      <c r="AG24" s="2759"/>
      <c r="AH24" s="2759"/>
      <c r="AI24" s="2759"/>
      <c r="AJ24" s="2759"/>
    </row>
    <row r="25" spans="1:37" ht="14.4">
      <c r="A25" s="2037" t="s">
        <v>366</v>
      </c>
      <c r="B25" s="2038" t="s">
        <v>3337</v>
      </c>
      <c r="C25" s="761">
        <f>IF(B25="容积率修正",IF(G3&lt;10,D26,J26),C27)</f>
        <v>0</v>
      </c>
      <c r="D25" s="2039"/>
      <c r="E25" s="2039"/>
      <c r="F25" s="2039"/>
      <c r="G25" s="2039"/>
      <c r="H25" s="2039"/>
      <c r="I25" s="2039"/>
      <c r="J25" s="2040"/>
      <c r="K25" s="1115"/>
      <c r="L25" s="2759"/>
      <c r="M25" s="2759"/>
      <c r="N25" s="2041" t="s">
        <v>2013</v>
      </c>
      <c r="O25" s="1160"/>
      <c r="P25" s="1161">
        <f>SUMPRODUCT((地价!A3:A40=YEAR(G23)&amp;"-"&amp;ROUNDUP(MONTH(G23)/3,0))*(地价!AD2:AH2=N25)*(地价!AD3:AH40))</f>
        <v>0</v>
      </c>
      <c r="Q25" s="2759"/>
      <c r="R25" s="1114"/>
      <c r="S25" s="1114"/>
      <c r="T25" s="1110"/>
      <c r="U25" s="1110"/>
      <c r="V25" s="1110"/>
      <c r="W25" s="1109"/>
      <c r="X25" s="1109"/>
      <c r="Y25" s="1109"/>
      <c r="Z25" s="1115"/>
      <c r="AA25" s="1115"/>
      <c r="AB25" s="1115"/>
      <c r="AC25" s="1115"/>
      <c r="AD25" s="1115"/>
      <c r="AE25" s="1110"/>
      <c r="AF25" s="1110"/>
      <c r="AG25" s="2113"/>
      <c r="AH25" s="2113"/>
      <c r="AI25" s="2113"/>
      <c r="AJ25" s="2113"/>
    </row>
    <row r="26" spans="1:37" ht="14.4">
      <c r="A26" s="1927" t="s">
        <v>2014</v>
      </c>
      <c r="B26" s="2042" t="s">
        <v>2015</v>
      </c>
      <c r="C26" s="3316" t="s">
        <v>3259</v>
      </c>
      <c r="D26" s="1339">
        <f>IF(E26=G26,F26,IF(G3&lt;10,ROUND(F26+(H26-F26)*(G3-E26)/(G26-E26),4),"——"))</f>
        <v>0</v>
      </c>
      <c r="E26" s="742">
        <f>ROUNDDOWN(G3,1)</f>
        <v>0</v>
      </c>
      <c r="F26" s="13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2">
        <f>ROUNDUP(G3,1)</f>
        <v>0</v>
      </c>
      <c r="H26" s="13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6" t="s">
        <v>3260</v>
      </c>
      <c r="J26" s="762" t="str">
        <f>IF(G3&gt;=10,D115,"——")</f>
        <v>——</v>
      </c>
      <c r="K26" s="1115"/>
      <c r="L26" s="2759"/>
      <c r="M26" s="2759"/>
      <c r="N26" s="2041" t="s">
        <v>2016</v>
      </c>
      <c r="O26" s="1160"/>
      <c r="P26" s="1161">
        <f>SUMPRODUCT((地价!A3:A40=YEAR(G23)&amp;"-"&amp;ROUNDUP(MONTH(G23)/3,0))*(地价!AD2:AH2=N26)*(地价!AD3:AH40))</f>
        <v>0</v>
      </c>
      <c r="Q26" s="1969"/>
      <c r="R26" s="1114"/>
      <c r="S26" s="1114"/>
      <c r="T26" s="1110"/>
      <c r="U26" s="1110"/>
      <c r="V26" s="1110"/>
      <c r="W26" s="1109"/>
      <c r="X26" s="1109"/>
      <c r="Y26" s="1109"/>
      <c r="Z26" s="1115"/>
      <c r="AA26" s="1115"/>
      <c r="AB26" s="1115"/>
      <c r="AC26" s="1115"/>
      <c r="AD26" s="1115"/>
      <c r="AE26" s="1110"/>
      <c r="AF26" s="1110"/>
      <c r="AG26" s="2113"/>
      <c r="AH26" s="2113"/>
      <c r="AI26" s="2113"/>
      <c r="AJ26" s="2113"/>
    </row>
    <row r="27" spans="1:37" ht="15" thickBot="1">
      <c r="A27" s="1927" t="s">
        <v>2017</v>
      </c>
      <c r="B27" s="2043" t="s">
        <v>2018</v>
      </c>
      <c r="C27" s="831">
        <f>ROUND(IF(I3&lt;6,SUMPRODUCT((B106:B110=I3)*(C105:N105=G2)*(C106:N110)),SUMIF(C105:N105,G2,C112:N112)),4)</f>
        <v>0</v>
      </c>
      <c r="D27" s="2018"/>
      <c r="E27" s="2018"/>
      <c r="F27" s="2044"/>
      <c r="G27" s="2045"/>
      <c r="H27" s="2046"/>
      <c r="I27" s="2047"/>
      <c r="J27" s="2048"/>
      <c r="K27" s="1109"/>
      <c r="L27" s="1969"/>
      <c r="M27" s="1969"/>
      <c r="N27" s="2041" t="s">
        <v>2019</v>
      </c>
      <c r="O27" s="1160"/>
      <c r="P27" s="1161">
        <f>SUMPRODUCT((地价!A3:A40=YEAR(G23)&amp;"-"&amp;ROUNDUP(MONTH(G23)/3,0))*(地价!AD2:AH2=N27)*(地价!AD3:AH40))</f>
        <v>0</v>
      </c>
      <c r="Q27" s="1969"/>
      <c r="R27" s="1114"/>
      <c r="S27" s="1114"/>
      <c r="T27" s="1110"/>
      <c r="U27" s="1110"/>
      <c r="V27" s="1110"/>
      <c r="W27" s="1109"/>
      <c r="X27" s="1109"/>
      <c r="Y27" s="1109"/>
      <c r="Z27" s="1115"/>
      <c r="AA27" s="1115"/>
      <c r="AB27" s="1115"/>
      <c r="AC27" s="1115"/>
      <c r="AD27" s="1115"/>
      <c r="AE27" s="1110"/>
      <c r="AF27" s="1110"/>
      <c r="AG27" s="2113"/>
      <c r="AH27" s="2113"/>
      <c r="AI27" s="2113"/>
      <c r="AJ27" s="2113"/>
    </row>
    <row r="28" spans="1:37" ht="15" thickBot="1">
      <c r="A28" s="2030" t="s">
        <v>367</v>
      </c>
      <c r="B28" s="2023" t="s">
        <v>2020</v>
      </c>
      <c r="C28" s="750">
        <f>SUMIF(A47:A101,E2,B47:B101)</f>
        <v>0</v>
      </c>
      <c r="D28" s="2024"/>
      <c r="E28" s="2049"/>
      <c r="F28" s="2049"/>
      <c r="G28" s="2049"/>
      <c r="H28" s="2049"/>
      <c r="I28" s="2049"/>
      <c r="J28" s="2050"/>
      <c r="K28" s="1115"/>
      <c r="L28" s="2759"/>
      <c r="M28" s="2759"/>
      <c r="N28" s="2051" t="s">
        <v>2021</v>
      </c>
      <c r="O28" s="1162"/>
      <c r="P28" s="1163">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13"/>
      <c r="AH28" s="2113"/>
      <c r="AI28" s="2113"/>
      <c r="AJ28" s="2113"/>
    </row>
    <row r="29" spans="1:37" ht="15" thickBot="1">
      <c r="A29" s="2030" t="s">
        <v>368</v>
      </c>
      <c r="B29" s="2052" t="s">
        <v>2022</v>
      </c>
      <c r="C29" s="755"/>
      <c r="D29" s="1996"/>
      <c r="E29" s="1996"/>
      <c r="F29" s="2053"/>
      <c r="G29" s="1996"/>
      <c r="H29" s="1996"/>
      <c r="I29" s="1996"/>
      <c r="J29" s="1997"/>
      <c r="K29" s="1109"/>
      <c r="L29" s="1969"/>
      <c r="M29" s="1969"/>
      <c r="N29" s="2756" t="s">
        <v>2023</v>
      </c>
      <c r="O29" s="2757"/>
      <c r="P29" s="2758">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69"/>
      <c r="AH29" s="1969"/>
      <c r="AI29" s="1969"/>
      <c r="AJ29" s="1969"/>
    </row>
    <row r="30" spans="1:37" ht="14.4">
      <c r="A30" s="2054"/>
      <c r="B30" s="2042" t="s">
        <v>2024</v>
      </c>
      <c r="C30" s="2293" t="e">
        <f>IF(B25="容积率修正",E33+SUM(E37:E42),SUM(V2:V16)+SUM(E37:E42))</f>
        <v>#DIV/0!</v>
      </c>
      <c r="D30" s="2055"/>
      <c r="E30" s="2018"/>
      <c r="F30" s="2056"/>
      <c r="G30" s="2018"/>
      <c r="H30" s="2018"/>
      <c r="I30" s="2018"/>
      <c r="J30" s="2057"/>
      <c r="K30" s="1109"/>
      <c r="L30" s="3322" t="s">
        <v>1936</v>
      </c>
      <c r="M30" s="3323" t="s">
        <v>1990</v>
      </c>
      <c r="N30" s="3323" t="s">
        <v>1991</v>
      </c>
      <c r="O30" s="3323" t="s">
        <v>1992</v>
      </c>
      <c r="P30" s="3323" t="s">
        <v>1993</v>
      </c>
      <c r="Q30" s="3326" t="s">
        <v>3264</v>
      </c>
      <c r="R30" s="1114"/>
      <c r="S30" s="1114"/>
      <c r="T30" s="1110"/>
      <c r="U30" s="1110"/>
      <c r="V30" s="1110"/>
      <c r="W30" s="1109"/>
      <c r="X30" s="1109"/>
      <c r="Y30" s="1109"/>
      <c r="Z30" s="1115"/>
      <c r="AA30" s="1115"/>
      <c r="AB30" s="1115"/>
      <c r="AC30" s="1115"/>
      <c r="AD30" s="1115"/>
      <c r="AE30" s="1109"/>
      <c r="AF30" s="1109"/>
      <c r="AG30" s="1969"/>
      <c r="AH30" s="1969"/>
      <c r="AI30" s="1969"/>
      <c r="AJ30" s="1969"/>
    </row>
    <row r="31" spans="1:37" ht="15" thickBot="1">
      <c r="A31" s="2054"/>
      <c r="B31" s="2058" t="s">
        <v>2025</v>
      </c>
      <c r="C31" s="756" t="e">
        <f>E34+SUM(I37:I42)</f>
        <v>#DIV/0!</v>
      </c>
      <c r="D31" s="2059"/>
      <c r="E31" s="2060"/>
      <c r="F31" s="2061"/>
      <c r="G31" s="2060"/>
      <c r="H31" s="2060"/>
      <c r="I31" s="2060"/>
      <c r="J31" s="2062"/>
      <c r="K31" s="1109"/>
      <c r="L31" s="3324" t="s">
        <v>1996</v>
      </c>
      <c r="M31" s="1972">
        <v>0.25</v>
      </c>
      <c r="N31" s="1972">
        <v>0.2</v>
      </c>
      <c r="O31" s="1972">
        <v>0.15</v>
      </c>
      <c r="P31" s="1972">
        <v>0.1</v>
      </c>
      <c r="Q31" s="3319">
        <v>0.15</v>
      </c>
      <c r="R31" s="1114"/>
      <c r="S31" s="1114"/>
      <c r="T31" s="1110"/>
      <c r="U31" s="1110"/>
      <c r="V31" s="1110"/>
      <c r="W31" s="1109"/>
      <c r="X31" s="1109"/>
      <c r="Y31" s="1109"/>
      <c r="Z31" s="1115"/>
      <c r="AA31" s="1115"/>
      <c r="AB31" s="1115"/>
      <c r="AC31" s="1115"/>
      <c r="AD31" s="1115"/>
      <c r="AE31" s="1109"/>
      <c r="AF31" s="1109"/>
      <c r="AG31" s="1969"/>
      <c r="AH31" s="1969"/>
      <c r="AI31" s="1969"/>
      <c r="AJ31" s="1969"/>
    </row>
    <row r="32" spans="1:37" ht="15" thickBot="1">
      <c r="A32" s="2063"/>
      <c r="B32" s="2064" t="s">
        <v>2026</v>
      </c>
      <c r="C32" s="2065" t="s">
        <v>2027</v>
      </c>
      <c r="D32" s="2065" t="s">
        <v>2028</v>
      </c>
      <c r="E32" s="2066" t="s">
        <v>2029</v>
      </c>
      <c r="F32" s="2067"/>
      <c r="G32" s="2009"/>
      <c r="H32" s="2009"/>
      <c r="I32" s="2009"/>
      <c r="J32" s="2010"/>
      <c r="K32" s="1109"/>
      <c r="L32" s="3325" t="s">
        <v>1999</v>
      </c>
      <c r="M32" s="2541">
        <f>ROUND($E$24*(1+M31),3)</f>
        <v>5.3999999999999999E-2</v>
      </c>
      <c r="N32" s="2541">
        <f>ROUND($E$24*(1+N31),3)</f>
        <v>5.1999999999999998E-2</v>
      </c>
      <c r="O32" s="2541">
        <f>ROUND($E$24*(1+O31),3)</f>
        <v>0.05</v>
      </c>
      <c r="P32" s="2541">
        <f>ROUND($E$24*(1+P31),3)</f>
        <v>4.8000000000000001E-2</v>
      </c>
      <c r="Q32" s="3327">
        <f>ROUND($E$24*(1+Q31),3)</f>
        <v>0.05</v>
      </c>
      <c r="R32" s="1114"/>
      <c r="S32" s="1114"/>
      <c r="T32" s="1110"/>
      <c r="U32" s="1110"/>
      <c r="V32" s="1110"/>
      <c r="W32" s="1109"/>
      <c r="X32" s="1109"/>
      <c r="Y32" s="1109"/>
      <c r="Z32" s="1115"/>
      <c r="AA32" s="1115"/>
      <c r="AB32" s="1115"/>
      <c r="AC32" s="1115"/>
      <c r="AD32" s="1115"/>
      <c r="AE32" s="1109"/>
      <c r="AF32" s="1109"/>
      <c r="AG32" s="1969"/>
      <c r="AH32" s="1969"/>
      <c r="AI32" s="1969"/>
      <c r="AJ32" s="1969"/>
    </row>
    <row r="33" spans="1:37" ht="13.8">
      <c r="A33" s="2068"/>
      <c r="B33" s="2069" t="s">
        <v>2030</v>
      </c>
      <c r="C33" s="170" t="e">
        <f>ROUND(C5*C22*C23*C24*C25*C28,0)</f>
        <v>#DIV/0!</v>
      </c>
      <c r="D33" s="2070"/>
      <c r="E33" s="763" t="e">
        <f>ROUND(C33*D33/10000,0)</f>
        <v>#DIV/0!</v>
      </c>
      <c r="F33" s="3317" t="s">
        <v>3262</v>
      </c>
      <c r="G33" s="2071"/>
      <c r="H33" s="2071"/>
      <c r="I33" s="2071"/>
      <c r="J33" s="2072"/>
      <c r="K33" s="1109"/>
      <c r="L33" s="3320" t="s">
        <v>3265</v>
      </c>
      <c r="M33" s="3321">
        <v>5.5E-2</v>
      </c>
      <c r="N33" s="3321">
        <v>5.5E-2</v>
      </c>
      <c r="O33" s="3321">
        <v>0.05</v>
      </c>
      <c r="P33" s="3321">
        <v>0.05</v>
      </c>
      <c r="Q33" s="3321">
        <v>0.05</v>
      </c>
      <c r="R33" s="1114"/>
      <c r="S33" s="1114"/>
      <c r="T33" s="1110"/>
      <c r="U33" s="1110"/>
      <c r="V33" s="1110"/>
      <c r="W33" s="1109"/>
      <c r="X33" s="1109"/>
      <c r="Y33" s="1109"/>
      <c r="Z33" s="1115"/>
      <c r="AA33" s="1115"/>
      <c r="AB33" s="1115"/>
      <c r="AC33" s="1115"/>
      <c r="AD33" s="1115"/>
      <c r="AE33" s="1110"/>
      <c r="AF33" s="1110"/>
      <c r="AG33" s="2113"/>
      <c r="AH33" s="2113"/>
      <c r="AI33" s="2113"/>
      <c r="AJ33" s="2113"/>
    </row>
    <row r="34" spans="1:37" ht="25.8" thickBot="1">
      <c r="A34" s="2073"/>
      <c r="B34" s="2074" t="s">
        <v>2031</v>
      </c>
      <c r="C34" s="182" t="e">
        <f>ROUND(IF(E2="工业",C33*M42,IF(B25="楼层修正",SUM(V2:V16)*M41*10000/D34,C33*M41)),0)</f>
        <v>#DIV/0!</v>
      </c>
      <c r="D34" s="2075"/>
      <c r="E34" s="763" t="e">
        <f>ROUND(IF(B25="楼层修正",SUM(V2:V16)*M40,C34*D34/10000),0)</f>
        <v>#DIV/0!</v>
      </c>
      <c r="F34" s="2076" t="s">
        <v>2032</v>
      </c>
      <c r="G34" s="2077"/>
      <c r="H34" s="2077"/>
      <c r="I34" s="2077"/>
      <c r="J34" s="2078"/>
      <c r="K34" s="1109"/>
      <c r="L34" s="3320" t="s">
        <v>3266</v>
      </c>
      <c r="M34" s="3321">
        <v>6.5000000000000002E-2</v>
      </c>
      <c r="N34" s="3321">
        <v>6.5000000000000002E-2</v>
      </c>
      <c r="O34" s="3321">
        <v>0.06</v>
      </c>
      <c r="P34" s="3321">
        <v>0.06</v>
      </c>
      <c r="Q34" s="3321">
        <v>0.06</v>
      </c>
      <c r="R34" s="1114"/>
      <c r="S34" s="1114"/>
      <c r="T34" s="1110"/>
      <c r="U34" s="1110"/>
      <c r="V34" s="1110"/>
      <c r="W34" s="1109"/>
      <c r="X34" s="1109"/>
      <c r="Y34" s="1109"/>
      <c r="Z34" s="1115"/>
      <c r="AA34" s="1115"/>
      <c r="AB34" s="1115"/>
      <c r="AC34" s="1115"/>
      <c r="AD34" s="1115"/>
      <c r="AE34" s="1110"/>
      <c r="AF34" s="1110"/>
      <c r="AG34" s="2113"/>
      <c r="AH34" s="2113"/>
      <c r="AI34" s="2113"/>
      <c r="AJ34" s="2113"/>
    </row>
    <row r="35" spans="1:37">
      <c r="A35" s="2079"/>
      <c r="B35" s="2080" t="s">
        <v>2033</v>
      </c>
      <c r="C35" s="3318" t="s">
        <v>3263</v>
      </c>
      <c r="D35" s="2009"/>
      <c r="E35" s="2081"/>
      <c r="F35" s="2081"/>
      <c r="G35" s="2007" t="s">
        <v>2034</v>
      </c>
      <c r="H35" s="2009"/>
      <c r="I35" s="2082"/>
      <c r="J35" s="2010"/>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13"/>
      <c r="AH35" s="2113"/>
      <c r="AI35" s="2113"/>
      <c r="AJ35" s="2113"/>
    </row>
    <row r="36" spans="1:37" ht="36.6" thickBot="1">
      <c r="A36" s="2068"/>
      <c r="B36" s="2083"/>
      <c r="C36" s="445" t="s">
        <v>2027</v>
      </c>
      <c r="D36" s="442" t="s">
        <v>2028</v>
      </c>
      <c r="E36" s="442" t="s">
        <v>2029</v>
      </c>
      <c r="F36" s="337" t="s">
        <v>2035</v>
      </c>
      <c r="G36" s="2084" t="s">
        <v>2027</v>
      </c>
      <c r="H36" s="2084" t="s">
        <v>2028</v>
      </c>
      <c r="I36" s="2084" t="s">
        <v>2029</v>
      </c>
      <c r="J36" s="238"/>
      <c r="K36" s="3328" t="s">
        <v>3267</v>
      </c>
      <c r="L36" s="3418">
        <f ca="1">'数据-取费表'!B40</f>
        <v>5.4900000000000004E-2</v>
      </c>
      <c r="M36" s="3329">
        <f ca="1">ROUND($L$36*(1+M31),3)</f>
        <v>6.9000000000000006E-2</v>
      </c>
      <c r="N36" s="3329">
        <f ca="1">ROUND($L$36*(1+N31),3)</f>
        <v>6.6000000000000003E-2</v>
      </c>
      <c r="O36" s="3329">
        <f ca="1">ROUND($L$36*(1+O31),3)</f>
        <v>6.3E-2</v>
      </c>
      <c r="P36" s="3329">
        <f ca="1">ROUND($L$36*(1+P31),3)</f>
        <v>0.06</v>
      </c>
      <c r="Q36" s="3329">
        <f ca="1">ROUND($L$36*(1+Q31),3)</f>
        <v>6.3E-2</v>
      </c>
      <c r="R36" s="1109"/>
      <c r="S36" s="1109"/>
      <c r="T36" s="1109"/>
      <c r="U36" s="1109"/>
      <c r="V36" s="1109"/>
      <c r="W36" s="1109"/>
      <c r="X36" s="1109"/>
      <c r="Y36" s="1109"/>
      <c r="Z36" s="1110"/>
      <c r="AA36" s="1110"/>
      <c r="AB36" s="1110"/>
      <c r="AC36" s="1110"/>
      <c r="AD36" s="1110"/>
      <c r="AE36" s="1110"/>
      <c r="AF36" s="1110"/>
      <c r="AG36" s="2113"/>
      <c r="AH36" s="2113"/>
      <c r="AI36" s="2113"/>
      <c r="AJ36" s="2113"/>
    </row>
    <row r="37" spans="1:37" ht="24.6" thickBot="1">
      <c r="A37" s="4270"/>
      <c r="B37" s="2085" t="s">
        <v>2036</v>
      </c>
      <c r="C37" s="170" t="e">
        <f>ROUND(D5*C22*C23*C24*C28*F37,0)</f>
        <v>#DIV/0!</v>
      </c>
      <c r="D37" s="2070"/>
      <c r="E37" s="166" t="e">
        <f>ROUND(C37*D37/10000,0)</f>
        <v>#DIV/0!</v>
      </c>
      <c r="F37" s="166">
        <f>SUMIF(修正!A57:A68,G2,修正!B57:B68)</f>
        <v>0</v>
      </c>
      <c r="G37" s="166" t="e">
        <f>ROUND(IF(E2="工业",C37*$M$42,C37*$M$41),0)</f>
        <v>#DIV/0!</v>
      </c>
      <c r="H37" s="166">
        <f>D37</f>
        <v>0</v>
      </c>
      <c r="I37" s="166" t="e">
        <f>ROUND(G37*H37/10000,0)</f>
        <v>#DIV/0!</v>
      </c>
      <c r="J37" s="2983"/>
      <c r="K37" s="3330" t="s">
        <v>3268</v>
      </c>
      <c r="L37" s="3328">
        <f ca="1">L36+K38</f>
        <v>5.9900000000000002E-2</v>
      </c>
      <c r="M37" s="3329">
        <f ca="1">ROUND($L$37*(1+M31),3)</f>
        <v>7.4999999999999997E-2</v>
      </c>
      <c r="N37" s="3329">
        <f t="shared" ref="N37:Q37" ca="1" si="3">ROUND($L$37*(1+N31),3)</f>
        <v>7.1999999999999995E-2</v>
      </c>
      <c r="O37" s="3329">
        <f t="shared" ca="1" si="3"/>
        <v>6.9000000000000006E-2</v>
      </c>
      <c r="P37" s="3329">
        <f t="shared" ca="1" si="3"/>
        <v>6.6000000000000003E-2</v>
      </c>
      <c r="Q37" s="3329">
        <f t="shared" ca="1" si="3"/>
        <v>6.9000000000000006E-2</v>
      </c>
      <c r="R37" s="1109"/>
      <c r="S37" s="1109"/>
      <c r="T37" s="1109"/>
      <c r="U37" s="1109"/>
      <c r="V37" s="1109"/>
      <c r="W37" s="1109"/>
      <c r="X37" s="1109"/>
      <c r="Y37" s="1109"/>
      <c r="Z37" s="1110"/>
      <c r="AA37" s="1110"/>
      <c r="AB37" s="1110"/>
      <c r="AC37" s="1110"/>
      <c r="AD37" s="1110"/>
      <c r="AE37" s="1110"/>
      <c r="AF37" s="1110"/>
      <c r="AG37" s="2113"/>
      <c r="AH37" s="2113"/>
      <c r="AI37" s="2113"/>
      <c r="AJ37" s="2113"/>
    </row>
    <row r="38" spans="1:37">
      <c r="A38" s="4271"/>
      <c r="B38" s="2013" t="s">
        <v>2037</v>
      </c>
      <c r="C38" s="170" t="e">
        <f>ROUND(D5*C22*C23*C24*C28*F38,0)</f>
        <v>#DIV/0!</v>
      </c>
      <c r="D38" s="2070"/>
      <c r="E38" s="166" t="e">
        <f t="shared" ref="E38:E42" si="4">ROUND(C38*D38/10000,0)</f>
        <v>#DIV/0!</v>
      </c>
      <c r="F38" s="166">
        <f>SUMIF(修正!A57:A68,G2,修正!C57:C68)</f>
        <v>0</v>
      </c>
      <c r="G38" s="166" t="e">
        <f>ROUND(IF(E2="工业",C38*$M$42,C38*$M$41),0)</f>
        <v>#DIV/0!</v>
      </c>
      <c r="H38" s="166">
        <f t="shared" ref="H38:H42" si="5">D38</f>
        <v>0</v>
      </c>
      <c r="I38" s="166" t="e">
        <f t="shared" ref="I38:I42" si="6">ROUND(G38*H38/10000,0)</f>
        <v>#DIV/0!</v>
      </c>
      <c r="J38" s="2982"/>
      <c r="K38" s="3328">
        <v>5.0000000000000001E-3</v>
      </c>
      <c r="L38" s="3328"/>
      <c r="M38" s="3328"/>
      <c r="N38" s="3328"/>
      <c r="O38" s="3328"/>
      <c r="P38" s="3328"/>
      <c r="Q38" s="3328"/>
      <c r="R38" s="1109"/>
      <c r="S38" s="1109"/>
      <c r="T38" s="1109"/>
      <c r="U38" s="1109"/>
      <c r="V38" s="1109"/>
      <c r="W38" s="1109"/>
      <c r="X38" s="1109"/>
      <c r="Y38" s="1109"/>
      <c r="Z38" s="1110"/>
      <c r="AA38" s="1110"/>
      <c r="AB38" s="1110"/>
      <c r="AC38" s="1110"/>
      <c r="AD38" s="1110"/>
    </row>
    <row r="39" spans="1:37" ht="13.8" thickBot="1">
      <c r="A39" s="4271"/>
      <c r="B39" s="2013" t="s">
        <v>3261</v>
      </c>
      <c r="C39" s="170" t="e">
        <f>ROUND(D5*C22*C23*C24*C28*F39,0)</f>
        <v>#DIV/0!</v>
      </c>
      <c r="D39" s="2070"/>
      <c r="E39" s="166" t="e">
        <f t="shared" si="4"/>
        <v>#DIV/0!</v>
      </c>
      <c r="F39" s="166">
        <f>SUMIF(修正!A57:A68,G2,修正!D57:D68)</f>
        <v>0</v>
      </c>
      <c r="G39" s="166" t="e">
        <f>ROUND(IF(E2="工业",C39*$M$42,C39*$M$41),0)</f>
        <v>#DIV/0!</v>
      </c>
      <c r="H39" s="166">
        <f t="shared" si="5"/>
        <v>0</v>
      </c>
      <c r="I39" s="166" t="e">
        <f t="shared" si="6"/>
        <v>#DIV/0!</v>
      </c>
      <c r="J39" s="2982"/>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087"/>
      <c r="B40" s="2013" t="s">
        <v>2038</v>
      </c>
      <c r="C40" s="166" t="e">
        <f>ROUND(D5*C22*C23*C24*C28*F40,0)</f>
        <v>#DIV/0!</v>
      </c>
      <c r="D40" s="2070"/>
      <c r="E40" s="166" t="e">
        <f t="shared" si="4"/>
        <v>#DIV/0!</v>
      </c>
      <c r="F40" s="170">
        <f>SUMIF(修正!A57:A68,G2,修正!E57:E68)</f>
        <v>0</v>
      </c>
      <c r="G40" s="166" t="e">
        <f>ROUND(IF(E2="工业",C40*$M$42,C40*$M$41),0)</f>
        <v>#DIV/0!</v>
      </c>
      <c r="H40" s="166">
        <f t="shared" si="5"/>
        <v>0</v>
      </c>
      <c r="I40" s="166" t="e">
        <f t="shared" si="6"/>
        <v>#DIV/0!</v>
      </c>
      <c r="J40" s="2086"/>
      <c r="L40" s="2088" t="s">
        <v>2039</v>
      </c>
      <c r="M40" s="2089"/>
      <c r="Z40" s="1110"/>
      <c r="AA40" s="1110"/>
      <c r="AB40" s="1110"/>
      <c r="AC40" s="1110"/>
      <c r="AD40" s="1110"/>
      <c r="AE40" s="1110"/>
      <c r="AF40" s="1110"/>
      <c r="AG40" s="1110"/>
      <c r="AH40" s="1110"/>
      <c r="AI40" s="1110"/>
      <c r="AJ40" s="1110"/>
    </row>
    <row r="41" spans="1:37" s="1109" customFormat="1">
      <c r="A41" s="2087"/>
      <c r="B41" s="2013" t="s">
        <v>2040</v>
      </c>
      <c r="C41" s="166" t="e">
        <f>ROUND(D5*C22*C23*C44*C28*F41,0)</f>
        <v>#DIV/0!</v>
      </c>
      <c r="D41" s="2070"/>
      <c r="E41" s="166" t="e">
        <f t="shared" si="4"/>
        <v>#DIV/0!</v>
      </c>
      <c r="F41" s="170">
        <f>SUMIF(修正!A57:A68,G2,修正!F57:F68)</f>
        <v>0</v>
      </c>
      <c r="G41" s="166" t="e">
        <f>ROUND(IF(E2="工业",C41*$M$42,C41*$M$41),0)</f>
        <v>#DIV/0!</v>
      </c>
      <c r="H41" s="166">
        <f t="shared" si="5"/>
        <v>0</v>
      </c>
      <c r="I41" s="166" t="e">
        <f t="shared" si="6"/>
        <v>#DIV/0!</v>
      </c>
      <c r="J41" s="2086"/>
      <c r="L41" s="3331" t="s">
        <v>3269</v>
      </c>
      <c r="M41" s="2090">
        <v>0.25</v>
      </c>
      <c r="Z41" s="1110"/>
      <c r="AA41" s="1110"/>
      <c r="AB41" s="1110"/>
      <c r="AC41" s="1110"/>
      <c r="AD41" s="1110"/>
      <c r="AE41" s="1110"/>
      <c r="AF41" s="1110"/>
      <c r="AG41" s="1110"/>
      <c r="AH41" s="1110"/>
      <c r="AI41" s="1110"/>
      <c r="AJ41" s="1110"/>
    </row>
    <row r="42" spans="1:37" s="1109" customFormat="1" ht="13.8" thickBot="1">
      <c r="A42" s="2073"/>
      <c r="B42" s="2091" t="s">
        <v>2041</v>
      </c>
      <c r="C42" s="182" t="e">
        <f>ROUND(D5*C22*C23*C44*C28*F42,0)</f>
        <v>#DIV/0!</v>
      </c>
      <c r="D42" s="2075"/>
      <c r="E42" s="182" t="e">
        <f t="shared" si="4"/>
        <v>#DIV/0!</v>
      </c>
      <c r="F42" s="757">
        <f>SUMIF(修正!A57:A68,G2,修正!G57:G68)</f>
        <v>0</v>
      </c>
      <c r="G42" s="182" t="e">
        <f>ROUND(IF(E2="工业",C42*$M$42,C42*$M$41),0)</f>
        <v>#DIV/0!</v>
      </c>
      <c r="H42" s="182">
        <f t="shared" si="5"/>
        <v>0</v>
      </c>
      <c r="I42" s="182" t="e">
        <f t="shared" si="6"/>
        <v>#DIV/0!</v>
      </c>
      <c r="J42" s="2092"/>
      <c r="L42" s="2093" t="s">
        <v>1993</v>
      </c>
      <c r="M42" s="2094">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ht="24">
      <c r="A44" s="1110"/>
      <c r="B44" s="2126" t="s">
        <v>2122</v>
      </c>
      <c r="C44" s="337" t="e">
        <f>ROUND(POWER(1+E44,H44-G44)*(POWER(1+E44,G44)-1)/(POWER(1+E44,H44)-1),4)</f>
        <v>#DIV/0!</v>
      </c>
      <c r="D44" s="166" t="s">
        <v>1999</v>
      </c>
      <c r="E44" s="2125">
        <f>G24</f>
        <v>0</v>
      </c>
      <c r="F44" s="166" t="s">
        <v>2008</v>
      </c>
      <c r="G44" s="178"/>
      <c r="H44" s="166">
        <v>50</v>
      </c>
      <c r="Z44" s="1110"/>
      <c r="AA44" s="1110"/>
      <c r="AB44" s="1110"/>
      <c r="AC44" s="1110"/>
      <c r="AD44" s="1110"/>
      <c r="AE44" s="1110"/>
      <c r="AF44" s="1110"/>
      <c r="AG44" s="1110"/>
      <c r="AH44" s="1110"/>
      <c r="AI44" s="1110"/>
      <c r="AJ44" s="1110"/>
    </row>
    <row r="45" spans="1:37" s="1109" customFormat="1">
      <c r="A45" s="1110"/>
      <c r="B45" s="2095"/>
      <c r="Z45" s="1110"/>
      <c r="AA45" s="1110"/>
      <c r="AB45" s="1110"/>
      <c r="AC45" s="1110"/>
      <c r="AD45" s="1110"/>
      <c r="AE45" s="1110"/>
      <c r="AF45" s="1110"/>
      <c r="AG45" s="1110"/>
      <c r="AH45" s="1110"/>
      <c r="AI45" s="1110"/>
      <c r="AJ45" s="1110"/>
    </row>
    <row r="46" spans="1:37" s="1109" customFormat="1">
      <c r="A46" s="1110"/>
      <c r="B46" s="2095"/>
      <c r="AA46" s="1110"/>
      <c r="AB46" s="1110"/>
      <c r="AC46" s="1110"/>
      <c r="AD46" s="1110"/>
      <c r="AE46" s="1110"/>
      <c r="AF46" s="1110"/>
      <c r="AG46" s="1110"/>
      <c r="AH46" s="1110"/>
      <c r="AI46" s="1110"/>
      <c r="AJ46" s="1110"/>
      <c r="AK46" s="1110"/>
    </row>
    <row r="47" spans="1:37" s="1109" customFormat="1" ht="15" thickBot="1">
      <c r="A47" s="2096" t="s">
        <v>2042</v>
      </c>
      <c r="B47" s="2097"/>
      <c r="C47" s="4"/>
      <c r="D47" s="4"/>
      <c r="E47" s="4"/>
      <c r="F47" s="3"/>
      <c r="G47" s="3"/>
      <c r="H47" s="3"/>
      <c r="I47" s="1798"/>
      <c r="J47" s="1798"/>
      <c r="K47" s="1798"/>
      <c r="L47" s="1798"/>
      <c r="M47" s="1798"/>
      <c r="AA47" s="1110"/>
      <c r="AB47" s="1110"/>
      <c r="AC47" s="1110"/>
      <c r="AD47" s="1110"/>
      <c r="AE47" s="1110"/>
      <c r="AF47" s="1110"/>
      <c r="AG47" s="1110"/>
      <c r="AH47" s="1110"/>
      <c r="AI47" s="1110"/>
      <c r="AJ47" s="1110"/>
      <c r="AK47" s="1110"/>
    </row>
    <row r="48" spans="1:37" s="1109" customFormat="1" ht="14.4">
      <c r="A48" s="2098" t="s">
        <v>2043</v>
      </c>
      <c r="B48" s="2099">
        <f>1+E50</f>
        <v>1</v>
      </c>
      <c r="C48" s="2100"/>
      <c r="D48" s="731"/>
      <c r="E48" s="732"/>
      <c r="F48" s="2101"/>
      <c r="G48" s="3"/>
      <c r="H48" s="4"/>
      <c r="I48" s="1798"/>
      <c r="J48" s="1798"/>
      <c r="K48" s="1798"/>
      <c r="L48" s="1798"/>
      <c r="M48" s="1798"/>
      <c r="AA48" s="1110"/>
      <c r="AB48" s="1110"/>
      <c r="AC48" s="1110"/>
      <c r="AD48" s="1110"/>
      <c r="AE48" s="1110"/>
      <c r="AF48" s="1110"/>
      <c r="AG48" s="1110"/>
      <c r="AH48" s="1110"/>
      <c r="AI48" s="1110"/>
      <c r="AJ48" s="1110"/>
      <c r="AK48" s="1110"/>
    </row>
    <row r="49" spans="1:37" s="1109" customFormat="1" ht="25.2">
      <c r="A49" s="2102" t="s">
        <v>2044</v>
      </c>
      <c r="B49" s="1338" t="s">
        <v>2045</v>
      </c>
      <c r="C49" s="1338" t="s">
        <v>2046</v>
      </c>
      <c r="D49" s="1338" t="s">
        <v>2047</v>
      </c>
      <c r="E49" s="733" t="s">
        <v>2048</v>
      </c>
      <c r="F49" s="2103" t="s">
        <v>2049</v>
      </c>
      <c r="G49" s="1338" t="s">
        <v>310</v>
      </c>
      <c r="H49" s="2104" t="s">
        <v>2050</v>
      </c>
      <c r="I49" s="1338" t="s">
        <v>2051</v>
      </c>
      <c r="J49" s="547" t="s">
        <v>1721</v>
      </c>
      <c r="K49" s="547" t="s">
        <v>1722</v>
      </c>
      <c r="L49" s="547" t="s">
        <v>1723</v>
      </c>
      <c r="M49" s="547" t="s">
        <v>1724</v>
      </c>
      <c r="N49" s="547" t="s">
        <v>1725</v>
      </c>
      <c r="AA49" s="1110"/>
      <c r="AB49" s="1110"/>
      <c r="AC49" s="1110"/>
      <c r="AD49" s="1110"/>
      <c r="AE49" s="1110"/>
      <c r="AF49" s="1110"/>
      <c r="AG49" s="1110"/>
      <c r="AH49" s="1110"/>
      <c r="AI49" s="1110"/>
      <c r="AJ49" s="1110"/>
      <c r="AK49" s="1110"/>
    </row>
    <row r="50" spans="1:37" s="1109" customFormat="1" ht="39.6">
      <c r="A50" s="2102" t="s">
        <v>2052</v>
      </c>
      <c r="B50" s="2105" t="str">
        <f>估价对象房地状况!C4</f>
        <v>估价对象位于XX商圈，周边商业氛围成熟，人流量大，商业繁华度好</v>
      </c>
      <c r="C50" s="2016"/>
      <c r="D50" s="1055">
        <f t="shared" ref="D50:D58" si="7">SUMIF($J$49:$N$49,C50,J50:N50)</f>
        <v>0</v>
      </c>
      <c r="E50" s="734">
        <f>ROUND(SUM(D50:D58),4)</f>
        <v>0</v>
      </c>
      <c r="F50" s="1791" t="str">
        <f>IF(E2="商业",SUMIF(L1:L12,G2,N1:N12),"——")</f>
        <v>——</v>
      </c>
      <c r="G50" s="1053"/>
      <c r="H50" s="1056" t="str">
        <f t="shared" ref="H50:H58" si="8">IFERROR(ROUNDDOWN($F$50*I50/2,4),"——")</f>
        <v>——</v>
      </c>
      <c r="I50" s="3338">
        <v>0.3</v>
      </c>
      <c r="J50" s="1054">
        <f t="shared" ref="J50:J58" si="9">K50+$G50</f>
        <v>0</v>
      </c>
      <c r="K50" s="1054">
        <f t="shared" ref="K50:K58" si="10">$L50+$G50</f>
        <v>0</v>
      </c>
      <c r="L50" s="1054">
        <v>0</v>
      </c>
      <c r="M50" s="1054">
        <f t="shared" ref="M50:N58" si="11">L50-$G50</f>
        <v>0</v>
      </c>
      <c r="N50" s="1054">
        <f t="shared" si="11"/>
        <v>0</v>
      </c>
      <c r="AA50" s="1110"/>
      <c r="AB50" s="1110"/>
      <c r="AC50" s="1110"/>
      <c r="AD50" s="1110"/>
      <c r="AE50" s="1110"/>
      <c r="AF50" s="1110"/>
      <c r="AG50" s="1110"/>
      <c r="AH50" s="1110"/>
      <c r="AI50" s="1110"/>
      <c r="AJ50" s="1110"/>
      <c r="AK50" s="1110"/>
    </row>
    <row r="51" spans="1:37" s="1109" customFormat="1" ht="52.8">
      <c r="A51" s="2102" t="s">
        <v>2053</v>
      </c>
      <c r="B51" s="2106" t="str">
        <f>估价对象房地状况!C18</f>
        <v>估价对象周边道路状况、公共交通通达情况、停车便捷程度，综合评价交通便捷度较好</v>
      </c>
      <c r="C51" s="2016"/>
      <c r="D51" s="1055">
        <f t="shared" si="7"/>
        <v>0</v>
      </c>
      <c r="E51" s="735"/>
      <c r="F51" s="1791"/>
      <c r="G51" s="1053"/>
      <c r="H51" s="1056" t="str">
        <f t="shared" si="8"/>
        <v>——</v>
      </c>
      <c r="I51" s="3338">
        <v>0.22</v>
      </c>
      <c r="J51" s="1054">
        <f t="shared" si="9"/>
        <v>0</v>
      </c>
      <c r="K51" s="1054">
        <f t="shared" si="10"/>
        <v>0</v>
      </c>
      <c r="L51" s="1054">
        <v>0</v>
      </c>
      <c r="M51" s="1054">
        <f t="shared" si="11"/>
        <v>0</v>
      </c>
      <c r="N51" s="1054">
        <f t="shared" si="11"/>
        <v>0</v>
      </c>
      <c r="AA51" s="1110"/>
      <c r="AB51" s="1110"/>
      <c r="AC51" s="1110"/>
      <c r="AD51" s="1110"/>
      <c r="AE51" s="1110"/>
      <c r="AF51" s="1110"/>
      <c r="AG51" s="1110"/>
      <c r="AH51" s="1110"/>
      <c r="AI51" s="1110"/>
      <c r="AJ51" s="1110"/>
      <c r="AK51" s="1110"/>
    </row>
    <row r="52" spans="1:37" s="1109" customFormat="1" ht="48">
      <c r="A52" s="3340" t="s">
        <v>3271</v>
      </c>
      <c r="B52" s="2106">
        <f>估价对象房地状况!C19</f>
        <v>0</v>
      </c>
      <c r="C52" s="2016"/>
      <c r="D52" s="1055">
        <f t="shared" si="7"/>
        <v>0</v>
      </c>
      <c r="E52" s="735"/>
      <c r="F52" s="1791"/>
      <c r="G52" s="1053"/>
      <c r="H52" s="1056" t="str">
        <f t="shared" si="8"/>
        <v>——</v>
      </c>
      <c r="I52" s="3338">
        <v>0.12</v>
      </c>
      <c r="J52" s="1054">
        <f t="shared" si="9"/>
        <v>0</v>
      </c>
      <c r="K52" s="1054">
        <f t="shared" si="10"/>
        <v>0</v>
      </c>
      <c r="L52" s="1054">
        <v>0</v>
      </c>
      <c r="M52" s="1054">
        <f t="shared" si="11"/>
        <v>0</v>
      </c>
      <c r="N52" s="1054">
        <f t="shared" si="11"/>
        <v>0</v>
      </c>
      <c r="AA52" s="1110"/>
      <c r="AB52" s="1110"/>
      <c r="AC52" s="1110"/>
      <c r="AD52" s="1110"/>
      <c r="AE52" s="1110"/>
      <c r="AF52" s="1110"/>
      <c r="AG52" s="1110"/>
      <c r="AH52" s="1110"/>
      <c r="AI52" s="1110"/>
      <c r="AJ52" s="1110"/>
      <c r="AK52" s="1110"/>
    </row>
    <row r="53" spans="1:37" s="1109" customFormat="1" ht="37.200000000000003">
      <c r="A53" s="2102" t="s">
        <v>2054</v>
      </c>
      <c r="B53" s="2107" t="s">
        <v>2055</v>
      </c>
      <c r="C53" s="2016"/>
      <c r="D53" s="1055">
        <f t="shared" si="7"/>
        <v>0</v>
      </c>
      <c r="E53" s="735"/>
      <c r="F53" s="1791"/>
      <c r="G53" s="1053"/>
      <c r="H53" s="1056" t="str">
        <f t="shared" si="8"/>
        <v>——</v>
      </c>
      <c r="I53" s="3338">
        <v>0.05</v>
      </c>
      <c r="J53" s="1054">
        <f t="shared" si="9"/>
        <v>0</v>
      </c>
      <c r="K53" s="1054">
        <f t="shared" si="10"/>
        <v>0</v>
      </c>
      <c r="L53" s="1054">
        <v>0</v>
      </c>
      <c r="M53" s="1054">
        <f t="shared" si="11"/>
        <v>0</v>
      </c>
      <c r="N53" s="1054">
        <f t="shared" si="11"/>
        <v>0</v>
      </c>
      <c r="AA53" s="1110"/>
      <c r="AB53" s="1110"/>
      <c r="AC53" s="1110"/>
      <c r="AD53" s="1110"/>
      <c r="AE53" s="1110"/>
      <c r="AF53" s="1110"/>
      <c r="AG53" s="1110"/>
      <c r="AH53" s="1110"/>
      <c r="AI53" s="1110"/>
      <c r="AJ53" s="1110"/>
      <c r="AK53" s="1110"/>
    </row>
    <row r="54" spans="1:37" s="1109" customFormat="1" ht="24">
      <c r="A54" s="2102" t="s">
        <v>2056</v>
      </c>
      <c r="B54" s="2106">
        <f>估价对象房地状况!C24</f>
        <v>0</v>
      </c>
      <c r="C54" s="2016"/>
      <c r="D54" s="1055">
        <f t="shared" si="7"/>
        <v>0</v>
      </c>
      <c r="E54" s="735"/>
      <c r="F54" s="1791"/>
      <c r="G54" s="1053"/>
      <c r="H54" s="1056" t="str">
        <f t="shared" si="8"/>
        <v>——</v>
      </c>
      <c r="I54" s="3338">
        <v>0.08</v>
      </c>
      <c r="J54" s="1054">
        <f t="shared" si="9"/>
        <v>0</v>
      </c>
      <c r="K54" s="1054">
        <f t="shared" si="10"/>
        <v>0</v>
      </c>
      <c r="L54" s="1054">
        <v>0</v>
      </c>
      <c r="M54" s="1054">
        <f t="shared" si="11"/>
        <v>0</v>
      </c>
      <c r="N54" s="1054">
        <f t="shared" si="11"/>
        <v>0</v>
      </c>
      <c r="AA54" s="1110"/>
      <c r="AB54" s="1110"/>
      <c r="AC54" s="1110"/>
      <c r="AD54" s="1110"/>
      <c r="AE54" s="1110"/>
      <c r="AF54" s="1110"/>
      <c r="AG54" s="1110"/>
      <c r="AH54" s="1110"/>
      <c r="AI54" s="1110"/>
      <c r="AJ54" s="1110"/>
      <c r="AK54" s="1110"/>
    </row>
    <row r="55" spans="1:37" s="1109" customFormat="1" ht="36">
      <c r="A55" s="2102" t="s">
        <v>2057</v>
      </c>
      <c r="B55" s="2108" t="s">
        <v>2058</v>
      </c>
      <c r="C55" s="2016"/>
      <c r="D55" s="1055">
        <f t="shared" si="7"/>
        <v>0</v>
      </c>
      <c r="E55" s="735"/>
      <c r="F55" s="1791"/>
      <c r="G55" s="1053"/>
      <c r="H55" s="1056" t="str">
        <f t="shared" si="8"/>
        <v>——</v>
      </c>
      <c r="I55" s="3338">
        <v>0.05</v>
      </c>
      <c r="J55" s="1054">
        <f t="shared" si="9"/>
        <v>0</v>
      </c>
      <c r="K55" s="1054">
        <f t="shared" si="10"/>
        <v>0</v>
      </c>
      <c r="L55" s="1054">
        <v>0</v>
      </c>
      <c r="M55" s="1054">
        <f t="shared" si="11"/>
        <v>0</v>
      </c>
      <c r="N55" s="1054">
        <f t="shared" si="11"/>
        <v>0</v>
      </c>
      <c r="AA55" s="1110"/>
      <c r="AB55" s="1110"/>
      <c r="AC55" s="1110"/>
      <c r="AD55" s="1110"/>
      <c r="AE55" s="1110"/>
      <c r="AF55" s="1110"/>
      <c r="AG55" s="1110"/>
      <c r="AH55" s="1110"/>
      <c r="AI55" s="1110"/>
      <c r="AJ55" s="1110"/>
      <c r="AK55" s="1110"/>
    </row>
    <row r="56" spans="1:37" s="1109" customFormat="1" ht="26.4">
      <c r="A56" s="2109" t="s">
        <v>2059</v>
      </c>
      <c r="B56" s="1313" t="str">
        <f>估价对象房地状况!C21</f>
        <v>估价对象所在区域公共配套设施齐备情况</v>
      </c>
      <c r="C56" s="2016"/>
      <c r="D56" s="1055">
        <f t="shared" si="7"/>
        <v>0</v>
      </c>
      <c r="E56" s="735"/>
      <c r="F56" s="1791"/>
      <c r="G56" s="1053"/>
      <c r="H56" s="1056" t="str">
        <f t="shared" si="8"/>
        <v>——</v>
      </c>
      <c r="I56" s="3338">
        <v>0.05</v>
      </c>
      <c r="J56" s="1054">
        <f t="shared" si="9"/>
        <v>0</v>
      </c>
      <c r="K56" s="1054">
        <f t="shared" si="10"/>
        <v>0</v>
      </c>
      <c r="L56" s="1054">
        <v>0</v>
      </c>
      <c r="M56" s="1054">
        <f t="shared" si="11"/>
        <v>0</v>
      </c>
      <c r="N56" s="1054">
        <f t="shared" si="11"/>
        <v>0</v>
      </c>
      <c r="AA56" s="1110"/>
      <c r="AB56" s="1110"/>
      <c r="AC56" s="1110"/>
      <c r="AD56" s="1110"/>
      <c r="AE56" s="1110"/>
      <c r="AF56" s="1110"/>
      <c r="AG56" s="1110"/>
      <c r="AH56" s="1110"/>
      <c r="AI56" s="1110"/>
      <c r="AJ56" s="1110"/>
      <c r="AK56" s="1110"/>
    </row>
    <row r="57" spans="1:37" s="1109" customFormat="1" ht="26.4">
      <c r="A57" s="2109" t="s">
        <v>2060</v>
      </c>
      <c r="B57" s="2106" t="str">
        <f>估价对象房地状况!C22</f>
        <v>估价对象所在区域基础设施水平</v>
      </c>
      <c r="C57" s="2016"/>
      <c r="D57" s="1055">
        <f t="shared" si="7"/>
        <v>0</v>
      </c>
      <c r="E57" s="735"/>
      <c r="F57" s="1791"/>
      <c r="G57" s="1053"/>
      <c r="H57" s="1056" t="str">
        <f t="shared" si="8"/>
        <v>——</v>
      </c>
      <c r="I57" s="3338">
        <v>0.08</v>
      </c>
      <c r="J57" s="1054">
        <f t="shared" si="9"/>
        <v>0</v>
      </c>
      <c r="K57" s="1054">
        <f t="shared" si="10"/>
        <v>0</v>
      </c>
      <c r="L57" s="1054">
        <v>0</v>
      </c>
      <c r="M57" s="1054">
        <f t="shared" si="11"/>
        <v>0</v>
      </c>
      <c r="N57" s="1054">
        <f t="shared" si="11"/>
        <v>0</v>
      </c>
      <c r="AA57" s="1110"/>
      <c r="AB57" s="1110"/>
      <c r="AC57" s="1110"/>
      <c r="AD57" s="1110"/>
      <c r="AE57" s="1110"/>
      <c r="AF57" s="1110"/>
      <c r="AG57" s="1110"/>
      <c r="AH57" s="1110"/>
      <c r="AI57" s="1110"/>
      <c r="AJ57" s="1110"/>
      <c r="AK57" s="1110"/>
    </row>
    <row r="58" spans="1:37" s="1109" customFormat="1" ht="40.200000000000003" thickBot="1">
      <c r="A58" s="2110" t="s">
        <v>2061</v>
      </c>
      <c r="B58" s="2111" t="str">
        <f>估价对象房地状况!C20</f>
        <v>区域自然环境：；人文环境；综合评价环境状况一般</v>
      </c>
      <c r="C58" s="2016"/>
      <c r="D58" s="1055">
        <f t="shared" si="7"/>
        <v>0</v>
      </c>
      <c r="E58" s="736"/>
      <c r="F58" s="1791"/>
      <c r="G58" s="1053"/>
      <c r="H58" s="1056" t="str">
        <f t="shared" si="8"/>
        <v>——</v>
      </c>
      <c r="I58" s="3339">
        <v>0.05</v>
      </c>
      <c r="J58" s="1054">
        <f t="shared" si="9"/>
        <v>0</v>
      </c>
      <c r="K58" s="1054">
        <f t="shared" si="10"/>
        <v>0</v>
      </c>
      <c r="L58" s="1054">
        <v>0</v>
      </c>
      <c r="M58" s="1054">
        <f t="shared" si="11"/>
        <v>0</v>
      </c>
      <c r="N58" s="1054">
        <f t="shared" si="11"/>
        <v>0</v>
      </c>
      <c r="AA58" s="1110"/>
      <c r="AB58" s="1110"/>
      <c r="AC58" s="1110"/>
      <c r="AD58" s="1110"/>
      <c r="AE58" s="1110"/>
      <c r="AF58" s="1110"/>
      <c r="AG58" s="1110"/>
      <c r="AH58" s="1110"/>
      <c r="AI58" s="1110"/>
      <c r="AJ58" s="1110"/>
      <c r="AK58" s="1110"/>
    </row>
    <row r="59" spans="1:37" s="1109" customFormat="1" ht="14.4">
      <c r="A59" s="2098" t="s">
        <v>2062</v>
      </c>
      <c r="B59" s="2099">
        <f>1+E61</f>
        <v>1</v>
      </c>
      <c r="C59" s="731"/>
      <c r="D59" s="731"/>
      <c r="E59" s="732"/>
      <c r="F59" s="2101"/>
      <c r="G59" s="3"/>
      <c r="H59" s="3"/>
      <c r="I59" s="3"/>
      <c r="J59" s="4"/>
      <c r="K59" s="4"/>
      <c r="L59" s="4"/>
      <c r="M59" s="4"/>
      <c r="N59" s="4"/>
      <c r="AA59" s="1110"/>
      <c r="AB59" s="1110"/>
      <c r="AC59" s="1110"/>
      <c r="AD59" s="1110"/>
      <c r="AE59" s="1110"/>
      <c r="AF59" s="1110"/>
      <c r="AG59" s="1110"/>
      <c r="AH59" s="1110"/>
      <c r="AI59" s="1110"/>
      <c r="AJ59" s="1110"/>
      <c r="AK59" s="1110"/>
    </row>
    <row r="60" spans="1:37" s="1109" customFormat="1" ht="25.2">
      <c r="A60" s="2102" t="s">
        <v>2044</v>
      </c>
      <c r="B60" s="1338"/>
      <c r="C60" s="1338" t="s">
        <v>2046</v>
      </c>
      <c r="D60" s="1338" t="s">
        <v>2047</v>
      </c>
      <c r="E60" s="733" t="s">
        <v>2048</v>
      </c>
      <c r="F60" s="2103" t="s">
        <v>2063</v>
      </c>
      <c r="G60" s="1338" t="s">
        <v>310</v>
      </c>
      <c r="H60" s="2104" t="s">
        <v>2050</v>
      </c>
      <c r="I60" s="1338" t="s">
        <v>2051</v>
      </c>
      <c r="J60" s="547" t="s">
        <v>1721</v>
      </c>
      <c r="K60" s="547" t="s">
        <v>1722</v>
      </c>
      <c r="L60" s="547" t="s">
        <v>1723</v>
      </c>
      <c r="M60" s="547" t="s">
        <v>1724</v>
      </c>
      <c r="N60" s="547" t="s">
        <v>1725</v>
      </c>
      <c r="AA60" s="1110"/>
      <c r="AB60" s="1110"/>
      <c r="AC60" s="1110"/>
      <c r="AD60" s="1110"/>
      <c r="AE60" s="1110"/>
      <c r="AF60" s="1110"/>
      <c r="AG60" s="1110"/>
      <c r="AH60" s="1110"/>
      <c r="AI60" s="1110"/>
      <c r="AJ60" s="1110"/>
      <c r="AK60" s="1110"/>
    </row>
    <row r="61" spans="1:37" s="1109" customFormat="1" ht="39.6">
      <c r="A61" s="2102" t="s">
        <v>2064</v>
      </c>
      <c r="B61" s="2105" t="str">
        <f>估价对象房地状况!C17</f>
        <v>估价对象位于XX商圈，周边办公楼项目较多，入驻率高，办公集聚程度较好</v>
      </c>
      <c r="C61" s="2016"/>
      <c r="D61" s="1055">
        <f t="shared" ref="D61:D69" si="12">SUMIF($J$60:$N$60,C61,J61:N61)</f>
        <v>0</v>
      </c>
      <c r="E61" s="734">
        <f>ROUND(SUM(D61:D69),4)</f>
        <v>0</v>
      </c>
      <c r="F61" s="1791" t="str">
        <f>IF(E2="办公",SUMIF(L1:L12,G2,N1:N12),"——")</f>
        <v>——</v>
      </c>
      <c r="G61" s="1053"/>
      <c r="H61" s="1056" t="str">
        <f t="shared" ref="H61:H69" si="13">IFERROR(ROUNDDOWN($F$61*I61/2,4),"——")</f>
        <v>——</v>
      </c>
      <c r="I61" s="3338">
        <v>0.25</v>
      </c>
      <c r="J61" s="1054">
        <f t="shared" ref="J61:J69" si="14">K61+$G61</f>
        <v>0</v>
      </c>
      <c r="K61" s="1054">
        <f t="shared" ref="K61:K69" si="15">$L61+$G61</f>
        <v>0</v>
      </c>
      <c r="L61" s="1054">
        <v>0</v>
      </c>
      <c r="M61" s="1054">
        <f t="shared" ref="M61:N69" si="16">L61-$G61</f>
        <v>0</v>
      </c>
      <c r="N61" s="1054">
        <f t="shared" si="16"/>
        <v>0</v>
      </c>
      <c r="AA61" s="1110"/>
      <c r="AB61" s="1110"/>
      <c r="AC61" s="1110"/>
      <c r="AD61" s="1110"/>
      <c r="AE61" s="1110"/>
      <c r="AF61" s="1110"/>
      <c r="AG61" s="1110"/>
      <c r="AH61" s="1110"/>
      <c r="AI61" s="1110"/>
      <c r="AJ61" s="1110"/>
      <c r="AK61" s="1110"/>
    </row>
    <row r="62" spans="1:37" s="1109" customFormat="1" ht="52.8">
      <c r="A62" s="2102" t="s">
        <v>2053</v>
      </c>
      <c r="B62" s="2106" t="str">
        <f>估价对象房地状况!C18</f>
        <v>估价对象周边道路状况、公共交通通达情况、停车便捷程度，综合评价交通便捷度较好</v>
      </c>
      <c r="C62" s="2016"/>
      <c r="D62" s="1055">
        <f t="shared" si="12"/>
        <v>0</v>
      </c>
      <c r="E62" s="735"/>
      <c r="F62" s="1791"/>
      <c r="G62" s="1053"/>
      <c r="H62" s="1056" t="str">
        <f t="shared" si="13"/>
        <v>——</v>
      </c>
      <c r="I62" s="3338">
        <v>0.26</v>
      </c>
      <c r="J62" s="1054">
        <f t="shared" si="14"/>
        <v>0</v>
      </c>
      <c r="K62" s="1054">
        <f t="shared" si="15"/>
        <v>0</v>
      </c>
      <c r="L62" s="1054">
        <v>0</v>
      </c>
      <c r="M62" s="1054">
        <f t="shared" si="16"/>
        <v>0</v>
      </c>
      <c r="N62" s="1054">
        <f t="shared" si="16"/>
        <v>0</v>
      </c>
      <c r="AA62" s="1110"/>
      <c r="AB62" s="1110"/>
      <c r="AC62" s="1110"/>
      <c r="AD62" s="1110"/>
      <c r="AE62" s="1110"/>
      <c r="AF62" s="1110"/>
      <c r="AG62" s="1110"/>
      <c r="AH62" s="1110"/>
      <c r="AI62" s="1110"/>
      <c r="AJ62" s="1110"/>
      <c r="AK62" s="1110"/>
    </row>
    <row r="63" spans="1:37" s="1109" customFormat="1" ht="48">
      <c r="A63" s="3340" t="s">
        <v>3271</v>
      </c>
      <c r="B63" s="2106">
        <f>估价对象房地状况!C19</f>
        <v>0</v>
      </c>
      <c r="C63" s="2016"/>
      <c r="D63" s="1055">
        <f t="shared" si="12"/>
        <v>0</v>
      </c>
      <c r="E63" s="735"/>
      <c r="F63" s="1791"/>
      <c r="G63" s="1053"/>
      <c r="H63" s="1056" t="str">
        <f t="shared" si="13"/>
        <v>——</v>
      </c>
      <c r="I63" s="3338">
        <v>0.11</v>
      </c>
      <c r="J63" s="1054">
        <f t="shared" si="14"/>
        <v>0</v>
      </c>
      <c r="K63" s="1054">
        <f t="shared" si="15"/>
        <v>0</v>
      </c>
      <c r="L63" s="1054">
        <v>0</v>
      </c>
      <c r="M63" s="1054">
        <f t="shared" si="16"/>
        <v>0</v>
      </c>
      <c r="N63" s="1054">
        <f t="shared" si="16"/>
        <v>0</v>
      </c>
      <c r="AA63" s="1110"/>
      <c r="AB63" s="1110"/>
      <c r="AC63" s="1110"/>
      <c r="AD63" s="1110"/>
      <c r="AE63" s="1110"/>
      <c r="AF63" s="1110"/>
      <c r="AG63" s="1110"/>
      <c r="AH63" s="1110"/>
      <c r="AI63" s="1110"/>
      <c r="AJ63" s="1110"/>
      <c r="AK63" s="1110"/>
    </row>
    <row r="64" spans="1:37" s="1109" customFormat="1" ht="37.200000000000003">
      <c r="A64" s="2102" t="s">
        <v>2054</v>
      </c>
      <c r="B64" s="2107" t="s">
        <v>2055</v>
      </c>
      <c r="C64" s="2016"/>
      <c r="D64" s="1055">
        <f t="shared" si="12"/>
        <v>0</v>
      </c>
      <c r="E64" s="735"/>
      <c r="F64" s="1791"/>
      <c r="G64" s="1053"/>
      <c r="H64" s="1056" t="str">
        <f t="shared" si="13"/>
        <v>——</v>
      </c>
      <c r="I64" s="3338">
        <v>0.05</v>
      </c>
      <c r="J64" s="1054">
        <f t="shared" si="14"/>
        <v>0</v>
      </c>
      <c r="K64" s="1054">
        <f t="shared" si="15"/>
        <v>0</v>
      </c>
      <c r="L64" s="1054">
        <v>0</v>
      </c>
      <c r="M64" s="1054">
        <f t="shared" si="16"/>
        <v>0</v>
      </c>
      <c r="N64" s="1054">
        <f t="shared" si="16"/>
        <v>0</v>
      </c>
      <c r="AA64" s="1110"/>
      <c r="AB64" s="1110"/>
      <c r="AC64" s="1110"/>
      <c r="AD64" s="1110"/>
      <c r="AE64" s="1110"/>
      <c r="AF64" s="1110"/>
      <c r="AG64" s="1110"/>
      <c r="AH64" s="1110"/>
      <c r="AI64" s="1110"/>
      <c r="AJ64" s="1110"/>
      <c r="AK64" s="1110"/>
    </row>
    <row r="65" spans="1:37" s="1109" customFormat="1" ht="24">
      <c r="A65" s="2102" t="s">
        <v>2056</v>
      </c>
      <c r="B65" s="2106">
        <f>估价对象房地状况!C24</f>
        <v>0</v>
      </c>
      <c r="C65" s="2016"/>
      <c r="D65" s="1055">
        <f t="shared" si="12"/>
        <v>0</v>
      </c>
      <c r="E65" s="735"/>
      <c r="F65" s="1791"/>
      <c r="G65" s="1053"/>
      <c r="H65" s="1056" t="str">
        <f t="shared" si="13"/>
        <v>——</v>
      </c>
      <c r="I65" s="3338">
        <v>0.05</v>
      </c>
      <c r="J65" s="1054">
        <f t="shared" si="14"/>
        <v>0</v>
      </c>
      <c r="K65" s="1054">
        <f t="shared" si="15"/>
        <v>0</v>
      </c>
      <c r="L65" s="1054">
        <v>0</v>
      </c>
      <c r="M65" s="1054">
        <f t="shared" si="16"/>
        <v>0</v>
      </c>
      <c r="N65" s="1054">
        <f t="shared" si="16"/>
        <v>0</v>
      </c>
      <c r="AA65" s="1110"/>
      <c r="AB65" s="1110"/>
      <c r="AC65" s="1110"/>
      <c r="AD65" s="1110"/>
      <c r="AE65" s="1110"/>
      <c r="AF65" s="1110"/>
      <c r="AG65" s="1110"/>
      <c r="AH65" s="1110"/>
      <c r="AI65" s="1110"/>
      <c r="AJ65" s="1110"/>
      <c r="AK65" s="1110"/>
    </row>
    <row r="66" spans="1:37" s="1109" customFormat="1" ht="36">
      <c r="A66" s="2102" t="s">
        <v>2057</v>
      </c>
      <c r="B66" s="2108" t="s">
        <v>2058</v>
      </c>
      <c r="C66" s="2016"/>
      <c r="D66" s="1055">
        <f t="shared" si="12"/>
        <v>0</v>
      </c>
      <c r="E66" s="735"/>
      <c r="F66" s="1791"/>
      <c r="G66" s="1053"/>
      <c r="H66" s="1056" t="str">
        <f t="shared" si="13"/>
        <v>——</v>
      </c>
      <c r="I66" s="3338">
        <v>0.06</v>
      </c>
      <c r="J66" s="1054">
        <f t="shared" si="14"/>
        <v>0</v>
      </c>
      <c r="K66" s="1054">
        <f t="shared" si="15"/>
        <v>0</v>
      </c>
      <c r="L66" s="1054">
        <v>0</v>
      </c>
      <c r="M66" s="1054">
        <f t="shared" si="16"/>
        <v>0</v>
      </c>
      <c r="N66" s="1054">
        <f t="shared" si="16"/>
        <v>0</v>
      </c>
      <c r="AA66" s="1110"/>
      <c r="AB66" s="1110"/>
      <c r="AC66" s="1110"/>
      <c r="AD66" s="1110"/>
      <c r="AE66" s="1110"/>
      <c r="AF66" s="1110"/>
      <c r="AG66" s="1110"/>
      <c r="AH66" s="1110"/>
      <c r="AI66" s="1110"/>
      <c r="AJ66" s="1110"/>
      <c r="AK66" s="1110"/>
    </row>
    <row r="67" spans="1:37" s="1109" customFormat="1" ht="26.4">
      <c r="A67" s="2102" t="s">
        <v>2059</v>
      </c>
      <c r="B67" s="1313" t="str">
        <f>估价对象房地状况!C21</f>
        <v>估价对象所在区域公共配套设施齐备情况</v>
      </c>
      <c r="C67" s="2016"/>
      <c r="D67" s="1055">
        <f t="shared" si="12"/>
        <v>0</v>
      </c>
      <c r="E67" s="735"/>
      <c r="F67" s="1791"/>
      <c r="G67" s="1053"/>
      <c r="H67" s="1056" t="str">
        <f t="shared" si="13"/>
        <v>——</v>
      </c>
      <c r="I67" s="3338">
        <v>0.06</v>
      </c>
      <c r="J67" s="1054">
        <f t="shared" si="14"/>
        <v>0</v>
      </c>
      <c r="K67" s="1054">
        <f t="shared" si="15"/>
        <v>0</v>
      </c>
      <c r="L67" s="1054">
        <v>0</v>
      </c>
      <c r="M67" s="1054">
        <f t="shared" si="16"/>
        <v>0</v>
      </c>
      <c r="N67" s="1054">
        <f t="shared" si="16"/>
        <v>0</v>
      </c>
      <c r="AA67" s="1110"/>
      <c r="AB67" s="1110"/>
      <c r="AC67" s="1110"/>
      <c r="AD67" s="1110"/>
      <c r="AE67" s="1110"/>
      <c r="AF67" s="1110"/>
      <c r="AG67" s="1110"/>
      <c r="AH67" s="1110"/>
      <c r="AI67" s="1110"/>
      <c r="AJ67" s="1110"/>
      <c r="AK67" s="1110"/>
    </row>
    <row r="68" spans="1:37" s="1109" customFormat="1" ht="26.4">
      <c r="A68" s="2102" t="s">
        <v>2060</v>
      </c>
      <c r="B68" s="1313" t="str">
        <f>估价对象房地状况!C22</f>
        <v>估价对象所在区域基础设施水平</v>
      </c>
      <c r="C68" s="2016"/>
      <c r="D68" s="1055">
        <f t="shared" si="12"/>
        <v>0</v>
      </c>
      <c r="E68" s="735"/>
      <c r="F68" s="1791"/>
      <c r="G68" s="1053"/>
      <c r="H68" s="1056" t="str">
        <f t="shared" si="13"/>
        <v>——</v>
      </c>
      <c r="I68" s="3338">
        <v>0.09</v>
      </c>
      <c r="J68" s="1054">
        <f t="shared" si="14"/>
        <v>0</v>
      </c>
      <c r="K68" s="1054">
        <f t="shared" si="15"/>
        <v>0</v>
      </c>
      <c r="L68" s="1054">
        <v>0</v>
      </c>
      <c r="M68" s="1054">
        <f t="shared" si="16"/>
        <v>0</v>
      </c>
      <c r="N68" s="1054">
        <f t="shared" si="16"/>
        <v>0</v>
      </c>
      <c r="AA68" s="1110"/>
      <c r="AB68" s="1110"/>
      <c r="AC68" s="1110"/>
      <c r="AD68" s="1110"/>
      <c r="AE68" s="1110"/>
      <c r="AF68" s="1110"/>
      <c r="AG68" s="1110"/>
      <c r="AH68" s="1110"/>
      <c r="AI68" s="1110"/>
      <c r="AJ68" s="1110"/>
      <c r="AK68" s="1110"/>
    </row>
    <row r="69" spans="1:37" s="1109" customFormat="1" ht="40.200000000000003" thickBot="1">
      <c r="A69" s="2110" t="s">
        <v>2061</v>
      </c>
      <c r="B69" s="2112" t="str">
        <f>估价对象房地状况!C20</f>
        <v>区域自然环境：；人文环境；综合评价环境状况一般</v>
      </c>
      <c r="C69" s="2016"/>
      <c r="D69" s="1055">
        <f t="shared" si="12"/>
        <v>0</v>
      </c>
      <c r="E69" s="736"/>
      <c r="F69" s="1791"/>
      <c r="G69" s="1053"/>
      <c r="H69" s="1056" t="str">
        <f t="shared" si="13"/>
        <v>——</v>
      </c>
      <c r="I69" s="3339">
        <v>7.0000000000000007E-2</v>
      </c>
      <c r="J69" s="1054">
        <f t="shared" si="14"/>
        <v>0</v>
      </c>
      <c r="K69" s="1054">
        <f t="shared" si="15"/>
        <v>0</v>
      </c>
      <c r="L69" s="1054">
        <v>0</v>
      </c>
      <c r="M69" s="1054">
        <f t="shared" si="16"/>
        <v>0</v>
      </c>
      <c r="N69" s="1054">
        <f t="shared" si="16"/>
        <v>0</v>
      </c>
      <c r="AA69" s="1110"/>
      <c r="AB69" s="1110"/>
      <c r="AC69" s="1110"/>
      <c r="AD69" s="1110"/>
      <c r="AE69" s="1110"/>
      <c r="AF69" s="1110"/>
      <c r="AG69" s="1110"/>
      <c r="AH69" s="1110"/>
      <c r="AI69" s="1110"/>
      <c r="AJ69" s="1110"/>
      <c r="AK69" s="1110"/>
    </row>
    <row r="70" spans="1:37" s="1109" customFormat="1" ht="14.4">
      <c r="A70" s="2098" t="s">
        <v>2065</v>
      </c>
      <c r="B70" s="2099">
        <f>1+E72</f>
        <v>1</v>
      </c>
      <c r="C70" s="731"/>
      <c r="D70" s="731"/>
      <c r="E70" s="732"/>
      <c r="F70" s="2101"/>
      <c r="G70" s="3"/>
      <c r="H70" s="3"/>
      <c r="I70" s="3"/>
      <c r="J70" s="4"/>
      <c r="K70" s="4"/>
      <c r="L70" s="4"/>
      <c r="M70" s="4"/>
      <c r="N70" s="4"/>
      <c r="AA70" s="1110"/>
      <c r="AB70" s="1110"/>
      <c r="AC70" s="1110"/>
      <c r="AD70" s="1110"/>
      <c r="AE70" s="1110"/>
      <c r="AF70" s="1110"/>
      <c r="AG70" s="1110"/>
      <c r="AH70" s="1110"/>
      <c r="AI70" s="1110"/>
      <c r="AJ70" s="1110"/>
      <c r="AK70" s="1110"/>
    </row>
    <row r="71" spans="1:37" s="1109" customFormat="1" ht="25.2">
      <c r="A71" s="2102" t="s">
        <v>2044</v>
      </c>
      <c r="B71" s="1338"/>
      <c r="C71" s="1338" t="s">
        <v>2046</v>
      </c>
      <c r="D71" s="1338" t="s">
        <v>2047</v>
      </c>
      <c r="E71" s="733" t="s">
        <v>2048</v>
      </c>
      <c r="F71" s="2103" t="s">
        <v>2063</v>
      </c>
      <c r="G71" s="1338" t="s">
        <v>310</v>
      </c>
      <c r="H71" s="2104" t="s">
        <v>2050</v>
      </c>
      <c r="I71" s="1338" t="s">
        <v>2051</v>
      </c>
      <c r="J71" s="547" t="s">
        <v>1721</v>
      </c>
      <c r="K71" s="547" t="s">
        <v>1722</v>
      </c>
      <c r="L71" s="547" t="s">
        <v>1723</v>
      </c>
      <c r="M71" s="547" t="s">
        <v>1724</v>
      </c>
      <c r="N71" s="547" t="s">
        <v>1725</v>
      </c>
      <c r="AA71" s="1110"/>
      <c r="AB71" s="1110"/>
      <c r="AC71" s="1110"/>
      <c r="AD71" s="1110"/>
      <c r="AE71" s="1110"/>
      <c r="AF71" s="1110"/>
      <c r="AG71" s="1110"/>
      <c r="AH71" s="1110"/>
      <c r="AI71" s="1110"/>
      <c r="AJ71" s="1110"/>
      <c r="AK71" s="1110"/>
    </row>
    <row r="72" spans="1:37" s="1109" customFormat="1" ht="52.8">
      <c r="A72" s="2102" t="s">
        <v>2066</v>
      </c>
      <c r="B72" s="2105" t="str">
        <f>估价对象房地状况!C15</f>
        <v>估价对象周边居住用地比例、居住小区规模和社区发展完善程度，综合评价居住社区成熟度一般</v>
      </c>
      <c r="C72" s="2016"/>
      <c r="D72" s="1055">
        <f t="shared" ref="D72:D80" si="17">SUMIF($J$71:$N$71,C72,J72:N72)</f>
        <v>0</v>
      </c>
      <c r="E72" s="734">
        <f>ROUND(SUM(D72:D80),4)</f>
        <v>0</v>
      </c>
      <c r="F72" s="1791" t="str">
        <f>IF(E2="住宅",SUMIF(L1:L12,G2,N1:N12),"——")</f>
        <v>——</v>
      </c>
      <c r="G72" s="1053"/>
      <c r="H72" s="1056" t="str">
        <f t="shared" ref="H72:H80" si="18">IFERROR(ROUNDDOWN($F$72*I72/2,4),"——")</f>
        <v>——</v>
      </c>
      <c r="I72" s="3338">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52.8">
      <c r="A73" s="2102" t="s">
        <v>2053</v>
      </c>
      <c r="B73" s="2106" t="str">
        <f>估价对象房地状况!C18</f>
        <v>估价对象周边道路状况、公共交通通达情况、停车便捷程度，综合评价交通便捷度较好</v>
      </c>
      <c r="C73" s="2016"/>
      <c r="D73" s="1055">
        <f t="shared" si="17"/>
        <v>0</v>
      </c>
      <c r="E73" s="737"/>
      <c r="F73" s="1791"/>
      <c r="G73" s="1053"/>
      <c r="H73" s="1056" t="str">
        <f t="shared" si="18"/>
        <v>——</v>
      </c>
      <c r="I73" s="3338">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69" customFormat="1" ht="48">
      <c r="A74" s="3340" t="s">
        <v>3271</v>
      </c>
      <c r="B74" s="2106">
        <f>估价对象房地状况!C19</f>
        <v>0</v>
      </c>
      <c r="C74" s="2016"/>
      <c r="D74" s="1055">
        <f t="shared" si="17"/>
        <v>0</v>
      </c>
      <c r="E74" s="737"/>
      <c r="F74" s="1791"/>
      <c r="G74" s="1053"/>
      <c r="H74" s="1056" t="str">
        <f t="shared" si="18"/>
        <v>——</v>
      </c>
      <c r="I74" s="3338">
        <v>0.1</v>
      </c>
      <c r="J74" s="1054">
        <f t="shared" si="19"/>
        <v>0</v>
      </c>
      <c r="K74" s="1054">
        <f t="shared" si="20"/>
        <v>0</v>
      </c>
      <c r="L74" s="1054">
        <v>0</v>
      </c>
      <c r="M74" s="1054">
        <f t="shared" si="21"/>
        <v>0</v>
      </c>
      <c r="N74" s="1054">
        <f t="shared" si="21"/>
        <v>0</v>
      </c>
      <c r="O74" s="1109"/>
      <c r="P74" s="1109"/>
      <c r="Q74" s="1109"/>
      <c r="AA74" s="2113"/>
      <c r="AB74" s="1110"/>
      <c r="AC74" s="1110"/>
      <c r="AD74" s="1110"/>
      <c r="AE74" s="1110"/>
      <c r="AF74" s="1110"/>
      <c r="AG74" s="1110"/>
      <c r="AH74" s="2113"/>
      <c r="AI74" s="2113"/>
      <c r="AJ74" s="2113"/>
      <c r="AK74" s="2113"/>
    </row>
    <row r="75" spans="1:37" ht="13.8">
      <c r="A75" s="2102" t="s">
        <v>2067</v>
      </c>
      <c r="B75" s="2106">
        <f>估价对象房地状况!C24</f>
        <v>0</v>
      </c>
      <c r="C75" s="2016"/>
      <c r="D75" s="1055">
        <f t="shared" si="17"/>
        <v>0</v>
      </c>
      <c r="E75" s="737"/>
      <c r="F75" s="1791"/>
      <c r="G75" s="1053"/>
      <c r="H75" s="1056" t="str">
        <f t="shared" si="18"/>
        <v>——</v>
      </c>
      <c r="I75" s="3338">
        <v>0.05</v>
      </c>
      <c r="J75" s="1054">
        <f t="shared" si="19"/>
        <v>0</v>
      </c>
      <c r="K75" s="1054">
        <f t="shared" si="20"/>
        <v>0</v>
      </c>
      <c r="L75" s="1054">
        <v>0</v>
      </c>
      <c r="M75" s="1054">
        <f t="shared" si="21"/>
        <v>0</v>
      </c>
      <c r="N75" s="1054">
        <f t="shared" si="21"/>
        <v>0</v>
      </c>
      <c r="O75" s="1109"/>
      <c r="P75" s="1109"/>
      <c r="Q75" s="1969"/>
      <c r="Z75" s="1970"/>
      <c r="AA75" s="2025"/>
      <c r="AG75" s="1111"/>
      <c r="AK75" s="2025"/>
    </row>
    <row r="76" spans="1:37" ht="26.4">
      <c r="A76" s="2102" t="s">
        <v>2059</v>
      </c>
      <c r="B76" s="1313" t="str">
        <f>估价对象房地状况!C21</f>
        <v>估价对象所在区域公共配套设施齐备情况</v>
      </c>
      <c r="C76" s="2016"/>
      <c r="D76" s="1055">
        <f t="shared" si="17"/>
        <v>0</v>
      </c>
      <c r="E76" s="737"/>
      <c r="F76" s="1791"/>
      <c r="G76" s="1053"/>
      <c r="H76" s="1056" t="str">
        <f t="shared" si="18"/>
        <v>——</v>
      </c>
      <c r="I76" s="3338">
        <v>0.08</v>
      </c>
      <c r="J76" s="1054">
        <f t="shared" si="19"/>
        <v>0</v>
      </c>
      <c r="K76" s="1054">
        <f t="shared" si="20"/>
        <v>0</v>
      </c>
      <c r="L76" s="1054">
        <v>0</v>
      </c>
      <c r="M76" s="1054">
        <f t="shared" si="21"/>
        <v>0</v>
      </c>
      <c r="N76" s="1054">
        <f t="shared" si="21"/>
        <v>0</v>
      </c>
      <c r="O76" s="1109"/>
      <c r="P76" s="1109"/>
      <c r="Z76" s="1970"/>
      <c r="AA76" s="2025"/>
      <c r="AG76" s="1111"/>
      <c r="AK76" s="2025"/>
    </row>
    <row r="77" spans="1:37" ht="26.4">
      <c r="A77" s="2102" t="s">
        <v>2060</v>
      </c>
      <c r="B77" s="1313" t="str">
        <f>估价对象房地状况!C22</f>
        <v>估价对象所在区域基础设施水平</v>
      </c>
      <c r="C77" s="2016"/>
      <c r="D77" s="1055">
        <f t="shared" si="17"/>
        <v>0</v>
      </c>
      <c r="E77" s="737"/>
      <c r="F77" s="1791"/>
      <c r="G77" s="1053"/>
      <c r="H77" s="1056" t="str">
        <f t="shared" si="18"/>
        <v>——</v>
      </c>
      <c r="I77" s="3338">
        <v>0.09</v>
      </c>
      <c r="J77" s="1054">
        <f t="shared" si="19"/>
        <v>0</v>
      </c>
      <c r="K77" s="1054">
        <f t="shared" si="20"/>
        <v>0</v>
      </c>
      <c r="L77" s="1054">
        <v>0</v>
      </c>
      <c r="M77" s="1054">
        <f t="shared" si="21"/>
        <v>0</v>
      </c>
      <c r="N77" s="1054">
        <f t="shared" si="21"/>
        <v>0</v>
      </c>
      <c r="O77" s="1109"/>
      <c r="P77" s="1109"/>
      <c r="Z77" s="1970"/>
      <c r="AA77" s="2025"/>
      <c r="AG77" s="1111"/>
      <c r="AK77" s="2025"/>
    </row>
    <row r="78" spans="1:37" ht="36">
      <c r="A78" s="2102" t="s">
        <v>2057</v>
      </c>
      <c r="B78" s="2108" t="s">
        <v>2058</v>
      </c>
      <c r="C78" s="2016"/>
      <c r="D78" s="1055">
        <f t="shared" si="17"/>
        <v>0</v>
      </c>
      <c r="E78" s="737"/>
      <c r="F78" s="1791"/>
      <c r="G78" s="1053"/>
      <c r="H78" s="1056" t="str">
        <f t="shared" si="18"/>
        <v>——</v>
      </c>
      <c r="I78" s="3338">
        <v>0.05</v>
      </c>
      <c r="J78" s="1054">
        <f t="shared" si="19"/>
        <v>0</v>
      </c>
      <c r="K78" s="1054">
        <f t="shared" si="20"/>
        <v>0</v>
      </c>
      <c r="L78" s="1054">
        <v>0</v>
      </c>
      <c r="M78" s="1054">
        <f t="shared" si="21"/>
        <v>0</v>
      </c>
      <c r="N78" s="1054">
        <f t="shared" si="21"/>
        <v>0</v>
      </c>
      <c r="O78" s="1969"/>
      <c r="P78" s="1969"/>
      <c r="Z78" s="1970"/>
      <c r="AA78" s="2025"/>
      <c r="AG78" s="1111"/>
      <c r="AK78" s="2025"/>
    </row>
    <row r="79" spans="1:37" ht="39.6">
      <c r="A79" s="2102" t="s">
        <v>2061</v>
      </c>
      <c r="B79" s="2105" t="str">
        <f>估价对象房地状况!C20</f>
        <v>区域自然环境：；人文环境；综合评价环境状况一般</v>
      </c>
      <c r="C79" s="2016"/>
      <c r="D79" s="1055">
        <f t="shared" si="17"/>
        <v>0</v>
      </c>
      <c r="E79" s="737"/>
      <c r="F79" s="1791"/>
      <c r="G79" s="1053"/>
      <c r="H79" s="1056" t="str">
        <f t="shared" si="18"/>
        <v>——</v>
      </c>
      <c r="I79" s="3338">
        <v>0.12</v>
      </c>
      <c r="J79" s="1054">
        <f t="shared" si="19"/>
        <v>0</v>
      </c>
      <c r="K79" s="1054">
        <f t="shared" si="20"/>
        <v>0</v>
      </c>
      <c r="L79" s="1054">
        <v>0</v>
      </c>
      <c r="M79" s="1054">
        <f t="shared" si="21"/>
        <v>0</v>
      </c>
      <c r="N79" s="1054">
        <f t="shared" si="21"/>
        <v>0</v>
      </c>
      <c r="Z79" s="1970"/>
      <c r="AA79" s="2025"/>
      <c r="AG79" s="1111"/>
      <c r="AK79" s="2025"/>
    </row>
    <row r="80" spans="1:37" ht="36.6" thickBot="1">
      <c r="A80" s="2110" t="s">
        <v>2068</v>
      </c>
      <c r="B80" s="2114"/>
      <c r="C80" s="2016"/>
      <c r="D80" s="1055">
        <f t="shared" si="17"/>
        <v>0</v>
      </c>
      <c r="E80" s="738"/>
      <c r="F80" s="1791"/>
      <c r="G80" s="1053"/>
      <c r="H80" s="1056" t="str">
        <f t="shared" si="18"/>
        <v>——</v>
      </c>
      <c r="I80" s="3339">
        <v>0.05</v>
      </c>
      <c r="J80" s="1054">
        <f t="shared" si="19"/>
        <v>0</v>
      </c>
      <c r="K80" s="1054">
        <f t="shared" si="20"/>
        <v>0</v>
      </c>
      <c r="L80" s="1054">
        <v>0</v>
      </c>
      <c r="M80" s="1054">
        <f t="shared" si="21"/>
        <v>0</v>
      </c>
      <c r="N80" s="1054">
        <f t="shared" si="21"/>
        <v>0</v>
      </c>
      <c r="Z80" s="1970"/>
      <c r="AA80" s="2025"/>
      <c r="AG80" s="1111"/>
      <c r="AK80" s="2025"/>
    </row>
    <row r="81" spans="1:37" ht="14.4">
      <c r="A81" s="2098" t="s">
        <v>2069</v>
      </c>
      <c r="B81" s="2099">
        <f>1+E83</f>
        <v>1</v>
      </c>
      <c r="C81" s="731"/>
      <c r="D81" s="731"/>
      <c r="E81" s="732"/>
      <c r="F81" s="2101"/>
      <c r="G81" s="3"/>
      <c r="H81" s="3"/>
      <c r="I81" s="3"/>
      <c r="J81" s="4"/>
      <c r="K81" s="4"/>
      <c r="L81" s="4"/>
      <c r="M81" s="4"/>
      <c r="N81" s="4"/>
      <c r="Z81" s="1970"/>
      <c r="AA81" s="2025"/>
      <c r="AG81" s="1111"/>
      <c r="AK81" s="2025"/>
    </row>
    <row r="82" spans="1:37" ht="25.2">
      <c r="A82" s="2102" t="s">
        <v>2044</v>
      </c>
      <c r="B82" s="1338"/>
      <c r="C82" s="1338" t="s">
        <v>2046</v>
      </c>
      <c r="D82" s="1338" t="s">
        <v>2047</v>
      </c>
      <c r="E82" s="733" t="s">
        <v>2048</v>
      </c>
      <c r="F82" s="2103" t="s">
        <v>2063</v>
      </c>
      <c r="G82" s="1338" t="s">
        <v>310</v>
      </c>
      <c r="H82" s="2104" t="s">
        <v>2050</v>
      </c>
      <c r="I82" s="1338" t="s">
        <v>2051</v>
      </c>
      <c r="J82" s="547" t="s">
        <v>1721</v>
      </c>
      <c r="K82" s="547" t="s">
        <v>1722</v>
      </c>
      <c r="L82" s="547" t="s">
        <v>1723</v>
      </c>
      <c r="M82" s="547" t="s">
        <v>1724</v>
      </c>
      <c r="N82" s="547" t="s">
        <v>1725</v>
      </c>
      <c r="Z82" s="1970"/>
      <c r="AA82" s="2025"/>
      <c r="AG82" s="1111"/>
      <c r="AK82" s="2025"/>
    </row>
    <row r="83" spans="1:37" ht="39.6">
      <c r="A83" s="2102" t="s">
        <v>2070</v>
      </c>
      <c r="B83" s="2106" t="str">
        <f>估价对象房地状况!G15</f>
        <v>估价对象位于XX开发区，园区建设成熟度XX，产业集聚程度XX</v>
      </c>
      <c r="C83" s="2016"/>
      <c r="D83" s="1055">
        <f t="shared" ref="D83:D90" si="22">SUMIF($J$82:$N$82,C83,J83:N83)</f>
        <v>0</v>
      </c>
      <c r="E83" s="734">
        <f>ROUND(SUM(D83:D90),4)</f>
        <v>0</v>
      </c>
      <c r="F83" s="1791" t="str">
        <f>IF(E2="工业",SUMIF(L1:L12,G2,N1:N12),"——")</f>
        <v>——</v>
      </c>
      <c r="G83" s="1053"/>
      <c r="H83" s="1056" t="str">
        <f t="shared" ref="H83:H90" si="23">IFERROR(ROUNDDOWN($F$83*I83/2,4),"——")</f>
        <v>——</v>
      </c>
      <c r="I83" s="3338">
        <v>0.26</v>
      </c>
      <c r="J83" s="1054">
        <f t="shared" ref="J83:J90" si="24">K83+$G83</f>
        <v>0</v>
      </c>
      <c r="K83" s="1054">
        <f t="shared" ref="K83:K90" si="25">$L83+$G83</f>
        <v>0</v>
      </c>
      <c r="L83" s="1054">
        <v>0</v>
      </c>
      <c r="M83" s="1054">
        <f t="shared" ref="M83:N90" si="26">L83-$G83</f>
        <v>0</v>
      </c>
      <c r="N83" s="1054">
        <f t="shared" si="26"/>
        <v>0</v>
      </c>
      <c r="Z83" s="1970"/>
      <c r="AA83" s="2025"/>
      <c r="AG83" s="1111"/>
      <c r="AK83" s="2025"/>
    </row>
    <row r="84" spans="1:37" ht="52.8">
      <c r="A84" s="2102" t="s">
        <v>2053</v>
      </c>
      <c r="B84" s="2106" t="str">
        <f>估价对象房地状况!G16</f>
        <v>估价对象周边道路状况、公共交通通达情况、停车便捷程度，综合评价交通便捷度较好</v>
      </c>
      <c r="C84" s="2016"/>
      <c r="D84" s="1055">
        <f t="shared" si="22"/>
        <v>0</v>
      </c>
      <c r="E84" s="737"/>
      <c r="F84" s="1791"/>
      <c r="G84" s="1053"/>
      <c r="H84" s="1056" t="str">
        <f t="shared" si="23"/>
        <v>——</v>
      </c>
      <c r="I84" s="3338">
        <v>0.3</v>
      </c>
      <c r="J84" s="1054">
        <f t="shared" si="24"/>
        <v>0</v>
      </c>
      <c r="K84" s="1054">
        <f t="shared" si="25"/>
        <v>0</v>
      </c>
      <c r="L84" s="1054">
        <v>0</v>
      </c>
      <c r="M84" s="1054">
        <f t="shared" si="26"/>
        <v>0</v>
      </c>
      <c r="N84" s="1054">
        <f t="shared" si="26"/>
        <v>0</v>
      </c>
      <c r="Z84" s="1970"/>
      <c r="AA84" s="2025"/>
      <c r="AG84" s="1111"/>
      <c r="AK84" s="2025"/>
    </row>
    <row r="85" spans="1:37" ht="48">
      <c r="A85" s="3340" t="s">
        <v>3272</v>
      </c>
      <c r="B85" s="2106">
        <f>估价对象房地状况!G17</f>
        <v>0</v>
      </c>
      <c r="C85" s="2016"/>
      <c r="D85" s="1055">
        <f t="shared" si="22"/>
        <v>0</v>
      </c>
      <c r="E85" s="737"/>
      <c r="F85" s="1791"/>
      <c r="G85" s="1053"/>
      <c r="H85" s="1056" t="str">
        <f t="shared" si="23"/>
        <v>——</v>
      </c>
      <c r="I85" s="3338">
        <v>0.1</v>
      </c>
      <c r="J85" s="1054">
        <f t="shared" si="24"/>
        <v>0</v>
      </c>
      <c r="K85" s="1054">
        <f t="shared" si="25"/>
        <v>0</v>
      </c>
      <c r="L85" s="1054">
        <v>0</v>
      </c>
      <c r="M85" s="1054">
        <f t="shared" si="26"/>
        <v>0</v>
      </c>
      <c r="N85" s="1054">
        <f t="shared" si="26"/>
        <v>0</v>
      </c>
      <c r="Z85" s="1970"/>
      <c r="AA85" s="2025"/>
      <c r="AG85" s="1111"/>
      <c r="AK85" s="2025"/>
    </row>
    <row r="86" spans="1:37" ht="13.8">
      <c r="A86" s="2102" t="s">
        <v>2067</v>
      </c>
      <c r="B86" s="2106">
        <f>估价对象房地状况!G22</f>
        <v>0</v>
      </c>
      <c r="C86" s="2016"/>
      <c r="D86" s="1055">
        <f t="shared" si="22"/>
        <v>0</v>
      </c>
      <c r="E86" s="737"/>
      <c r="F86" s="1791"/>
      <c r="G86" s="1053"/>
      <c r="H86" s="1056" t="str">
        <f t="shared" si="23"/>
        <v>——</v>
      </c>
      <c r="I86" s="3338">
        <v>0.05</v>
      </c>
      <c r="J86" s="1054">
        <f t="shared" si="24"/>
        <v>0</v>
      </c>
      <c r="K86" s="1054">
        <f t="shared" si="25"/>
        <v>0</v>
      </c>
      <c r="L86" s="1054">
        <v>0</v>
      </c>
      <c r="M86" s="1054">
        <f t="shared" si="26"/>
        <v>0</v>
      </c>
      <c r="N86" s="1054">
        <f t="shared" si="26"/>
        <v>0</v>
      </c>
      <c r="Z86" s="1970"/>
      <c r="AA86" s="2025"/>
      <c r="AG86" s="1111"/>
      <c r="AK86" s="2025"/>
    </row>
    <row r="87" spans="1:37" ht="26.4">
      <c r="A87" s="2102" t="s">
        <v>2059</v>
      </c>
      <c r="B87" s="1313" t="str">
        <f>估价对象房地状况!G19</f>
        <v>估价对象所在区域公共配套设施齐备情况</v>
      </c>
      <c r="C87" s="2016"/>
      <c r="D87" s="1055">
        <f t="shared" si="22"/>
        <v>0</v>
      </c>
      <c r="E87" s="737"/>
      <c r="F87" s="1791"/>
      <c r="G87" s="1053"/>
      <c r="H87" s="1056" t="str">
        <f t="shared" si="23"/>
        <v>——</v>
      </c>
      <c r="I87" s="3338">
        <v>0.06</v>
      </c>
      <c r="J87" s="1054">
        <f t="shared" si="24"/>
        <v>0</v>
      </c>
      <c r="K87" s="1054">
        <f t="shared" si="25"/>
        <v>0</v>
      </c>
      <c r="L87" s="1054">
        <v>0</v>
      </c>
      <c r="M87" s="1054">
        <f t="shared" si="26"/>
        <v>0</v>
      </c>
      <c r="N87" s="1054">
        <f t="shared" si="26"/>
        <v>0</v>
      </c>
    </row>
    <row r="88" spans="1:37" ht="26.4">
      <c r="A88" s="2102" t="s">
        <v>2060</v>
      </c>
      <c r="B88" s="1313" t="str">
        <f>估价对象房地状况!G20</f>
        <v>估价对象所在区域基础设施水平</v>
      </c>
      <c r="C88" s="2016"/>
      <c r="D88" s="1055">
        <f t="shared" si="22"/>
        <v>0</v>
      </c>
      <c r="E88" s="737"/>
      <c r="F88" s="1791"/>
      <c r="G88" s="1053"/>
      <c r="H88" s="1056" t="str">
        <f t="shared" si="23"/>
        <v>——</v>
      </c>
      <c r="I88" s="3338">
        <v>0.12</v>
      </c>
      <c r="J88" s="1054">
        <f t="shared" si="24"/>
        <v>0</v>
      </c>
      <c r="K88" s="1054">
        <f t="shared" si="25"/>
        <v>0</v>
      </c>
      <c r="L88" s="1054">
        <v>0</v>
      </c>
      <c r="M88" s="1054">
        <f t="shared" si="26"/>
        <v>0</v>
      </c>
      <c r="N88" s="1054">
        <f t="shared" si="26"/>
        <v>0</v>
      </c>
    </row>
    <row r="89" spans="1:37" ht="36">
      <c r="A89" s="2102" t="s">
        <v>2057</v>
      </c>
      <c r="B89" s="2108" t="s">
        <v>2071</v>
      </c>
      <c r="C89" s="2016"/>
      <c r="D89" s="1055">
        <f t="shared" si="22"/>
        <v>0</v>
      </c>
      <c r="E89" s="737"/>
      <c r="F89" s="1791"/>
      <c r="G89" s="1053"/>
      <c r="H89" s="1056" t="str">
        <f t="shared" si="23"/>
        <v>——</v>
      </c>
      <c r="I89" s="3338">
        <v>0.06</v>
      </c>
      <c r="J89" s="1054">
        <f t="shared" si="24"/>
        <v>0</v>
      </c>
      <c r="K89" s="1054">
        <f t="shared" si="25"/>
        <v>0</v>
      </c>
      <c r="L89" s="1054">
        <v>0</v>
      </c>
      <c r="M89" s="1054">
        <f t="shared" si="26"/>
        <v>0</v>
      </c>
      <c r="N89" s="1054">
        <f t="shared" si="26"/>
        <v>0</v>
      </c>
    </row>
    <row r="90" spans="1:37" ht="40.200000000000003" thickBot="1">
      <c r="A90" s="2110" t="s">
        <v>2072</v>
      </c>
      <c r="B90" s="2115" t="str">
        <f>估价对象房地状况!G18</f>
        <v>该园区内是否有污染型企业，绿化情况，卫生条件，整体环境状况判断</v>
      </c>
      <c r="C90" s="2016"/>
      <c r="D90" s="1055">
        <f t="shared" si="22"/>
        <v>0</v>
      </c>
      <c r="E90" s="738"/>
      <c r="F90" s="1791"/>
      <c r="G90" s="1053"/>
      <c r="H90" s="1056" t="str">
        <f t="shared" si="23"/>
        <v>——</v>
      </c>
      <c r="I90" s="3339">
        <v>0.05</v>
      </c>
      <c r="J90" s="1054">
        <f t="shared" si="24"/>
        <v>0</v>
      </c>
      <c r="K90" s="1054">
        <f t="shared" si="25"/>
        <v>0</v>
      </c>
      <c r="L90" s="1054">
        <v>0</v>
      </c>
      <c r="M90" s="1054">
        <f t="shared" si="26"/>
        <v>0</v>
      </c>
      <c r="N90" s="1054">
        <f t="shared" si="26"/>
        <v>0</v>
      </c>
    </row>
    <row r="91" spans="1:37" ht="13.8">
      <c r="A91" s="3348" t="s">
        <v>2614</v>
      </c>
      <c r="B91" s="3349">
        <f>1+E93</f>
        <v>1</v>
      </c>
      <c r="C91" s="3342"/>
      <c r="D91" s="3343"/>
      <c r="E91" s="1791"/>
      <c r="F91" s="1791"/>
      <c r="G91" s="3344"/>
      <c r="H91" s="3345"/>
      <c r="I91" s="3346"/>
      <c r="J91" s="3347"/>
      <c r="K91" s="3347"/>
      <c r="L91" s="3347"/>
      <c r="M91" s="3347"/>
      <c r="N91" s="3347"/>
    </row>
    <row r="92" spans="1:37" ht="25.2">
      <c r="A92" s="3350" t="s">
        <v>3273</v>
      </c>
      <c r="B92" s="3337"/>
      <c r="C92" s="3337" t="s">
        <v>3282</v>
      </c>
      <c r="D92" s="3337" t="s">
        <v>3283</v>
      </c>
      <c r="E92" s="3319" t="s">
        <v>3284</v>
      </c>
      <c r="F92" s="3352" t="s">
        <v>3285</v>
      </c>
      <c r="G92" s="3337" t="s">
        <v>3286</v>
      </c>
      <c r="H92" s="3359" t="s">
        <v>3289</v>
      </c>
      <c r="I92" s="3337" t="s">
        <v>3290</v>
      </c>
      <c r="J92" s="3360" t="s">
        <v>3291</v>
      </c>
      <c r="K92" s="3360" t="s">
        <v>3292</v>
      </c>
      <c r="L92" s="3360" t="s">
        <v>3293</v>
      </c>
      <c r="M92" s="3360" t="s">
        <v>3294</v>
      </c>
      <c r="N92" s="3360" t="s">
        <v>3295</v>
      </c>
    </row>
    <row r="93" spans="1:37" ht="24">
      <c r="A93" s="3340" t="s">
        <v>3274</v>
      </c>
      <c r="B93" s="1293"/>
      <c r="C93" s="2016"/>
      <c r="D93" s="3337">
        <f>SUMIF($J$92:$N$92,C93,J93:N93)</f>
        <v>0</v>
      </c>
      <c r="E93" s="3353">
        <f>ROUND(SUM(D93:D101),4)</f>
        <v>0</v>
      </c>
      <c r="F93" s="1791" t="str">
        <f>IF(E2="公共服务",SUMIF(L1:L12,G2,N1:N12),"——")</f>
        <v>——</v>
      </c>
      <c r="G93" s="3344"/>
      <c r="H93" s="3392"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52.8">
      <c r="A94" s="3350" t="s">
        <v>3275</v>
      </c>
      <c r="B94" s="3341" t="str">
        <f>估价对象房地状况!C18</f>
        <v>估价对象周边道路状况、公共交通通达情况、停车便捷程度，综合评价交通便捷度较好</v>
      </c>
      <c r="C94" s="2016"/>
      <c r="D94" s="3337">
        <f t="shared" ref="D94:D101" si="30">SUMIF($J$60:$N$60,C94,J94:N94)</f>
        <v>0</v>
      </c>
      <c r="E94" s="3354"/>
      <c r="F94" s="1791"/>
      <c r="G94" s="3344"/>
      <c r="H94" s="3392" t="str">
        <f>IFERROR(ROUNDDOWN($F$93*I94/2,4),"——")</f>
        <v>——</v>
      </c>
      <c r="I94" s="3338">
        <v>0.26</v>
      </c>
      <c r="J94" s="3316">
        <f t="shared" si="27"/>
        <v>0</v>
      </c>
      <c r="K94" s="3316">
        <f t="shared" si="28"/>
        <v>0</v>
      </c>
      <c r="L94" s="3316">
        <v>0</v>
      </c>
      <c r="M94" s="3316">
        <f t="shared" si="29"/>
        <v>0</v>
      </c>
      <c r="N94" s="3316">
        <f t="shared" si="29"/>
        <v>0</v>
      </c>
    </row>
    <row r="95" spans="1:37" ht="48">
      <c r="A95" s="3340" t="s">
        <v>3271</v>
      </c>
      <c r="B95" s="3341">
        <f>估价对象房地状况!C19</f>
        <v>0</v>
      </c>
      <c r="C95" s="2016"/>
      <c r="D95" s="3337">
        <f t="shared" si="30"/>
        <v>0</v>
      </c>
      <c r="E95" s="3354"/>
      <c r="F95" s="1791"/>
      <c r="G95" s="3344"/>
      <c r="H95" s="3392" t="str">
        <f t="shared" ref="H95:H101" si="31">IFERROR(ROUNDDOWN($F$93*I95/2,4),"——")</f>
        <v>——</v>
      </c>
      <c r="I95" s="3338">
        <v>0.11</v>
      </c>
      <c r="J95" s="3316">
        <f t="shared" si="27"/>
        <v>0</v>
      </c>
      <c r="K95" s="3316">
        <f t="shared" si="28"/>
        <v>0</v>
      </c>
      <c r="L95" s="3316">
        <v>0</v>
      </c>
      <c r="M95" s="3316">
        <f t="shared" si="29"/>
        <v>0</v>
      </c>
      <c r="N95" s="3316">
        <f t="shared" si="29"/>
        <v>0</v>
      </c>
    </row>
    <row r="96" spans="1:37" ht="37.200000000000003">
      <c r="A96" s="3350" t="s">
        <v>3276</v>
      </c>
      <c r="B96" s="3356" t="s">
        <v>3287</v>
      </c>
      <c r="C96" s="2016"/>
      <c r="D96" s="3337">
        <f t="shared" si="30"/>
        <v>0</v>
      </c>
      <c r="E96" s="3354"/>
      <c r="F96" s="1791"/>
      <c r="G96" s="3344"/>
      <c r="H96" s="3392" t="str">
        <f t="shared" si="31"/>
        <v>——</v>
      </c>
      <c r="I96" s="3338">
        <v>0.05</v>
      </c>
      <c r="J96" s="3316">
        <f t="shared" si="27"/>
        <v>0</v>
      </c>
      <c r="K96" s="3316">
        <f t="shared" si="28"/>
        <v>0</v>
      </c>
      <c r="L96" s="3316">
        <v>0</v>
      </c>
      <c r="M96" s="3316">
        <f t="shared" si="29"/>
        <v>0</v>
      </c>
      <c r="N96" s="3316">
        <f t="shared" si="29"/>
        <v>0</v>
      </c>
    </row>
    <row r="97" spans="1:14" ht="24">
      <c r="A97" s="3350" t="s">
        <v>3277</v>
      </c>
      <c r="B97" s="3341">
        <f>估价对象房地状况!C24</f>
        <v>0</v>
      </c>
      <c r="C97" s="2016"/>
      <c r="D97" s="3337">
        <f t="shared" si="30"/>
        <v>0</v>
      </c>
      <c r="E97" s="3354"/>
      <c r="F97" s="1791"/>
      <c r="G97" s="3344"/>
      <c r="H97" s="3392" t="str">
        <f t="shared" si="31"/>
        <v>——</v>
      </c>
      <c r="I97" s="3338">
        <v>0.05</v>
      </c>
      <c r="J97" s="3316">
        <f t="shared" si="27"/>
        <v>0</v>
      </c>
      <c r="K97" s="3316">
        <f t="shared" si="28"/>
        <v>0</v>
      </c>
      <c r="L97" s="3316">
        <v>0</v>
      </c>
      <c r="M97" s="3316">
        <f t="shared" si="29"/>
        <v>0</v>
      </c>
      <c r="N97" s="3316">
        <f t="shared" si="29"/>
        <v>0</v>
      </c>
    </row>
    <row r="98" spans="1:14" ht="36">
      <c r="A98" s="3350" t="s">
        <v>3278</v>
      </c>
      <c r="B98" s="3357" t="s">
        <v>3288</v>
      </c>
      <c r="C98" s="2016"/>
      <c r="D98" s="3337">
        <f t="shared" si="30"/>
        <v>0</v>
      </c>
      <c r="E98" s="3354"/>
      <c r="F98" s="1791"/>
      <c r="G98" s="3344"/>
      <c r="H98" s="3392" t="str">
        <f t="shared" si="31"/>
        <v>——</v>
      </c>
      <c r="I98" s="3338">
        <v>0.06</v>
      </c>
      <c r="J98" s="3316">
        <f t="shared" si="27"/>
        <v>0</v>
      </c>
      <c r="K98" s="3316">
        <f t="shared" si="28"/>
        <v>0</v>
      </c>
      <c r="L98" s="3316">
        <v>0</v>
      </c>
      <c r="M98" s="3316">
        <f t="shared" si="29"/>
        <v>0</v>
      </c>
      <c r="N98" s="3316">
        <f t="shared" si="29"/>
        <v>0</v>
      </c>
    </row>
    <row r="99" spans="1:14" ht="26.4">
      <c r="A99" s="3350" t="s">
        <v>3279</v>
      </c>
      <c r="B99" s="3341" t="str">
        <f>估价对象房地状况!C21</f>
        <v>估价对象所在区域公共配套设施齐备情况</v>
      </c>
      <c r="C99" s="2016"/>
      <c r="D99" s="3337">
        <f t="shared" si="30"/>
        <v>0</v>
      </c>
      <c r="E99" s="3354"/>
      <c r="F99" s="1791"/>
      <c r="G99" s="3344"/>
      <c r="H99" s="3392" t="str">
        <f t="shared" si="31"/>
        <v>——</v>
      </c>
      <c r="I99" s="3338">
        <v>0.06</v>
      </c>
      <c r="J99" s="3316">
        <f t="shared" si="27"/>
        <v>0</v>
      </c>
      <c r="K99" s="3316">
        <f t="shared" si="28"/>
        <v>0</v>
      </c>
      <c r="L99" s="3316">
        <v>0</v>
      </c>
      <c r="M99" s="3316">
        <f t="shared" si="29"/>
        <v>0</v>
      </c>
      <c r="N99" s="3316">
        <f t="shared" si="29"/>
        <v>0</v>
      </c>
    </row>
    <row r="100" spans="1:14" ht="26.4">
      <c r="A100" s="3350" t="s">
        <v>3280</v>
      </c>
      <c r="B100" s="3341" t="str">
        <f>估价对象房地状况!C22</f>
        <v>估价对象所在区域基础设施水平</v>
      </c>
      <c r="C100" s="2016"/>
      <c r="D100" s="3337">
        <f t="shared" si="30"/>
        <v>0</v>
      </c>
      <c r="E100" s="3354"/>
      <c r="F100" s="1791"/>
      <c r="G100" s="3344"/>
      <c r="H100" s="3392" t="str">
        <f t="shared" si="31"/>
        <v>——</v>
      </c>
      <c r="I100" s="3338">
        <v>0.09</v>
      </c>
      <c r="J100" s="3316">
        <f t="shared" si="27"/>
        <v>0</v>
      </c>
      <c r="K100" s="3316">
        <f t="shared" si="28"/>
        <v>0</v>
      </c>
      <c r="L100" s="3316">
        <v>0</v>
      </c>
      <c r="M100" s="3316">
        <f t="shared" si="29"/>
        <v>0</v>
      </c>
      <c r="N100" s="3316">
        <f t="shared" si="29"/>
        <v>0</v>
      </c>
    </row>
    <row r="101" spans="1:14" ht="40.200000000000003" thickBot="1">
      <c r="A101" s="3351" t="s">
        <v>3281</v>
      </c>
      <c r="B101" s="3358" t="str">
        <f>估价对象房地状况!C20</f>
        <v>区域自然环境：；人文环境；综合评价环境状况一般</v>
      </c>
      <c r="C101" s="2016"/>
      <c r="D101" s="3337">
        <f t="shared" si="30"/>
        <v>0</v>
      </c>
      <c r="E101" s="3355"/>
      <c r="F101" s="1791"/>
      <c r="G101" s="3344"/>
      <c r="H101" s="3392" t="str">
        <f t="shared" si="31"/>
        <v>——</v>
      </c>
      <c r="I101" s="3339">
        <v>7.0000000000000007E-2</v>
      </c>
      <c r="J101" s="3316">
        <f t="shared" si="27"/>
        <v>0</v>
      </c>
      <c r="K101" s="3316">
        <f t="shared" si="28"/>
        <v>0</v>
      </c>
      <c r="L101" s="3316">
        <v>0</v>
      </c>
      <c r="M101" s="3316">
        <f t="shared" si="29"/>
        <v>0</v>
      </c>
      <c r="N101" s="3316">
        <f t="shared" si="29"/>
        <v>0</v>
      </c>
    </row>
    <row r="103" spans="1:14">
      <c r="A103" s="4268" t="s">
        <v>3296</v>
      </c>
      <c r="B103" s="4268"/>
      <c r="C103" s="4268"/>
      <c r="D103" s="4268"/>
      <c r="E103" s="4268"/>
      <c r="F103" s="4268"/>
      <c r="G103" s="4268"/>
      <c r="H103" s="4268"/>
      <c r="I103" s="4268"/>
      <c r="J103" s="4268"/>
      <c r="K103" s="3361"/>
      <c r="L103" s="3361"/>
      <c r="M103" s="3361"/>
      <c r="N103" s="3361"/>
    </row>
    <row r="104" spans="1:14">
      <c r="A104" s="4269" t="s">
        <v>3297</v>
      </c>
      <c r="B104" s="4269" t="s">
        <v>3298</v>
      </c>
      <c r="C104" s="3362" t="s">
        <v>3299</v>
      </c>
      <c r="D104" s="3363"/>
      <c r="E104" s="3363"/>
      <c r="F104" s="3363"/>
      <c r="G104" s="3363"/>
      <c r="H104" s="3363"/>
      <c r="I104" s="3363"/>
      <c r="J104" s="3364"/>
      <c r="K104" s="3365"/>
      <c r="L104" s="3365"/>
      <c r="M104" s="3365"/>
      <c r="N104" s="3365"/>
    </row>
    <row r="105" spans="1:14">
      <c r="A105" s="4269"/>
      <c r="B105" s="4269"/>
      <c r="C105" s="3366" t="s">
        <v>3300</v>
      </c>
      <c r="D105" s="3366" t="s">
        <v>3301</v>
      </c>
      <c r="E105" s="3366" t="s">
        <v>3302</v>
      </c>
      <c r="F105" s="3366" t="s">
        <v>3303</v>
      </c>
      <c r="G105" s="3366" t="s">
        <v>3304</v>
      </c>
      <c r="H105" s="3366" t="s">
        <v>3305</v>
      </c>
      <c r="I105" s="3366" t="s">
        <v>3306</v>
      </c>
      <c r="J105" s="3366" t="s">
        <v>3307</v>
      </c>
      <c r="K105" s="3366" t="s">
        <v>3308</v>
      </c>
      <c r="L105" s="3366" t="s">
        <v>3309</v>
      </c>
      <c r="M105" s="3366" t="s">
        <v>3310</v>
      </c>
      <c r="N105" s="3366" t="s">
        <v>3311</v>
      </c>
    </row>
    <row r="106" spans="1:14">
      <c r="A106" s="4255" t="s">
        <v>3312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4256"/>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4256"/>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4256"/>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4256"/>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4256"/>
      <c r="B111" s="3366" t="s">
        <v>3270</v>
      </c>
      <c r="C111" s="3367">
        <f>$I$3</f>
        <v>0</v>
      </c>
      <c r="D111" s="3367">
        <f t="shared" ref="D111:M111" si="32">$I$3</f>
        <v>0</v>
      </c>
      <c r="E111" s="3367">
        <f t="shared" si="32"/>
        <v>0</v>
      </c>
      <c r="F111" s="3367">
        <f t="shared" si="32"/>
        <v>0</v>
      </c>
      <c r="G111" s="3367">
        <f t="shared" si="32"/>
        <v>0</v>
      </c>
      <c r="H111" s="3367">
        <f t="shared" si="32"/>
        <v>0</v>
      </c>
      <c r="I111" s="3367">
        <f t="shared" si="32"/>
        <v>0</v>
      </c>
      <c r="J111" s="3367">
        <f t="shared" si="32"/>
        <v>0</v>
      </c>
      <c r="K111" s="3367">
        <f t="shared" si="32"/>
        <v>0</v>
      </c>
      <c r="L111" s="3367">
        <f t="shared" si="32"/>
        <v>0</v>
      </c>
      <c r="M111" s="3367">
        <f t="shared" si="32"/>
        <v>0</v>
      </c>
      <c r="N111" s="3367">
        <f>$I$3</f>
        <v>0</v>
      </c>
    </row>
    <row r="112" spans="1:14">
      <c r="A112" s="4257"/>
      <c r="B112" s="3366">
        <v>6</v>
      </c>
      <c r="C112" s="3359">
        <f>(-0.5556*(C111^2)-0.2719*C111+8944)*(10^(-4))</f>
        <v>0.89440000000000008</v>
      </c>
      <c r="D112" s="3359">
        <f>(-0.5556*(D111^2)-0.2719*D111+8944)*(10^(-4))</f>
        <v>0.89440000000000008</v>
      </c>
      <c r="E112" s="3359">
        <f>(-0.7912*(E111^2)-11.3794*E111+8482)*(10^(-4))</f>
        <v>0.84820000000000007</v>
      </c>
      <c r="F112" s="3359">
        <f t="shared" ref="F112:I112" si="33">(-0.7912*(F111^2)-11.3794*F111+8482)*(10^(-4))</f>
        <v>0.84820000000000007</v>
      </c>
      <c r="G112" s="3359">
        <f t="shared" si="33"/>
        <v>0.84820000000000007</v>
      </c>
      <c r="H112" s="3359">
        <f t="shared" si="33"/>
        <v>0.84820000000000007</v>
      </c>
      <c r="I112" s="3359">
        <f t="shared" si="33"/>
        <v>0.84820000000000007</v>
      </c>
      <c r="J112" s="3359">
        <f>(-0.989*(J111^2)-63.78*J111+7771)*(10^(-4))</f>
        <v>0.77710000000000001</v>
      </c>
      <c r="K112" s="3359">
        <f t="shared" ref="K112:N112" si="34">(-0.989*(K111^2)-63.78*K111+7771)*(10^(-4))</f>
        <v>0.77710000000000001</v>
      </c>
      <c r="L112" s="3359">
        <f t="shared" si="34"/>
        <v>0.77710000000000001</v>
      </c>
      <c r="M112" s="3359">
        <f t="shared" si="34"/>
        <v>0.77710000000000001</v>
      </c>
      <c r="N112" s="3359">
        <f t="shared" si="34"/>
        <v>0.77710000000000001</v>
      </c>
    </row>
    <row r="113" spans="1:14">
      <c r="A113" s="4258" t="s">
        <v>3313</v>
      </c>
      <c r="B113" s="4258"/>
      <c r="C113" s="4258"/>
      <c r="D113" s="4258"/>
      <c r="E113" s="4258"/>
      <c r="F113" s="4258"/>
      <c r="G113" s="4258"/>
      <c r="H113" s="4258"/>
      <c r="I113" s="4258"/>
      <c r="J113" s="4258"/>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8" thickBot="1">
      <c r="A115" s="3369"/>
      <c r="B115" s="3369"/>
      <c r="C115" s="3369"/>
      <c r="D115" s="3369"/>
      <c r="E115" s="3369"/>
      <c r="F115" s="3369"/>
      <c r="G115" s="3369"/>
      <c r="H115" s="3369"/>
      <c r="I115" s="3369"/>
      <c r="J115" s="3369"/>
      <c r="K115" s="3328"/>
      <c r="L115" s="3369"/>
      <c r="M115" s="3369"/>
      <c r="N115" s="3369"/>
    </row>
    <row r="116" spans="1:14" ht="25.8" thickBot="1">
      <c r="A116" s="3370" t="s">
        <v>3314</v>
      </c>
      <c r="B116" s="3387">
        <f>G3</f>
        <v>0</v>
      </c>
      <c r="C116" s="3371" t="s">
        <v>3315</v>
      </c>
      <c r="D116" s="3372">
        <f>SUMPRODUCT((A118:A122=F116)*(B117:M117=H116)*B118:M122)</f>
        <v>0</v>
      </c>
      <c r="E116" s="1972" t="s">
        <v>3316</v>
      </c>
      <c r="F116" s="3373">
        <f>E2</f>
        <v>0</v>
      </c>
      <c r="G116" s="1972" t="s">
        <v>3317</v>
      </c>
      <c r="H116" s="3373">
        <f>G2</f>
        <v>0</v>
      </c>
      <c r="I116" s="1972"/>
      <c r="J116" s="3374"/>
      <c r="K116" s="3374"/>
      <c r="L116" s="3374"/>
      <c r="M116" s="3374"/>
      <c r="N116" s="3369"/>
    </row>
    <row r="117" spans="1:14">
      <c r="A117" s="3375"/>
      <c r="B117" s="3376" t="s">
        <v>3318</v>
      </c>
      <c r="C117" s="3376" t="s">
        <v>3319</v>
      </c>
      <c r="D117" s="3376" t="s">
        <v>3320</v>
      </c>
      <c r="E117" s="3377" t="s">
        <v>3321</v>
      </c>
      <c r="F117" s="3377" t="s">
        <v>3322</v>
      </c>
      <c r="G117" s="3377" t="s">
        <v>3323</v>
      </c>
      <c r="H117" s="3378" t="s">
        <v>3324</v>
      </c>
      <c r="I117" s="3378" t="s">
        <v>3325</v>
      </c>
      <c r="J117" s="3379" t="s">
        <v>3326</v>
      </c>
      <c r="K117" s="3379" t="s">
        <v>3327</v>
      </c>
      <c r="L117" s="3379" t="s">
        <v>3328</v>
      </c>
      <c r="M117" s="3380" t="s">
        <v>3329</v>
      </c>
      <c r="N117" s="3369"/>
    </row>
    <row r="118" spans="1:14">
      <c r="A118" s="3381" t="s">
        <v>3330</v>
      </c>
      <c r="B118" s="3359">
        <f>ROUND(0.9968-0.011*B116,4)</f>
        <v>0.99680000000000002</v>
      </c>
      <c r="C118" s="3359">
        <f>B118</f>
        <v>0.99680000000000002</v>
      </c>
      <c r="D118" s="3359">
        <f>ROUND(0.949-0.014*B116,4)</f>
        <v>0.94899999999999995</v>
      </c>
      <c r="E118" s="3359">
        <f>D118</f>
        <v>0.94899999999999995</v>
      </c>
      <c r="F118" s="3359">
        <f>E118</f>
        <v>0.94899999999999995</v>
      </c>
      <c r="G118" s="3359">
        <f>F118</f>
        <v>0.94899999999999995</v>
      </c>
      <c r="H118" s="3359">
        <f>G118</f>
        <v>0.94899999999999995</v>
      </c>
      <c r="I118" s="3359">
        <f>ROUND(0.8486-0.018*B116,4)</f>
        <v>0.84860000000000002</v>
      </c>
      <c r="J118" s="3359">
        <f t="shared" ref="J118:M122" si="35">I118</f>
        <v>0.84860000000000002</v>
      </c>
      <c r="K118" s="3359">
        <f t="shared" si="35"/>
        <v>0.84860000000000002</v>
      </c>
      <c r="L118" s="3359">
        <f t="shared" si="35"/>
        <v>0.84860000000000002</v>
      </c>
      <c r="M118" s="3382">
        <f t="shared" si="35"/>
        <v>0.84860000000000002</v>
      </c>
      <c r="N118" s="3369"/>
    </row>
    <row r="119" spans="1:14">
      <c r="A119" s="3381" t="s">
        <v>3331</v>
      </c>
      <c r="B119" s="3359">
        <f>ROUND(0.993-0.0112*B116,4)</f>
        <v>0.99299999999999999</v>
      </c>
      <c r="C119" s="3359">
        <f>B119</f>
        <v>0.99299999999999999</v>
      </c>
      <c r="D119" s="3359">
        <f>ROUND(0.9415-0.0142*B116,4)</f>
        <v>0.9415</v>
      </c>
      <c r="E119" s="3359">
        <f t="shared" ref="E119:H120" si="36">D119</f>
        <v>0.9415</v>
      </c>
      <c r="F119" s="3359">
        <f t="shared" si="36"/>
        <v>0.9415</v>
      </c>
      <c r="G119" s="3359">
        <f t="shared" si="36"/>
        <v>0.9415</v>
      </c>
      <c r="H119" s="3359">
        <f t="shared" si="36"/>
        <v>0.9415</v>
      </c>
      <c r="I119" s="3359">
        <f>ROUND(0.838-0.0182*B116,4)</f>
        <v>0.83799999999999997</v>
      </c>
      <c r="J119" s="3359">
        <f t="shared" si="35"/>
        <v>0.83799999999999997</v>
      </c>
      <c r="K119" s="3359">
        <f t="shared" si="35"/>
        <v>0.83799999999999997</v>
      </c>
      <c r="L119" s="3359">
        <f t="shared" si="35"/>
        <v>0.83799999999999997</v>
      </c>
      <c r="M119" s="3382">
        <f t="shared" si="35"/>
        <v>0.83799999999999997</v>
      </c>
      <c r="N119" s="3369"/>
    </row>
    <row r="120" spans="1:14">
      <c r="A120" s="3381" t="s">
        <v>3332</v>
      </c>
      <c r="B120" s="3359">
        <f>ROUND(0.9448-0.0115*B116,4)</f>
        <v>0.94479999999999997</v>
      </c>
      <c r="C120" s="3359">
        <f>B120</f>
        <v>0.94479999999999997</v>
      </c>
      <c r="D120" s="3359">
        <f>ROUND(0.937-0.0145*B116,4)</f>
        <v>0.93700000000000006</v>
      </c>
      <c r="E120" s="3359">
        <f t="shared" si="36"/>
        <v>0.93700000000000006</v>
      </c>
      <c r="F120" s="3359">
        <f t="shared" si="36"/>
        <v>0.93700000000000006</v>
      </c>
      <c r="G120" s="3359">
        <f t="shared" si="36"/>
        <v>0.93700000000000006</v>
      </c>
      <c r="H120" s="3359">
        <f t="shared" si="36"/>
        <v>0.93700000000000006</v>
      </c>
      <c r="I120" s="3359">
        <f>ROUND(0.7965-0.0185*B116,4)</f>
        <v>0.79649999999999999</v>
      </c>
      <c r="J120" s="3359">
        <f t="shared" si="35"/>
        <v>0.79649999999999999</v>
      </c>
      <c r="K120" s="3359">
        <f t="shared" si="35"/>
        <v>0.79649999999999999</v>
      </c>
      <c r="L120" s="3359">
        <f t="shared" si="35"/>
        <v>0.79649999999999999</v>
      </c>
      <c r="M120" s="3382">
        <f t="shared" si="35"/>
        <v>0.79649999999999999</v>
      </c>
      <c r="N120" s="3369"/>
    </row>
    <row r="121" spans="1:14" ht="13.8" thickBot="1">
      <c r="A121" s="3383" t="s">
        <v>3333</v>
      </c>
      <c r="B121" s="3384">
        <f>ROUND(0.7836-0.012*B116,4)</f>
        <v>0.78359999999999996</v>
      </c>
      <c r="C121" s="3384">
        <f>B121</f>
        <v>0.78359999999999996</v>
      </c>
      <c r="D121" s="3384">
        <f>ROUND(0.753-0.015*B116,4)</f>
        <v>0.753</v>
      </c>
      <c r="E121" s="3384">
        <f>D121</f>
        <v>0.753</v>
      </c>
      <c r="F121" s="3384">
        <f>E121</f>
        <v>0.753</v>
      </c>
      <c r="G121" s="3384">
        <f>ROUND(0.6612-0.018*B116,4)</f>
        <v>0.66120000000000001</v>
      </c>
      <c r="H121" s="3384">
        <f>G121</f>
        <v>0.66120000000000001</v>
      </c>
      <c r="I121" s="3384">
        <f>ROUND(0.5905-0.019*B116,4)</f>
        <v>0.59050000000000002</v>
      </c>
      <c r="J121" s="3384">
        <f t="shared" si="35"/>
        <v>0.59050000000000002</v>
      </c>
      <c r="K121" s="3384">
        <f t="shared" si="35"/>
        <v>0.59050000000000002</v>
      </c>
      <c r="L121" s="3384">
        <f t="shared" si="35"/>
        <v>0.59050000000000002</v>
      </c>
      <c r="M121" s="3385">
        <f t="shared" si="35"/>
        <v>0.59050000000000002</v>
      </c>
      <c r="N121" s="3369"/>
    </row>
    <row r="122" spans="1:14">
      <c r="A122" s="3386" t="s">
        <v>2614</v>
      </c>
      <c r="B122" s="3359">
        <f>ROUND(0.9404-0.0106*B116,4)</f>
        <v>0.94040000000000001</v>
      </c>
      <c r="C122" s="3359">
        <f>B122</f>
        <v>0.94040000000000001</v>
      </c>
      <c r="D122" s="3359">
        <f>ROUND(0.8955-0.0135*B116,4)</f>
        <v>0.89549999999999996</v>
      </c>
      <c r="E122" s="3359">
        <f t="shared" ref="E122:H122" si="37">D122</f>
        <v>0.89549999999999996</v>
      </c>
      <c r="F122" s="3359">
        <f t="shared" si="37"/>
        <v>0.89549999999999996</v>
      </c>
      <c r="G122" s="3359">
        <f t="shared" si="37"/>
        <v>0.89549999999999996</v>
      </c>
      <c r="H122" s="3359">
        <f t="shared" si="37"/>
        <v>0.89549999999999996</v>
      </c>
      <c r="I122" s="3359">
        <f>ROUND(0.7632-0.0166*B116,4)</f>
        <v>0.76319999999999999</v>
      </c>
      <c r="J122" s="3359">
        <f t="shared" si="35"/>
        <v>0.76319999999999999</v>
      </c>
      <c r="K122" s="3359">
        <f t="shared" si="35"/>
        <v>0.76319999999999999</v>
      </c>
      <c r="L122" s="3359">
        <f t="shared" si="35"/>
        <v>0.76319999999999999</v>
      </c>
      <c r="M122" s="3382">
        <f t="shared" si="35"/>
        <v>0.76319999999999999</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45" customWidth="1"/>
    <col min="14" max="14" width="10" style="3045" customWidth="1"/>
    <col min="15" max="16" width="8.21875" style="3045"/>
    <col min="17" max="17" width="34.109375" style="3045" customWidth="1"/>
    <col min="18" max="18" width="8.21875" style="3045" customWidth="1"/>
    <col min="19" max="19" width="8.21875" style="3045"/>
    <col min="20" max="20" width="11.6640625" style="3045" customWidth="1"/>
    <col min="21" max="16384" width="8.21875" style="3045"/>
  </cols>
  <sheetData>
    <row r="1" spans="1:13" ht="19.5" customHeight="1" thickBot="1">
      <c r="A1" s="3042" t="s">
        <v>2596</v>
      </c>
      <c r="B1" s="3043" t="s">
        <v>2597</v>
      </c>
      <c r="C1" s="3043" t="s">
        <v>2598</v>
      </c>
      <c r="D1" s="3043" t="s">
        <v>2599</v>
      </c>
      <c r="E1" s="3043" t="s">
        <v>2600</v>
      </c>
      <c r="F1" s="3043" t="s">
        <v>2601</v>
      </c>
      <c r="G1" s="3043" t="s">
        <v>2602</v>
      </c>
      <c r="H1" s="3043" t="s">
        <v>2603</v>
      </c>
      <c r="I1" s="3043" t="s">
        <v>2604</v>
      </c>
      <c r="J1" s="3043" t="s">
        <v>2605</v>
      </c>
      <c r="K1" s="3043" t="s">
        <v>2606</v>
      </c>
      <c r="L1" s="3043" t="s">
        <v>2607</v>
      </c>
      <c r="M1" s="3044" t="s">
        <v>2608</v>
      </c>
    </row>
    <row r="2" spans="1:13" ht="19.5" customHeight="1">
      <c r="A2" s="3046" t="s">
        <v>2609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2610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2611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2612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2613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2614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2615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2616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2617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2618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2619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2620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2621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2622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2623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2624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2625</v>
      </c>
      <c r="B18" s="3068"/>
      <c r="C18" s="3069"/>
      <c r="D18" s="3069"/>
      <c r="E18" s="3068"/>
      <c r="F18" s="3069"/>
      <c r="G18" s="3069"/>
    </row>
    <row r="19" spans="1:13" ht="19.5" customHeight="1" thickBot="1">
      <c r="A19" s="3066" t="s">
        <v>2626</v>
      </c>
      <c r="B19" s="3071" t="s">
        <v>2627</v>
      </c>
      <c r="C19" s="3071" t="s">
        <v>2628</v>
      </c>
      <c r="D19" s="3072"/>
      <c r="E19" s="3066" t="s">
        <v>2629</v>
      </c>
      <c r="F19" s="3073"/>
      <c r="G19" s="3073"/>
    </row>
    <row r="20" spans="1:13" ht="19.5" customHeight="1">
      <c r="A20" s="4283" t="s">
        <v>2609</v>
      </c>
      <c r="B20" s="4278" t="s">
        <v>2630</v>
      </c>
      <c r="C20" s="3074" t="s">
        <v>2441</v>
      </c>
      <c r="D20" s="3075"/>
      <c r="E20" s="3076">
        <v>1</v>
      </c>
      <c r="F20" s="3077" t="s">
        <v>2442</v>
      </c>
      <c r="G20" s="3077"/>
    </row>
    <row r="21" spans="1:13" ht="19.5" customHeight="1">
      <c r="A21" s="4284"/>
      <c r="B21" s="4277"/>
      <c r="C21" s="3078" t="s">
        <v>2443</v>
      </c>
      <c r="D21" s="3079"/>
      <c r="E21" s="3080">
        <v>1</v>
      </c>
      <c r="F21" s="3077" t="s">
        <v>2444</v>
      </c>
      <c r="G21" s="3077"/>
    </row>
    <row r="22" spans="1:13" ht="19.5" customHeight="1">
      <c r="A22" s="4284"/>
      <c r="B22" s="4277"/>
      <c r="C22" s="3078" t="s">
        <v>2445</v>
      </c>
      <c r="D22" s="3079"/>
      <c r="E22" s="3080">
        <v>0.9</v>
      </c>
      <c r="F22" s="3077" t="s">
        <v>2446</v>
      </c>
      <c r="G22" s="3077"/>
    </row>
    <row r="23" spans="1:13" ht="19.5" customHeight="1">
      <c r="A23" s="4284"/>
      <c r="B23" s="4277"/>
      <c r="C23" s="3078" t="s">
        <v>2447</v>
      </c>
      <c r="D23" s="3079"/>
      <c r="E23" s="3080">
        <v>0.9</v>
      </c>
      <c r="F23" s="3077" t="s">
        <v>2448</v>
      </c>
      <c r="G23" s="3077"/>
    </row>
    <row r="24" spans="1:13" ht="19.5" customHeight="1">
      <c r="A24" s="4284"/>
      <c r="B24" s="4277"/>
      <c r="C24" s="3078" t="s">
        <v>2449</v>
      </c>
      <c r="D24" s="3079"/>
      <c r="E24" s="3080">
        <v>0.8</v>
      </c>
      <c r="F24" s="3077" t="s">
        <v>2450</v>
      </c>
      <c r="G24" s="3077"/>
    </row>
    <row r="25" spans="1:13" ht="19.5" customHeight="1" thickBot="1">
      <c r="A25" s="4285"/>
      <c r="B25" s="4279"/>
      <c r="C25" s="3081" t="s">
        <v>2451</v>
      </c>
      <c r="D25" s="3082"/>
      <c r="E25" s="3083">
        <v>0.8</v>
      </c>
      <c r="F25" s="3077" t="s">
        <v>2452</v>
      </c>
      <c r="G25" s="3077"/>
    </row>
    <row r="26" spans="1:13" ht="19.5" customHeight="1" thickBot="1">
      <c r="A26" s="3084" t="s">
        <v>2631</v>
      </c>
      <c r="B26" s="3085" t="s">
        <v>2630</v>
      </c>
      <c r="C26" s="3086" t="s">
        <v>2632</v>
      </c>
      <c r="D26" s="3087"/>
      <c r="E26" s="3088">
        <v>1</v>
      </c>
      <c r="F26" s="3077" t="s">
        <v>2453</v>
      </c>
      <c r="G26" s="3077"/>
    </row>
    <row r="27" spans="1:13" ht="19.5" customHeight="1">
      <c r="A27" s="4280" t="s">
        <v>2633</v>
      </c>
      <c r="B27" s="4278" t="s">
        <v>2614</v>
      </c>
      <c r="C27" s="3074" t="s">
        <v>2454</v>
      </c>
      <c r="D27" s="3075"/>
      <c r="E27" s="3076">
        <v>1</v>
      </c>
      <c r="F27" s="3077" t="s">
        <v>2455</v>
      </c>
      <c r="G27" s="3077"/>
    </row>
    <row r="28" spans="1:13" ht="19.5" customHeight="1">
      <c r="A28" s="4281"/>
      <c r="B28" s="4277"/>
      <c r="C28" s="3078" t="s">
        <v>2456</v>
      </c>
      <c r="D28" s="3079"/>
      <c r="E28" s="3080">
        <v>1</v>
      </c>
      <c r="F28" s="3077" t="s">
        <v>2457</v>
      </c>
      <c r="G28" s="3077"/>
    </row>
    <row r="29" spans="1:13" ht="19.5" customHeight="1">
      <c r="A29" s="4281"/>
      <c r="B29" s="4277"/>
      <c r="C29" s="3078" t="s">
        <v>2458</v>
      </c>
      <c r="D29" s="3079"/>
      <c r="E29" s="3080">
        <v>0.8</v>
      </c>
      <c r="F29" s="3077" t="s">
        <v>2459</v>
      </c>
      <c r="G29" s="3077"/>
    </row>
    <row r="30" spans="1:13" ht="19.5" customHeight="1">
      <c r="A30" s="4281"/>
      <c r="B30" s="4277"/>
      <c r="C30" s="3078" t="s">
        <v>2460</v>
      </c>
      <c r="D30" s="3079"/>
      <c r="E30" s="3080">
        <v>0.8</v>
      </c>
      <c r="F30" s="3077" t="s">
        <v>2461</v>
      </c>
      <c r="G30" s="3077"/>
    </row>
    <row r="31" spans="1:13" ht="19.5" customHeight="1">
      <c r="A31" s="4281"/>
      <c r="B31" s="4277"/>
      <c r="C31" s="3078" t="s">
        <v>2462</v>
      </c>
      <c r="D31" s="3079"/>
      <c r="E31" s="3080">
        <v>0.8</v>
      </c>
      <c r="F31" s="3077" t="s">
        <v>2463</v>
      </c>
      <c r="G31" s="3077"/>
    </row>
    <row r="32" spans="1:13" ht="19.5" customHeight="1">
      <c r="A32" s="4281"/>
      <c r="B32" s="4277"/>
      <c r="C32" s="3078" t="s">
        <v>2464</v>
      </c>
      <c r="D32" s="3079"/>
      <c r="E32" s="3080">
        <v>0.7</v>
      </c>
      <c r="F32" s="3077" t="s">
        <v>2465</v>
      </c>
      <c r="G32" s="3077"/>
    </row>
    <row r="33" spans="1:7" ht="19.5" customHeight="1">
      <c r="A33" s="4281"/>
      <c r="B33" s="4277"/>
      <c r="C33" s="3078" t="s">
        <v>2466</v>
      </c>
      <c r="D33" s="3079"/>
      <c r="E33" s="3080">
        <v>0.8</v>
      </c>
      <c r="F33" s="3077" t="s">
        <v>2467</v>
      </c>
      <c r="G33" s="3077"/>
    </row>
    <row r="34" spans="1:7" ht="19.5" customHeight="1">
      <c r="A34" s="4281"/>
      <c r="B34" s="4277"/>
      <c r="C34" s="3078" t="s">
        <v>2468</v>
      </c>
      <c r="D34" s="3079"/>
      <c r="E34" s="3080">
        <v>0.6</v>
      </c>
      <c r="F34" s="3077" t="s">
        <v>2469</v>
      </c>
      <c r="G34" s="3077"/>
    </row>
    <row r="35" spans="1:7" ht="19.5" customHeight="1">
      <c r="A35" s="4281"/>
      <c r="B35" s="4277"/>
      <c r="C35" s="3078" t="s">
        <v>2470</v>
      </c>
      <c r="D35" s="3079"/>
      <c r="E35" s="3080">
        <v>0.2</v>
      </c>
      <c r="F35" s="3077" t="s">
        <v>2471</v>
      </c>
      <c r="G35" s="3077"/>
    </row>
    <row r="36" spans="1:7" ht="19.5" customHeight="1">
      <c r="A36" s="4281"/>
      <c r="B36" s="4277"/>
      <c r="C36" s="3078" t="s">
        <v>2472</v>
      </c>
      <c r="D36" s="3079"/>
      <c r="E36" s="3080">
        <v>0.2</v>
      </c>
      <c r="F36" s="3077" t="s">
        <v>2473</v>
      </c>
      <c r="G36" s="3077"/>
    </row>
    <row r="37" spans="1:7" ht="19.5" customHeight="1">
      <c r="A37" s="4281"/>
      <c r="B37" s="4275" t="s">
        <v>2634</v>
      </c>
      <c r="C37" s="3078" t="s">
        <v>2474</v>
      </c>
      <c r="D37" s="3079"/>
      <c r="E37" s="3080">
        <v>0.6</v>
      </c>
      <c r="F37" s="3077" t="s">
        <v>2475</v>
      </c>
      <c r="G37" s="3077"/>
    </row>
    <row r="38" spans="1:7" ht="19.5" customHeight="1">
      <c r="A38" s="4281"/>
      <c r="B38" s="4277"/>
      <c r="C38" s="3078" t="s">
        <v>2476</v>
      </c>
      <c r="D38" s="3079"/>
      <c r="E38" s="3080">
        <v>0.6</v>
      </c>
      <c r="F38" s="3077" t="s">
        <v>2477</v>
      </c>
      <c r="G38" s="3077"/>
    </row>
    <row r="39" spans="1:7" ht="19.5" customHeight="1" thickBot="1">
      <c r="A39" s="4282"/>
      <c r="B39" s="4279"/>
      <c r="C39" s="3081" t="s">
        <v>2478</v>
      </c>
      <c r="D39" s="3082"/>
      <c r="E39" s="3083">
        <v>0.6</v>
      </c>
      <c r="F39" s="3077" t="s">
        <v>2479</v>
      </c>
      <c r="G39" s="3077"/>
    </row>
    <row r="40" spans="1:7" ht="19.5" customHeight="1" thickBot="1">
      <c r="A40" s="3084" t="s">
        <v>2611</v>
      </c>
      <c r="B40" s="3085" t="s">
        <v>2611</v>
      </c>
      <c r="C40" s="3086" t="s">
        <v>2635</v>
      </c>
      <c r="D40" s="3087"/>
      <c r="E40" s="3088">
        <v>1</v>
      </c>
      <c r="F40" s="3077" t="s">
        <v>2480</v>
      </c>
      <c r="G40" s="3077"/>
    </row>
    <row r="41" spans="1:7" ht="19.5" customHeight="1">
      <c r="A41" s="4283" t="s">
        <v>2612</v>
      </c>
      <c r="B41" s="4278" t="s">
        <v>2636</v>
      </c>
      <c r="C41" s="3074" t="s">
        <v>2481</v>
      </c>
      <c r="D41" s="3075"/>
      <c r="E41" s="3076">
        <v>1</v>
      </c>
      <c r="F41" s="3077" t="s">
        <v>2482</v>
      </c>
      <c r="G41" s="3077"/>
    </row>
    <row r="42" spans="1:7" ht="19.5" customHeight="1">
      <c r="A42" s="4284"/>
      <c r="B42" s="4277"/>
      <c r="C42" s="3078" t="s">
        <v>2483</v>
      </c>
      <c r="D42" s="3079"/>
      <c r="E42" s="3080">
        <v>1</v>
      </c>
      <c r="F42" s="3077" t="s">
        <v>2484</v>
      </c>
      <c r="G42" s="3077"/>
    </row>
    <row r="43" spans="1:7" ht="19.5" customHeight="1">
      <c r="A43" s="4284"/>
      <c r="B43" s="4276"/>
      <c r="C43" s="3078" t="s">
        <v>2485</v>
      </c>
      <c r="D43" s="3079"/>
      <c r="E43" s="3080">
        <v>1.5</v>
      </c>
      <c r="F43" s="3077" t="s">
        <v>2486</v>
      </c>
      <c r="G43" s="3077"/>
    </row>
    <row r="44" spans="1:7" ht="19.5" customHeight="1">
      <c r="A44" s="4284"/>
      <c r="B44" s="3089" t="s">
        <v>2637</v>
      </c>
      <c r="C44" s="3078" t="s">
        <v>2638</v>
      </c>
      <c r="D44" s="3079"/>
      <c r="E44" s="3080">
        <v>2</v>
      </c>
      <c r="F44" s="3077" t="s">
        <v>2487</v>
      </c>
      <c r="G44" s="3077"/>
    </row>
    <row r="45" spans="1:7" ht="19.5" customHeight="1">
      <c r="A45" s="4284"/>
      <c r="B45" s="4275" t="s">
        <v>2639</v>
      </c>
      <c r="C45" s="3078" t="s">
        <v>2488</v>
      </c>
      <c r="D45" s="3079"/>
      <c r="E45" s="3080">
        <v>1</v>
      </c>
      <c r="F45" s="3077" t="s">
        <v>2489</v>
      </c>
      <c r="G45" s="3077"/>
    </row>
    <row r="46" spans="1:7" ht="19.5" customHeight="1">
      <c r="A46" s="4284"/>
      <c r="B46" s="4277"/>
      <c r="C46" s="3078" t="s">
        <v>2490</v>
      </c>
      <c r="D46" s="3079"/>
      <c r="E46" s="3080">
        <v>1</v>
      </c>
      <c r="F46" s="3077" t="s">
        <v>2491</v>
      </c>
      <c r="G46" s="3077"/>
    </row>
    <row r="47" spans="1:7" ht="19.5" customHeight="1">
      <c r="A47" s="4284"/>
      <c r="B47" s="4277"/>
      <c r="C47" s="3078" t="s">
        <v>2492</v>
      </c>
      <c r="D47" s="3079"/>
      <c r="E47" s="3080">
        <v>1</v>
      </c>
      <c r="F47" s="3077" t="s">
        <v>2493</v>
      </c>
      <c r="G47" s="3077"/>
    </row>
    <row r="48" spans="1:7" ht="19.5" customHeight="1">
      <c r="A48" s="4284"/>
      <c r="B48" s="4277"/>
      <c r="C48" s="3078" t="s">
        <v>2494</v>
      </c>
      <c r="D48" s="3079"/>
      <c r="E48" s="3080">
        <v>1</v>
      </c>
      <c r="F48" s="3077" t="s">
        <v>2495</v>
      </c>
      <c r="G48" s="3077"/>
    </row>
    <row r="49" spans="1:7" ht="19.5" customHeight="1">
      <c r="A49" s="4284"/>
      <c r="B49" s="4277"/>
      <c r="C49" s="3078" t="s">
        <v>2496</v>
      </c>
      <c r="D49" s="3079"/>
      <c r="E49" s="3080">
        <v>1</v>
      </c>
      <c r="F49" s="3077" t="s">
        <v>2497</v>
      </c>
      <c r="G49" s="3077"/>
    </row>
    <row r="50" spans="1:7" ht="19.5" customHeight="1">
      <c r="A50" s="4284"/>
      <c r="B50" s="4277"/>
      <c r="C50" s="3078" t="s">
        <v>2498</v>
      </c>
      <c r="D50" s="3079"/>
      <c r="E50" s="3080">
        <v>1</v>
      </c>
      <c r="F50" s="3077" t="s">
        <v>2499</v>
      </c>
      <c r="G50" s="3077"/>
    </row>
    <row r="51" spans="1:7" ht="19.5" customHeight="1" thickBot="1">
      <c r="A51" s="4285"/>
      <c r="B51" s="4279"/>
      <c r="C51" s="3081" t="s">
        <v>2500</v>
      </c>
      <c r="D51" s="3082"/>
      <c r="E51" s="3083">
        <v>1</v>
      </c>
      <c r="F51" s="3077" t="s">
        <v>2501</v>
      </c>
      <c r="G51" s="3077"/>
    </row>
    <row r="52" spans="1:7" ht="19.5" customHeight="1">
      <c r="A52" s="3090"/>
      <c r="B52" s="3090"/>
      <c r="C52" s="3090"/>
      <c r="D52" s="3090"/>
      <c r="E52" s="3090"/>
      <c r="F52" s="3090"/>
      <c r="G52" s="3090"/>
    </row>
    <row r="54" spans="1:7" ht="19.5" customHeight="1">
      <c r="A54" s="3091"/>
      <c r="B54" s="3063" t="s">
        <v>2640</v>
      </c>
      <c r="C54" s="3063" t="s">
        <v>2640</v>
      </c>
      <c r="D54" s="3063" t="s">
        <v>2640</v>
      </c>
      <c r="E54" s="3066" t="s">
        <v>2640</v>
      </c>
      <c r="F54" s="3066" t="s">
        <v>2641</v>
      </c>
      <c r="G54" s="3066" t="s">
        <v>2642</v>
      </c>
    </row>
    <row r="55" spans="1:7" ht="19.5" customHeight="1">
      <c r="A55" s="3092"/>
      <c r="B55" s="3066" t="s">
        <v>2609</v>
      </c>
      <c r="C55" s="3066" t="s">
        <v>2609</v>
      </c>
      <c r="D55" s="3066" t="s">
        <v>2609</v>
      </c>
      <c r="E55" s="3063" t="s">
        <v>2610</v>
      </c>
      <c r="F55" s="3063" t="s">
        <v>2612</v>
      </c>
      <c r="G55" s="3063" t="s">
        <v>2643</v>
      </c>
    </row>
    <row r="56" spans="1:7" ht="19.5" customHeight="1">
      <c r="A56" s="3093"/>
      <c r="B56" s="3063">
        <v>1</v>
      </c>
      <c r="C56" s="3063">
        <v>2</v>
      </c>
      <c r="D56" s="3063">
        <v>3</v>
      </c>
      <c r="E56" s="3094" t="s">
        <v>2644</v>
      </c>
      <c r="F56" s="3094" t="s">
        <v>2644</v>
      </c>
      <c r="G56" s="3094" t="s">
        <v>2644</v>
      </c>
    </row>
    <row r="57" spans="1:7" ht="19.5" customHeight="1">
      <c r="A57" s="3095" t="s">
        <v>2597</v>
      </c>
      <c r="B57" s="3063">
        <v>0.7</v>
      </c>
      <c r="C57" s="3063">
        <v>0.4</v>
      </c>
      <c r="D57" s="3063">
        <v>0.3</v>
      </c>
      <c r="E57" s="3094">
        <v>0.3</v>
      </c>
      <c r="F57" s="3063">
        <v>0.3</v>
      </c>
      <c r="G57" s="3063">
        <v>0.2</v>
      </c>
    </row>
    <row r="58" spans="1:7" ht="19.5" customHeight="1">
      <c r="A58" s="3095" t="s">
        <v>2598</v>
      </c>
      <c r="B58" s="3063">
        <v>0.7</v>
      </c>
      <c r="C58" s="3063">
        <v>0.4</v>
      </c>
      <c r="D58" s="3063">
        <v>0.3</v>
      </c>
      <c r="E58" s="3063">
        <v>0.3</v>
      </c>
      <c r="F58" s="3063">
        <v>0.3</v>
      </c>
      <c r="G58" s="3063">
        <v>0.2</v>
      </c>
    </row>
    <row r="59" spans="1:7" ht="19.5" customHeight="1">
      <c r="A59" s="3095" t="s">
        <v>2599</v>
      </c>
      <c r="B59" s="3063">
        <v>0.6</v>
      </c>
      <c r="C59" s="3063">
        <v>0.3</v>
      </c>
      <c r="D59" s="3063">
        <v>0.25</v>
      </c>
      <c r="E59" s="3063">
        <v>0.25</v>
      </c>
      <c r="F59" s="3063">
        <v>0.25</v>
      </c>
      <c r="G59" s="3063">
        <v>0.15</v>
      </c>
    </row>
    <row r="60" spans="1:7" ht="19.5" customHeight="1">
      <c r="A60" s="3095" t="s">
        <v>2600</v>
      </c>
      <c r="B60" s="3063">
        <v>0.6</v>
      </c>
      <c r="C60" s="3063">
        <v>0.3</v>
      </c>
      <c r="D60" s="3063">
        <v>0.25</v>
      </c>
      <c r="E60" s="3063">
        <v>0.25</v>
      </c>
      <c r="F60" s="3063">
        <v>0.25</v>
      </c>
      <c r="G60" s="3063">
        <v>0.15</v>
      </c>
    </row>
    <row r="61" spans="1:7" ht="19.5" customHeight="1">
      <c r="A61" s="3095" t="s">
        <v>2601</v>
      </c>
      <c r="B61" s="3063">
        <v>0.6</v>
      </c>
      <c r="C61" s="3063">
        <v>0.3</v>
      </c>
      <c r="D61" s="3063">
        <v>0.25</v>
      </c>
      <c r="E61" s="3063">
        <v>0.25</v>
      </c>
      <c r="F61" s="3063">
        <v>0.25</v>
      </c>
      <c r="G61" s="3063">
        <v>0.15</v>
      </c>
    </row>
    <row r="62" spans="1:7" ht="19.5" customHeight="1">
      <c r="A62" s="3095" t="s">
        <v>2602</v>
      </c>
      <c r="B62" s="3063">
        <v>0.6</v>
      </c>
      <c r="C62" s="3063">
        <v>0.3</v>
      </c>
      <c r="D62" s="3063">
        <v>0.25</v>
      </c>
      <c r="E62" s="3063">
        <v>0.25</v>
      </c>
      <c r="F62" s="3063">
        <v>0.25</v>
      </c>
      <c r="G62" s="3063">
        <v>0.15</v>
      </c>
    </row>
    <row r="63" spans="1:7" ht="19.5" customHeight="1">
      <c r="A63" s="3095" t="s">
        <v>2603</v>
      </c>
      <c r="B63" s="3063">
        <v>0.6</v>
      </c>
      <c r="C63" s="3063">
        <v>0.3</v>
      </c>
      <c r="D63" s="3063">
        <v>0.25</v>
      </c>
      <c r="E63" s="3063">
        <v>0.25</v>
      </c>
      <c r="F63" s="3063">
        <v>0.25</v>
      </c>
      <c r="G63" s="3063">
        <v>0.15</v>
      </c>
    </row>
    <row r="64" spans="1:7" ht="19.5" customHeight="1">
      <c r="A64" s="3095" t="s">
        <v>2604</v>
      </c>
      <c r="B64" s="3063">
        <v>0.5</v>
      </c>
      <c r="C64" s="3063">
        <v>0.2</v>
      </c>
      <c r="D64" s="3063">
        <v>0.2</v>
      </c>
      <c r="E64" s="3063">
        <v>0.2</v>
      </c>
      <c r="F64" s="3063">
        <v>0.2</v>
      </c>
      <c r="G64" s="3063">
        <v>0.1</v>
      </c>
    </row>
    <row r="65" spans="1:7" ht="19.5" customHeight="1">
      <c r="A65" s="3095" t="s">
        <v>2605</v>
      </c>
      <c r="B65" s="3063">
        <v>0.5</v>
      </c>
      <c r="C65" s="3063">
        <v>0.2</v>
      </c>
      <c r="D65" s="3063">
        <v>0.2</v>
      </c>
      <c r="E65" s="3063">
        <v>0.2</v>
      </c>
      <c r="F65" s="3063">
        <v>0.2</v>
      </c>
      <c r="G65" s="3063">
        <v>0.1</v>
      </c>
    </row>
    <row r="66" spans="1:7" ht="19.5" customHeight="1">
      <c r="A66" s="3095" t="s">
        <v>2606</v>
      </c>
      <c r="B66" s="3063">
        <v>0.5</v>
      </c>
      <c r="C66" s="3063">
        <v>0.2</v>
      </c>
      <c r="D66" s="3063">
        <v>0.2</v>
      </c>
      <c r="E66" s="3063">
        <v>0.2</v>
      </c>
      <c r="F66" s="3063">
        <v>0.2</v>
      </c>
      <c r="G66" s="3063">
        <v>0.1</v>
      </c>
    </row>
    <row r="67" spans="1:7" ht="19.5" customHeight="1">
      <c r="A67" s="3095" t="s">
        <v>2607</v>
      </c>
      <c r="B67" s="3063">
        <v>0.5</v>
      </c>
      <c r="C67" s="3063">
        <v>0.2</v>
      </c>
      <c r="D67" s="3063">
        <v>0.2</v>
      </c>
      <c r="E67" s="3063">
        <v>0.2</v>
      </c>
      <c r="F67" s="3063">
        <v>0.2</v>
      </c>
      <c r="G67" s="3063">
        <v>0.1</v>
      </c>
    </row>
    <row r="68" spans="1:7" ht="19.5" customHeight="1">
      <c r="A68" s="3095" t="s">
        <v>2608</v>
      </c>
      <c r="B68" s="3063">
        <v>0.5</v>
      </c>
      <c r="C68" s="3063">
        <v>0.2</v>
      </c>
      <c r="D68" s="3063">
        <v>0.2</v>
      </c>
      <c r="E68" s="3063">
        <v>0.2</v>
      </c>
      <c r="F68" s="3063">
        <v>0.2</v>
      </c>
      <c r="G68" s="3063">
        <v>0.1</v>
      </c>
    </row>
    <row r="70" spans="1:7" ht="19.5" customHeight="1">
      <c r="A70" s="3096"/>
      <c r="B70" s="3097"/>
      <c r="C70" s="3097"/>
      <c r="D70" s="3097" t="s">
        <v>2645</v>
      </c>
      <c r="E70" s="3097"/>
      <c r="F70" s="3097"/>
    </row>
    <row r="71" spans="1:7" ht="19.5" customHeight="1">
      <c r="A71" s="3089" t="s">
        <v>2646</v>
      </c>
      <c r="B71" s="3089" t="s">
        <v>2647</v>
      </c>
      <c r="C71" s="3089" t="s">
        <v>2648</v>
      </c>
      <c r="D71" s="3089" t="s">
        <v>2649</v>
      </c>
      <c r="E71" s="3089" t="s">
        <v>2650</v>
      </c>
      <c r="F71" s="3089" t="s">
        <v>2651</v>
      </c>
    </row>
    <row r="72" spans="1:7" ht="14.4">
      <c r="A72" s="3089"/>
      <c r="B72" s="3089"/>
      <c r="C72" s="3089" t="s">
        <v>2652</v>
      </c>
      <c r="D72" s="3089"/>
      <c r="E72" s="3089" t="s">
        <v>2623</v>
      </c>
      <c r="F72" s="3089" t="s">
        <v>2623</v>
      </c>
    </row>
    <row r="73" spans="1:7" ht="14.4">
      <c r="A73" s="3089">
        <v>1</v>
      </c>
      <c r="B73" s="4275" t="s">
        <v>2653</v>
      </c>
      <c r="C73" s="3063" t="s">
        <v>2654</v>
      </c>
      <c r="D73" s="3063" t="s">
        <v>2655</v>
      </c>
      <c r="E73" s="3089">
        <v>0.2</v>
      </c>
      <c r="F73" s="3089">
        <v>25</v>
      </c>
    </row>
    <row r="74" spans="1:7" ht="24">
      <c r="A74" s="3089">
        <v>2</v>
      </c>
      <c r="B74" s="4277"/>
      <c r="C74" s="3063" t="s">
        <v>2656</v>
      </c>
      <c r="D74" s="3063" t="s">
        <v>2657</v>
      </c>
      <c r="E74" s="3089">
        <v>0.2</v>
      </c>
      <c r="F74" s="3089">
        <v>25</v>
      </c>
    </row>
    <row r="75" spans="1:7" ht="24">
      <c r="A75" s="3089">
        <v>3</v>
      </c>
      <c r="B75" s="4277"/>
      <c r="C75" s="3063" t="s">
        <v>2658</v>
      </c>
      <c r="D75" s="3063" t="s">
        <v>2659</v>
      </c>
      <c r="E75" s="3089">
        <v>0.2</v>
      </c>
      <c r="F75" s="3089">
        <v>25</v>
      </c>
    </row>
    <row r="76" spans="1:7" ht="14.4">
      <c r="A76" s="3089">
        <v>4</v>
      </c>
      <c r="B76" s="4277"/>
      <c r="C76" s="3063" t="s">
        <v>2660</v>
      </c>
      <c r="D76" s="3063" t="s">
        <v>2661</v>
      </c>
      <c r="E76" s="3089">
        <v>0.15</v>
      </c>
      <c r="F76" s="3089">
        <v>20</v>
      </c>
    </row>
    <row r="77" spans="1:7" ht="24">
      <c r="A77" s="3089">
        <v>5</v>
      </c>
      <c r="B77" s="4277"/>
      <c r="C77" s="3063" t="s">
        <v>2662</v>
      </c>
      <c r="D77" s="3063" t="s">
        <v>2663</v>
      </c>
      <c r="E77" s="3089">
        <v>0.15</v>
      </c>
      <c r="F77" s="3089">
        <v>20</v>
      </c>
    </row>
    <row r="78" spans="1:7" ht="24">
      <c r="A78" s="3089">
        <v>6</v>
      </c>
      <c r="B78" s="4277"/>
      <c r="C78" s="3063" t="s">
        <v>2664</v>
      </c>
      <c r="D78" s="3063" t="s">
        <v>2665</v>
      </c>
      <c r="E78" s="3089">
        <v>0.15</v>
      </c>
      <c r="F78" s="3089">
        <v>20</v>
      </c>
    </row>
    <row r="79" spans="1:7" ht="24">
      <c r="A79" s="3089">
        <v>7</v>
      </c>
      <c r="B79" s="4277"/>
      <c r="C79" s="3063" t="s">
        <v>2666</v>
      </c>
      <c r="D79" s="3063" t="s">
        <v>2667</v>
      </c>
      <c r="E79" s="3089">
        <v>0.15</v>
      </c>
      <c r="F79" s="3089">
        <v>20</v>
      </c>
    </row>
    <row r="80" spans="1:7" ht="24">
      <c r="A80" s="3089">
        <v>8</v>
      </c>
      <c r="B80" s="4277"/>
      <c r="C80" s="3063" t="s">
        <v>2668</v>
      </c>
      <c r="D80" s="3063" t="s">
        <v>2669</v>
      </c>
      <c r="E80" s="3089">
        <v>0.1</v>
      </c>
      <c r="F80" s="3089">
        <v>15</v>
      </c>
    </row>
    <row r="81" spans="1:6" ht="24">
      <c r="A81" s="3089">
        <v>9</v>
      </c>
      <c r="B81" s="4277"/>
      <c r="C81" s="3063" t="s">
        <v>2670</v>
      </c>
      <c r="D81" s="3063" t="s">
        <v>2671</v>
      </c>
      <c r="E81" s="3089">
        <v>0.1</v>
      </c>
      <c r="F81" s="3089">
        <v>15</v>
      </c>
    </row>
    <row r="82" spans="1:6" ht="24">
      <c r="A82" s="3089">
        <v>10</v>
      </c>
      <c r="B82" s="4277"/>
      <c r="C82" s="3063" t="s">
        <v>2672</v>
      </c>
      <c r="D82" s="3063" t="s">
        <v>2673</v>
      </c>
      <c r="E82" s="3089">
        <v>0.1</v>
      </c>
      <c r="F82" s="3089">
        <v>15</v>
      </c>
    </row>
    <row r="83" spans="1:6" ht="24">
      <c r="A83" s="3089">
        <v>11</v>
      </c>
      <c r="B83" s="4277"/>
      <c r="C83" s="3063" t="s">
        <v>2674</v>
      </c>
      <c r="D83" s="3063" t="s">
        <v>2675</v>
      </c>
      <c r="E83" s="3089">
        <v>0.1</v>
      </c>
      <c r="F83" s="3089">
        <v>15</v>
      </c>
    </row>
    <row r="84" spans="1:6" ht="24">
      <c r="A84" s="3089">
        <v>12</v>
      </c>
      <c r="B84" s="4277"/>
      <c r="C84" s="3063" t="s">
        <v>2676</v>
      </c>
      <c r="D84" s="3063" t="s">
        <v>2677</v>
      </c>
      <c r="E84" s="3089">
        <v>0.1</v>
      </c>
      <c r="F84" s="3089">
        <v>15</v>
      </c>
    </row>
    <row r="85" spans="1:6" ht="24">
      <c r="A85" s="3089">
        <v>13</v>
      </c>
      <c r="B85" s="4277"/>
      <c r="C85" s="3063" t="s">
        <v>2678</v>
      </c>
      <c r="D85" s="3063" t="s">
        <v>2679</v>
      </c>
      <c r="E85" s="3089">
        <v>0.1</v>
      </c>
      <c r="F85" s="3089">
        <v>15</v>
      </c>
    </row>
    <row r="86" spans="1:6" ht="24">
      <c r="A86" s="3089">
        <v>14</v>
      </c>
      <c r="B86" s="4277"/>
      <c r="C86" s="3063" t="s">
        <v>2680</v>
      </c>
      <c r="D86" s="3063" t="s">
        <v>2681</v>
      </c>
      <c r="E86" s="3089">
        <v>0.1</v>
      </c>
      <c r="F86" s="3089">
        <v>15</v>
      </c>
    </row>
    <row r="87" spans="1:6" ht="24">
      <c r="A87" s="3089">
        <v>15</v>
      </c>
      <c r="B87" s="4277"/>
      <c r="C87" s="3063" t="s">
        <v>2682</v>
      </c>
      <c r="D87" s="3063" t="s">
        <v>2683</v>
      </c>
      <c r="E87" s="3089">
        <v>0.1</v>
      </c>
      <c r="F87" s="3089">
        <v>15</v>
      </c>
    </row>
    <row r="88" spans="1:6" ht="24">
      <c r="A88" s="3089">
        <v>16</v>
      </c>
      <c r="B88" s="4277"/>
      <c r="C88" s="3063" t="s">
        <v>2684</v>
      </c>
      <c r="D88" s="3063" t="s">
        <v>2685</v>
      </c>
      <c r="E88" s="3089">
        <v>0.1</v>
      </c>
      <c r="F88" s="3089">
        <v>15</v>
      </c>
    </row>
    <row r="89" spans="1:6" ht="24">
      <c r="A89" s="3089">
        <v>17</v>
      </c>
      <c r="B89" s="4276"/>
      <c r="C89" s="3063" t="s">
        <v>2686</v>
      </c>
      <c r="D89" s="3063" t="s">
        <v>2687</v>
      </c>
      <c r="E89" s="3089">
        <v>0.1</v>
      </c>
      <c r="F89" s="3089">
        <v>15</v>
      </c>
    </row>
    <row r="90" spans="1:6" ht="14.4">
      <c r="A90" s="3089">
        <v>18</v>
      </c>
      <c r="B90" s="4275" t="s">
        <v>2688</v>
      </c>
      <c r="C90" s="3063" t="s">
        <v>2689</v>
      </c>
      <c r="D90" s="3063" t="s">
        <v>2690</v>
      </c>
      <c r="E90" s="3089">
        <v>0.2</v>
      </c>
      <c r="F90" s="3089">
        <v>25</v>
      </c>
    </row>
    <row r="91" spans="1:6" ht="24">
      <c r="A91" s="3089">
        <v>19</v>
      </c>
      <c r="B91" s="4277"/>
      <c r="C91" s="3063" t="s">
        <v>2691</v>
      </c>
      <c r="D91" s="3063" t="s">
        <v>2692</v>
      </c>
      <c r="E91" s="3089">
        <v>0.2</v>
      </c>
      <c r="F91" s="3089">
        <v>25</v>
      </c>
    </row>
    <row r="92" spans="1:6" ht="14.4">
      <c r="A92" s="3089">
        <v>20</v>
      </c>
      <c r="B92" s="4277"/>
      <c r="C92" s="3063" t="s">
        <v>2693</v>
      </c>
      <c r="D92" s="3063" t="s">
        <v>2694</v>
      </c>
      <c r="E92" s="3089">
        <v>0.15</v>
      </c>
      <c r="F92" s="3089">
        <v>20</v>
      </c>
    </row>
    <row r="93" spans="1:6" ht="24">
      <c r="A93" s="3089">
        <v>21</v>
      </c>
      <c r="B93" s="4277"/>
      <c r="C93" s="3063" t="s">
        <v>2695</v>
      </c>
      <c r="D93" s="3063" t="s">
        <v>2696</v>
      </c>
      <c r="E93" s="3089">
        <v>0.15</v>
      </c>
      <c r="F93" s="3089">
        <v>20</v>
      </c>
    </row>
    <row r="94" spans="1:6" ht="24">
      <c r="A94" s="3089">
        <v>22</v>
      </c>
      <c r="B94" s="4277"/>
      <c r="C94" s="3063" t="s">
        <v>2697</v>
      </c>
      <c r="D94" s="3063" t="s">
        <v>2698</v>
      </c>
      <c r="E94" s="3089">
        <v>0.15</v>
      </c>
      <c r="F94" s="3089">
        <v>20</v>
      </c>
    </row>
    <row r="95" spans="1:6" ht="36">
      <c r="A95" s="3089">
        <v>23</v>
      </c>
      <c r="B95" s="4277"/>
      <c r="C95" s="3063" t="s">
        <v>2699</v>
      </c>
      <c r="D95" s="3063" t="s">
        <v>2700</v>
      </c>
      <c r="E95" s="3089">
        <v>0.15</v>
      </c>
      <c r="F95" s="3089">
        <v>20</v>
      </c>
    </row>
    <row r="96" spans="1:6" ht="24">
      <c r="A96" s="3089">
        <v>24</v>
      </c>
      <c r="B96" s="4277"/>
      <c r="C96" s="3063" t="s">
        <v>2701</v>
      </c>
      <c r="D96" s="3063" t="s">
        <v>2702</v>
      </c>
      <c r="E96" s="3089">
        <v>0.1</v>
      </c>
      <c r="F96" s="3089">
        <v>15</v>
      </c>
    </row>
    <row r="97" spans="1:6" ht="24">
      <c r="A97" s="3089">
        <v>25</v>
      </c>
      <c r="B97" s="4277"/>
      <c r="C97" s="3063" t="s">
        <v>2703</v>
      </c>
      <c r="D97" s="3063" t="s">
        <v>2704</v>
      </c>
      <c r="E97" s="3089">
        <v>0.1</v>
      </c>
      <c r="F97" s="3089">
        <v>15</v>
      </c>
    </row>
    <row r="98" spans="1:6" ht="24">
      <c r="A98" s="3089">
        <v>26</v>
      </c>
      <c r="B98" s="4277"/>
      <c r="C98" s="3063" t="s">
        <v>2705</v>
      </c>
      <c r="D98" s="3063" t="s">
        <v>2706</v>
      </c>
      <c r="E98" s="3089">
        <v>0.1</v>
      </c>
      <c r="F98" s="3089">
        <v>15</v>
      </c>
    </row>
    <row r="99" spans="1:6" ht="24">
      <c r="A99" s="3089">
        <v>27</v>
      </c>
      <c r="B99" s="4277"/>
      <c r="C99" s="3063" t="s">
        <v>2707</v>
      </c>
      <c r="D99" s="3063" t="s">
        <v>2708</v>
      </c>
      <c r="E99" s="3089">
        <v>0.1</v>
      </c>
      <c r="F99" s="3089">
        <v>15</v>
      </c>
    </row>
    <row r="100" spans="1:6" ht="24">
      <c r="A100" s="3089">
        <v>28</v>
      </c>
      <c r="B100" s="4277"/>
      <c r="C100" s="3063" t="s">
        <v>2709</v>
      </c>
      <c r="D100" s="3063" t="s">
        <v>2710</v>
      </c>
      <c r="E100" s="3089">
        <v>0.1</v>
      </c>
      <c r="F100" s="3089">
        <v>15</v>
      </c>
    </row>
    <row r="101" spans="1:6" ht="24">
      <c r="A101" s="3089">
        <v>29</v>
      </c>
      <c r="B101" s="4277"/>
      <c r="C101" s="3063" t="s">
        <v>2711</v>
      </c>
      <c r="D101" s="3063" t="s">
        <v>2712</v>
      </c>
      <c r="E101" s="3089">
        <v>0.1</v>
      </c>
      <c r="F101" s="3089">
        <v>15</v>
      </c>
    </row>
    <row r="102" spans="1:6" ht="24">
      <c r="A102" s="3089">
        <v>30</v>
      </c>
      <c r="B102" s="4277"/>
      <c r="C102" s="3063" t="s">
        <v>2713</v>
      </c>
      <c r="D102" s="3063" t="s">
        <v>2714</v>
      </c>
      <c r="E102" s="3089">
        <v>0.1</v>
      </c>
      <c r="F102" s="3089">
        <v>15</v>
      </c>
    </row>
    <row r="103" spans="1:6" ht="24">
      <c r="A103" s="3089">
        <v>31</v>
      </c>
      <c r="B103" s="4277"/>
      <c r="C103" s="3063" t="s">
        <v>2715</v>
      </c>
      <c r="D103" s="3063" t="s">
        <v>2716</v>
      </c>
      <c r="E103" s="3089">
        <v>0.1</v>
      </c>
      <c r="F103" s="3089">
        <v>15</v>
      </c>
    </row>
    <row r="104" spans="1:6" ht="24">
      <c r="A104" s="3089">
        <v>32</v>
      </c>
      <c r="B104" s="4277"/>
      <c r="C104" s="3063" t="s">
        <v>2717</v>
      </c>
      <c r="D104" s="3063" t="s">
        <v>2718</v>
      </c>
      <c r="E104" s="3089">
        <v>0.1</v>
      </c>
      <c r="F104" s="3089">
        <v>15</v>
      </c>
    </row>
    <row r="105" spans="1:6" ht="24">
      <c r="A105" s="3089">
        <v>33</v>
      </c>
      <c r="B105" s="4277"/>
      <c r="C105" s="3063" t="s">
        <v>2719</v>
      </c>
      <c r="D105" s="3063" t="s">
        <v>2720</v>
      </c>
      <c r="E105" s="3089">
        <v>0.1</v>
      </c>
      <c r="F105" s="3089">
        <v>15</v>
      </c>
    </row>
    <row r="106" spans="1:6" ht="24">
      <c r="A106" s="3089">
        <v>34</v>
      </c>
      <c r="B106" s="4276"/>
      <c r="C106" s="3063" t="s">
        <v>2721</v>
      </c>
      <c r="D106" s="3063" t="s">
        <v>2722</v>
      </c>
      <c r="E106" s="3089">
        <v>0.1</v>
      </c>
      <c r="F106" s="3089">
        <v>15</v>
      </c>
    </row>
    <row r="107" spans="1:6" ht="36">
      <c r="A107" s="3089">
        <v>35</v>
      </c>
      <c r="B107" s="4275" t="s">
        <v>2723</v>
      </c>
      <c r="C107" s="3089" t="s">
        <v>2724</v>
      </c>
      <c r="D107" s="3063" t="s">
        <v>2725</v>
      </c>
      <c r="E107" s="3089">
        <v>0.15</v>
      </c>
      <c r="F107" s="3089">
        <v>20</v>
      </c>
    </row>
    <row r="108" spans="1:6" ht="24">
      <c r="A108" s="3089">
        <v>36</v>
      </c>
      <c r="B108" s="4277"/>
      <c r="C108" s="3089" t="s">
        <v>2726</v>
      </c>
      <c r="D108" s="3063" t="s">
        <v>2727</v>
      </c>
      <c r="E108" s="3089">
        <v>0.15</v>
      </c>
      <c r="F108" s="3089">
        <v>20</v>
      </c>
    </row>
    <row r="109" spans="1:6" ht="24">
      <c r="A109" s="3089">
        <v>37</v>
      </c>
      <c r="B109" s="4277"/>
      <c r="C109" s="3089" t="s">
        <v>2728</v>
      </c>
      <c r="D109" s="3063" t="s">
        <v>2729</v>
      </c>
      <c r="E109" s="3089">
        <v>0.15</v>
      </c>
      <c r="F109" s="3089">
        <v>20</v>
      </c>
    </row>
    <row r="110" spans="1:6" ht="24">
      <c r="A110" s="3089">
        <v>38</v>
      </c>
      <c r="B110" s="4277"/>
      <c r="C110" s="3089" t="s">
        <v>2730</v>
      </c>
      <c r="D110" s="3063" t="s">
        <v>2731</v>
      </c>
      <c r="E110" s="3089">
        <v>0.1</v>
      </c>
      <c r="F110" s="3089">
        <v>15</v>
      </c>
    </row>
    <row r="111" spans="1:6" ht="24">
      <c r="A111" s="3089">
        <v>39</v>
      </c>
      <c r="B111" s="4277"/>
      <c r="C111" s="3089" t="s">
        <v>2732</v>
      </c>
      <c r="D111" s="3063" t="s">
        <v>2733</v>
      </c>
      <c r="E111" s="3089">
        <v>0.1</v>
      </c>
      <c r="F111" s="3089">
        <v>15</v>
      </c>
    </row>
    <row r="112" spans="1:6" ht="24">
      <c r="A112" s="3089">
        <v>40</v>
      </c>
      <c r="B112" s="4276"/>
      <c r="C112" s="3089" t="s">
        <v>2734</v>
      </c>
      <c r="D112" s="3063" t="s">
        <v>2735</v>
      </c>
      <c r="E112" s="3089">
        <v>0.1</v>
      </c>
      <c r="F112" s="3089">
        <v>15</v>
      </c>
    </row>
    <row r="113" spans="1:6" ht="24">
      <c r="A113" s="3089">
        <v>41</v>
      </c>
      <c r="B113" s="4274" t="s">
        <v>2736</v>
      </c>
      <c r="C113" s="3089" t="s">
        <v>2737</v>
      </c>
      <c r="D113" s="3063" t="s">
        <v>2738</v>
      </c>
      <c r="E113" s="3089">
        <v>0.1</v>
      </c>
      <c r="F113" s="3089">
        <v>15</v>
      </c>
    </row>
    <row r="114" spans="1:6" ht="24">
      <c r="A114" s="3089">
        <v>42</v>
      </c>
      <c r="B114" s="4274"/>
      <c r="C114" s="3089" t="s">
        <v>2739</v>
      </c>
      <c r="D114" s="3063" t="s">
        <v>2740</v>
      </c>
      <c r="E114" s="3089">
        <v>0.1</v>
      </c>
      <c r="F114" s="3089">
        <v>15</v>
      </c>
    </row>
    <row r="115" spans="1:6" ht="24">
      <c r="A115" s="3089">
        <v>43</v>
      </c>
      <c r="B115" s="4274"/>
      <c r="C115" s="3089" t="s">
        <v>2741</v>
      </c>
      <c r="D115" s="3063" t="s">
        <v>2742</v>
      </c>
      <c r="E115" s="3089">
        <v>0.1</v>
      </c>
      <c r="F115" s="3089">
        <v>15</v>
      </c>
    </row>
    <row r="116" spans="1:6" ht="24">
      <c r="A116" s="3089">
        <v>44</v>
      </c>
      <c r="B116" s="4275" t="s">
        <v>2743</v>
      </c>
      <c r="C116" s="3089" t="s">
        <v>2744</v>
      </c>
      <c r="D116" s="3063" t="s">
        <v>2745</v>
      </c>
      <c r="E116" s="3089">
        <v>0.1</v>
      </c>
      <c r="F116" s="3089">
        <v>15</v>
      </c>
    </row>
    <row r="117" spans="1:6" ht="24">
      <c r="A117" s="3089">
        <v>45</v>
      </c>
      <c r="B117" s="4276"/>
      <c r="C117" s="3063" t="s">
        <v>2746</v>
      </c>
      <c r="D117" s="3063" t="s">
        <v>2747</v>
      </c>
      <c r="E117" s="3089">
        <v>0.1</v>
      </c>
      <c r="F117" s="3089">
        <v>15</v>
      </c>
    </row>
    <row r="118" spans="1:6" ht="24">
      <c r="A118" s="3089">
        <v>46</v>
      </c>
      <c r="B118" s="4275" t="s">
        <v>2748</v>
      </c>
      <c r="C118" s="3089" t="s">
        <v>2749</v>
      </c>
      <c r="D118" s="3063" t="s">
        <v>2750</v>
      </c>
      <c r="E118" s="3089">
        <v>0.1</v>
      </c>
      <c r="F118" s="3089">
        <v>15</v>
      </c>
    </row>
    <row r="119" spans="1:6" ht="24">
      <c r="A119" s="3089">
        <v>47</v>
      </c>
      <c r="B119" s="4276"/>
      <c r="C119" s="3089" t="s">
        <v>2751</v>
      </c>
      <c r="D119" s="3063" t="s">
        <v>2752</v>
      </c>
      <c r="E119" s="3089">
        <v>0.1</v>
      </c>
      <c r="F119" s="3089">
        <v>15</v>
      </c>
    </row>
    <row r="120" spans="1:6" ht="24">
      <c r="A120" s="3089">
        <v>48</v>
      </c>
      <c r="B120" s="4275" t="s">
        <v>2753</v>
      </c>
      <c r="C120" s="3089" t="s">
        <v>2754</v>
      </c>
      <c r="D120" s="3063" t="s">
        <v>2755</v>
      </c>
      <c r="E120" s="3089">
        <v>0.1</v>
      </c>
      <c r="F120" s="3089">
        <v>15</v>
      </c>
    </row>
    <row r="121" spans="1:6" ht="24">
      <c r="A121" s="3089">
        <v>49</v>
      </c>
      <c r="B121" s="4276"/>
      <c r="C121" s="3089" t="s">
        <v>2756</v>
      </c>
      <c r="D121" s="3063" t="s">
        <v>2757</v>
      </c>
      <c r="E121" s="3089">
        <v>0.1</v>
      </c>
      <c r="F121" s="3089">
        <v>15</v>
      </c>
    </row>
    <row r="122" spans="1:6" ht="24">
      <c r="A122" s="3089">
        <v>50</v>
      </c>
      <c r="B122" s="4274" t="s">
        <v>2758</v>
      </c>
      <c r="C122" s="3089" t="s">
        <v>2759</v>
      </c>
      <c r="D122" s="3063" t="s">
        <v>2760</v>
      </c>
      <c r="E122" s="3089">
        <v>0.1</v>
      </c>
      <c r="F122" s="3089">
        <v>15</v>
      </c>
    </row>
    <row r="123" spans="1:6" ht="24">
      <c r="A123" s="3089">
        <v>51</v>
      </c>
      <c r="B123" s="4274"/>
      <c r="C123" s="3089" t="s">
        <v>2761</v>
      </c>
      <c r="D123" s="3063" t="s">
        <v>2762</v>
      </c>
      <c r="E123" s="3089">
        <v>0.1</v>
      </c>
      <c r="F123" s="3089">
        <v>15</v>
      </c>
    </row>
    <row r="124" spans="1:6" ht="24">
      <c r="A124" s="3089">
        <v>52</v>
      </c>
      <c r="B124" s="4274" t="s">
        <v>2763</v>
      </c>
      <c r="C124" s="3089" t="s">
        <v>2764</v>
      </c>
      <c r="D124" s="3063" t="s">
        <v>2765</v>
      </c>
      <c r="E124" s="3089">
        <v>0.1</v>
      </c>
      <c r="F124" s="3089">
        <v>15</v>
      </c>
    </row>
    <row r="125" spans="1:6" ht="24">
      <c r="A125" s="3089">
        <v>53</v>
      </c>
      <c r="B125" s="4274"/>
      <c r="C125" s="3089" t="s">
        <v>2766</v>
      </c>
      <c r="D125" s="3063" t="s">
        <v>2767</v>
      </c>
      <c r="E125" s="3089">
        <v>0.1</v>
      </c>
      <c r="F125" s="3089">
        <v>15</v>
      </c>
    </row>
    <row r="126" spans="1:6" ht="24">
      <c r="A126" s="3089">
        <v>54</v>
      </c>
      <c r="B126" s="3089" t="s">
        <v>2768</v>
      </c>
      <c r="C126" s="3089" t="s">
        <v>2769</v>
      </c>
      <c r="D126" s="3063" t="s">
        <v>2770</v>
      </c>
      <c r="E126" s="3089">
        <v>0.1</v>
      </c>
      <c r="F126" s="3089">
        <v>15</v>
      </c>
    </row>
    <row r="127" spans="1:6" ht="24">
      <c r="A127" s="3089">
        <v>55</v>
      </c>
      <c r="B127" s="4274" t="s">
        <v>2771</v>
      </c>
      <c r="C127" s="3089" t="s">
        <v>2772</v>
      </c>
      <c r="D127" s="3063" t="s">
        <v>2773</v>
      </c>
      <c r="E127" s="3089">
        <v>0.1</v>
      </c>
      <c r="F127" s="3089">
        <v>15</v>
      </c>
    </row>
    <row r="128" spans="1:6" ht="24">
      <c r="A128" s="3089">
        <v>56</v>
      </c>
      <c r="B128" s="4274"/>
      <c r="C128" s="3089" t="s">
        <v>2774</v>
      </c>
      <c r="D128" s="3063" t="s">
        <v>2775</v>
      </c>
      <c r="E128" s="3089">
        <v>0.1</v>
      </c>
      <c r="F128" s="3089">
        <v>15</v>
      </c>
    </row>
    <row r="129" spans="1:6" ht="24">
      <c r="A129" s="3089">
        <v>57</v>
      </c>
      <c r="B129" s="4274"/>
      <c r="C129" s="3089" t="s">
        <v>2776</v>
      </c>
      <c r="D129" s="3063" t="s">
        <v>2777</v>
      </c>
      <c r="E129" s="3089">
        <v>0.1</v>
      </c>
      <c r="F129" s="3089">
        <v>15</v>
      </c>
    </row>
    <row r="130" spans="1:6" ht="24">
      <c r="A130" s="3089">
        <v>58</v>
      </c>
      <c r="B130" s="4274" t="s">
        <v>2778</v>
      </c>
      <c r="C130" s="3089" t="s">
        <v>2779</v>
      </c>
      <c r="D130" s="3063" t="s">
        <v>2780</v>
      </c>
      <c r="E130" s="3089">
        <v>0.1</v>
      </c>
      <c r="F130" s="3089">
        <v>15</v>
      </c>
    </row>
    <row r="131" spans="1:6" ht="24">
      <c r="A131" s="3089">
        <v>59</v>
      </c>
      <c r="B131" s="4274"/>
      <c r="C131" s="3089" t="s">
        <v>2781</v>
      </c>
      <c r="D131" s="3063" t="s">
        <v>2782</v>
      </c>
      <c r="E131" s="3089">
        <v>0.1</v>
      </c>
      <c r="F131" s="3089">
        <v>15</v>
      </c>
    </row>
    <row r="132" spans="1:6" ht="24">
      <c r="A132" s="3089">
        <v>60</v>
      </c>
      <c r="B132" s="4275" t="s">
        <v>2783</v>
      </c>
      <c r="C132" s="3089" t="s">
        <v>2784</v>
      </c>
      <c r="D132" s="3063" t="s">
        <v>2785</v>
      </c>
      <c r="E132" s="3089">
        <v>0.1</v>
      </c>
      <c r="F132" s="3089">
        <v>15</v>
      </c>
    </row>
    <row r="133" spans="1:6" ht="24">
      <c r="A133" s="3089">
        <v>61</v>
      </c>
      <c r="B133" s="4276"/>
      <c r="C133" s="3089" t="s">
        <v>2786</v>
      </c>
      <c r="D133" s="3063" t="s">
        <v>2787</v>
      </c>
      <c r="E133" s="3089">
        <v>0.1</v>
      </c>
      <c r="F133" s="3089">
        <v>15</v>
      </c>
    </row>
    <row r="134" spans="1:6" ht="24">
      <c r="A134" s="3089">
        <v>62</v>
      </c>
      <c r="B134" s="3089" t="s">
        <v>2788</v>
      </c>
      <c r="C134" s="3089" t="s">
        <v>2789</v>
      </c>
      <c r="D134" s="3063" t="s">
        <v>2790</v>
      </c>
      <c r="E134" s="3089">
        <v>0.1</v>
      </c>
      <c r="F134" s="3089">
        <v>15</v>
      </c>
    </row>
    <row r="135" spans="1:6" ht="24">
      <c r="A135" s="3089">
        <v>63</v>
      </c>
      <c r="B135" s="4274" t="s">
        <v>2791</v>
      </c>
      <c r="C135" s="3089" t="s">
        <v>2792</v>
      </c>
      <c r="D135" s="3063" t="s">
        <v>2793</v>
      </c>
      <c r="E135" s="3089">
        <v>0.1</v>
      </c>
      <c r="F135" s="3089">
        <v>15</v>
      </c>
    </row>
    <row r="136" spans="1:6" ht="24">
      <c r="A136" s="3089">
        <v>64</v>
      </c>
      <c r="B136" s="4274"/>
      <c r="C136" s="3089" t="s">
        <v>2794</v>
      </c>
      <c r="D136" s="3063" t="s">
        <v>2795</v>
      </c>
      <c r="E136" s="3089">
        <v>0.1</v>
      </c>
      <c r="F136" s="3089">
        <v>15</v>
      </c>
    </row>
    <row r="137" spans="1:6" ht="24">
      <c r="A137" s="3089">
        <v>65</v>
      </c>
      <c r="B137" s="3089" t="s">
        <v>2796</v>
      </c>
      <c r="C137" s="3089" t="s">
        <v>2797</v>
      </c>
      <c r="D137" s="3063" t="s">
        <v>2798</v>
      </c>
      <c r="E137" s="3089">
        <v>0.1</v>
      </c>
      <c r="F137" s="3089">
        <v>15</v>
      </c>
    </row>
    <row r="138" spans="1:6" ht="14.4">
      <c r="A138" s="3089"/>
      <c r="B138" s="3089"/>
      <c r="C138" s="3089"/>
      <c r="D138" s="3089"/>
      <c r="E138" s="3089" t="s">
        <v>2799</v>
      </c>
      <c r="F138" s="3089"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79" customWidth="1"/>
    <col min="2" max="2" width="37.21875" style="1479" customWidth="1"/>
    <col min="3" max="3" width="11.33203125" style="1479" customWidth="1"/>
    <col min="4" max="4" width="31.77734375" style="1479" customWidth="1"/>
    <col min="5" max="5" width="0.44140625" style="1479" customWidth="1"/>
    <col min="6" max="7" width="13" style="1479" customWidth="1"/>
    <col min="8" max="16384" width="9" style="1479"/>
  </cols>
  <sheetData>
    <row r="1" spans="1:5" ht="17.399999999999999">
      <c r="A1" s="1477" t="s">
        <v>908</v>
      </c>
      <c r="B1" s="1478"/>
      <c r="C1" s="1478"/>
      <c r="D1" s="1478"/>
      <c r="E1" s="1478"/>
    </row>
    <row r="2" spans="1:5" ht="78" customHeight="1">
      <c r="A2" s="3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55"/>
      <c r="C2" s="3955"/>
      <c r="D2" s="3955"/>
      <c r="E2" s="3955"/>
    </row>
    <row r="3" spans="1:5" ht="17.399999999999999">
      <c r="A3" s="3956" t="str">
        <f>IF(项目基本情况!B9="房地产市场价值","估价结果一览表（市场价值不需“结果表-1”）","估价结果一览表")</f>
        <v>估价结果一览表（市场价值不需“结果表-1”）</v>
      </c>
      <c r="B3" s="3956"/>
      <c r="C3" s="3956"/>
      <c r="D3" s="3956"/>
      <c r="E3" s="3956"/>
    </row>
    <row r="4" spans="1:5" ht="18" thickBot="1">
      <c r="A4" s="1480"/>
      <c r="B4" s="3954" t="s">
        <v>917</v>
      </c>
      <c r="C4" s="3954"/>
      <c r="D4" s="3954"/>
      <c r="E4" s="1480"/>
    </row>
    <row r="5" spans="1:5" ht="16.2" thickTop="1">
      <c r="A5" s="1478"/>
      <c r="B5" s="3952" t="s">
        <v>909</v>
      </c>
      <c r="C5" s="1481" t="s">
        <v>910</v>
      </c>
      <c r="D5" s="840" t="e">
        <f ca="1">结果表!H101</f>
        <v>#REF!</v>
      </c>
      <c r="E5" s="1478"/>
    </row>
    <row r="6" spans="1:5" ht="15.6">
      <c r="A6" s="1478"/>
      <c r="B6" s="3952"/>
      <c r="C6" s="1481" t="s">
        <v>911</v>
      </c>
      <c r="D6" s="840" t="e">
        <f ca="1">NUMBERSTRING(INT(D5*10000),2)&amp;"元整"</f>
        <v>#REF!</v>
      </c>
      <c r="E6" s="1478"/>
    </row>
    <row r="7" spans="1:5" ht="15.6">
      <c r="A7" s="1478"/>
      <c r="B7" s="3957"/>
      <c r="C7" s="1482" t="s">
        <v>912</v>
      </c>
      <c r="D7" s="841" t="e">
        <f ca="1">结果表!H102</f>
        <v>#REF!</v>
      </c>
      <c r="E7" s="1478"/>
    </row>
    <row r="8" spans="1:5" ht="15.6">
      <c r="A8" s="1478"/>
      <c r="B8" s="3958" t="str">
        <f>结果表!E103</f>
        <v>2.估价师知悉的法定优先受偿款</v>
      </c>
      <c r="C8" s="1483" t="s">
        <v>913</v>
      </c>
      <c r="D8" s="841">
        <f>结果表!H103</f>
        <v>0</v>
      </c>
      <c r="E8" s="1478"/>
    </row>
    <row r="9" spans="1:5" ht="15.6">
      <c r="A9" s="1478"/>
      <c r="B9" s="3960"/>
      <c r="C9" s="1481" t="s">
        <v>911</v>
      </c>
      <c r="D9" s="840" t="str">
        <f>NUMBERSTRING(INT(D8*10000),2)&amp;"元整"</f>
        <v>零元整</v>
      </c>
      <c r="E9" s="1478"/>
    </row>
    <row r="10" spans="1:5" ht="15.6">
      <c r="A10" s="1478"/>
      <c r="B10" s="1484" t="s">
        <v>916</v>
      </c>
      <c r="C10" s="1485" t="s">
        <v>914</v>
      </c>
      <c r="D10" s="842">
        <f>结果表!H104</f>
        <v>0</v>
      </c>
      <c r="E10" s="1478"/>
    </row>
    <row r="11" spans="1:5" ht="15.6">
      <c r="A11" s="1478"/>
      <c r="B11" s="1484" t="s">
        <v>918</v>
      </c>
      <c r="C11" s="1485" t="s">
        <v>919</v>
      </c>
      <c r="D11" s="842">
        <f>结果表!H105</f>
        <v>0</v>
      </c>
      <c r="E11" s="1478"/>
    </row>
    <row r="12" spans="1:5" ht="15.6">
      <c r="A12" s="1478"/>
      <c r="B12" s="1484" t="s">
        <v>920</v>
      </c>
      <c r="C12" s="1485" t="s">
        <v>919</v>
      </c>
      <c r="D12" s="842">
        <f>结果表!H106</f>
        <v>0</v>
      </c>
      <c r="E12" s="1478"/>
    </row>
    <row r="13" spans="1:5" ht="15.6">
      <c r="A13" s="1478"/>
      <c r="B13" s="3951" t="str">
        <f>结果表!E107</f>
        <v>3.房地产抵押价值</v>
      </c>
      <c r="C13" s="1486" t="s">
        <v>910</v>
      </c>
      <c r="D13" s="843" t="e">
        <f ca="1">结果表!H107</f>
        <v>#REF!</v>
      </c>
      <c r="E13" s="1478"/>
    </row>
    <row r="14" spans="1:5" ht="15.6">
      <c r="A14" s="1478"/>
      <c r="B14" s="3952"/>
      <c r="C14" s="1481" t="s">
        <v>911</v>
      </c>
      <c r="D14" s="840" t="e">
        <f ca="1">NUMBERSTRING(INT(D13*10000),2)&amp;"元整"</f>
        <v>#REF!</v>
      </c>
      <c r="E14" s="1478"/>
    </row>
    <row r="15" spans="1:5" ht="15.6">
      <c r="A15" s="1478"/>
      <c r="B15" s="3957"/>
      <c r="C15" s="1482" t="s">
        <v>921</v>
      </c>
      <c r="D15" s="849" t="e">
        <f ca="1">结果表!H108</f>
        <v>#REF!</v>
      </c>
      <c r="E15" s="1478"/>
    </row>
    <row r="16" spans="1:5" ht="15.6">
      <c r="A16" s="1478"/>
      <c r="B16" s="3958" t="str">
        <f>结果表!E109</f>
        <v>——</v>
      </c>
      <c r="C16" s="1486" t="s">
        <v>922</v>
      </c>
      <c r="D16" s="1487" t="str">
        <f>结果表!H109</f>
        <v>——</v>
      </c>
      <c r="E16" s="1478"/>
    </row>
    <row r="17" spans="1:5" ht="15.6">
      <c r="A17" s="1478"/>
      <c r="B17" s="3959"/>
      <c r="C17" s="1481" t="s">
        <v>923</v>
      </c>
      <c r="D17" s="840" t="e">
        <f>NUMBERSTRING(INT(D16*10000),2)&amp;"元整"</f>
        <v>#VALUE!</v>
      </c>
      <c r="E17" s="1478"/>
    </row>
    <row r="18" spans="1:5" ht="15.6">
      <c r="A18" s="1478"/>
      <c r="B18" s="3960"/>
      <c r="C18" s="1482" t="s">
        <v>912</v>
      </c>
      <c r="D18" s="849" t="str">
        <f>结果表!H110</f>
        <v>——</v>
      </c>
      <c r="E18" s="1478"/>
    </row>
    <row r="19" spans="1:5" ht="15.6">
      <c r="A19" s="1478"/>
      <c r="B19" s="3951" t="str">
        <f>结果表!E111</f>
        <v>——</v>
      </c>
      <c r="C19" s="1486" t="s">
        <v>910</v>
      </c>
      <c r="D19" s="841" t="str">
        <f>结果表!H111</f>
        <v>——</v>
      </c>
      <c r="E19" s="1478"/>
    </row>
    <row r="20" spans="1:5" ht="15.6">
      <c r="A20" s="1478"/>
      <c r="B20" s="3952"/>
      <c r="C20" s="1481" t="s">
        <v>923</v>
      </c>
      <c r="D20" s="840" t="e">
        <f>NUMBERSTRING(INT(D19*10000),2)&amp;"元整"</f>
        <v>#VALUE!</v>
      </c>
      <c r="E20" s="1478"/>
    </row>
    <row r="21" spans="1:5" ht="16.2" thickBot="1">
      <c r="A21" s="1478"/>
      <c r="B21" s="3953"/>
      <c r="C21" s="1488" t="s">
        <v>921</v>
      </c>
      <c r="D21" s="850" t="str">
        <f>结果表!H112</f>
        <v>——</v>
      </c>
      <c r="E21" s="1478"/>
    </row>
    <row r="22" spans="1:5" ht="14.4" thickTop="1">
      <c r="A22" s="1478"/>
      <c r="B22" s="1489" t="s">
        <v>924</v>
      </c>
      <c r="C22" s="1478"/>
      <c r="D22" s="1478"/>
      <c r="E22" s="1478"/>
    </row>
    <row r="23" spans="1:5">
      <c r="A23" s="1478"/>
      <c r="B23" s="1478"/>
      <c r="C23" s="1478"/>
      <c r="D23" s="1478"/>
      <c r="E23" s="1478"/>
    </row>
    <row r="24" spans="1:5" ht="17.399999999999999">
      <c r="A24" s="1490"/>
      <c r="B24" s="1491" t="s">
        <v>915</v>
      </c>
      <c r="C24" s="1490"/>
      <c r="D24" s="1490"/>
      <c r="E24" s="1490"/>
    </row>
    <row r="25" spans="1:5">
      <c r="A25" s="1490"/>
      <c r="B25" s="1490"/>
      <c r="C25" s="1490"/>
      <c r="D25" s="1490"/>
      <c r="E25" s="1490"/>
    </row>
    <row r="26" spans="1:5">
      <c r="A26" s="1490"/>
      <c r="B26" s="1490"/>
      <c r="C26" s="1490"/>
      <c r="D26" s="1490"/>
      <c r="E26" s="1490"/>
    </row>
    <row r="27" spans="1:5">
      <c r="A27" s="1490"/>
      <c r="B27" s="1490"/>
      <c r="C27" s="1490"/>
      <c r="D27" s="1490"/>
      <c r="E27" s="1490"/>
    </row>
    <row r="28" spans="1:5">
      <c r="A28" s="1490"/>
      <c r="B28" s="1490"/>
      <c r="C28" s="1490"/>
      <c r="D28" s="1490"/>
      <c r="E28" s="1490"/>
    </row>
    <row r="29" spans="1:5">
      <c r="A29" s="1490"/>
      <c r="B29" s="1490"/>
      <c r="C29" s="1490"/>
      <c r="D29" s="1490"/>
      <c r="E29" s="1490"/>
    </row>
    <row r="30" spans="1:5">
      <c r="A30" s="1490"/>
      <c r="B30" s="1490"/>
      <c r="C30" s="1490"/>
      <c r="D30" s="1490"/>
      <c r="E30" s="1490"/>
    </row>
    <row r="31" spans="1:5">
      <c r="A31" s="1490"/>
      <c r="B31" s="1490"/>
      <c r="C31" s="1490"/>
      <c r="D31" s="1490"/>
      <c r="E31" s="1490"/>
    </row>
    <row r="32" spans="1:5">
      <c r="A32" s="1490"/>
      <c r="B32" s="1490"/>
      <c r="C32" s="1490"/>
      <c r="D32" s="1490"/>
      <c r="E32" s="1490"/>
    </row>
    <row r="33" spans="1:5">
      <c r="A33" s="1490"/>
      <c r="B33" s="1490"/>
      <c r="C33" s="1490"/>
      <c r="D33" s="1490"/>
      <c r="E33" s="1490"/>
    </row>
    <row r="34" spans="1:5">
      <c r="A34" s="1490"/>
      <c r="B34" s="1490"/>
      <c r="C34" s="1490"/>
      <c r="D34" s="1490"/>
      <c r="E34" s="1490"/>
    </row>
    <row r="35" spans="1:5">
      <c r="A35" s="1490"/>
      <c r="B35" s="1490"/>
      <c r="C35" s="1490"/>
      <c r="D35" s="1490"/>
      <c r="E35" s="1490"/>
    </row>
    <row r="36" spans="1:5">
      <c r="A36" s="1490"/>
      <c r="B36" s="1490"/>
      <c r="C36" s="1490"/>
      <c r="D36" s="1490"/>
      <c r="E36" s="1490"/>
    </row>
    <row r="37" spans="1:5">
      <c r="A37" s="1490"/>
      <c r="B37" s="1490"/>
      <c r="C37" s="1490"/>
      <c r="D37" s="1490"/>
      <c r="E37" s="1490"/>
    </row>
    <row r="38" spans="1:5">
      <c r="A38" s="1490"/>
      <c r="B38" s="1490"/>
      <c r="C38" s="1490"/>
      <c r="D38" s="1490"/>
      <c r="E38" s="1490"/>
    </row>
    <row r="39" spans="1:5">
      <c r="A39" s="1490"/>
      <c r="B39" s="1490"/>
      <c r="C39" s="1490"/>
      <c r="D39" s="1490"/>
      <c r="E39" s="1490"/>
    </row>
    <row r="40" spans="1:5">
      <c r="A40" s="1490"/>
      <c r="B40" s="1490"/>
      <c r="C40" s="1490"/>
      <c r="D40" s="1490"/>
      <c r="E40" s="1490"/>
    </row>
    <row r="41" spans="1:5">
      <c r="A41" s="1490"/>
      <c r="B41" s="1490"/>
      <c r="C41" s="1490"/>
      <c r="D41" s="1490"/>
      <c r="E41" s="1490"/>
    </row>
    <row r="42" spans="1:5">
      <c r="A42" s="1490"/>
      <c r="B42" s="1490"/>
      <c r="C42" s="1490"/>
      <c r="D42" s="1490"/>
      <c r="E42" s="14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12"/>
    <col min="14" max="16384" width="9" style="740"/>
  </cols>
  <sheetData>
    <row r="1" spans="1:20" ht="16.2" thickBot="1">
      <c r="A1" s="3098" t="s">
        <v>2800</v>
      </c>
      <c r="B1" s="3098"/>
      <c r="C1" s="3098"/>
      <c r="D1" s="3098"/>
      <c r="E1" s="3098"/>
      <c r="F1" s="3098"/>
      <c r="G1" s="3098"/>
      <c r="H1" s="3098"/>
      <c r="I1" s="3098"/>
      <c r="J1" s="3098"/>
      <c r="K1" s="3098"/>
      <c r="L1" s="3098"/>
      <c r="M1" s="3098"/>
      <c r="N1" s="739"/>
    </row>
    <row r="2" spans="1:20">
      <c r="A2" s="3099" t="s">
        <v>2801</v>
      </c>
      <c r="B2" s="3100" t="s">
        <v>2597</v>
      </c>
      <c r="C2" s="3100" t="s">
        <v>2598</v>
      </c>
      <c r="D2" s="3100" t="s">
        <v>2599</v>
      </c>
      <c r="E2" s="3100" t="s">
        <v>2600</v>
      </c>
      <c r="F2" s="3100" t="s">
        <v>2601</v>
      </c>
      <c r="G2" s="3100" t="s">
        <v>2602</v>
      </c>
      <c r="H2" s="3101" t="s">
        <v>2603</v>
      </c>
      <c r="I2" s="3101" t="s">
        <v>2604</v>
      </c>
      <c r="J2" s="3102" t="s">
        <v>2605</v>
      </c>
      <c r="K2" s="3102" t="s">
        <v>2606</v>
      </c>
      <c r="L2" s="3102" t="s">
        <v>2607</v>
      </c>
      <c r="M2" s="3103" t="s">
        <v>2608</v>
      </c>
      <c r="Q2" s="3113" t="s">
        <v>2806</v>
      </c>
      <c r="R2" s="3113" t="s">
        <v>2807</v>
      </c>
      <c r="S2" s="3113" t="s">
        <v>2808</v>
      </c>
      <c r="T2" s="3113" t="s">
        <v>2809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1"/>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1"/>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1"/>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6.2" thickBot="1">
      <c r="A93" s="3098" t="s">
        <v>2802</v>
      </c>
      <c r="B93" s="3098"/>
      <c r="C93" s="3098"/>
      <c r="D93" s="3098"/>
      <c r="E93" s="3098"/>
      <c r="F93" s="3098"/>
      <c r="G93" s="3098"/>
      <c r="H93" s="3098"/>
      <c r="I93" s="3098"/>
      <c r="J93" s="3098"/>
      <c r="K93" s="3098"/>
      <c r="L93" s="3098"/>
      <c r="M93" s="3098"/>
    </row>
    <row r="94" spans="1:20">
      <c r="A94" s="3099" t="s">
        <v>2801</v>
      </c>
      <c r="B94" s="3100" t="s">
        <v>2597</v>
      </c>
      <c r="C94" s="3100" t="s">
        <v>2598</v>
      </c>
      <c r="D94" s="3100" t="s">
        <v>2599</v>
      </c>
      <c r="E94" s="3100" t="s">
        <v>2600</v>
      </c>
      <c r="F94" s="3100" t="s">
        <v>2601</v>
      </c>
      <c r="G94" s="3100" t="s">
        <v>2602</v>
      </c>
      <c r="H94" s="3101" t="s">
        <v>2603</v>
      </c>
      <c r="I94" s="3101" t="s">
        <v>2604</v>
      </c>
      <c r="J94" s="3102" t="s">
        <v>2605</v>
      </c>
      <c r="K94" s="3102" t="s">
        <v>2606</v>
      </c>
      <c r="L94" s="3102" t="s">
        <v>2607</v>
      </c>
      <c r="M94" s="3103" t="s">
        <v>2608</v>
      </c>
      <c r="N94" s="740">
        <f>SUMPRODUCT((A95:A184=ROUNDDOWN(基准地价修正!G3,1))*(B94:M94=基准地价修正!G2)*(B95:M184))</f>
        <v>0</v>
      </c>
      <c r="Q94" s="3113" t="s">
        <v>2806</v>
      </c>
      <c r="R94" s="3113" t="s">
        <v>2807</v>
      </c>
      <c r="S94" s="3113" t="s">
        <v>2808</v>
      </c>
      <c r="T94" s="3113" t="s">
        <v>2809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5.6">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39"/>
    </row>
    <row r="104" spans="1:14" ht="15.6">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39"/>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6.2" thickBot="1">
      <c r="A185" s="3098" t="s">
        <v>2803</v>
      </c>
      <c r="B185" s="3098"/>
      <c r="C185" s="3098"/>
      <c r="D185" s="3098"/>
      <c r="E185" s="3098"/>
      <c r="F185" s="3098"/>
      <c r="G185" s="3098"/>
      <c r="H185" s="3098"/>
      <c r="I185" s="3098"/>
      <c r="J185" s="3098"/>
      <c r="K185" s="3098"/>
      <c r="L185" s="3098"/>
      <c r="M185" s="3098"/>
    </row>
    <row r="186" spans="1:20">
      <c r="A186" s="3099" t="s">
        <v>2801</v>
      </c>
      <c r="B186" s="3100" t="s">
        <v>2597</v>
      </c>
      <c r="C186" s="3100" t="s">
        <v>2598</v>
      </c>
      <c r="D186" s="3100" t="s">
        <v>2599</v>
      </c>
      <c r="E186" s="3100" t="s">
        <v>2600</v>
      </c>
      <c r="F186" s="3100" t="s">
        <v>2601</v>
      </c>
      <c r="G186" s="3100" t="s">
        <v>2602</v>
      </c>
      <c r="H186" s="3101" t="s">
        <v>2603</v>
      </c>
      <c r="I186" s="3101" t="s">
        <v>2604</v>
      </c>
      <c r="J186" s="3102" t="s">
        <v>2605</v>
      </c>
      <c r="K186" s="3102" t="s">
        <v>2606</v>
      </c>
      <c r="L186" s="3102" t="s">
        <v>2607</v>
      </c>
      <c r="M186" s="3103" t="s">
        <v>2608</v>
      </c>
      <c r="Q186" s="3113" t="s">
        <v>2806</v>
      </c>
      <c r="R186" s="3113" t="s">
        <v>2807</v>
      </c>
      <c r="S186" s="3113" t="s">
        <v>2808</v>
      </c>
      <c r="T186" s="3113" t="s">
        <v>2809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6.2" thickBot="1">
      <c r="A277" s="3098" t="s">
        <v>2804</v>
      </c>
      <c r="B277" s="3098"/>
      <c r="C277" s="3098"/>
      <c r="D277" s="3098"/>
      <c r="E277" s="3098"/>
      <c r="F277" s="3098"/>
      <c r="G277" s="3098"/>
      <c r="H277" s="3098"/>
      <c r="I277" s="3098"/>
      <c r="J277" s="3098"/>
      <c r="K277" s="3098"/>
      <c r="L277" s="3098"/>
      <c r="M277" s="3098"/>
    </row>
    <row r="278" spans="1:21">
      <c r="A278" s="3099" t="s">
        <v>2801</v>
      </c>
      <c r="B278" s="3100" t="s">
        <v>2597</v>
      </c>
      <c r="C278" s="3100" t="s">
        <v>2598</v>
      </c>
      <c r="D278" s="3100" t="s">
        <v>2599</v>
      </c>
      <c r="E278" s="3100" t="s">
        <v>2600</v>
      </c>
      <c r="F278" s="3100" t="s">
        <v>2601</v>
      </c>
      <c r="G278" s="3100" t="s">
        <v>2602</v>
      </c>
      <c r="H278" s="3101" t="s">
        <v>2603</v>
      </c>
      <c r="I278" s="3101" t="s">
        <v>2604</v>
      </c>
      <c r="J278" s="3102" t="s">
        <v>2605</v>
      </c>
      <c r="K278" s="3102" t="s">
        <v>2606</v>
      </c>
      <c r="L278" s="3102" t="s">
        <v>2607</v>
      </c>
      <c r="M278" s="3103" t="s">
        <v>2608</v>
      </c>
      <c r="Q278" s="3113" t="s">
        <v>2806</v>
      </c>
      <c r="R278" s="3113" t="s">
        <v>2807</v>
      </c>
      <c r="S278" s="3113" t="s">
        <v>2810</v>
      </c>
      <c r="T278" s="3113" t="s">
        <v>2811</v>
      </c>
      <c r="U278" s="3113" t="s">
        <v>2809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6.2" thickBot="1">
      <c r="A369" s="3098" t="s">
        <v>2805</v>
      </c>
      <c r="B369" s="3111"/>
      <c r="C369" s="3111"/>
      <c r="D369" s="3111"/>
      <c r="E369" s="3111"/>
      <c r="F369" s="3111"/>
      <c r="G369" s="3111"/>
      <c r="H369" s="3111"/>
      <c r="I369" s="3111"/>
      <c r="J369" s="3111"/>
      <c r="K369" s="3111"/>
      <c r="L369" s="3111"/>
      <c r="M369" s="3111"/>
    </row>
    <row r="370" spans="1:20">
      <c r="A370" s="3099" t="s">
        <v>2801</v>
      </c>
      <c r="B370" s="3100" t="s">
        <v>2597</v>
      </c>
      <c r="C370" s="3100" t="s">
        <v>2598</v>
      </c>
      <c r="D370" s="3100" t="s">
        <v>2599</v>
      </c>
      <c r="E370" s="3100" t="s">
        <v>2600</v>
      </c>
      <c r="F370" s="3100" t="s">
        <v>2601</v>
      </c>
      <c r="G370" s="3100" t="s">
        <v>2602</v>
      </c>
      <c r="H370" s="3101" t="s">
        <v>2603</v>
      </c>
      <c r="I370" s="3101" t="s">
        <v>2604</v>
      </c>
      <c r="J370" s="3102" t="s">
        <v>2605</v>
      </c>
      <c r="K370" s="3102" t="s">
        <v>2606</v>
      </c>
      <c r="L370" s="3102" t="s">
        <v>2607</v>
      </c>
      <c r="M370" s="3103" t="s">
        <v>2608</v>
      </c>
      <c r="N370" s="740">
        <f>SUMPRODUCT((A371:A460=ROUNDDOWN(基准地价修正!G3,1))*(B370:M370=基准地价修正!G2)*(B371:M460))</f>
        <v>0</v>
      </c>
      <c r="Q370" s="3113" t="s">
        <v>2806</v>
      </c>
      <c r="R370" s="3113" t="s">
        <v>2807</v>
      </c>
      <c r="S370" s="3113" t="s">
        <v>2808</v>
      </c>
      <c r="T370" s="3113" t="s">
        <v>2809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7" s="195" customFormat="1" ht="21">
      <c r="A1" s="191" t="s">
        <v>56</v>
      </c>
      <c r="B1" s="192"/>
      <c r="C1" s="193"/>
      <c r="D1" s="193"/>
      <c r="E1" s="193"/>
      <c r="F1" s="193"/>
      <c r="G1" s="194"/>
    </row>
    <row r="2" spans="1:7" s="195" customFormat="1" ht="18" customHeight="1">
      <c r="A2" s="196" t="s">
        <v>57</v>
      </c>
      <c r="B2" s="197">
        <f ca="1">C52</f>
        <v>27463</v>
      </c>
      <c r="C2" s="2" t="s">
        <v>106</v>
      </c>
      <c r="D2" s="194"/>
      <c r="E2" s="194"/>
      <c r="F2" s="194"/>
      <c r="G2" s="194"/>
    </row>
    <row r="3" spans="1:7" s="195" customFormat="1" ht="18" customHeight="1" thickBot="1">
      <c r="A3" s="198" t="s">
        <v>58</v>
      </c>
      <c r="B3" s="199">
        <f ca="1">ROUND(B2*10000/'数据-汇总表'!E3,0)</f>
        <v>3093377</v>
      </c>
      <c r="C3" s="2" t="s">
        <v>107</v>
      </c>
      <c r="D3" s="194"/>
      <c r="E3" s="194"/>
      <c r="F3" s="194"/>
      <c r="G3" s="194"/>
    </row>
    <row r="4" spans="1:7" s="203" customFormat="1" ht="16.2">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8" t="s">
        <v>346</v>
      </c>
      <c r="B6" s="210" t="s">
        <v>64</v>
      </c>
      <c r="C6" s="211">
        <v>20000</v>
      </c>
      <c r="D6" s="212"/>
      <c r="E6" s="213"/>
      <c r="F6" s="213"/>
      <c r="G6" s="214"/>
    </row>
    <row r="7" spans="1:7" s="209" customFormat="1" ht="13.5" customHeight="1">
      <c r="A7" s="768" t="s">
        <v>347</v>
      </c>
      <c r="B7" s="210" t="s">
        <v>30</v>
      </c>
      <c r="C7" s="215">
        <f>ROUND(C6*F7,0)</f>
        <v>610</v>
      </c>
      <c r="D7" s="215"/>
      <c r="E7" s="213"/>
      <c r="F7" s="216">
        <f>'数据-取费表'!B48+'数据-取费表'!B49</f>
        <v>3.0499999999999999E-2</v>
      </c>
      <c r="G7" s="214"/>
    </row>
    <row r="8" spans="1:7" s="218" customFormat="1">
      <c r="A8" s="768" t="s">
        <v>348</v>
      </c>
      <c r="B8" s="210" t="s">
        <v>65</v>
      </c>
      <c r="C8" s="215" t="str">
        <f>IF(G8="已包含在土地购买价格中","0",'数据-取费表'!B29)</f>
        <v>0</v>
      </c>
      <c r="D8" s="217"/>
      <c r="E8" s="215"/>
      <c r="F8" s="216"/>
      <c r="G8" s="1" t="s">
        <v>451</v>
      </c>
    </row>
    <row r="9" spans="1:7" s="209" customFormat="1" ht="13.5" customHeight="1">
      <c r="A9" s="769" t="s">
        <v>355</v>
      </c>
      <c r="B9" s="219" t="s">
        <v>66</v>
      </c>
      <c r="C9" s="220">
        <f>ROUND(D9*E9/10000,0)</f>
        <v>1</v>
      </c>
      <c r="D9" s="835">
        <f>'数据-汇总表'!E5</f>
        <v>88.78</v>
      </c>
      <c r="E9" s="220">
        <f>'数据-取费表'!B27</f>
        <v>160</v>
      </c>
      <c r="F9" s="216"/>
      <c r="G9" s="221"/>
    </row>
    <row r="10" spans="1:7" s="209" customFormat="1" ht="13.5" customHeight="1">
      <c r="A10" s="769" t="s">
        <v>356</v>
      </c>
      <c r="B10" s="219" t="s">
        <v>67</v>
      </c>
      <c r="C10" s="220">
        <f>ROUND(D10*E10/10000,0)</f>
        <v>0</v>
      </c>
      <c r="D10" s="835">
        <f>'数据-汇总表'!E6</f>
        <v>0</v>
      </c>
      <c r="E10" s="220">
        <f>'数据-取费表'!B28</f>
        <v>200</v>
      </c>
      <c r="F10" s="216"/>
      <c r="G10" s="221"/>
    </row>
    <row r="11" spans="1:7" s="209" customFormat="1" ht="13.5" hidden="1" customHeight="1">
      <c r="A11" s="222" t="s">
        <v>4</v>
      </c>
      <c r="B11" s="210" t="s">
        <v>68</v>
      </c>
      <c r="C11" s="206"/>
      <c r="D11" s="837"/>
      <c r="E11" s="213"/>
      <c r="F11" s="213"/>
      <c r="G11" s="214"/>
    </row>
    <row r="12" spans="1:7" s="209" customFormat="1" ht="13.5" hidden="1" customHeight="1">
      <c r="A12" s="222" t="s">
        <v>5</v>
      </c>
      <c r="B12" s="210" t="s">
        <v>69</v>
      </c>
      <c r="C12" s="206">
        <v>0</v>
      </c>
      <c r="D12" s="837"/>
      <c r="E12" s="223"/>
      <c r="F12" s="216">
        <v>3.0499999999999999E-2</v>
      </c>
      <c r="G12" s="214"/>
    </row>
    <row r="13" spans="1:7" s="209" customFormat="1" ht="13.5" hidden="1" customHeight="1">
      <c r="A13" s="222" t="s">
        <v>6</v>
      </c>
      <c r="B13" s="210" t="s">
        <v>70</v>
      </c>
      <c r="C13" s="206"/>
      <c r="D13" s="837"/>
      <c r="E13" s="213"/>
      <c r="F13" s="213"/>
      <c r="G13" s="214"/>
    </row>
    <row r="14" spans="1:7" s="209" customFormat="1" ht="13.5" hidden="1" customHeight="1">
      <c r="A14" s="222" t="s">
        <v>7</v>
      </c>
      <c r="B14" s="210" t="s">
        <v>65</v>
      </c>
      <c r="C14" s="206"/>
      <c r="D14" s="837"/>
      <c r="E14" s="213"/>
      <c r="F14" s="213"/>
      <c r="G14" s="214" t="s">
        <v>71</v>
      </c>
    </row>
    <row r="15" spans="1:7" s="209" customFormat="1" ht="13.5" hidden="1" customHeight="1">
      <c r="A15" s="222" t="s">
        <v>8</v>
      </c>
      <c r="B15" s="210" t="s">
        <v>72</v>
      </c>
      <c r="C15" s="215"/>
      <c r="D15" s="837"/>
      <c r="E15" s="213"/>
      <c r="F15" s="213"/>
      <c r="G15" s="214" t="s">
        <v>73</v>
      </c>
    </row>
    <row r="16" spans="1:7" s="209" customFormat="1" ht="13.5" hidden="1" customHeight="1">
      <c r="A16" s="222" t="s">
        <v>9</v>
      </c>
      <c r="B16" s="210" t="s">
        <v>65</v>
      </c>
      <c r="C16" s="215"/>
      <c r="D16" s="837"/>
      <c r="E16" s="213"/>
      <c r="F16" s="213"/>
      <c r="G16" s="214"/>
    </row>
    <row r="17" spans="1:7" s="209" customFormat="1" ht="13.5" hidden="1" customHeight="1">
      <c r="A17" s="222" t="s">
        <v>10</v>
      </c>
      <c r="B17" s="210" t="s">
        <v>74</v>
      </c>
      <c r="C17" s="224"/>
      <c r="D17" s="838"/>
      <c r="E17" s="224"/>
      <c r="F17" s="224"/>
      <c r="G17" s="214" t="s">
        <v>73</v>
      </c>
    </row>
    <row r="18" spans="1:7" s="209" customFormat="1" ht="13.5" hidden="1" customHeight="1">
      <c r="A18" s="222" t="s">
        <v>11</v>
      </c>
      <c r="B18" s="210" t="s">
        <v>75</v>
      </c>
      <c r="C18" s="215">
        <v>0</v>
      </c>
      <c r="D18" s="837"/>
      <c r="E18" s="213"/>
      <c r="F18" s="216">
        <v>3.0499999999999999E-2</v>
      </c>
      <c r="G18" s="214" t="s">
        <v>76</v>
      </c>
    </row>
    <row r="19" spans="1:7" s="218" customFormat="1" ht="13.5" customHeight="1">
      <c r="A19" s="767" t="s">
        <v>417</v>
      </c>
      <c r="B19" s="205" t="s">
        <v>84</v>
      </c>
      <c r="C19" s="206">
        <f>IF(G19="已包含在土地取得成本中","0",ROUND(D19*E19/10000,0))</f>
        <v>2</v>
      </c>
      <c r="D19" s="839">
        <f>'数据-汇总表'!E3</f>
        <v>88.78</v>
      </c>
      <c r="E19" s="206">
        <f>'数据-取费表'!B31</f>
        <v>200</v>
      </c>
      <c r="F19" s="226"/>
      <c r="G19" s="1" t="s">
        <v>436</v>
      </c>
    </row>
    <row r="20" spans="1:7" s="209" customFormat="1" ht="13.5" customHeight="1">
      <c r="A20" s="767" t="s">
        <v>419</v>
      </c>
      <c r="B20" s="205" t="s">
        <v>77</v>
      </c>
      <c r="C20" s="227">
        <f>ROUND((C5+C19)*F20,0)</f>
        <v>206</v>
      </c>
      <c r="D20" s="227"/>
      <c r="E20" s="227"/>
      <c r="F20" s="228">
        <f>'数据-取费表'!B37</f>
        <v>0.01</v>
      </c>
      <c r="G20" s="1057" t="s">
        <v>430</v>
      </c>
    </row>
    <row r="21" spans="1:7" s="209" customFormat="1" ht="13.5" customHeight="1">
      <c r="A21" s="767" t="s">
        <v>421</v>
      </c>
      <c r="B21" s="205" t="s">
        <v>78</v>
      </c>
      <c r="C21" s="230">
        <f>F21</f>
        <v>0.01</v>
      </c>
      <c r="D21" s="231" t="s">
        <v>99</v>
      </c>
      <c r="E21" s="227"/>
      <c r="F21" s="228">
        <f>'数据-取费表'!B38</f>
        <v>0.01</v>
      </c>
      <c r="G21" s="229" t="s">
        <v>79</v>
      </c>
    </row>
    <row r="22" spans="1:7" s="209" customFormat="1" ht="13.5" customHeight="1">
      <c r="A22" s="767" t="s">
        <v>341</v>
      </c>
      <c r="B22" s="205" t="s">
        <v>80</v>
      </c>
      <c r="C22" s="1094">
        <f ca="1">ROUND(SUM(C23:C25),0)</f>
        <v>2336</v>
      </c>
      <c r="D22" s="230">
        <f ca="1">C26</f>
        <v>5.0000000000000001E-4</v>
      </c>
      <c r="E22" s="231" t="s">
        <v>99</v>
      </c>
      <c r="F22" s="232">
        <f ca="1">'数据-取费表'!B40</f>
        <v>5.4900000000000004E-2</v>
      </c>
      <c r="G22" s="1057" t="str">
        <f>IF('数据-取费表'!B22&lt;=1,"单利计息","复利计息")</f>
        <v>复利计息</v>
      </c>
    </row>
    <row r="23" spans="1:7" s="209" customFormat="1" ht="13.5" customHeight="1">
      <c r="A23" s="770" t="s">
        <v>349</v>
      </c>
      <c r="B23" s="210" t="s">
        <v>423</v>
      </c>
      <c r="C23" s="1095">
        <f ca="1">ROUND(IF('数据-取费表'!B22&lt;=1,C5*F22*'数据-取费表'!B23,C5*(POWER((1+F22),'数据-取费表'!B23)-1)),0)</f>
        <v>2325</v>
      </c>
      <c r="D23" s="233"/>
      <c r="E23" s="233"/>
      <c r="F23" s="234"/>
      <c r="G23" s="235" t="s">
        <v>81</v>
      </c>
    </row>
    <row r="24" spans="1:7" s="209" customFormat="1" ht="13.5" customHeight="1">
      <c r="A24" s="770" t="s">
        <v>347</v>
      </c>
      <c r="B24" s="210" t="s">
        <v>418</v>
      </c>
      <c r="C24" s="1095">
        <f ca="1">ROUND(IF('数据-取费表'!B22&lt;=1,C19*F22*('数据-取费表'!B19/2+'数据-取费表'!B21),C19*(POWER((1+F22),('数据-取费表'!B19/2+'数据-取费表'!B21))-1)),0)</f>
        <v>0</v>
      </c>
      <c r="D24" s="233"/>
      <c r="E24" s="233"/>
      <c r="F24" s="234"/>
      <c r="G24" s="235" t="s">
        <v>82</v>
      </c>
    </row>
    <row r="25" spans="1:7" s="209" customFormat="1" ht="24">
      <c r="A25" s="770" t="s">
        <v>348</v>
      </c>
      <c r="B25" s="210" t="s">
        <v>420</v>
      </c>
      <c r="C25" s="1095">
        <f ca="1">ROUND(IF('数据-取费表'!B22&lt;=1,C20*F22*'数据-取费表'!B23/2,C20*(POWER((1+F22),'数据-取费表'!B23/2)-1)),0)</f>
        <v>11</v>
      </c>
      <c r="D25" s="233"/>
      <c r="E25" s="236"/>
      <c r="F25" s="234"/>
      <c r="G25" s="237" t="s">
        <v>83</v>
      </c>
    </row>
    <row r="26" spans="1:7" s="209" customFormat="1">
      <c r="A26" s="770" t="s">
        <v>350</v>
      </c>
      <c r="B26" s="210" t="s">
        <v>422</v>
      </c>
      <c r="C26" s="233">
        <f ca="1">ROUND(IF('数据-取费表'!B22&lt;=1,F21*F22*'数据-取费表'!B23/2,F21*(POWER((1+F22),'数据-取费表'!B23/2)-1)),4)</f>
        <v>5.0000000000000001E-4</v>
      </c>
      <c r="D26" s="233"/>
      <c r="E26" s="236"/>
      <c r="F26" s="234"/>
      <c r="G26" s="238"/>
    </row>
    <row r="27" spans="1:7" s="209" customFormat="1" ht="26.4">
      <c r="A27" s="767" t="s">
        <v>342</v>
      </c>
      <c r="B27" s="239" t="s">
        <v>85</v>
      </c>
      <c r="C27" s="240">
        <f>C28</f>
        <v>2498</v>
      </c>
      <c r="D27" s="230">
        <f>C29</f>
        <v>1.1999999999999999E-3</v>
      </c>
      <c r="E27" s="231" t="s">
        <v>99</v>
      </c>
      <c r="F27" s="241">
        <f>'数据-取费表'!Q16</f>
        <v>0.12</v>
      </c>
      <c r="G27" s="242" t="s">
        <v>431</v>
      </c>
    </row>
    <row r="28" spans="1:7" s="209" customFormat="1" ht="13.5" customHeight="1">
      <c r="A28" s="770" t="s">
        <v>349</v>
      </c>
      <c r="B28" s="243" t="s">
        <v>424</v>
      </c>
      <c r="C28" s="244">
        <f>ROUND((C5+C19+C20)*F27*'数据-取费表'!B21/'数据-取费表'!B20,0)</f>
        <v>2498</v>
      </c>
      <c r="D28" s="230"/>
      <c r="E28" s="231"/>
      <c r="F28" s="241"/>
      <c r="G28" s="242"/>
    </row>
    <row r="29" spans="1:7" s="209" customFormat="1" ht="13.5" customHeight="1">
      <c r="A29" s="770" t="s">
        <v>347</v>
      </c>
      <c r="B29" s="243" t="s">
        <v>425</v>
      </c>
      <c r="C29" s="233">
        <f>ROUND(C21*F27*'数据-取费表'!B21/'数据-取费表'!B20,4)</f>
        <v>1.1999999999999999E-3</v>
      </c>
      <c r="D29" s="230"/>
      <c r="E29" s="231"/>
      <c r="F29" s="241"/>
      <c r="G29" s="242"/>
    </row>
    <row r="30" spans="1:7" s="209" customFormat="1" ht="13.5" customHeight="1">
      <c r="A30" s="767"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27436</v>
      </c>
      <c r="D31" s="225"/>
      <c r="E31" s="206"/>
      <c r="F31" s="245"/>
      <c r="G31" s="229" t="s">
        <v>432</v>
      </c>
    </row>
    <row r="32" spans="1:7" s="203" customFormat="1" ht="16.2">
      <c r="A32" s="247" t="s">
        <v>87</v>
      </c>
      <c r="B32" s="248"/>
      <c r="C32" s="248"/>
      <c r="D32" s="248"/>
      <c r="E32" s="248"/>
      <c r="F32" s="248"/>
      <c r="G32" s="249"/>
    </row>
    <row r="33" spans="1:7" s="209" customFormat="1" ht="13.5" customHeight="1">
      <c r="A33" s="250" t="s">
        <v>337</v>
      </c>
      <c r="B33" s="205" t="s">
        <v>88</v>
      </c>
      <c r="C33" s="251">
        <f>SUM(C34:C38)</f>
        <v>22</v>
      </c>
      <c r="D33" s="227"/>
      <c r="E33" s="207"/>
      <c r="F33" s="236"/>
      <c r="G33" s="229"/>
    </row>
    <row r="34" spans="1:7" s="253" customFormat="1" ht="13.5" customHeight="1">
      <c r="A34" s="770" t="s">
        <v>349</v>
      </c>
      <c r="B34" s="210" t="s">
        <v>32</v>
      </c>
      <c r="C34" s="215">
        <f>IF(F34=100%,'数据-取费表'!M16-SUMIF('数据-取费表'!C:C,"公共配套",'数据-取费表'!M:M),'数据-取费表'!O16-SUMIF('数据-取费表'!C:C,"公共配套",'数据-取费表'!O:O))</f>
        <v>18</v>
      </c>
      <c r="D34" s="212"/>
      <c r="E34" s="215"/>
      <c r="F34" s="252">
        <f>IF('数据-取费表'!B24=0,1,'数据-取费表'!N16)</f>
        <v>1</v>
      </c>
      <c r="G34" s="214" t="s">
        <v>89</v>
      </c>
    </row>
    <row r="35" spans="1:7" ht="13.5" customHeight="1">
      <c r="A35" s="770" t="s">
        <v>351</v>
      </c>
      <c r="B35" s="210" t="s">
        <v>33</v>
      </c>
      <c r="C35" s="215">
        <f>ROUND(C34*F35,0)</f>
        <v>1</v>
      </c>
      <c r="D35" s="215"/>
      <c r="E35" s="215"/>
      <c r="F35" s="254">
        <f>'数据-取费表'!B33</f>
        <v>0.03</v>
      </c>
      <c r="G35" s="214" t="s">
        <v>90</v>
      </c>
    </row>
    <row r="36" spans="1:7" ht="24">
      <c r="A36" s="770"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1</v>
      </c>
      <c r="D36" s="215"/>
      <c r="E36" s="215"/>
      <c r="F36" s="254">
        <f>'数据-取费表'!B34</f>
        <v>0.05</v>
      </c>
      <c r="G36" s="255" t="s">
        <v>35</v>
      </c>
    </row>
    <row r="37" spans="1:7" s="253" customFormat="1" ht="13.5" customHeight="1">
      <c r="A37" s="770" t="s">
        <v>353</v>
      </c>
      <c r="B37" s="210" t="s">
        <v>91</v>
      </c>
      <c r="C37" s="244">
        <f>ROUND(E37*D37*F34/10000,0)</f>
        <v>2</v>
      </c>
      <c r="D37" s="212">
        <f>'数据-汇总表'!E3</f>
        <v>88.78</v>
      </c>
      <c r="E37" s="244">
        <f>'数据-取费表'!B35</f>
        <v>200</v>
      </c>
      <c r="F37" s="254"/>
      <c r="G37" s="256" t="s">
        <v>92</v>
      </c>
    </row>
    <row r="38" spans="1:7" ht="13.5" customHeight="1">
      <c r="A38" s="770" t="s">
        <v>354</v>
      </c>
      <c r="B38" s="210" t="s">
        <v>36</v>
      </c>
      <c r="C38" s="215">
        <f>ROUND(C34*F38,0)</f>
        <v>0</v>
      </c>
      <c r="D38" s="215"/>
      <c r="E38" s="215"/>
      <c r="F38" s="254">
        <f>'数据-取费表'!B36</f>
        <v>1.4999999999999999E-2</v>
      </c>
      <c r="G38" s="214" t="s">
        <v>90</v>
      </c>
    </row>
    <row r="39" spans="1:7" s="209" customFormat="1" ht="13.5" customHeight="1">
      <c r="A39" s="767" t="s">
        <v>338</v>
      </c>
      <c r="B39" s="205" t="s">
        <v>77</v>
      </c>
      <c r="C39" s="227">
        <f>ROUND(C33*F20,0)</f>
        <v>0</v>
      </c>
      <c r="D39" s="227"/>
      <c r="E39" s="227"/>
      <c r="F39" s="228"/>
      <c r="G39" s="1057" t="s">
        <v>433</v>
      </c>
    </row>
    <row r="40" spans="1:7" s="209" customFormat="1" ht="13.5" customHeight="1">
      <c r="A40" s="767" t="s">
        <v>339</v>
      </c>
      <c r="B40" s="205" t="s">
        <v>78</v>
      </c>
      <c r="C40" s="257">
        <f>F21</f>
        <v>0.01</v>
      </c>
      <c r="D40" s="231" t="s">
        <v>102</v>
      </c>
      <c r="E40" s="227"/>
      <c r="F40" s="228"/>
      <c r="G40" s="229" t="s">
        <v>93</v>
      </c>
    </row>
    <row r="41" spans="1:7" s="209" customFormat="1" ht="13.5" customHeight="1">
      <c r="A41" s="767" t="s">
        <v>340</v>
      </c>
      <c r="B41" s="205" t="s">
        <v>80</v>
      </c>
      <c r="C41" s="227">
        <f ca="1">ROUND(SUM(C42:C43),0)</f>
        <v>1</v>
      </c>
      <c r="D41" s="230">
        <f ca="1">C44</f>
        <v>5.0000000000000001E-4</v>
      </c>
      <c r="E41" s="231" t="s">
        <v>102</v>
      </c>
      <c r="F41" s="232"/>
      <c r="G41" s="1057" t="str">
        <f>IF('数据-取费表'!B22&lt;=1,"单利计息","复利计息")</f>
        <v>复利计息</v>
      </c>
    </row>
    <row r="42" spans="1:7" ht="13.5" customHeight="1">
      <c r="A42" s="770" t="s">
        <v>349</v>
      </c>
      <c r="B42" s="210" t="s">
        <v>423</v>
      </c>
      <c r="C42" s="233">
        <f ca="1">ROUND(IF('数据-取费表'!B22&lt;=1,C33*F22*'数据-取费表'!B21/2,C33*(POWER((1+F22),'数据-取费表'!B21/2)-1)),0)</f>
        <v>1</v>
      </c>
      <c r="D42" s="233"/>
      <c r="E42" s="233"/>
      <c r="F42" s="234"/>
      <c r="G42" s="4134" t="s">
        <v>94</v>
      </c>
    </row>
    <row r="43" spans="1:7" ht="13.5" customHeight="1">
      <c r="A43" s="770" t="s">
        <v>347</v>
      </c>
      <c r="B43" s="210" t="s">
        <v>426</v>
      </c>
      <c r="C43" s="233">
        <f ca="1">ROUND(IF('数据-取费表'!B22&lt;=1,C39*F22*'数据-取费表'!B21/2,C39*(POWER((1+F22),'数据-取费表'!B21/2)-1)),0)</f>
        <v>0</v>
      </c>
      <c r="D43" s="233"/>
      <c r="E43" s="233"/>
      <c r="F43" s="234"/>
      <c r="G43" s="4135"/>
    </row>
    <row r="44" spans="1:7" ht="13.5" customHeight="1">
      <c r="A44" s="770" t="s">
        <v>348</v>
      </c>
      <c r="B44" s="210" t="s">
        <v>428</v>
      </c>
      <c r="C44" s="233">
        <f ca="1">ROUND(IF('数据-取费表'!B22&lt;=1,C40*F22*'数据-取费表'!B21/2,C40*(POWER((1+F22),'数据-取费表'!B21/2)-1)),4)</f>
        <v>5.0000000000000001E-4</v>
      </c>
      <c r="D44" s="233"/>
      <c r="E44" s="233"/>
      <c r="F44" s="234"/>
      <c r="G44" s="4136"/>
    </row>
    <row r="45" spans="1:7" s="209" customFormat="1" ht="13.5" customHeight="1">
      <c r="A45" s="767" t="s">
        <v>341</v>
      </c>
      <c r="B45" s="239" t="s">
        <v>85</v>
      </c>
      <c r="C45" s="240">
        <f>C46</f>
        <v>3</v>
      </c>
      <c r="D45" s="230">
        <f>C47</f>
        <v>1.1999999999999999E-3</v>
      </c>
      <c r="E45" s="231" t="s">
        <v>102</v>
      </c>
      <c r="F45" s="241"/>
      <c r="G45" s="242" t="s">
        <v>434</v>
      </c>
    </row>
    <row r="46" spans="1:7" s="209" customFormat="1" ht="13.5" customHeight="1">
      <c r="A46" s="770" t="s">
        <v>349</v>
      </c>
      <c r="B46" s="243" t="s">
        <v>427</v>
      </c>
      <c r="C46" s="244">
        <f>ROUND((C33+C39)*F27,0)</f>
        <v>3</v>
      </c>
      <c r="D46" s="258"/>
      <c r="E46" s="231"/>
      <c r="F46" s="241"/>
      <c r="G46" s="242"/>
    </row>
    <row r="47" spans="1:7" s="209" customFormat="1" ht="13.5" customHeight="1">
      <c r="A47" s="770" t="s">
        <v>347</v>
      </c>
      <c r="B47" s="243" t="s">
        <v>429</v>
      </c>
      <c r="C47" s="233">
        <f>ROUND(C40*F27,4)</f>
        <v>1.1999999999999999E-3</v>
      </c>
      <c r="D47" s="258"/>
      <c r="E47" s="231"/>
      <c r="F47" s="241"/>
      <c r="G47" s="242"/>
    </row>
    <row r="48" spans="1:7" s="209" customFormat="1" ht="13.5" customHeight="1">
      <c r="A48" s="767" t="s">
        <v>342</v>
      </c>
      <c r="B48" s="205" t="s">
        <v>95</v>
      </c>
      <c r="C48" s="257">
        <f>F30</f>
        <v>5.6000000000000001E-2</v>
      </c>
      <c r="D48" s="231" t="s">
        <v>103</v>
      </c>
      <c r="E48" s="227"/>
      <c r="F48" s="232"/>
      <c r="G48" s="229" t="s">
        <v>96</v>
      </c>
    </row>
    <row r="49" spans="1:7" ht="16.5" customHeight="1">
      <c r="A49" s="767" t="s">
        <v>343</v>
      </c>
      <c r="B49" s="205" t="s">
        <v>104</v>
      </c>
      <c r="C49" s="227">
        <f ca="1">ROUND((C33+C39+C41+C45)/(1-C40-D41-D45-C48/(1+'数据-取费表'!B42)),0)</f>
        <v>28</v>
      </c>
      <c r="D49" s="227"/>
      <c r="E49" s="227"/>
      <c r="F49" s="259"/>
      <c r="G49" s="229" t="s">
        <v>435</v>
      </c>
    </row>
    <row r="50" spans="1:7" s="253" customFormat="1" ht="24">
      <c r="A50" s="767" t="s">
        <v>344</v>
      </c>
      <c r="B50" s="205" t="s">
        <v>97</v>
      </c>
      <c r="C50" s="227"/>
      <c r="D50" s="227"/>
      <c r="E50" s="227"/>
      <c r="F50" s="259">
        <f>IF('数据-取费表'!B24=0,'数据-取费表'!N16,1)</f>
        <v>0.95</v>
      </c>
      <c r="G50" s="242" t="s">
        <v>98</v>
      </c>
    </row>
    <row r="51" spans="1:7" ht="16.5" customHeight="1">
      <c r="A51" s="767" t="s">
        <v>345</v>
      </c>
      <c r="B51" s="205" t="s">
        <v>105</v>
      </c>
      <c r="C51" s="227">
        <f ca="1">ROUND(C49*F50,0)</f>
        <v>27</v>
      </c>
      <c r="D51" s="227"/>
      <c r="E51" s="227"/>
      <c r="F51" s="259"/>
      <c r="G51" s="229" t="s">
        <v>37</v>
      </c>
    </row>
    <row r="52" spans="1:7" s="203" customFormat="1" ht="16.8" thickBot="1">
      <c r="A52" s="260" t="s">
        <v>38</v>
      </c>
      <c r="B52" s="261"/>
      <c r="C52" s="262">
        <f ca="1">C31+C51</f>
        <v>27463</v>
      </c>
      <c r="D52" s="261"/>
      <c r="E52" s="261"/>
      <c r="F52" s="261"/>
      <c r="G52" s="263"/>
    </row>
    <row r="55" spans="1:7" ht="15">
      <c r="B55" s="265" t="s">
        <v>39</v>
      </c>
      <c r="C55" s="266"/>
    </row>
    <row r="56" spans="1:7">
      <c r="B56" s="268" t="s">
        <v>40</v>
      </c>
      <c r="C56" s="269">
        <f ca="1">ROUND(C51/C52,3)</f>
        <v>1E-3</v>
      </c>
    </row>
    <row r="57" spans="1:7">
      <c r="B57" s="268" t="s">
        <v>41</v>
      </c>
      <c r="C57" s="270">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197" customWidth="1"/>
    <col min="2" max="2" width="18.6640625" style="3197" customWidth="1"/>
    <col min="3" max="6" width="10.21875" style="3197" customWidth="1"/>
    <col min="7" max="7" width="10.44140625" style="3197" bestFit="1" customWidth="1"/>
    <col min="8" max="8" width="8.88671875" style="3193"/>
    <col min="9" max="9" width="13.33203125" style="3193" customWidth="1"/>
    <col min="10" max="13" width="13.33203125" style="3197" customWidth="1"/>
    <col min="14" max="14" width="18.21875" style="3197" customWidth="1"/>
    <col min="15" max="17" width="15.109375" style="3197" customWidth="1"/>
    <col min="18" max="20" width="11.44140625" style="3197" customWidth="1"/>
    <col min="21" max="16384" width="8.88671875" style="3197"/>
  </cols>
  <sheetData>
    <row r="1" spans="1:20" ht="11.4" thickBot="1">
      <c r="A1" s="4288" t="s">
        <v>2841</v>
      </c>
      <c r="B1" s="4288"/>
      <c r="C1" s="4288"/>
      <c r="D1" s="4288"/>
      <c r="E1" s="4288"/>
      <c r="F1" s="4288"/>
      <c r="G1" s="4289"/>
      <c r="I1" s="3194" t="s">
        <v>2842</v>
      </c>
      <c r="J1" s="3195" t="s">
        <v>2843</v>
      </c>
      <c r="K1" s="3195" t="s">
        <v>2844</v>
      </c>
      <c r="L1" s="3195" t="s">
        <v>2845</v>
      </c>
      <c r="M1" s="3195" t="s">
        <v>2846</v>
      </c>
      <c r="N1" s="3195" t="s">
        <v>2847</v>
      </c>
      <c r="O1" s="3195" t="s">
        <v>2848</v>
      </c>
      <c r="P1" s="3195" t="s">
        <v>2849</v>
      </c>
      <c r="Q1" s="3195" t="s">
        <v>2850</v>
      </c>
      <c r="R1" s="3195" t="s">
        <v>2851</v>
      </c>
      <c r="S1" s="3195" t="s">
        <v>2852</v>
      </c>
      <c r="T1" s="3196" t="s">
        <v>2853</v>
      </c>
    </row>
    <row r="2" spans="1:20" ht="11.4" thickBot="1">
      <c r="A2" s="3198" t="s">
        <v>2854</v>
      </c>
      <c r="B2" s="3198"/>
      <c r="C2" s="3198"/>
      <c r="D2" s="3198"/>
      <c r="E2" s="3198"/>
      <c r="F2" s="3198"/>
      <c r="G2" s="3199" t="s">
        <v>2855</v>
      </c>
      <c r="I2" s="3200" t="s">
        <v>2856</v>
      </c>
      <c r="J2" s="3200" t="s">
        <v>2857</v>
      </c>
      <c r="K2" s="3200" t="s">
        <v>2858</v>
      </c>
      <c r="L2" s="3200" t="s">
        <v>2859</v>
      </c>
      <c r="M2" s="3200" t="s">
        <v>2860</v>
      </c>
      <c r="N2" s="3200" t="s">
        <v>2861</v>
      </c>
      <c r="O2" s="3200" t="s">
        <v>2862</v>
      </c>
      <c r="P2" s="3200" t="s">
        <v>2863</v>
      </c>
      <c r="Q2" s="3200" t="s">
        <v>2864</v>
      </c>
      <c r="R2" s="3200" t="s">
        <v>2865</v>
      </c>
      <c r="S2" s="3200" t="s">
        <v>2866</v>
      </c>
      <c r="T2" s="3200" t="s">
        <v>2867</v>
      </c>
    </row>
    <row r="3" spans="1:20" s="3206" customFormat="1">
      <c r="A3" s="4286" t="s">
        <v>2868</v>
      </c>
      <c r="B3" s="3201"/>
      <c r="C3" s="3202" t="s">
        <v>2813</v>
      </c>
      <c r="D3" s="3202" t="s">
        <v>2869</v>
      </c>
      <c r="E3" s="3202" t="s">
        <v>2815</v>
      </c>
      <c r="F3" s="3202" t="s">
        <v>2870</v>
      </c>
      <c r="G3" s="3202" t="s">
        <v>2633</v>
      </c>
      <c r="H3" s="3203"/>
      <c r="I3" s="3204" t="s">
        <v>2871</v>
      </c>
      <c r="J3" s="3205" t="s">
        <v>128</v>
      </c>
      <c r="K3" s="3205" t="s">
        <v>129</v>
      </c>
      <c r="L3" s="3204" t="s">
        <v>130</v>
      </c>
      <c r="M3" s="3204" t="s">
        <v>131</v>
      </c>
      <c r="N3" s="3204" t="s">
        <v>132</v>
      </c>
      <c r="O3" s="3204" t="s">
        <v>133</v>
      </c>
      <c r="P3" s="3204" t="s">
        <v>134</v>
      </c>
      <c r="Q3" s="3204" t="s">
        <v>135</v>
      </c>
      <c r="R3" s="3204" t="s">
        <v>136</v>
      </c>
      <c r="S3" s="3204" t="s">
        <v>2872</v>
      </c>
      <c r="T3" s="3204" t="s">
        <v>2873</v>
      </c>
    </row>
    <row r="4" spans="1:20" s="3206" customFormat="1" ht="11.4" thickBot="1">
      <c r="A4" s="4287"/>
      <c r="B4" s="3207" t="s">
        <v>2874</v>
      </c>
      <c r="C4" s="3207" t="s">
        <v>2875</v>
      </c>
      <c r="D4" s="3207" t="s">
        <v>2875</v>
      </c>
      <c r="E4" s="3207" t="s">
        <v>2875</v>
      </c>
      <c r="F4" s="3208" t="s">
        <v>2875</v>
      </c>
      <c r="G4" s="3208" t="s">
        <v>2875</v>
      </c>
      <c r="H4" s="3203"/>
      <c r="I4" s="3205" t="s">
        <v>137</v>
      </c>
      <c r="J4" s="3205" t="s">
        <v>111</v>
      </c>
      <c r="K4" s="3205" t="s">
        <v>138</v>
      </c>
      <c r="L4" s="3204" t="s">
        <v>139</v>
      </c>
      <c r="M4" s="3204" t="s">
        <v>140</v>
      </c>
      <c r="N4" s="3204" t="s">
        <v>141</v>
      </c>
      <c r="O4" s="3204" t="s">
        <v>142</v>
      </c>
      <c r="P4" s="3204" t="s">
        <v>143</v>
      </c>
      <c r="Q4" s="3204" t="s">
        <v>2876</v>
      </c>
      <c r="R4" s="3204" t="s">
        <v>2877</v>
      </c>
      <c r="S4" s="3204" t="s">
        <v>2878</v>
      </c>
      <c r="T4" s="3204" t="s">
        <v>2879</v>
      </c>
    </row>
    <row r="5" spans="1:20">
      <c r="A5" s="3209" t="s">
        <v>2842</v>
      </c>
      <c r="B5" s="3200" t="s">
        <v>2856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2880</v>
      </c>
      <c r="R5" s="3204" t="s">
        <v>2881</v>
      </c>
      <c r="S5" s="3204" t="s">
        <v>153</v>
      </c>
      <c r="T5" s="3204" t="s">
        <v>2882</v>
      </c>
    </row>
    <row r="6" spans="1:20" ht="11.4" thickBot="1">
      <c r="A6" s="3204" t="s">
        <v>144</v>
      </c>
      <c r="B6" s="3204" t="s">
        <v>2871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2883</v>
      </c>
      <c r="Q6" s="3204" t="s">
        <v>2884</v>
      </c>
      <c r="R6" s="3204" t="s">
        <v>161</v>
      </c>
      <c r="S6" s="3204" t="s">
        <v>2885</v>
      </c>
      <c r="T6" s="3204" t="s">
        <v>2886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2887</v>
      </c>
      <c r="Q7" s="3204" t="s">
        <v>2888</v>
      </c>
      <c r="R7" s="3204" t="s">
        <v>2889</v>
      </c>
      <c r="S7" s="3204" t="s">
        <v>2890</v>
      </c>
      <c r="T7" s="3204" t="s">
        <v>2891</v>
      </c>
    </row>
    <row r="8" spans="1:20" ht="11.4"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2892</v>
      </c>
      <c r="Q8" s="3204" t="s">
        <v>174</v>
      </c>
      <c r="R8" s="3204" t="s">
        <v>2893</v>
      </c>
      <c r="S8" s="3204" t="s">
        <v>2894</v>
      </c>
      <c r="T8" s="3211" t="s">
        <v>2895</v>
      </c>
    </row>
    <row r="9" spans="1:20" ht="11.4"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2896</v>
      </c>
      <c r="Q9" s="3204" t="s">
        <v>182</v>
      </c>
      <c r="R9" s="3204" t="s">
        <v>183</v>
      </c>
      <c r="S9" s="3204" t="s">
        <v>200</v>
      </c>
    </row>
    <row r="10" spans="1:20">
      <c r="A10" s="3209" t="s">
        <v>184</v>
      </c>
      <c r="B10" s="3200" t="s">
        <v>2857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2897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2898</v>
      </c>
      <c r="P11" s="3204" t="s">
        <v>191</v>
      </c>
      <c r="Q11" s="3204" t="s">
        <v>199</v>
      </c>
      <c r="R11" s="3204" t="s">
        <v>2899</v>
      </c>
      <c r="S11" s="3204" t="s">
        <v>2900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2901</v>
      </c>
      <c r="P12" s="3204" t="s">
        <v>2902</v>
      </c>
      <c r="Q12" s="3204" t="s">
        <v>2903</v>
      </c>
      <c r="R12" s="3204" t="s">
        <v>2904</v>
      </c>
      <c r="S12" s="3204" t="s">
        <v>2905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2906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2907</v>
      </c>
      <c r="K14" s="3205" t="s">
        <v>215</v>
      </c>
      <c r="L14" s="3204" t="s">
        <v>216</v>
      </c>
      <c r="M14" s="3204" t="s">
        <v>217</v>
      </c>
      <c r="N14" s="3204" t="s">
        <v>218</v>
      </c>
      <c r="O14" s="3204" t="s">
        <v>240</v>
      </c>
      <c r="P14" s="3204" t="s">
        <v>213</v>
      </c>
      <c r="Q14" s="3204" t="s">
        <v>2908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2909</v>
      </c>
      <c r="P15" s="3204" t="s">
        <v>2910</v>
      </c>
      <c r="Q15" s="3204" t="s">
        <v>242</v>
      </c>
      <c r="R15" s="3204" t="s">
        <v>2911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2912</v>
      </c>
      <c r="P16" s="3204" t="s">
        <v>227</v>
      </c>
      <c r="Q16" s="3204" t="s">
        <v>250</v>
      </c>
      <c r="R16" s="3204" t="s">
        <v>207</v>
      </c>
      <c r="S16" s="3204" t="s">
        <v>2913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2914</v>
      </c>
      <c r="P17" s="3204" t="s">
        <v>2915</v>
      </c>
      <c r="Q17" s="3204" t="s">
        <v>256</v>
      </c>
      <c r="R17" s="3204" t="s">
        <v>2916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2917</v>
      </c>
      <c r="P18" s="3204" t="s">
        <v>241</v>
      </c>
      <c r="Q18" s="3204" t="s">
        <v>2918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2919</v>
      </c>
      <c r="P19" s="3204" t="s">
        <v>249</v>
      </c>
      <c r="Q19" s="3204" t="s">
        <v>2920</v>
      </c>
      <c r="R19" s="3204" t="s">
        <v>265</v>
      </c>
      <c r="S19" s="3204" t="s">
        <v>2921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2922</v>
      </c>
      <c r="P20" s="3204" t="s">
        <v>2923</v>
      </c>
      <c r="Q20" s="3204" t="s">
        <v>290</v>
      </c>
      <c r="R20" s="3204" t="s">
        <v>2924</v>
      </c>
      <c r="S20" s="3204" t="s">
        <v>277</v>
      </c>
    </row>
    <row r="21" spans="1:19" ht="14.25" customHeight="1" thickBot="1">
      <c r="A21" s="3204" t="s">
        <v>184</v>
      </c>
      <c r="B21" s="3205" t="s">
        <v>208</v>
      </c>
      <c r="C21" s="3204">
        <v>32370</v>
      </c>
      <c r="D21" s="3204">
        <v>26730</v>
      </c>
      <c r="E21" s="3204">
        <v>26640</v>
      </c>
      <c r="F21" s="3204"/>
      <c r="G21" s="3204">
        <v>19440</v>
      </c>
      <c r="J21" s="3211" t="s">
        <v>2925</v>
      </c>
      <c r="K21" s="3205" t="s">
        <v>267</v>
      </c>
      <c r="L21" s="3204" t="s">
        <v>268</v>
      </c>
      <c r="M21" s="3204" t="s">
        <v>269</v>
      </c>
      <c r="N21" s="3204" t="s">
        <v>270</v>
      </c>
      <c r="O21" s="3204" t="s">
        <v>264</v>
      </c>
      <c r="P21" s="3204" t="s">
        <v>283</v>
      </c>
      <c r="Q21" s="3204" t="s">
        <v>293</v>
      </c>
      <c r="R21" s="3204" t="s">
        <v>2926</v>
      </c>
      <c r="S21" s="3211" t="s">
        <v>2927</v>
      </c>
    </row>
    <row r="22" spans="1:19" ht="14.25" customHeight="1">
      <c r="A22" s="3204" t="s">
        <v>184</v>
      </c>
      <c r="B22" s="3205" t="s">
        <v>2907</v>
      </c>
      <c r="C22" s="3204">
        <v>29830</v>
      </c>
      <c r="D22" s="3204">
        <v>27600</v>
      </c>
      <c r="E22" s="3204">
        <v>28150</v>
      </c>
      <c r="F22" s="3204"/>
      <c r="G22" s="3204">
        <v>20080</v>
      </c>
      <c r="K22" s="3205" t="s">
        <v>2928</v>
      </c>
      <c r="L22" s="3204" t="s">
        <v>272</v>
      </c>
      <c r="M22" s="3204" t="s">
        <v>273</v>
      </c>
      <c r="N22" s="3204" t="s">
        <v>274</v>
      </c>
      <c r="O22" s="3204" t="s">
        <v>2929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2930</v>
      </c>
      <c r="L23" s="3204" t="s">
        <v>278</v>
      </c>
      <c r="M23" s="3204" t="s">
        <v>279</v>
      </c>
      <c r="N23" s="3204" t="s">
        <v>2931</v>
      </c>
      <c r="O23" s="3204" t="s">
        <v>2932</v>
      </c>
      <c r="P23" s="3204" t="s">
        <v>289</v>
      </c>
      <c r="Q23" s="3204" t="s">
        <v>298</v>
      </c>
      <c r="R23" s="3204" t="s">
        <v>2933</v>
      </c>
    </row>
    <row r="24" spans="1:19" ht="14.25" customHeight="1">
      <c r="A24" s="3204" t="s">
        <v>184</v>
      </c>
      <c r="B24" s="3205" t="s">
        <v>230</v>
      </c>
      <c r="C24" s="3204">
        <v>27930</v>
      </c>
      <c r="D24" s="3204">
        <v>32260</v>
      </c>
      <c r="E24" s="3204">
        <v>32120</v>
      </c>
      <c r="F24" s="3204"/>
      <c r="G24" s="3204">
        <v>23470</v>
      </c>
      <c r="K24" s="3205" t="s">
        <v>2934</v>
      </c>
      <c r="L24" s="3204" t="s">
        <v>281</v>
      </c>
      <c r="M24" s="3204" t="s">
        <v>282</v>
      </c>
      <c r="N24" s="3204" t="s">
        <v>2935</v>
      </c>
      <c r="O24" s="3204" t="s">
        <v>285</v>
      </c>
      <c r="P24" s="3204" t="s">
        <v>2936</v>
      </c>
      <c r="Q24" s="3213" t="s">
        <v>2937</v>
      </c>
      <c r="R24" s="3204" t="s">
        <v>2938</v>
      </c>
    </row>
    <row r="25" spans="1:19" ht="14.25" customHeight="1">
      <c r="A25" s="3204" t="s">
        <v>184</v>
      </c>
      <c r="B25" s="3205" t="s">
        <v>235</v>
      </c>
      <c r="C25" s="3204">
        <v>32230</v>
      </c>
      <c r="D25" s="3204">
        <v>29640</v>
      </c>
      <c r="E25" s="3204">
        <v>29510</v>
      </c>
      <c r="F25" s="3204"/>
      <c r="G25" s="3204">
        <v>21560</v>
      </c>
      <c r="K25" s="3205" t="s">
        <v>2939</v>
      </c>
      <c r="L25" s="3204" t="s">
        <v>2940</v>
      </c>
      <c r="M25" s="3204" t="s">
        <v>284</v>
      </c>
      <c r="N25" s="3204" t="s">
        <v>292</v>
      </c>
      <c r="O25" s="3204" t="s">
        <v>288</v>
      </c>
      <c r="P25" s="3204" t="s">
        <v>275</v>
      </c>
      <c r="Q25" s="3213" t="s">
        <v>271</v>
      </c>
      <c r="R25" s="3204" t="s">
        <v>2941</v>
      </c>
    </row>
    <row r="26" spans="1:19" ht="14.25" customHeight="1" thickBot="1">
      <c r="A26" s="3204" t="s">
        <v>184</v>
      </c>
      <c r="B26" s="3205" t="s">
        <v>244</v>
      </c>
      <c r="C26" s="3204">
        <v>31690</v>
      </c>
      <c r="D26" s="3204">
        <v>27650</v>
      </c>
      <c r="E26" s="3204">
        <v>28200</v>
      </c>
      <c r="F26" s="3204"/>
      <c r="G26" s="3204">
        <v>20110</v>
      </c>
      <c r="K26" s="3210" t="s">
        <v>2942</v>
      </c>
      <c r="L26" s="3204" t="s">
        <v>2943</v>
      </c>
      <c r="M26" s="3204" t="s">
        <v>287</v>
      </c>
      <c r="N26" s="3204" t="s">
        <v>294</v>
      </c>
      <c r="O26" s="3204" t="s">
        <v>2944</v>
      </c>
      <c r="P26" s="3204" t="s">
        <v>2945</v>
      </c>
      <c r="Q26" s="3213" t="s">
        <v>276</v>
      </c>
      <c r="R26" s="3204" t="s">
        <v>2946</v>
      </c>
    </row>
    <row r="27" spans="1:19" ht="14.25" customHeight="1">
      <c r="A27" s="3204" t="s">
        <v>184</v>
      </c>
      <c r="B27" s="3205" t="s">
        <v>251</v>
      </c>
      <c r="C27" s="3204">
        <v>29610</v>
      </c>
      <c r="D27" s="3204">
        <v>27770</v>
      </c>
      <c r="E27" s="3204">
        <v>28300</v>
      </c>
      <c r="F27" s="3204"/>
      <c r="G27" s="3204">
        <v>20210</v>
      </c>
      <c r="L27" s="3204" t="s">
        <v>2947</v>
      </c>
      <c r="M27" s="3204" t="s">
        <v>291</v>
      </c>
      <c r="N27" s="3204" t="s">
        <v>297</v>
      </c>
      <c r="O27" s="3204" t="s">
        <v>2948</v>
      </c>
      <c r="P27" s="3204" t="s">
        <v>2949</v>
      </c>
      <c r="Q27" s="3204" t="s">
        <v>2950</v>
      </c>
      <c r="R27" s="3204" t="s">
        <v>2951</v>
      </c>
    </row>
    <row r="28" spans="1:19" ht="14.25" customHeight="1">
      <c r="A28" s="3204" t="s">
        <v>184</v>
      </c>
      <c r="B28" s="3205" t="s">
        <v>259</v>
      </c>
      <c r="C28" s="3204"/>
      <c r="D28" s="3204">
        <v>31520</v>
      </c>
      <c r="E28" s="3204">
        <v>31410</v>
      </c>
      <c r="F28" s="3204"/>
      <c r="G28" s="3204">
        <v>22940</v>
      </c>
      <c r="L28" s="3204" t="s">
        <v>2952</v>
      </c>
      <c r="M28" s="3204" t="s">
        <v>2953</v>
      </c>
      <c r="N28" s="3204" t="s">
        <v>2954</v>
      </c>
      <c r="O28" s="3204" t="s">
        <v>2955</v>
      </c>
      <c r="P28" s="3204" t="s">
        <v>2956</v>
      </c>
      <c r="Q28" s="3204" t="s">
        <v>2957</v>
      </c>
      <c r="R28" s="3204" t="s">
        <v>2958</v>
      </c>
    </row>
    <row r="29" spans="1:19" ht="14.25" customHeight="1" thickBot="1">
      <c r="A29" s="3212" t="s">
        <v>184</v>
      </c>
      <c r="B29" s="3214" t="s">
        <v>2925</v>
      </c>
      <c r="C29" s="3215"/>
      <c r="D29" s="3215">
        <v>29460</v>
      </c>
      <c r="E29" s="3215">
        <v>28640</v>
      </c>
      <c r="F29" s="3215"/>
      <c r="G29" s="3215">
        <v>21430</v>
      </c>
      <c r="L29" s="3204" t="s">
        <v>2959</v>
      </c>
      <c r="M29" s="3204" t="s">
        <v>2960</v>
      </c>
      <c r="N29" s="3204" t="s">
        <v>2961</v>
      </c>
      <c r="O29" s="3204" t="s">
        <v>2962</v>
      </c>
      <c r="P29" s="3204" t="s">
        <v>2963</v>
      </c>
      <c r="Q29" s="3204" t="s">
        <v>2964</v>
      </c>
      <c r="R29" s="3204" t="s">
        <v>280</v>
      </c>
    </row>
    <row r="30" spans="1:19" ht="14.25" customHeight="1">
      <c r="A30" s="3209" t="s">
        <v>296</v>
      </c>
      <c r="B30" s="3200" t="s">
        <v>2858</v>
      </c>
      <c r="C30" s="3200">
        <v>26890</v>
      </c>
      <c r="D30" s="3200">
        <v>26770</v>
      </c>
      <c r="E30" s="3200">
        <v>25700</v>
      </c>
      <c r="F30" s="3200">
        <v>8180</v>
      </c>
      <c r="G30" s="3216">
        <v>18740</v>
      </c>
      <c r="L30" s="3204" t="s">
        <v>2965</v>
      </c>
      <c r="M30" s="3204" t="s">
        <v>2966</v>
      </c>
      <c r="N30" s="3204" t="s">
        <v>2967</v>
      </c>
      <c r="O30" s="3204" t="s">
        <v>2968</v>
      </c>
      <c r="P30" s="3204" t="s">
        <v>2969</v>
      </c>
      <c r="Q30" s="3204" t="s">
        <v>2970</v>
      </c>
      <c r="R30" s="3204" t="s">
        <v>2971</v>
      </c>
    </row>
    <row r="31" spans="1:19" ht="14.25" customHeight="1">
      <c r="A31" s="3204" t="s">
        <v>296</v>
      </c>
      <c r="B31" s="3205" t="s">
        <v>129</v>
      </c>
      <c r="C31" s="3204">
        <v>24550</v>
      </c>
      <c r="D31" s="3204">
        <v>23990</v>
      </c>
      <c r="E31" s="3204">
        <v>22930</v>
      </c>
      <c r="F31" s="3204">
        <v>7470</v>
      </c>
      <c r="G31" s="3217">
        <v>16790</v>
      </c>
      <c r="L31" s="3204" t="s">
        <v>2972</v>
      </c>
      <c r="M31" s="3204" t="s">
        <v>2973</v>
      </c>
      <c r="N31" s="3204" t="s">
        <v>2974</v>
      </c>
      <c r="O31" s="3204" t="s">
        <v>2975</v>
      </c>
      <c r="P31" s="3204" t="s">
        <v>2976</v>
      </c>
      <c r="Q31" s="3204" t="s">
        <v>2977</v>
      </c>
      <c r="R31" s="3204" t="s">
        <v>2978</v>
      </c>
    </row>
    <row r="32" spans="1:19" ht="14.25" customHeight="1" thickBot="1">
      <c r="A32" s="3204" t="s">
        <v>296</v>
      </c>
      <c r="B32" s="3205" t="s">
        <v>138</v>
      </c>
      <c r="C32" s="3204">
        <v>27210</v>
      </c>
      <c r="D32" s="3204">
        <v>23240</v>
      </c>
      <c r="E32" s="3204">
        <v>23260</v>
      </c>
      <c r="F32" s="3204">
        <v>7130</v>
      </c>
      <c r="G32" s="3217">
        <v>16270</v>
      </c>
      <c r="L32" s="3204" t="s">
        <v>2979</v>
      </c>
      <c r="M32" s="3204" t="s">
        <v>2980</v>
      </c>
      <c r="N32" s="3204" t="s">
        <v>300</v>
      </c>
      <c r="O32" s="3204" t="s">
        <v>2981</v>
      </c>
      <c r="P32" s="3204" t="s">
        <v>299</v>
      </c>
      <c r="Q32" s="3204" t="s">
        <v>2982</v>
      </c>
      <c r="R32" s="3211" t="s">
        <v>2983</v>
      </c>
    </row>
    <row r="33" spans="1:17" ht="14.25" customHeight="1" thickBot="1">
      <c r="A33" s="3204" t="s">
        <v>296</v>
      </c>
      <c r="B33" s="3205" t="s">
        <v>147</v>
      </c>
      <c r="C33" s="3204">
        <v>27300</v>
      </c>
      <c r="D33" s="3204">
        <v>22980</v>
      </c>
      <c r="E33" s="3204">
        <v>24260</v>
      </c>
      <c r="F33" s="3204">
        <v>5860</v>
      </c>
      <c r="G33" s="3217">
        <v>16090</v>
      </c>
      <c r="L33" s="3211" t="s">
        <v>2984</v>
      </c>
      <c r="M33" s="3204" t="s">
        <v>2985</v>
      </c>
      <c r="N33" s="3204" t="s">
        <v>301</v>
      </c>
      <c r="O33" s="3204" t="s">
        <v>2986</v>
      </c>
      <c r="P33" s="3204" t="s">
        <v>2987</v>
      </c>
      <c r="Q33" s="3204" t="s">
        <v>2988</v>
      </c>
    </row>
    <row r="34" spans="1:17" ht="14.25" customHeight="1">
      <c r="A34" s="3204" t="s">
        <v>296</v>
      </c>
      <c r="B34" s="3205" t="s">
        <v>156</v>
      </c>
      <c r="C34" s="3204">
        <v>23090</v>
      </c>
      <c r="D34" s="3204">
        <v>23390</v>
      </c>
      <c r="E34" s="3204">
        <v>23510</v>
      </c>
      <c r="F34" s="3204">
        <v>6700</v>
      </c>
      <c r="G34" s="3217">
        <v>16370</v>
      </c>
      <c r="M34" s="3204" t="s">
        <v>2989</v>
      </c>
      <c r="N34" s="3204" t="s">
        <v>302</v>
      </c>
      <c r="O34" s="3204" t="s">
        <v>2990</v>
      </c>
      <c r="P34" s="3204" t="s">
        <v>2991</v>
      </c>
      <c r="Q34" s="3204" t="s">
        <v>2992</v>
      </c>
    </row>
    <row r="35" spans="1:17" ht="14.25" customHeight="1">
      <c r="A35" s="3204" t="s">
        <v>296</v>
      </c>
      <c r="B35" s="3205" t="s">
        <v>163</v>
      </c>
      <c r="C35" s="3204">
        <v>27270</v>
      </c>
      <c r="D35" s="3204">
        <v>24270</v>
      </c>
      <c r="E35" s="3204">
        <v>24950</v>
      </c>
      <c r="F35" s="3204">
        <v>6600</v>
      </c>
      <c r="G35" s="3217">
        <v>16990</v>
      </c>
      <c r="M35" s="3204" t="s">
        <v>2993</v>
      </c>
      <c r="N35" s="3204" t="s">
        <v>2994</v>
      </c>
      <c r="O35" s="3204" t="s">
        <v>2995</v>
      </c>
      <c r="P35" s="3204" t="s">
        <v>2996</v>
      </c>
      <c r="Q35" s="3204" t="s">
        <v>2997</v>
      </c>
    </row>
    <row r="36" spans="1:17" ht="14.25" customHeight="1">
      <c r="A36" s="3204" t="s">
        <v>296</v>
      </c>
      <c r="B36" s="3205" t="s">
        <v>169</v>
      </c>
      <c r="C36" s="3204">
        <v>23490</v>
      </c>
      <c r="D36" s="3204">
        <v>23020</v>
      </c>
      <c r="E36" s="3204">
        <v>25230</v>
      </c>
      <c r="F36" s="3204">
        <v>6780</v>
      </c>
      <c r="G36" s="3217">
        <v>16120</v>
      </c>
      <c r="M36" s="3204" t="s">
        <v>2998</v>
      </c>
      <c r="N36" s="3204" t="s">
        <v>2999</v>
      </c>
      <c r="O36" s="3204" t="s">
        <v>3000</v>
      </c>
      <c r="P36" s="3204" t="s">
        <v>3001</v>
      </c>
      <c r="Q36" s="3204" t="s">
        <v>3002</v>
      </c>
    </row>
    <row r="37" spans="1:17" ht="14.25" customHeight="1">
      <c r="A37" s="3204" t="s">
        <v>296</v>
      </c>
      <c r="B37" s="3205" t="s">
        <v>176</v>
      </c>
      <c r="C37" s="3204">
        <v>24380</v>
      </c>
      <c r="D37" s="3204">
        <v>22240</v>
      </c>
      <c r="E37" s="3204">
        <v>25980</v>
      </c>
      <c r="F37" s="3204">
        <v>8160</v>
      </c>
      <c r="G37" s="3217">
        <v>15570</v>
      </c>
      <c r="M37" s="3204" t="s">
        <v>3003</v>
      </c>
      <c r="N37" s="3204" t="s">
        <v>3004</v>
      </c>
      <c r="O37" s="3204" t="s">
        <v>3005</v>
      </c>
      <c r="P37" s="3204" t="s">
        <v>3006</v>
      </c>
      <c r="Q37" s="3204" t="s">
        <v>3007</v>
      </c>
    </row>
    <row r="38" spans="1:17" ht="14.25" customHeight="1">
      <c r="A38" s="3204" t="s">
        <v>296</v>
      </c>
      <c r="B38" s="3205" t="s">
        <v>186</v>
      </c>
      <c r="C38" s="3204">
        <v>23120</v>
      </c>
      <c r="D38" s="3204">
        <v>24630</v>
      </c>
      <c r="E38" s="3204">
        <v>25030</v>
      </c>
      <c r="F38" s="3204">
        <v>7710</v>
      </c>
      <c r="G38" s="3217">
        <v>17240</v>
      </c>
      <c r="M38" s="3204" t="s">
        <v>3008</v>
      </c>
      <c r="N38" s="3204" t="s">
        <v>3009</v>
      </c>
      <c r="O38" s="3204" t="s">
        <v>3010</v>
      </c>
      <c r="P38" s="3204" t="s">
        <v>3011</v>
      </c>
      <c r="Q38" s="3204" t="s">
        <v>3012</v>
      </c>
    </row>
    <row r="39" spans="1:17" ht="14.25" customHeight="1">
      <c r="A39" s="3204" t="s">
        <v>296</v>
      </c>
      <c r="B39" s="3205" t="s">
        <v>195</v>
      </c>
      <c r="C39" s="3204">
        <v>22330</v>
      </c>
      <c r="D39" s="3204">
        <v>21140</v>
      </c>
      <c r="E39" s="3204">
        <v>23970</v>
      </c>
      <c r="F39" s="3204">
        <v>7940</v>
      </c>
      <c r="G39" s="3217">
        <v>14790</v>
      </c>
      <c r="M39" s="3204" t="s">
        <v>3013</v>
      </c>
      <c r="N39" s="3204" t="s">
        <v>3014</v>
      </c>
      <c r="O39" s="3204" t="s">
        <v>3015</v>
      </c>
      <c r="P39" s="3204" t="s">
        <v>3016</v>
      </c>
      <c r="Q39" s="3204" t="s">
        <v>3017</v>
      </c>
    </row>
    <row r="40" spans="1:17" ht="14.25" customHeight="1">
      <c r="A40" s="3204" t="s">
        <v>296</v>
      </c>
      <c r="B40" s="3205" t="s">
        <v>202</v>
      </c>
      <c r="C40" s="3204">
        <v>24740</v>
      </c>
      <c r="D40" s="3204">
        <v>24690</v>
      </c>
      <c r="E40" s="3204">
        <v>22610</v>
      </c>
      <c r="F40" s="3204"/>
      <c r="G40" s="3217">
        <v>17280</v>
      </c>
      <c r="M40" s="3204" t="s">
        <v>3018</v>
      </c>
      <c r="N40" s="3204" t="s">
        <v>3019</v>
      </c>
      <c r="O40" s="3204" t="s">
        <v>3020</v>
      </c>
      <c r="P40" s="3204" t="s">
        <v>3021</v>
      </c>
      <c r="Q40" s="3204" t="s">
        <v>3022</v>
      </c>
    </row>
    <row r="41" spans="1:17" ht="14.25" customHeight="1" thickBot="1">
      <c r="A41" s="3204" t="s">
        <v>296</v>
      </c>
      <c r="B41" s="3205" t="s">
        <v>209</v>
      </c>
      <c r="C41" s="3204">
        <v>21220</v>
      </c>
      <c r="D41" s="3204">
        <v>21120</v>
      </c>
      <c r="E41" s="3204">
        <v>22590</v>
      </c>
      <c r="F41" s="3204"/>
      <c r="G41" s="3217">
        <v>14780</v>
      </c>
      <c r="M41" s="3211" t="s">
        <v>3023</v>
      </c>
      <c r="N41" s="3204" t="s">
        <v>3024</v>
      </c>
      <c r="O41" s="3204" t="s">
        <v>3025</v>
      </c>
      <c r="P41" s="3204" t="s">
        <v>3026</v>
      </c>
      <c r="Q41" s="3204" t="s">
        <v>3027</v>
      </c>
    </row>
    <row r="42" spans="1:17" ht="14.25" customHeight="1">
      <c r="A42" s="3204" t="s">
        <v>296</v>
      </c>
      <c r="B42" s="3205" t="s">
        <v>215</v>
      </c>
      <c r="C42" s="3204">
        <v>24800</v>
      </c>
      <c r="D42" s="3204">
        <v>22280</v>
      </c>
      <c r="E42" s="3204">
        <v>24350</v>
      </c>
      <c r="F42" s="3204"/>
      <c r="G42" s="3217">
        <v>15590</v>
      </c>
      <c r="N42" s="3204" t="s">
        <v>3028</v>
      </c>
      <c r="O42" s="3204" t="s">
        <v>3029</v>
      </c>
      <c r="P42" s="3204" t="s">
        <v>3030</v>
      </c>
      <c r="Q42" s="3204" t="s">
        <v>3031</v>
      </c>
    </row>
    <row r="43" spans="1:17" ht="14.25" customHeight="1">
      <c r="A43" s="3204" t="s">
        <v>3032</v>
      </c>
      <c r="B43" s="3205" t="s">
        <v>223</v>
      </c>
      <c r="C43" s="3204">
        <v>21210</v>
      </c>
      <c r="D43" s="3204">
        <v>21160</v>
      </c>
      <c r="E43" s="3204">
        <v>22650</v>
      </c>
      <c r="F43" s="3204"/>
      <c r="G43" s="3217">
        <v>14800</v>
      </c>
      <c r="N43" s="3204" t="s">
        <v>3033</v>
      </c>
      <c r="O43" s="3204" t="s">
        <v>3034</v>
      </c>
      <c r="P43" s="3204" t="s">
        <v>3035</v>
      </c>
      <c r="Q43" s="3204" t="s">
        <v>3036</v>
      </c>
    </row>
    <row r="44" spans="1:17" ht="14.25" customHeight="1" thickBot="1">
      <c r="A44" s="3204" t="s">
        <v>296</v>
      </c>
      <c r="B44" s="3205" t="s">
        <v>231</v>
      </c>
      <c r="C44" s="3204">
        <v>22370</v>
      </c>
      <c r="D44" s="3204">
        <v>23140</v>
      </c>
      <c r="E44" s="3204">
        <v>25090</v>
      </c>
      <c r="F44" s="3204"/>
      <c r="G44" s="3217">
        <v>16190</v>
      </c>
      <c r="N44" s="3204" t="s">
        <v>3037</v>
      </c>
      <c r="O44" s="3204" t="s">
        <v>3038</v>
      </c>
      <c r="P44" s="3211" t="s">
        <v>3039</v>
      </c>
      <c r="Q44" s="3204" t="s">
        <v>3040</v>
      </c>
    </row>
    <row r="45" spans="1:17" ht="14.25" customHeight="1" thickBot="1">
      <c r="A45" s="3204" t="s">
        <v>296</v>
      </c>
      <c r="B45" s="3205" t="s">
        <v>236</v>
      </c>
      <c r="C45" s="3204">
        <v>21240</v>
      </c>
      <c r="D45" s="3204">
        <v>27050</v>
      </c>
      <c r="E45" s="3204">
        <v>28000</v>
      </c>
      <c r="F45" s="3204"/>
      <c r="G45" s="3217">
        <v>18940</v>
      </c>
      <c r="N45" s="3204" t="s">
        <v>3041</v>
      </c>
      <c r="O45" s="3211" t="s">
        <v>3042</v>
      </c>
      <c r="Q45" s="3204" t="s">
        <v>3043</v>
      </c>
    </row>
    <row r="46" spans="1:17" ht="14.25" customHeight="1">
      <c r="A46" s="3204" t="s">
        <v>296</v>
      </c>
      <c r="B46" s="3205" t="s">
        <v>245</v>
      </c>
      <c r="C46" s="3204">
        <v>23240</v>
      </c>
      <c r="D46" s="3204">
        <v>23000</v>
      </c>
      <c r="E46" s="3204">
        <v>24980</v>
      </c>
      <c r="F46" s="3204"/>
      <c r="G46" s="3217">
        <v>16100</v>
      </c>
      <c r="N46" s="3204" t="s">
        <v>3044</v>
      </c>
      <c r="Q46" s="3204" t="s">
        <v>3045</v>
      </c>
    </row>
    <row r="47" spans="1:17" ht="14.25" customHeight="1">
      <c r="A47" s="3204" t="s">
        <v>296</v>
      </c>
      <c r="B47" s="3205" t="s">
        <v>252</v>
      </c>
      <c r="C47" s="3204">
        <v>27150</v>
      </c>
      <c r="D47" s="3204">
        <v>23310</v>
      </c>
      <c r="E47" s="3204">
        <v>25150</v>
      </c>
      <c r="F47" s="3204"/>
      <c r="G47" s="3217">
        <v>16310</v>
      </c>
      <c r="N47" s="3204" t="s">
        <v>3046</v>
      </c>
      <c r="Q47" s="3204" t="s">
        <v>3047</v>
      </c>
    </row>
    <row r="48" spans="1:17" ht="14.25" customHeight="1">
      <c r="A48" s="3204" t="s">
        <v>296</v>
      </c>
      <c r="B48" s="3205" t="s">
        <v>260</v>
      </c>
      <c r="C48" s="3204">
        <v>23100</v>
      </c>
      <c r="D48" s="3204">
        <v>21110</v>
      </c>
      <c r="E48" s="3204">
        <v>23080</v>
      </c>
      <c r="F48" s="3204"/>
      <c r="G48" s="3217">
        <v>14780</v>
      </c>
      <c r="N48" s="3204" t="s">
        <v>3048</v>
      </c>
      <c r="Q48" s="3204" t="s">
        <v>3049</v>
      </c>
    </row>
    <row r="49" spans="1:17" ht="14.25" customHeight="1">
      <c r="A49" s="3204" t="s">
        <v>296</v>
      </c>
      <c r="B49" s="3205" t="s">
        <v>267</v>
      </c>
      <c r="C49" s="3204">
        <v>23400</v>
      </c>
      <c r="D49" s="3204">
        <v>22920</v>
      </c>
      <c r="E49" s="3204">
        <v>24900</v>
      </c>
      <c r="F49" s="3204"/>
      <c r="G49" s="3217">
        <v>16040</v>
      </c>
      <c r="N49" s="3204" t="s">
        <v>3050</v>
      </c>
      <c r="Q49" s="3204" t="s">
        <v>3051</v>
      </c>
    </row>
    <row r="50" spans="1:17" ht="14.25" customHeight="1">
      <c r="A50" s="3204" t="s">
        <v>296</v>
      </c>
      <c r="B50" s="3205" t="s">
        <v>2928</v>
      </c>
      <c r="C50" s="3204">
        <v>21200</v>
      </c>
      <c r="D50" s="3204">
        <v>26540</v>
      </c>
      <c r="E50" s="3204">
        <v>23200</v>
      </c>
      <c r="F50" s="3204"/>
      <c r="G50" s="3217">
        <v>18580</v>
      </c>
      <c r="N50" s="3204" t="s">
        <v>3052</v>
      </c>
      <c r="Q50" s="3205" t="s">
        <v>3053</v>
      </c>
    </row>
    <row r="51" spans="1:17" ht="14.25" customHeight="1" thickBot="1">
      <c r="A51" s="3204" t="s">
        <v>296</v>
      </c>
      <c r="B51" s="3205" t="s">
        <v>2930</v>
      </c>
      <c r="C51" s="3204">
        <v>23000</v>
      </c>
      <c r="D51" s="3204">
        <v>23460</v>
      </c>
      <c r="E51" s="3204">
        <v>25290</v>
      </c>
      <c r="F51" s="3204"/>
      <c r="G51" s="3217">
        <v>16420</v>
      </c>
      <c r="N51" s="3204" t="s">
        <v>3054</v>
      </c>
      <c r="Q51" s="3211" t="s">
        <v>3055</v>
      </c>
    </row>
    <row r="52" spans="1:17" ht="14.25" customHeight="1">
      <c r="A52" s="3204" t="s">
        <v>296</v>
      </c>
      <c r="B52" s="3205" t="s">
        <v>2934</v>
      </c>
      <c r="C52" s="3204">
        <v>26660</v>
      </c>
      <c r="D52" s="3204">
        <v>22350</v>
      </c>
      <c r="E52" s="3204">
        <v>22920</v>
      </c>
      <c r="F52" s="3204"/>
      <c r="G52" s="3217">
        <v>15640</v>
      </c>
      <c r="N52" s="3204" t="s">
        <v>3056</v>
      </c>
    </row>
    <row r="53" spans="1:17" ht="14.25" customHeight="1">
      <c r="A53" s="3204" t="s">
        <v>296</v>
      </c>
      <c r="B53" s="3205" t="s">
        <v>2939</v>
      </c>
      <c r="C53" s="3204">
        <v>23580</v>
      </c>
      <c r="D53" s="3204"/>
      <c r="E53" s="3204">
        <v>24280</v>
      </c>
      <c r="F53" s="3204"/>
      <c r="G53" s="3217"/>
      <c r="N53" s="3204" t="s">
        <v>3057</v>
      </c>
    </row>
    <row r="54" spans="1:17" ht="14.25" customHeight="1" thickBot="1">
      <c r="A54" s="3218" t="s">
        <v>296</v>
      </c>
      <c r="B54" s="3210" t="s">
        <v>2942</v>
      </c>
      <c r="C54" s="3211">
        <v>22460</v>
      </c>
      <c r="D54" s="3211"/>
      <c r="E54" s="3211"/>
      <c r="F54" s="3211"/>
      <c r="G54" s="3219"/>
      <c r="N54" s="3204" t="s">
        <v>3058</v>
      </c>
    </row>
    <row r="55" spans="1:17" ht="14.25" customHeight="1">
      <c r="A55" s="3209" t="s">
        <v>110</v>
      </c>
      <c r="B55" s="3200" t="s">
        <v>3059</v>
      </c>
      <c r="C55" s="3204">
        <v>21970</v>
      </c>
      <c r="D55" s="3204">
        <v>20370</v>
      </c>
      <c r="E55" s="3204">
        <v>20180</v>
      </c>
      <c r="F55" s="3204">
        <v>5730</v>
      </c>
      <c r="G55" s="3204">
        <v>13820</v>
      </c>
      <c r="N55" s="3204" t="s">
        <v>3060</v>
      </c>
    </row>
    <row r="56" spans="1:17" ht="14.25" customHeight="1">
      <c r="A56" s="3204" t="s">
        <v>110</v>
      </c>
      <c r="B56" s="3204" t="s">
        <v>130</v>
      </c>
      <c r="C56" s="3204">
        <v>20470</v>
      </c>
      <c r="D56" s="3204">
        <v>20700</v>
      </c>
      <c r="E56" s="3204">
        <v>20380</v>
      </c>
      <c r="F56" s="3204">
        <v>4760</v>
      </c>
      <c r="G56" s="3204">
        <v>14050</v>
      </c>
      <c r="N56" s="3204" t="s">
        <v>3061</v>
      </c>
    </row>
    <row r="57" spans="1:17" ht="14.25" customHeight="1">
      <c r="A57" s="3204" t="s">
        <v>110</v>
      </c>
      <c r="B57" s="3204" t="s">
        <v>139</v>
      </c>
      <c r="C57" s="3204">
        <v>20790</v>
      </c>
      <c r="D57" s="3204">
        <v>21370</v>
      </c>
      <c r="E57" s="3204">
        <v>20890</v>
      </c>
      <c r="F57" s="3204">
        <v>4910</v>
      </c>
      <c r="G57" s="3204">
        <v>14510</v>
      </c>
      <c r="N57" s="3204" t="s">
        <v>3062</v>
      </c>
    </row>
    <row r="58" spans="1:17" ht="14.25" customHeight="1">
      <c r="A58" s="3204" t="s">
        <v>110</v>
      </c>
      <c r="B58" s="3204" t="s">
        <v>148</v>
      </c>
      <c r="C58" s="3204">
        <v>21460</v>
      </c>
      <c r="D58" s="3204">
        <v>20920</v>
      </c>
      <c r="E58" s="3204">
        <v>23410</v>
      </c>
      <c r="F58" s="3204">
        <v>5100</v>
      </c>
      <c r="G58" s="3204">
        <v>14200</v>
      </c>
      <c r="N58" s="3204" t="s">
        <v>3063</v>
      </c>
    </row>
    <row r="59" spans="1:17" ht="14.25" customHeight="1">
      <c r="A59" s="3204" t="s">
        <v>110</v>
      </c>
      <c r="B59" s="3204" t="s">
        <v>157</v>
      </c>
      <c r="C59" s="3204">
        <v>21000</v>
      </c>
      <c r="D59" s="3204">
        <v>21550</v>
      </c>
      <c r="E59" s="3204">
        <v>21150</v>
      </c>
      <c r="F59" s="3204">
        <v>5250</v>
      </c>
      <c r="G59" s="3204">
        <v>14630</v>
      </c>
      <c r="N59" s="3204" t="s">
        <v>3064</v>
      </c>
    </row>
    <row r="60" spans="1:17" ht="14.25" customHeight="1">
      <c r="A60" s="3204" t="s">
        <v>110</v>
      </c>
      <c r="B60" s="3204" t="s">
        <v>164</v>
      </c>
      <c r="C60" s="3204">
        <v>21640</v>
      </c>
      <c r="D60" s="3204">
        <v>21260</v>
      </c>
      <c r="E60" s="3204">
        <v>24040</v>
      </c>
      <c r="F60" s="3204">
        <v>4470</v>
      </c>
      <c r="G60" s="3204">
        <v>14430</v>
      </c>
      <c r="N60" s="3204" t="s">
        <v>3065</v>
      </c>
    </row>
    <row r="61" spans="1:17" ht="14.25" customHeight="1">
      <c r="A61" s="3204" t="s">
        <v>110</v>
      </c>
      <c r="B61" s="3204" t="s">
        <v>170</v>
      </c>
      <c r="C61" s="3204">
        <v>21330</v>
      </c>
      <c r="D61" s="3204">
        <v>18640</v>
      </c>
      <c r="E61" s="3204">
        <v>21190</v>
      </c>
      <c r="F61" s="3204">
        <v>4180</v>
      </c>
      <c r="G61" s="3204">
        <v>12650</v>
      </c>
      <c r="N61" s="3204" t="s">
        <v>3066</v>
      </c>
    </row>
    <row r="62" spans="1:17" ht="14.25" customHeight="1">
      <c r="A62" s="3204" t="s">
        <v>110</v>
      </c>
      <c r="B62" s="3204" t="s">
        <v>177</v>
      </c>
      <c r="C62" s="3204">
        <v>18710</v>
      </c>
      <c r="D62" s="3204">
        <v>19400</v>
      </c>
      <c r="E62" s="3204">
        <v>23750</v>
      </c>
      <c r="F62" s="3204">
        <v>4860</v>
      </c>
      <c r="G62" s="3204">
        <v>13170</v>
      </c>
      <c r="N62" s="3204" t="s">
        <v>3067</v>
      </c>
    </row>
    <row r="63" spans="1:17" ht="14.25" customHeight="1">
      <c r="A63" s="3204" t="s">
        <v>110</v>
      </c>
      <c r="B63" s="3204" t="s">
        <v>187</v>
      </c>
      <c r="C63" s="3204">
        <v>19480</v>
      </c>
      <c r="D63" s="3204">
        <v>16830</v>
      </c>
      <c r="E63" s="3204">
        <v>21590</v>
      </c>
      <c r="F63" s="3204">
        <v>4560</v>
      </c>
      <c r="G63" s="3204">
        <v>11420</v>
      </c>
      <c r="N63" s="3204" t="s">
        <v>3068</v>
      </c>
    </row>
    <row r="64" spans="1:17" ht="14.25" customHeight="1" thickBot="1">
      <c r="A64" s="3204" t="s">
        <v>110</v>
      </c>
      <c r="B64" s="3204" t="s">
        <v>196</v>
      </c>
      <c r="C64" s="3204">
        <v>16920</v>
      </c>
      <c r="D64" s="3204">
        <v>19190</v>
      </c>
      <c r="E64" s="3204">
        <v>22200</v>
      </c>
      <c r="F64" s="3204">
        <v>4390</v>
      </c>
      <c r="G64" s="3204">
        <v>13030</v>
      </c>
      <c r="N64" s="3211" t="s">
        <v>3069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2940</v>
      </c>
      <c r="C78" s="3204">
        <v>19820</v>
      </c>
      <c r="D78" s="3204">
        <v>19780</v>
      </c>
      <c r="E78" s="3204">
        <v>18560</v>
      </c>
      <c r="F78" s="3204"/>
      <c r="G78" s="3204">
        <v>13430</v>
      </c>
    </row>
    <row r="79" spans="1:7" s="3193" customFormat="1" ht="14.25" customHeight="1">
      <c r="A79" s="3204" t="s">
        <v>110</v>
      </c>
      <c r="B79" s="3204" t="s">
        <v>2943</v>
      </c>
      <c r="C79" s="3204">
        <v>21660</v>
      </c>
      <c r="D79" s="3204">
        <v>18000</v>
      </c>
      <c r="E79" s="3204">
        <v>22570</v>
      </c>
      <c r="F79" s="3204"/>
      <c r="G79" s="3204">
        <v>12220</v>
      </c>
    </row>
    <row r="80" spans="1:7" s="3193" customFormat="1" ht="14.25" customHeight="1">
      <c r="A80" s="3204" t="s">
        <v>110</v>
      </c>
      <c r="B80" s="3204" t="s">
        <v>2947</v>
      </c>
      <c r="C80" s="3204">
        <v>19850</v>
      </c>
      <c r="D80" s="3204"/>
      <c r="E80" s="3204">
        <v>21700</v>
      </c>
      <c r="F80" s="3204"/>
      <c r="G80" s="3204"/>
    </row>
    <row r="81" spans="1:7" s="3193" customFormat="1" ht="14.25" customHeight="1">
      <c r="A81" s="3204" t="s">
        <v>110</v>
      </c>
      <c r="B81" s="3204" t="s">
        <v>2952</v>
      </c>
      <c r="C81" s="3204">
        <v>18080</v>
      </c>
      <c r="D81" s="3204"/>
      <c r="E81" s="3204">
        <v>20900</v>
      </c>
      <c r="F81" s="3204"/>
      <c r="G81" s="3204"/>
    </row>
    <row r="82" spans="1:7" s="3193" customFormat="1" ht="14.25" customHeight="1">
      <c r="A82" s="3204" t="s">
        <v>110</v>
      </c>
      <c r="B82" s="3204" t="s">
        <v>2959</v>
      </c>
      <c r="C82" s="3204"/>
      <c r="D82" s="3204"/>
      <c r="E82" s="3204">
        <v>20840</v>
      </c>
      <c r="F82" s="3204"/>
      <c r="G82" s="3204"/>
    </row>
    <row r="83" spans="1:7" s="3193" customFormat="1" ht="14.25" customHeight="1">
      <c r="A83" s="3204" t="s">
        <v>110</v>
      </c>
      <c r="B83" s="3204" t="s">
        <v>3070</v>
      </c>
      <c r="C83" s="3204"/>
      <c r="D83" s="3204"/>
      <c r="E83" s="3204"/>
      <c r="F83" s="3204">
        <v>4770</v>
      </c>
      <c r="G83" s="3204"/>
    </row>
    <row r="84" spans="1:7" s="3193" customFormat="1" ht="14.25" customHeight="1">
      <c r="A84" s="3204" t="s">
        <v>110</v>
      </c>
      <c r="B84" s="3204" t="s">
        <v>3071</v>
      </c>
      <c r="C84" s="3204"/>
      <c r="D84" s="3204"/>
      <c r="E84" s="3204"/>
      <c r="F84" s="3204">
        <v>4600</v>
      </c>
      <c r="G84" s="3204"/>
    </row>
    <row r="85" spans="1:7" s="3193" customFormat="1" ht="14.25" customHeight="1">
      <c r="A85" s="3204" t="s">
        <v>110</v>
      </c>
      <c r="B85" s="3204" t="s">
        <v>3072</v>
      </c>
      <c r="C85" s="3204"/>
      <c r="D85" s="3204"/>
      <c r="E85" s="3204"/>
      <c r="F85" s="3204">
        <v>4680</v>
      </c>
      <c r="G85" s="3204"/>
    </row>
    <row r="86" spans="1:7" s="3193" customFormat="1" ht="14.25" customHeight="1" thickBot="1">
      <c r="A86" s="3212" t="s">
        <v>110</v>
      </c>
      <c r="B86" s="3214" t="s">
        <v>3073</v>
      </c>
      <c r="C86" s="3215">
        <v>16610</v>
      </c>
      <c r="D86" s="3215">
        <v>16540</v>
      </c>
      <c r="E86" s="3215">
        <v>18850</v>
      </c>
      <c r="F86" s="3215"/>
      <c r="G86" s="3215">
        <v>11220</v>
      </c>
    </row>
    <row r="87" spans="1:7" s="3193" customFormat="1" ht="14.25" customHeight="1">
      <c r="A87" s="3209" t="s">
        <v>303</v>
      </c>
      <c r="B87" s="3200" t="s">
        <v>3074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2953</v>
      </c>
      <c r="C113" s="3204">
        <v>15520</v>
      </c>
      <c r="D113" s="3204">
        <v>15450</v>
      </c>
      <c r="E113" s="3204"/>
      <c r="F113" s="3204"/>
      <c r="G113" s="3217">
        <v>10210</v>
      </c>
    </row>
    <row r="114" spans="1:7" s="3193" customFormat="1" ht="14.25" customHeight="1">
      <c r="A114" s="3204" t="s">
        <v>303</v>
      </c>
      <c r="B114" s="3204" t="s">
        <v>2960</v>
      </c>
      <c r="C114" s="3204">
        <v>13110</v>
      </c>
      <c r="D114" s="3204">
        <v>13050</v>
      </c>
      <c r="E114" s="3204"/>
      <c r="F114" s="3204"/>
      <c r="G114" s="3217">
        <v>8620</v>
      </c>
    </row>
    <row r="115" spans="1:7" s="3193" customFormat="1" ht="14.25" customHeight="1">
      <c r="A115" s="3204" t="s">
        <v>303</v>
      </c>
      <c r="B115" s="3204" t="s">
        <v>2966</v>
      </c>
      <c r="C115" s="3204">
        <v>12460</v>
      </c>
      <c r="D115" s="3204">
        <v>12390</v>
      </c>
      <c r="E115" s="3204"/>
      <c r="F115" s="3204"/>
      <c r="G115" s="3217">
        <v>8190</v>
      </c>
    </row>
    <row r="116" spans="1:7" s="3193" customFormat="1" ht="14.25" customHeight="1">
      <c r="A116" s="3204" t="s">
        <v>303</v>
      </c>
      <c r="B116" s="3204" t="s">
        <v>2973</v>
      </c>
      <c r="C116" s="3204">
        <v>13580</v>
      </c>
      <c r="D116" s="3204">
        <v>13520</v>
      </c>
      <c r="E116" s="3204"/>
      <c r="F116" s="3204"/>
      <c r="G116" s="3217">
        <v>8930</v>
      </c>
    </row>
    <row r="117" spans="1:7" s="3193" customFormat="1" ht="14.25" customHeight="1">
      <c r="A117" s="3204" t="s">
        <v>303</v>
      </c>
      <c r="B117" s="3204" t="s">
        <v>2980</v>
      </c>
      <c r="C117" s="3204">
        <v>17120</v>
      </c>
      <c r="D117" s="3204">
        <v>17040</v>
      </c>
      <c r="E117" s="3204"/>
      <c r="F117" s="3204"/>
      <c r="G117" s="3217">
        <v>11260</v>
      </c>
    </row>
    <row r="118" spans="1:7" s="3193" customFormat="1" ht="14.25" customHeight="1">
      <c r="A118" s="3204" t="s">
        <v>303</v>
      </c>
      <c r="B118" s="3204" t="s">
        <v>2985</v>
      </c>
      <c r="C118" s="3204">
        <v>14860</v>
      </c>
      <c r="D118" s="3204">
        <v>14790</v>
      </c>
      <c r="E118" s="3204"/>
      <c r="F118" s="3204"/>
      <c r="G118" s="3217">
        <v>9780</v>
      </c>
    </row>
    <row r="119" spans="1:7" s="3193" customFormat="1" ht="14.25" customHeight="1">
      <c r="A119" s="3204" t="s">
        <v>303</v>
      </c>
      <c r="B119" s="3204" t="s">
        <v>2989</v>
      </c>
      <c r="C119" s="3204">
        <v>16470</v>
      </c>
      <c r="D119" s="3204">
        <v>16400</v>
      </c>
      <c r="E119" s="3204"/>
      <c r="F119" s="3204"/>
      <c r="G119" s="3217">
        <v>10840</v>
      </c>
    </row>
    <row r="120" spans="1:7" s="3193" customFormat="1" ht="14.25" customHeight="1">
      <c r="A120" s="3204" t="s">
        <v>303</v>
      </c>
      <c r="B120" s="3204" t="s">
        <v>3075</v>
      </c>
      <c r="C120" s="3204"/>
      <c r="D120" s="3204"/>
      <c r="E120" s="3204"/>
      <c r="F120" s="3204">
        <v>4160</v>
      </c>
      <c r="G120" s="3217"/>
    </row>
    <row r="121" spans="1:7" s="3193" customFormat="1" ht="14.25" customHeight="1">
      <c r="A121" s="3204" t="s">
        <v>303</v>
      </c>
      <c r="B121" s="3204" t="s">
        <v>3076</v>
      </c>
      <c r="C121" s="3204"/>
      <c r="D121" s="3204"/>
      <c r="E121" s="3204"/>
      <c r="F121" s="3204">
        <v>3880</v>
      </c>
      <c r="G121" s="3217"/>
    </row>
    <row r="122" spans="1:7" s="3193" customFormat="1" ht="14.25" customHeight="1">
      <c r="A122" s="3204" t="s">
        <v>303</v>
      </c>
      <c r="B122" s="3204" t="s">
        <v>3077</v>
      </c>
      <c r="C122" s="3204">
        <v>13750</v>
      </c>
      <c r="D122" s="3204">
        <v>13680</v>
      </c>
      <c r="E122" s="3204">
        <v>16460</v>
      </c>
      <c r="F122" s="3204">
        <v>2880</v>
      </c>
      <c r="G122" s="3217">
        <v>9040</v>
      </c>
    </row>
    <row r="123" spans="1:7" s="3193" customFormat="1" ht="14.25" customHeight="1">
      <c r="A123" s="3204" t="s">
        <v>303</v>
      </c>
      <c r="B123" s="3204" t="s">
        <v>3008</v>
      </c>
      <c r="C123" s="3204">
        <v>13590</v>
      </c>
      <c r="D123" s="3204">
        <v>13520</v>
      </c>
      <c r="E123" s="3204">
        <v>16290</v>
      </c>
      <c r="F123" s="3204">
        <v>2790</v>
      </c>
      <c r="G123" s="3217">
        <v>8930</v>
      </c>
    </row>
    <row r="124" spans="1:7" s="3193" customFormat="1" ht="14.25" customHeight="1">
      <c r="A124" s="3204" t="s">
        <v>303</v>
      </c>
      <c r="B124" s="3204" t="s">
        <v>3013</v>
      </c>
      <c r="C124" s="3204">
        <v>13400</v>
      </c>
      <c r="D124" s="3204">
        <v>13320</v>
      </c>
      <c r="E124" s="3204">
        <v>16100</v>
      </c>
      <c r="F124" s="3204">
        <v>2320</v>
      </c>
      <c r="G124" s="3217">
        <v>8800</v>
      </c>
    </row>
    <row r="125" spans="1:7" s="3193" customFormat="1" ht="14.25" customHeight="1">
      <c r="A125" s="3204" t="s">
        <v>303</v>
      </c>
      <c r="B125" s="3204" t="s">
        <v>3018</v>
      </c>
      <c r="C125" s="3204">
        <v>12860</v>
      </c>
      <c r="D125" s="3204">
        <v>12790</v>
      </c>
      <c r="E125" s="3204">
        <v>15370</v>
      </c>
      <c r="F125" s="3204">
        <v>2280</v>
      </c>
      <c r="G125" s="3217">
        <v>8450</v>
      </c>
    </row>
    <row r="126" spans="1:7" s="3193" customFormat="1" ht="14.25" customHeight="1" thickBot="1">
      <c r="A126" s="3218" t="s">
        <v>303</v>
      </c>
      <c r="B126" s="3211" t="s">
        <v>3023</v>
      </c>
      <c r="C126" s="3211">
        <v>12960</v>
      </c>
      <c r="D126" s="3211">
        <v>12890</v>
      </c>
      <c r="E126" s="3211">
        <v>15530</v>
      </c>
      <c r="F126" s="3211">
        <v>2910</v>
      </c>
      <c r="G126" s="3219">
        <v>8520</v>
      </c>
    </row>
    <row r="127" spans="1:7" s="3193" customFormat="1" ht="14.25" customHeight="1">
      <c r="A127" s="3209" t="s">
        <v>29</v>
      </c>
      <c r="B127" s="3200" t="s">
        <v>3078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3079</v>
      </c>
      <c r="C148" s="3204">
        <v>10370</v>
      </c>
      <c r="D148" s="3204">
        <v>10310</v>
      </c>
      <c r="E148" s="3204">
        <v>12970</v>
      </c>
      <c r="F148" s="3204"/>
      <c r="G148" s="3204">
        <v>6630</v>
      </c>
    </row>
    <row r="149" spans="1:7" s="3193" customFormat="1" ht="14.25" customHeight="1">
      <c r="A149" s="3204" t="s">
        <v>29</v>
      </c>
      <c r="B149" s="3204" t="s">
        <v>3080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2954</v>
      </c>
      <c r="C153" s="3204">
        <v>10880</v>
      </c>
      <c r="D153" s="3204">
        <v>10820</v>
      </c>
      <c r="E153" s="3204">
        <v>13660</v>
      </c>
      <c r="F153" s="3204">
        <v>2260</v>
      </c>
      <c r="G153" s="3204">
        <v>6970</v>
      </c>
    </row>
    <row r="154" spans="1:7" s="3193" customFormat="1" ht="14.25" customHeight="1">
      <c r="A154" s="3204" t="s">
        <v>29</v>
      </c>
      <c r="B154" s="3204" t="s">
        <v>3081</v>
      </c>
      <c r="C154" s="3204">
        <v>11220</v>
      </c>
      <c r="D154" s="3204">
        <v>11160</v>
      </c>
      <c r="E154" s="3204">
        <v>14130</v>
      </c>
      <c r="F154" s="3204">
        <v>2230</v>
      </c>
      <c r="G154" s="3204">
        <v>7180</v>
      </c>
    </row>
    <row r="155" spans="1:7" s="3193" customFormat="1" ht="14.25" customHeight="1">
      <c r="A155" s="3204" t="s">
        <v>29</v>
      </c>
      <c r="B155" s="3204" t="s">
        <v>2967</v>
      </c>
      <c r="C155" s="3204">
        <v>10430</v>
      </c>
      <c r="D155" s="3204">
        <v>10380</v>
      </c>
      <c r="E155" s="3204">
        <v>13140</v>
      </c>
      <c r="F155" s="3204">
        <v>2080</v>
      </c>
      <c r="G155" s="3204">
        <v>6650</v>
      </c>
    </row>
    <row r="156" spans="1:7" s="3193" customFormat="1" ht="14.25" customHeight="1">
      <c r="A156" s="3204" t="s">
        <v>29</v>
      </c>
      <c r="B156" s="3204" t="s">
        <v>3082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3083</v>
      </c>
      <c r="C160" s="3204">
        <v>11180</v>
      </c>
      <c r="D160" s="3204">
        <v>11140</v>
      </c>
      <c r="E160" s="3204">
        <v>14050</v>
      </c>
      <c r="F160" s="3204">
        <v>2270</v>
      </c>
      <c r="G160" s="3204">
        <v>7170</v>
      </c>
    </row>
    <row r="161" spans="1:7" s="3193" customFormat="1" ht="14.25" customHeight="1">
      <c r="A161" s="3204" t="s">
        <v>29</v>
      </c>
      <c r="B161" s="3204" t="s">
        <v>2999</v>
      </c>
      <c r="C161" s="3204">
        <v>11160</v>
      </c>
      <c r="D161" s="3204">
        <v>11120</v>
      </c>
      <c r="E161" s="3204">
        <v>14020</v>
      </c>
      <c r="F161" s="3204">
        <v>2150</v>
      </c>
      <c r="G161" s="3204">
        <v>7160</v>
      </c>
    </row>
    <row r="162" spans="1:7" s="3193" customFormat="1" ht="14.25" customHeight="1">
      <c r="A162" s="3204" t="s">
        <v>29</v>
      </c>
      <c r="B162" s="3204" t="s">
        <v>3004</v>
      </c>
      <c r="C162" s="3204">
        <v>9620</v>
      </c>
      <c r="D162" s="3204">
        <v>9570</v>
      </c>
      <c r="E162" s="3204">
        <v>12320</v>
      </c>
      <c r="F162" s="3204">
        <v>2010</v>
      </c>
      <c r="G162" s="3204">
        <v>6160</v>
      </c>
    </row>
    <row r="163" spans="1:7" s="3193" customFormat="1" ht="14.25" customHeight="1">
      <c r="A163" s="3204" t="s">
        <v>29</v>
      </c>
      <c r="B163" s="3204" t="s">
        <v>3009</v>
      </c>
      <c r="C163" s="3204">
        <v>9320</v>
      </c>
      <c r="D163" s="3204">
        <v>9270</v>
      </c>
      <c r="E163" s="3204">
        <v>11790</v>
      </c>
      <c r="F163" s="3204">
        <v>1920</v>
      </c>
      <c r="G163" s="3204">
        <v>5960</v>
      </c>
    </row>
    <row r="164" spans="1:7" s="3193" customFormat="1" ht="14.25" customHeight="1">
      <c r="A164" s="3204" t="s">
        <v>29</v>
      </c>
      <c r="B164" s="3204" t="s">
        <v>3014</v>
      </c>
      <c r="C164" s="3204"/>
      <c r="D164" s="3204"/>
      <c r="E164" s="3204"/>
      <c r="F164" s="3204">
        <v>1980</v>
      </c>
      <c r="G164" s="3204"/>
    </row>
    <row r="165" spans="1:7" s="3193" customFormat="1" ht="14.25" customHeight="1">
      <c r="A165" s="3204" t="s">
        <v>29</v>
      </c>
      <c r="B165" s="3204" t="s">
        <v>3084</v>
      </c>
      <c r="C165" s="3204">
        <v>11060</v>
      </c>
      <c r="D165" s="3204">
        <v>11030</v>
      </c>
      <c r="E165" s="3204">
        <v>13850</v>
      </c>
      <c r="F165" s="3204">
        <v>2170</v>
      </c>
      <c r="G165" s="3204">
        <v>7090</v>
      </c>
    </row>
    <row r="166" spans="1:7" s="3193" customFormat="1" ht="14.25" customHeight="1">
      <c r="A166" s="3204" t="s">
        <v>29</v>
      </c>
      <c r="B166" s="3204" t="s">
        <v>3024</v>
      </c>
      <c r="C166" s="3204">
        <v>11050</v>
      </c>
      <c r="D166" s="3204">
        <v>11010</v>
      </c>
      <c r="E166" s="3204">
        <v>13920</v>
      </c>
      <c r="F166" s="3204">
        <v>2140</v>
      </c>
      <c r="G166" s="3204">
        <v>7080</v>
      </c>
    </row>
    <row r="167" spans="1:7" s="3193" customFormat="1" ht="14.25" customHeight="1">
      <c r="A167" s="3204" t="s">
        <v>29</v>
      </c>
      <c r="B167" s="3204" t="s">
        <v>3028</v>
      </c>
      <c r="C167" s="3204">
        <v>10930</v>
      </c>
      <c r="D167" s="3204">
        <v>10890</v>
      </c>
      <c r="E167" s="3204">
        <v>13790</v>
      </c>
      <c r="F167" s="3204">
        <v>2010</v>
      </c>
      <c r="G167" s="3204">
        <v>7000</v>
      </c>
    </row>
    <row r="168" spans="1:7" s="3193" customFormat="1" ht="14.25" customHeight="1">
      <c r="A168" s="3204" t="s">
        <v>29</v>
      </c>
      <c r="B168" s="3204" t="s">
        <v>3033</v>
      </c>
      <c r="C168" s="3204">
        <v>9420</v>
      </c>
      <c r="D168" s="3204">
        <v>9380</v>
      </c>
      <c r="E168" s="3204">
        <v>11970</v>
      </c>
      <c r="F168" s="3204"/>
      <c r="G168" s="3204">
        <v>6040</v>
      </c>
    </row>
    <row r="169" spans="1:7" s="3193" customFormat="1" ht="14.25" customHeight="1">
      <c r="A169" s="3204" t="s">
        <v>29</v>
      </c>
      <c r="B169" s="3204" t="s">
        <v>3085</v>
      </c>
      <c r="C169" s="3204"/>
      <c r="D169" s="3204"/>
      <c r="E169" s="3204"/>
      <c r="F169" s="3204">
        <v>2880</v>
      </c>
      <c r="G169" s="3204"/>
    </row>
    <row r="170" spans="1:7" s="3193" customFormat="1" ht="14.25" customHeight="1">
      <c r="A170" s="3204" t="s">
        <v>29</v>
      </c>
      <c r="B170" s="3204" t="s">
        <v>3041</v>
      </c>
      <c r="C170" s="3204"/>
      <c r="D170" s="3204"/>
      <c r="E170" s="3204"/>
      <c r="F170" s="3204">
        <v>2880</v>
      </c>
      <c r="G170" s="3204"/>
    </row>
    <row r="171" spans="1:7" s="3193" customFormat="1" ht="14.25" customHeight="1">
      <c r="A171" s="3204" t="s">
        <v>29</v>
      </c>
      <c r="B171" s="3204" t="s">
        <v>3044</v>
      </c>
      <c r="C171" s="3204"/>
      <c r="D171" s="3204"/>
      <c r="E171" s="3204"/>
      <c r="F171" s="3204">
        <v>2880</v>
      </c>
      <c r="G171" s="3204"/>
    </row>
    <row r="172" spans="1:7" s="3193" customFormat="1" ht="14.25" customHeight="1">
      <c r="A172" s="3204" t="s">
        <v>29</v>
      </c>
      <c r="B172" s="3204" t="s">
        <v>3046</v>
      </c>
      <c r="C172" s="3204"/>
      <c r="D172" s="3204"/>
      <c r="E172" s="3204"/>
      <c r="F172" s="3204">
        <v>2880</v>
      </c>
      <c r="G172" s="3204"/>
    </row>
    <row r="173" spans="1:7" s="3193" customFormat="1" ht="14.25" customHeight="1">
      <c r="A173" s="3204" t="s">
        <v>29</v>
      </c>
      <c r="B173" s="3204" t="s">
        <v>3048</v>
      </c>
      <c r="C173" s="3204"/>
      <c r="D173" s="3204"/>
      <c r="E173" s="3204"/>
      <c r="F173" s="3204">
        <v>2150</v>
      </c>
      <c r="G173" s="3204"/>
    </row>
    <row r="174" spans="1:7" s="3193" customFormat="1" ht="14.25" customHeight="1">
      <c r="A174" s="3204" t="s">
        <v>29</v>
      </c>
      <c r="B174" s="3204" t="s">
        <v>3050</v>
      </c>
      <c r="C174" s="3204"/>
      <c r="D174" s="3204"/>
      <c r="E174" s="3204"/>
      <c r="F174" s="3204">
        <v>2030</v>
      </c>
      <c r="G174" s="3204"/>
    </row>
    <row r="175" spans="1:7" s="3193" customFormat="1" ht="14.25" customHeight="1">
      <c r="A175" s="3204" t="s">
        <v>29</v>
      </c>
      <c r="B175" s="3204" t="s">
        <v>3052</v>
      </c>
      <c r="C175" s="3204"/>
      <c r="D175" s="3204"/>
      <c r="E175" s="3204"/>
      <c r="F175" s="3204">
        <v>2780</v>
      </c>
      <c r="G175" s="3204"/>
    </row>
    <row r="176" spans="1:7" s="3193" customFormat="1" ht="14.25" customHeight="1">
      <c r="A176" s="3204" t="s">
        <v>29</v>
      </c>
      <c r="B176" s="3204" t="s">
        <v>3054</v>
      </c>
      <c r="C176" s="3204"/>
      <c r="D176" s="3204"/>
      <c r="E176" s="3204"/>
      <c r="F176" s="3204">
        <v>2780</v>
      </c>
      <c r="G176" s="3204"/>
    </row>
    <row r="177" spans="1:7" s="3193" customFormat="1" ht="14.25" customHeight="1">
      <c r="A177" s="3204" t="s">
        <v>29</v>
      </c>
      <c r="B177" s="3204" t="s">
        <v>3086</v>
      </c>
      <c r="C177" s="3204"/>
      <c r="D177" s="3204"/>
      <c r="E177" s="3204"/>
      <c r="F177" s="3204">
        <v>2780</v>
      </c>
      <c r="G177" s="3204"/>
    </row>
    <row r="178" spans="1:7" s="3193" customFormat="1" ht="14.25" customHeight="1">
      <c r="A178" s="3204" t="s">
        <v>29</v>
      </c>
      <c r="B178" s="3204" t="s">
        <v>3087</v>
      </c>
      <c r="C178" s="3204"/>
      <c r="D178" s="3204"/>
      <c r="E178" s="3204"/>
      <c r="F178" s="3204">
        <v>2060</v>
      </c>
      <c r="G178" s="3204"/>
    </row>
    <row r="179" spans="1:7" s="3193" customFormat="1" ht="14.25" customHeight="1">
      <c r="A179" s="3204" t="s">
        <v>29</v>
      </c>
      <c r="B179" s="3204" t="s">
        <v>3088</v>
      </c>
      <c r="C179" s="3204"/>
      <c r="D179" s="3204"/>
      <c r="E179" s="3204"/>
      <c r="F179" s="3204">
        <v>2120</v>
      </c>
      <c r="G179" s="3204"/>
    </row>
    <row r="180" spans="1:7" s="3193" customFormat="1" ht="14.25" customHeight="1">
      <c r="A180" s="3204" t="s">
        <v>29</v>
      </c>
      <c r="B180" s="3204" t="s">
        <v>3060</v>
      </c>
      <c r="C180" s="3204"/>
      <c r="D180" s="3204"/>
      <c r="E180" s="3204"/>
      <c r="F180" s="3204">
        <v>2340</v>
      </c>
      <c r="G180" s="3204"/>
    </row>
    <row r="181" spans="1:7" s="3193" customFormat="1" ht="14.25" customHeight="1">
      <c r="A181" s="3204" t="s">
        <v>29</v>
      </c>
      <c r="B181" s="3204" t="s">
        <v>3061</v>
      </c>
      <c r="C181" s="3204"/>
      <c r="D181" s="3204"/>
      <c r="E181" s="3204"/>
      <c r="F181" s="3204">
        <v>2340</v>
      </c>
      <c r="G181" s="3204"/>
    </row>
    <row r="182" spans="1:7" s="3193" customFormat="1" ht="14.25" customHeight="1">
      <c r="A182" s="3204" t="s">
        <v>29</v>
      </c>
      <c r="B182" s="3204" t="s">
        <v>3062</v>
      </c>
      <c r="C182" s="3204"/>
      <c r="D182" s="3204"/>
      <c r="E182" s="3204"/>
      <c r="F182" s="3204">
        <v>2340</v>
      </c>
      <c r="G182" s="3204"/>
    </row>
    <row r="183" spans="1:7" s="3193" customFormat="1" ht="14.25" customHeight="1">
      <c r="A183" s="3204" t="s">
        <v>29</v>
      </c>
      <c r="B183" s="3204" t="s">
        <v>3063</v>
      </c>
      <c r="C183" s="3204"/>
      <c r="D183" s="3204"/>
      <c r="E183" s="3204"/>
      <c r="F183" s="3204">
        <v>2340</v>
      </c>
      <c r="G183" s="3204"/>
    </row>
    <row r="184" spans="1:7" s="3193" customFormat="1" ht="14.25" customHeight="1">
      <c r="A184" s="3204" t="s">
        <v>29</v>
      </c>
      <c r="B184" s="3204" t="s">
        <v>3064</v>
      </c>
      <c r="C184" s="3204"/>
      <c r="D184" s="3204"/>
      <c r="E184" s="3204"/>
      <c r="F184" s="3204">
        <v>2340</v>
      </c>
      <c r="G184" s="3204"/>
    </row>
    <row r="185" spans="1:7" s="3193" customFormat="1" ht="14.25" customHeight="1">
      <c r="A185" s="3204" t="s">
        <v>29</v>
      </c>
      <c r="B185" s="3204" t="s">
        <v>3065</v>
      </c>
      <c r="C185" s="3204"/>
      <c r="D185" s="3204"/>
      <c r="E185" s="3204"/>
      <c r="F185" s="3204">
        <v>2530</v>
      </c>
      <c r="G185" s="3204"/>
    </row>
    <row r="186" spans="1:7" s="3193" customFormat="1" ht="14.25" customHeight="1">
      <c r="A186" s="3204" t="s">
        <v>29</v>
      </c>
      <c r="B186" s="3204" t="s">
        <v>3066</v>
      </c>
      <c r="C186" s="3204"/>
      <c r="D186" s="3204"/>
      <c r="E186" s="3204"/>
      <c r="F186" s="3204">
        <v>2550</v>
      </c>
      <c r="G186" s="3204"/>
    </row>
    <row r="187" spans="1:7" s="3193" customFormat="1" ht="14.25" customHeight="1">
      <c r="A187" s="3204" t="s">
        <v>29</v>
      </c>
      <c r="B187" s="3204" t="s">
        <v>3067</v>
      </c>
      <c r="C187" s="3204"/>
      <c r="D187" s="3204"/>
      <c r="E187" s="3204"/>
      <c r="F187" s="3204">
        <v>2070</v>
      </c>
      <c r="G187" s="3204"/>
    </row>
    <row r="188" spans="1:7" s="3193" customFormat="1" ht="14.25" customHeight="1">
      <c r="A188" s="3204" t="s">
        <v>29</v>
      </c>
      <c r="B188" s="3204" t="s">
        <v>3068</v>
      </c>
      <c r="C188" s="3204"/>
      <c r="D188" s="3204"/>
      <c r="E188" s="3204"/>
      <c r="F188" s="3204">
        <v>2340</v>
      </c>
      <c r="G188" s="3204"/>
    </row>
    <row r="189" spans="1:7" s="3193" customFormat="1" ht="14.25" customHeight="1" thickBot="1">
      <c r="A189" s="3212" t="s">
        <v>29</v>
      </c>
      <c r="B189" s="3215" t="s">
        <v>3069</v>
      </c>
      <c r="C189" s="3215"/>
      <c r="D189" s="3215"/>
      <c r="E189" s="3215"/>
      <c r="F189" s="3215">
        <v>2050</v>
      </c>
      <c r="G189" s="3215"/>
    </row>
    <row r="190" spans="1:7" s="3193" customFormat="1" ht="14.25" customHeight="1">
      <c r="A190" s="3209" t="s">
        <v>304</v>
      </c>
      <c r="B190" s="3200" t="s">
        <v>3089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3090</v>
      </c>
      <c r="C199" s="3204">
        <v>8690</v>
      </c>
      <c r="D199" s="3204">
        <v>8630</v>
      </c>
      <c r="E199" s="3204">
        <v>11350</v>
      </c>
      <c r="F199" s="3204">
        <v>1600</v>
      </c>
      <c r="G199" s="3217">
        <v>5450</v>
      </c>
    </row>
    <row r="200" spans="1:7" s="3193" customFormat="1" ht="14.25" customHeight="1">
      <c r="A200" s="3204" t="s">
        <v>304</v>
      </c>
      <c r="B200" s="3204" t="s">
        <v>2901</v>
      </c>
      <c r="C200" s="3204"/>
      <c r="D200" s="3204"/>
      <c r="E200" s="3204"/>
      <c r="F200" s="3204">
        <v>1510</v>
      </c>
      <c r="G200" s="3217"/>
    </row>
    <row r="201" spans="1:7" s="3193" customFormat="1" ht="14.25" customHeight="1">
      <c r="A201" s="3204" t="s">
        <v>304</v>
      </c>
      <c r="B201" s="3204" t="s">
        <v>3091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3092</v>
      </c>
      <c r="C203" s="3204">
        <v>8130</v>
      </c>
      <c r="D203" s="3204">
        <v>8070</v>
      </c>
      <c r="E203" s="3204">
        <v>10820</v>
      </c>
      <c r="F203" s="3204">
        <v>1690</v>
      </c>
      <c r="G203" s="3217">
        <v>5100</v>
      </c>
    </row>
    <row r="204" spans="1:7" s="3193" customFormat="1" ht="14.25" customHeight="1">
      <c r="A204" s="3204" t="s">
        <v>304</v>
      </c>
      <c r="B204" s="3204" t="s">
        <v>2912</v>
      </c>
      <c r="C204" s="3204">
        <v>8350</v>
      </c>
      <c r="D204" s="3204">
        <v>8290</v>
      </c>
      <c r="E204" s="3204">
        <v>11080</v>
      </c>
      <c r="F204" s="3204">
        <v>1450</v>
      </c>
      <c r="G204" s="3217">
        <v>5240</v>
      </c>
    </row>
    <row r="205" spans="1:7" s="3193" customFormat="1" ht="14.25" customHeight="1">
      <c r="A205" s="3204" t="s">
        <v>304</v>
      </c>
      <c r="B205" s="3204" t="s">
        <v>2914</v>
      </c>
      <c r="C205" s="3204">
        <v>7190</v>
      </c>
      <c r="D205" s="3204">
        <v>7130</v>
      </c>
      <c r="E205" s="3204">
        <v>9490</v>
      </c>
      <c r="F205" s="3204">
        <v>1470</v>
      </c>
      <c r="G205" s="3217">
        <v>4510</v>
      </c>
    </row>
    <row r="206" spans="1:7" s="3193" customFormat="1" ht="14.25" customHeight="1">
      <c r="A206" s="3204" t="s">
        <v>304</v>
      </c>
      <c r="B206" s="3204" t="s">
        <v>2917</v>
      </c>
      <c r="C206" s="3204">
        <v>7000</v>
      </c>
      <c r="D206" s="3204">
        <v>6950</v>
      </c>
      <c r="E206" s="3204">
        <v>9170</v>
      </c>
      <c r="F206" s="3204">
        <v>1400</v>
      </c>
      <c r="G206" s="3217">
        <v>4380</v>
      </c>
    </row>
    <row r="207" spans="1:7" s="3193" customFormat="1" ht="14.25" customHeight="1">
      <c r="A207" s="3204" t="s">
        <v>304</v>
      </c>
      <c r="B207" s="3204" t="s">
        <v>2919</v>
      </c>
      <c r="C207" s="3204">
        <v>6950</v>
      </c>
      <c r="D207" s="3204">
        <v>6900</v>
      </c>
      <c r="E207" s="3204">
        <v>9110</v>
      </c>
      <c r="F207" s="3204">
        <v>1790</v>
      </c>
      <c r="G207" s="3217">
        <v>4360</v>
      </c>
    </row>
    <row r="208" spans="1:7" s="3193" customFormat="1" ht="14.25" customHeight="1">
      <c r="A208" s="3204" t="s">
        <v>304</v>
      </c>
      <c r="B208" s="3204" t="s">
        <v>3093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2929</v>
      </c>
      <c r="C210" s="3204">
        <v>8710</v>
      </c>
      <c r="D210" s="3204">
        <v>8660</v>
      </c>
      <c r="E210" s="3204">
        <v>11440</v>
      </c>
      <c r="F210" s="3204">
        <v>1740</v>
      </c>
      <c r="G210" s="3217">
        <v>5470</v>
      </c>
    </row>
    <row r="211" spans="1:7" s="3193" customFormat="1" ht="14.25" customHeight="1">
      <c r="A211" s="3204" t="s">
        <v>304</v>
      </c>
      <c r="B211" s="3204" t="s">
        <v>3094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3095</v>
      </c>
      <c r="C214" s="3204">
        <v>8090</v>
      </c>
      <c r="D214" s="3204">
        <v>8030</v>
      </c>
      <c r="E214" s="3204">
        <v>10780</v>
      </c>
      <c r="F214" s="3204">
        <v>1570</v>
      </c>
      <c r="G214" s="3217">
        <v>5070</v>
      </c>
    </row>
    <row r="215" spans="1:7" s="3193" customFormat="1" ht="14.25" customHeight="1">
      <c r="A215" s="3204" t="s">
        <v>304</v>
      </c>
      <c r="B215" s="3204" t="s">
        <v>3096</v>
      </c>
      <c r="C215" s="3204">
        <v>7950</v>
      </c>
      <c r="D215" s="3204">
        <v>7900</v>
      </c>
      <c r="E215" s="3204">
        <v>10560</v>
      </c>
      <c r="F215" s="3204">
        <v>1630</v>
      </c>
      <c r="G215" s="3217">
        <v>4990</v>
      </c>
    </row>
    <row r="216" spans="1:7" s="3193" customFormat="1" ht="14.25" customHeight="1">
      <c r="A216" s="3204" t="s">
        <v>304</v>
      </c>
      <c r="B216" s="3204" t="s">
        <v>3097</v>
      </c>
      <c r="C216" s="3204">
        <v>8490</v>
      </c>
      <c r="D216" s="3204">
        <v>8440</v>
      </c>
      <c r="E216" s="3204">
        <v>11260</v>
      </c>
      <c r="F216" s="3204">
        <v>1690</v>
      </c>
      <c r="G216" s="3217">
        <v>5330</v>
      </c>
    </row>
    <row r="217" spans="1:7" s="3193" customFormat="1" ht="14.25" customHeight="1">
      <c r="A217" s="3204" t="s">
        <v>304</v>
      </c>
      <c r="B217" s="3204" t="s">
        <v>2962</v>
      </c>
      <c r="C217" s="3204">
        <v>8200</v>
      </c>
      <c r="D217" s="3204">
        <v>8150</v>
      </c>
      <c r="E217" s="3204">
        <v>10910</v>
      </c>
      <c r="F217" s="3204">
        <v>1670</v>
      </c>
      <c r="G217" s="3217">
        <v>5150</v>
      </c>
    </row>
    <row r="218" spans="1:7" s="3193" customFormat="1" ht="14.25" customHeight="1">
      <c r="A218" s="3204" t="s">
        <v>304</v>
      </c>
      <c r="B218" s="3204" t="s">
        <v>3098</v>
      </c>
      <c r="C218" s="3204"/>
      <c r="D218" s="3204"/>
      <c r="E218" s="3204"/>
      <c r="F218" s="3204">
        <v>2040</v>
      </c>
      <c r="G218" s="3217"/>
    </row>
    <row r="219" spans="1:7" s="3193" customFormat="1" ht="14.25" customHeight="1">
      <c r="A219" s="3204" t="s">
        <v>304</v>
      </c>
      <c r="B219" s="3204" t="s">
        <v>3099</v>
      </c>
      <c r="C219" s="3204"/>
      <c r="D219" s="3204"/>
      <c r="E219" s="3204"/>
      <c r="F219" s="3204">
        <v>2040</v>
      </c>
      <c r="G219" s="3217"/>
    </row>
    <row r="220" spans="1:7" s="3193" customFormat="1" ht="14.25" customHeight="1">
      <c r="A220" s="3204" t="s">
        <v>304</v>
      </c>
      <c r="B220" s="3204" t="s">
        <v>3100</v>
      </c>
      <c r="C220" s="3204"/>
      <c r="D220" s="3204"/>
      <c r="E220" s="3204"/>
      <c r="F220" s="3204">
        <v>2040</v>
      </c>
      <c r="G220" s="3217"/>
    </row>
    <row r="221" spans="1:7" s="3193" customFormat="1" ht="14.25" customHeight="1">
      <c r="A221" s="3204" t="s">
        <v>304</v>
      </c>
      <c r="B221" s="3204" t="s">
        <v>3101</v>
      </c>
      <c r="C221" s="3204"/>
      <c r="D221" s="3204"/>
      <c r="E221" s="3204"/>
      <c r="F221" s="3204">
        <v>2040</v>
      </c>
      <c r="G221" s="3217"/>
    </row>
    <row r="222" spans="1:7" s="3193" customFormat="1" ht="14.25" customHeight="1">
      <c r="A222" s="3204" t="s">
        <v>304</v>
      </c>
      <c r="B222" s="3204" t="s">
        <v>3102</v>
      </c>
      <c r="C222" s="3204"/>
      <c r="D222" s="3204"/>
      <c r="E222" s="3204"/>
      <c r="F222" s="3204">
        <v>2040</v>
      </c>
      <c r="G222" s="3217"/>
    </row>
    <row r="223" spans="1:7" s="3193" customFormat="1" ht="14.25" customHeight="1">
      <c r="A223" s="3204" t="s">
        <v>304</v>
      </c>
      <c r="B223" s="3204" t="s">
        <v>3103</v>
      </c>
      <c r="C223" s="3204"/>
      <c r="D223" s="3204"/>
      <c r="E223" s="3204"/>
      <c r="F223" s="3204">
        <v>1930</v>
      </c>
      <c r="G223" s="3217"/>
    </row>
    <row r="224" spans="1:7" s="3193" customFormat="1" ht="14.25" customHeight="1">
      <c r="A224" s="3204" t="s">
        <v>304</v>
      </c>
      <c r="B224" s="3204" t="s">
        <v>3104</v>
      </c>
      <c r="C224" s="3204"/>
      <c r="D224" s="3204"/>
      <c r="E224" s="3204"/>
      <c r="F224" s="3204">
        <v>1930</v>
      </c>
      <c r="G224" s="3217"/>
    </row>
    <row r="225" spans="1:7" s="3193" customFormat="1" ht="14.25" customHeight="1">
      <c r="A225" s="3204" t="s">
        <v>304</v>
      </c>
      <c r="B225" s="3204" t="s">
        <v>3105</v>
      </c>
      <c r="C225" s="3204"/>
      <c r="D225" s="3204"/>
      <c r="E225" s="3204"/>
      <c r="F225" s="3204">
        <v>1930</v>
      </c>
      <c r="G225" s="3217"/>
    </row>
    <row r="226" spans="1:7" s="3193" customFormat="1" ht="14.25" customHeight="1">
      <c r="A226" s="3204" t="s">
        <v>304</v>
      </c>
      <c r="B226" s="3204" t="s">
        <v>3106</v>
      </c>
      <c r="C226" s="3204"/>
      <c r="D226" s="3204"/>
      <c r="E226" s="3204"/>
      <c r="F226" s="3204">
        <v>1700</v>
      </c>
      <c r="G226" s="3217"/>
    </row>
    <row r="227" spans="1:7" s="3193" customFormat="1" ht="14.25" customHeight="1">
      <c r="A227" s="3204" t="s">
        <v>304</v>
      </c>
      <c r="B227" s="3204" t="s">
        <v>3107</v>
      </c>
      <c r="C227" s="3204"/>
      <c r="D227" s="3204"/>
      <c r="E227" s="3204"/>
      <c r="F227" s="3204">
        <v>1520</v>
      </c>
      <c r="G227" s="3217"/>
    </row>
    <row r="228" spans="1:7" s="3193" customFormat="1" ht="14.25" customHeight="1">
      <c r="A228" s="3204" t="s">
        <v>304</v>
      </c>
      <c r="B228" s="3204" t="s">
        <v>3108</v>
      </c>
      <c r="C228" s="3204"/>
      <c r="D228" s="3204"/>
      <c r="E228" s="3204"/>
      <c r="F228" s="3204">
        <v>1520</v>
      </c>
      <c r="G228" s="3217"/>
    </row>
    <row r="229" spans="1:7" s="3193" customFormat="1" ht="14.25" customHeight="1">
      <c r="A229" s="3204" t="s">
        <v>304</v>
      </c>
      <c r="B229" s="3204" t="s">
        <v>3025</v>
      </c>
      <c r="C229" s="3204"/>
      <c r="D229" s="3204"/>
      <c r="E229" s="3204"/>
      <c r="F229" s="3204">
        <v>1520</v>
      </c>
      <c r="G229" s="3217"/>
    </row>
    <row r="230" spans="1:7" s="3193" customFormat="1" ht="14.25" customHeight="1">
      <c r="A230" s="3204" t="s">
        <v>304</v>
      </c>
      <c r="B230" s="3204" t="s">
        <v>3109</v>
      </c>
      <c r="C230" s="3204"/>
      <c r="D230" s="3204"/>
      <c r="E230" s="3204"/>
      <c r="F230" s="3204">
        <v>1820</v>
      </c>
      <c r="G230" s="3217"/>
    </row>
    <row r="231" spans="1:7" s="3193" customFormat="1" ht="14.25" customHeight="1">
      <c r="A231" s="3204" t="s">
        <v>304</v>
      </c>
      <c r="B231" s="3204" t="s">
        <v>3110</v>
      </c>
      <c r="C231" s="3204"/>
      <c r="D231" s="3204"/>
      <c r="E231" s="3204"/>
      <c r="F231" s="3204">
        <v>1760</v>
      </c>
      <c r="G231" s="3217"/>
    </row>
    <row r="232" spans="1:7" s="3193" customFormat="1" ht="14.25" customHeight="1">
      <c r="A232" s="3204" t="s">
        <v>304</v>
      </c>
      <c r="B232" s="3204" t="s">
        <v>3111</v>
      </c>
      <c r="C232" s="3204"/>
      <c r="D232" s="3204"/>
      <c r="E232" s="3204"/>
      <c r="F232" s="3204">
        <v>1840</v>
      </c>
      <c r="G232" s="3217"/>
    </row>
    <row r="233" spans="1:7" s="3193" customFormat="1" ht="14.25" customHeight="1" thickBot="1">
      <c r="A233" s="3218" t="s">
        <v>304</v>
      </c>
      <c r="B233" s="3211" t="s">
        <v>3042</v>
      </c>
      <c r="C233" s="3211"/>
      <c r="D233" s="3211"/>
      <c r="E233" s="3211"/>
      <c r="F233" s="3211">
        <v>1770</v>
      </c>
      <c r="G233" s="3219"/>
    </row>
    <row r="234" spans="1:7" s="3193" customFormat="1" ht="14.25" customHeight="1">
      <c r="A234" s="3209" t="s">
        <v>305</v>
      </c>
      <c r="B234" s="3200" t="s">
        <v>3112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2883</v>
      </c>
      <c r="C238" s="3204">
        <v>6920</v>
      </c>
      <c r="D238" s="3204">
        <v>6890</v>
      </c>
      <c r="E238" s="3204">
        <v>8640</v>
      </c>
      <c r="F238" s="3204">
        <v>1310</v>
      </c>
      <c r="G238" s="3204">
        <v>4230</v>
      </c>
    </row>
    <row r="239" spans="1:7" s="3193" customFormat="1" ht="14.25" customHeight="1">
      <c r="A239" s="3204" t="s">
        <v>305</v>
      </c>
      <c r="B239" s="3204" t="s">
        <v>3113</v>
      </c>
      <c r="C239" s="3204">
        <v>6780</v>
      </c>
      <c r="D239" s="3204">
        <v>6750</v>
      </c>
      <c r="E239" s="3204">
        <v>8440</v>
      </c>
      <c r="F239" s="3204">
        <v>1160</v>
      </c>
      <c r="G239" s="3204">
        <v>4140</v>
      </c>
    </row>
    <row r="240" spans="1:7" s="3193" customFormat="1" ht="14.25" customHeight="1">
      <c r="A240" s="3204" t="s">
        <v>305</v>
      </c>
      <c r="B240" s="3204" t="s">
        <v>3114</v>
      </c>
      <c r="C240" s="3204">
        <v>5420</v>
      </c>
      <c r="D240" s="3204">
        <v>5380</v>
      </c>
      <c r="E240" s="3204">
        <v>6640</v>
      </c>
      <c r="F240" s="3204">
        <v>1020</v>
      </c>
      <c r="G240" s="3204">
        <v>3300</v>
      </c>
    </row>
    <row r="241" spans="1:7" s="3193" customFormat="1" ht="14.25" customHeight="1">
      <c r="A241" s="3204" t="s">
        <v>305</v>
      </c>
      <c r="B241" s="3204" t="s">
        <v>3115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3116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3117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3118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3119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3120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2945</v>
      </c>
      <c r="C258" s="3204">
        <v>6190</v>
      </c>
      <c r="D258" s="3204">
        <v>6160</v>
      </c>
      <c r="E258" s="3204">
        <v>7680</v>
      </c>
      <c r="F258" s="3204">
        <v>1170</v>
      </c>
      <c r="G258" s="3204">
        <v>3780</v>
      </c>
    </row>
    <row r="259" spans="1:7" s="3193" customFormat="1" ht="14.25" customHeight="1">
      <c r="A259" s="3204" t="s">
        <v>305</v>
      </c>
      <c r="B259" s="3204" t="s">
        <v>3121</v>
      </c>
      <c r="C259" s="3204">
        <v>7610</v>
      </c>
      <c r="D259" s="3204">
        <v>7570</v>
      </c>
      <c r="E259" s="3204">
        <v>9350</v>
      </c>
      <c r="F259" s="3204">
        <v>1350</v>
      </c>
      <c r="G259" s="3204">
        <v>4650</v>
      </c>
    </row>
    <row r="260" spans="1:7" s="3193" customFormat="1" ht="14.25" customHeight="1">
      <c r="A260" s="3204" t="s">
        <v>305</v>
      </c>
      <c r="B260" s="3204" t="s">
        <v>3122</v>
      </c>
      <c r="C260" s="3204">
        <v>6920</v>
      </c>
      <c r="D260" s="3204">
        <v>6880</v>
      </c>
      <c r="E260" s="3204">
        <v>8380</v>
      </c>
      <c r="F260" s="3204">
        <v>1160</v>
      </c>
      <c r="G260" s="3204">
        <v>4220</v>
      </c>
    </row>
    <row r="261" spans="1:7" s="3193" customFormat="1" ht="14.25" customHeight="1">
      <c r="A261" s="3204" t="s">
        <v>305</v>
      </c>
      <c r="B261" s="3204" t="s">
        <v>3123</v>
      </c>
      <c r="C261" s="3204">
        <v>6850</v>
      </c>
      <c r="D261" s="3204">
        <v>6810</v>
      </c>
      <c r="E261" s="3204">
        <v>8290</v>
      </c>
      <c r="F261" s="3204">
        <v>1130</v>
      </c>
      <c r="G261" s="3204">
        <v>4180</v>
      </c>
    </row>
    <row r="262" spans="1:7" s="3193" customFormat="1" ht="14.25" customHeight="1">
      <c r="A262" s="3204" t="s">
        <v>305</v>
      </c>
      <c r="B262" s="3204" t="s">
        <v>3124</v>
      </c>
      <c r="C262" s="3204">
        <v>5860</v>
      </c>
      <c r="D262" s="3204">
        <v>5820</v>
      </c>
      <c r="E262" s="3204">
        <v>7640</v>
      </c>
      <c r="F262" s="3204">
        <v>1070</v>
      </c>
      <c r="G262" s="3204">
        <v>3570</v>
      </c>
    </row>
    <row r="263" spans="1:7" s="3193" customFormat="1" ht="14.25" customHeight="1">
      <c r="A263" s="3204" t="s">
        <v>305</v>
      </c>
      <c r="B263" s="3204" t="s">
        <v>3125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3126</v>
      </c>
      <c r="C265" s="3204"/>
      <c r="D265" s="3204"/>
      <c r="E265" s="3204"/>
      <c r="F265" s="3204">
        <v>1500</v>
      </c>
      <c r="G265" s="3204"/>
    </row>
    <row r="266" spans="1:7" s="3193" customFormat="1" ht="14.25" customHeight="1">
      <c r="A266" s="3204" t="s">
        <v>305</v>
      </c>
      <c r="B266" s="3204" t="s">
        <v>3127</v>
      </c>
      <c r="C266" s="3204"/>
      <c r="D266" s="3204"/>
      <c r="E266" s="3204"/>
      <c r="F266" s="3204">
        <v>1500</v>
      </c>
      <c r="G266" s="3204"/>
    </row>
    <row r="267" spans="1:7" s="3193" customFormat="1" ht="14.25" customHeight="1">
      <c r="A267" s="3204" t="s">
        <v>305</v>
      </c>
      <c r="B267" s="3204" t="s">
        <v>3128</v>
      </c>
      <c r="C267" s="3204"/>
      <c r="D267" s="3204"/>
      <c r="E267" s="3204"/>
      <c r="F267" s="3204">
        <v>1500</v>
      </c>
      <c r="G267" s="3204"/>
    </row>
    <row r="268" spans="1:7" s="3193" customFormat="1" ht="14.25" customHeight="1">
      <c r="A268" s="3204" t="s">
        <v>305</v>
      </c>
      <c r="B268" s="3204" t="s">
        <v>3129</v>
      </c>
      <c r="C268" s="3204"/>
      <c r="D268" s="3204"/>
      <c r="E268" s="3204"/>
      <c r="F268" s="3204">
        <v>1290</v>
      </c>
      <c r="G268" s="3204"/>
    </row>
    <row r="269" spans="1:7" s="3193" customFormat="1" ht="14.25" customHeight="1">
      <c r="A269" s="3204" t="s">
        <v>305</v>
      </c>
      <c r="B269" s="3204" t="s">
        <v>3130</v>
      </c>
      <c r="C269" s="3204"/>
      <c r="D269" s="3204"/>
      <c r="E269" s="3204"/>
      <c r="F269" s="3204">
        <v>1150</v>
      </c>
      <c r="G269" s="3204"/>
    </row>
    <row r="270" spans="1:7" s="3193" customFormat="1" ht="14.25" customHeight="1">
      <c r="A270" s="3204" t="s">
        <v>305</v>
      </c>
      <c r="B270" s="3204" t="s">
        <v>3131</v>
      </c>
      <c r="C270" s="3204"/>
      <c r="D270" s="3204"/>
      <c r="E270" s="3204"/>
      <c r="F270" s="3204">
        <v>1380</v>
      </c>
      <c r="G270" s="3204"/>
    </row>
    <row r="271" spans="1:7" s="3193" customFormat="1" ht="14.25" customHeight="1">
      <c r="A271" s="3204" t="s">
        <v>305</v>
      </c>
      <c r="B271" s="3204" t="s">
        <v>3132</v>
      </c>
      <c r="C271" s="3204"/>
      <c r="D271" s="3204"/>
      <c r="E271" s="3204"/>
      <c r="F271" s="3204">
        <v>1460</v>
      </c>
      <c r="G271" s="3204"/>
    </row>
    <row r="272" spans="1:7" s="3193" customFormat="1" ht="14.25" customHeight="1">
      <c r="A272" s="3204" t="s">
        <v>305</v>
      </c>
      <c r="B272" s="3204" t="s">
        <v>3133</v>
      </c>
      <c r="C272" s="3204"/>
      <c r="D272" s="3204"/>
      <c r="E272" s="3204"/>
      <c r="F272" s="3204">
        <v>1460</v>
      </c>
      <c r="G272" s="3204"/>
    </row>
    <row r="273" spans="1:7" s="3193" customFormat="1" ht="14.25" customHeight="1">
      <c r="A273" s="3204" t="s">
        <v>305</v>
      </c>
      <c r="B273" s="3204" t="s">
        <v>3026</v>
      </c>
      <c r="C273" s="3204"/>
      <c r="D273" s="3204"/>
      <c r="E273" s="3204"/>
      <c r="F273" s="3204">
        <v>1490</v>
      </c>
      <c r="G273" s="3204"/>
    </row>
    <row r="274" spans="1:7" s="3193" customFormat="1" ht="14.25" customHeight="1">
      <c r="A274" s="3204" t="s">
        <v>305</v>
      </c>
      <c r="B274" s="3204" t="s">
        <v>3134</v>
      </c>
      <c r="C274" s="3204"/>
      <c r="D274" s="3204"/>
      <c r="E274" s="3204"/>
      <c r="F274" s="3204">
        <v>1490</v>
      </c>
      <c r="G274" s="3204"/>
    </row>
    <row r="275" spans="1:7" s="3193" customFormat="1" ht="14.25" customHeight="1">
      <c r="A275" s="3204" t="s">
        <v>305</v>
      </c>
      <c r="B275" s="3204" t="s">
        <v>3135</v>
      </c>
      <c r="C275" s="3204"/>
      <c r="D275" s="3204"/>
      <c r="E275" s="3204"/>
      <c r="F275" s="3204">
        <v>1220</v>
      </c>
      <c r="G275" s="3204"/>
    </row>
    <row r="276" spans="1:7" s="3193" customFormat="1" ht="14.25" customHeight="1" thickBot="1">
      <c r="A276" s="3212" t="s">
        <v>305</v>
      </c>
      <c r="B276" s="3214" t="s">
        <v>3136</v>
      </c>
      <c r="C276" s="3215"/>
      <c r="D276" s="3215"/>
      <c r="E276" s="3215"/>
      <c r="F276" s="3215">
        <v>1380</v>
      </c>
      <c r="G276" s="3215"/>
    </row>
    <row r="277" spans="1:7" s="3193" customFormat="1" ht="14.25" customHeight="1">
      <c r="A277" s="3209" t="s">
        <v>306</v>
      </c>
      <c r="B277" s="3200" t="s">
        <v>3137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3138</v>
      </c>
      <c r="C279" s="3204">
        <v>4760</v>
      </c>
      <c r="D279" s="3204">
        <v>4720</v>
      </c>
      <c r="E279" s="3204">
        <v>5540</v>
      </c>
      <c r="F279" s="3204">
        <v>810</v>
      </c>
      <c r="G279" s="3217">
        <v>2850</v>
      </c>
    </row>
    <row r="280" spans="1:7" s="3193" customFormat="1" ht="14.25" customHeight="1">
      <c r="A280" s="3204" t="s">
        <v>306</v>
      </c>
      <c r="B280" s="3204" t="s">
        <v>3139</v>
      </c>
      <c r="C280" s="3204">
        <v>4010</v>
      </c>
      <c r="D280" s="3204">
        <v>3950</v>
      </c>
      <c r="E280" s="3204">
        <v>4710</v>
      </c>
      <c r="F280" s="3204">
        <v>800</v>
      </c>
      <c r="G280" s="3217">
        <v>2390</v>
      </c>
    </row>
    <row r="281" spans="1:7" s="3193" customFormat="1" ht="14.25" customHeight="1">
      <c r="A281" s="3204" t="s">
        <v>306</v>
      </c>
      <c r="B281" s="3204" t="s">
        <v>3140</v>
      </c>
      <c r="C281" s="3204">
        <v>4480</v>
      </c>
      <c r="D281" s="3204">
        <v>4420</v>
      </c>
      <c r="E281" s="3204">
        <v>5230</v>
      </c>
      <c r="F281" s="3204">
        <v>870</v>
      </c>
      <c r="G281" s="3217">
        <v>2660</v>
      </c>
    </row>
    <row r="282" spans="1:7" s="3193" customFormat="1" ht="14.25" customHeight="1">
      <c r="A282" s="3204" t="s">
        <v>306</v>
      </c>
      <c r="B282" s="3204" t="s">
        <v>3141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3142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3143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2918</v>
      </c>
      <c r="C293" s="3204">
        <v>5320</v>
      </c>
      <c r="D293" s="3204">
        <v>5270</v>
      </c>
      <c r="E293" s="3204">
        <v>6160</v>
      </c>
      <c r="F293" s="3204">
        <v>990</v>
      </c>
      <c r="G293" s="3217">
        <v>3170</v>
      </c>
    </row>
    <row r="294" spans="1:7" s="3193" customFormat="1" ht="14.25" customHeight="1">
      <c r="A294" s="3204" t="s">
        <v>306</v>
      </c>
      <c r="B294" s="3204" t="s">
        <v>3144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2937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3145</v>
      </c>
      <c r="C302" s="3204">
        <v>5520</v>
      </c>
      <c r="D302" s="3204">
        <v>5470</v>
      </c>
      <c r="E302" s="3204">
        <v>6410</v>
      </c>
      <c r="F302" s="3204">
        <v>950</v>
      </c>
      <c r="G302" s="3217">
        <v>3300</v>
      </c>
    </row>
    <row r="303" spans="1:7" s="3193" customFormat="1" ht="14.25" customHeight="1">
      <c r="A303" s="3204" t="s">
        <v>306</v>
      </c>
      <c r="B303" s="3204" t="s">
        <v>2957</v>
      </c>
      <c r="C303" s="3204">
        <v>5630</v>
      </c>
      <c r="D303" s="3204">
        <v>5590</v>
      </c>
      <c r="E303" s="3204">
        <v>6550</v>
      </c>
      <c r="F303" s="3204">
        <v>1010</v>
      </c>
      <c r="G303" s="3217">
        <v>3370</v>
      </c>
    </row>
    <row r="304" spans="1:7" s="3193" customFormat="1" ht="14.25" customHeight="1">
      <c r="A304" s="3204" t="s">
        <v>306</v>
      </c>
      <c r="B304" s="3204" t="s">
        <v>2964</v>
      </c>
      <c r="C304" s="3204">
        <v>5680</v>
      </c>
      <c r="D304" s="3204">
        <v>5620</v>
      </c>
      <c r="E304" s="3204">
        <v>6620</v>
      </c>
      <c r="F304" s="3204">
        <v>1050</v>
      </c>
      <c r="G304" s="3217">
        <v>3390</v>
      </c>
    </row>
    <row r="305" spans="1:7" s="3193" customFormat="1" ht="14.25" customHeight="1">
      <c r="A305" s="3204" t="s">
        <v>306</v>
      </c>
      <c r="B305" s="3204" t="s">
        <v>2970</v>
      </c>
      <c r="C305" s="3204">
        <v>5590</v>
      </c>
      <c r="D305" s="3204">
        <v>5530</v>
      </c>
      <c r="E305" s="3204">
        <v>6460</v>
      </c>
      <c r="F305" s="3204">
        <v>900</v>
      </c>
      <c r="G305" s="3217">
        <v>3340</v>
      </c>
    </row>
    <row r="306" spans="1:7" s="3193" customFormat="1" ht="14.25" customHeight="1">
      <c r="A306" s="3204" t="s">
        <v>306</v>
      </c>
      <c r="B306" s="3204" t="s">
        <v>3146</v>
      </c>
      <c r="C306" s="3204">
        <v>5560</v>
      </c>
      <c r="D306" s="3204">
        <v>5510</v>
      </c>
      <c r="E306" s="3204">
        <v>6440</v>
      </c>
      <c r="F306" s="3204">
        <v>900</v>
      </c>
      <c r="G306" s="3217">
        <v>3320</v>
      </c>
    </row>
    <row r="307" spans="1:7" s="3193" customFormat="1" ht="14.25" customHeight="1">
      <c r="A307" s="3204" t="s">
        <v>306</v>
      </c>
      <c r="B307" s="3204" t="s">
        <v>2982</v>
      </c>
      <c r="C307" s="3204">
        <v>5650</v>
      </c>
      <c r="D307" s="3204">
        <v>5600</v>
      </c>
      <c r="E307" s="3204">
        <v>6590</v>
      </c>
      <c r="F307" s="3204">
        <v>930</v>
      </c>
      <c r="G307" s="3217">
        <v>3380</v>
      </c>
    </row>
    <row r="308" spans="1:7" s="3193" customFormat="1" ht="14.25" customHeight="1">
      <c r="A308" s="3204" t="s">
        <v>306</v>
      </c>
      <c r="B308" s="3204" t="s">
        <v>3147</v>
      </c>
      <c r="C308" s="3204">
        <v>5620</v>
      </c>
      <c r="D308" s="3204">
        <v>5580</v>
      </c>
      <c r="E308" s="3204">
        <v>6540</v>
      </c>
      <c r="F308" s="3204">
        <v>910</v>
      </c>
      <c r="G308" s="3217">
        <v>3370</v>
      </c>
    </row>
    <row r="309" spans="1:7" s="3193" customFormat="1" ht="14.25" customHeight="1">
      <c r="A309" s="3204" t="s">
        <v>306</v>
      </c>
      <c r="B309" s="3204" t="s">
        <v>3148</v>
      </c>
      <c r="C309" s="3204">
        <v>5060</v>
      </c>
      <c r="D309" s="3204">
        <v>5020</v>
      </c>
      <c r="E309" s="3204">
        <v>6370</v>
      </c>
      <c r="F309" s="3204">
        <v>800</v>
      </c>
      <c r="G309" s="3217">
        <v>3020</v>
      </c>
    </row>
    <row r="310" spans="1:7" s="3193" customFormat="1" ht="14.25" customHeight="1">
      <c r="A310" s="3204" t="s">
        <v>306</v>
      </c>
      <c r="B310" s="3204" t="s">
        <v>2997</v>
      </c>
      <c r="C310" s="3204">
        <v>5150</v>
      </c>
      <c r="D310" s="3204">
        <v>5110</v>
      </c>
      <c r="E310" s="3204">
        <v>6500</v>
      </c>
      <c r="F310" s="3204">
        <v>880</v>
      </c>
      <c r="G310" s="3217">
        <v>3080</v>
      </c>
    </row>
    <row r="311" spans="1:7" s="3193" customFormat="1" ht="14.25" customHeight="1">
      <c r="A311" s="3204" t="s">
        <v>306</v>
      </c>
      <c r="B311" s="3204" t="s">
        <v>3149</v>
      </c>
      <c r="C311" s="3204">
        <v>4750</v>
      </c>
      <c r="D311" s="3204">
        <v>4710</v>
      </c>
      <c r="E311" s="3204">
        <v>5510</v>
      </c>
      <c r="F311" s="3204">
        <v>880</v>
      </c>
      <c r="G311" s="3217">
        <v>2840</v>
      </c>
    </row>
    <row r="312" spans="1:7" s="3193" customFormat="1" ht="14.25" customHeight="1">
      <c r="A312" s="3204" t="s">
        <v>306</v>
      </c>
      <c r="B312" s="3204" t="s">
        <v>3007</v>
      </c>
      <c r="C312" s="3204">
        <v>4690</v>
      </c>
      <c r="D312" s="3204">
        <v>4640</v>
      </c>
      <c r="E312" s="3204">
        <v>5420</v>
      </c>
      <c r="F312" s="3204">
        <v>800</v>
      </c>
      <c r="G312" s="3217">
        <v>2800</v>
      </c>
    </row>
    <row r="313" spans="1:7" s="3193" customFormat="1" ht="14.25" customHeight="1">
      <c r="A313" s="3204" t="s">
        <v>306</v>
      </c>
      <c r="B313" s="3204" t="s">
        <v>3012</v>
      </c>
      <c r="C313" s="3204">
        <v>4810</v>
      </c>
      <c r="D313" s="3204">
        <v>4760</v>
      </c>
      <c r="E313" s="3204">
        <v>5550</v>
      </c>
      <c r="F313" s="3204">
        <v>920</v>
      </c>
      <c r="G313" s="3217">
        <v>2870</v>
      </c>
    </row>
    <row r="314" spans="1:7" s="3193" customFormat="1" ht="14.25" customHeight="1">
      <c r="A314" s="3204" t="s">
        <v>306</v>
      </c>
      <c r="B314" s="3204" t="s">
        <v>3150</v>
      </c>
      <c r="C314" s="3204"/>
      <c r="D314" s="3204"/>
      <c r="E314" s="3204"/>
      <c r="F314" s="3204">
        <v>1020</v>
      </c>
      <c r="G314" s="3217"/>
    </row>
    <row r="315" spans="1:7" s="3193" customFormat="1" ht="14.25" customHeight="1">
      <c r="A315" s="3204" t="s">
        <v>306</v>
      </c>
      <c r="B315" s="3204" t="s">
        <v>3151</v>
      </c>
      <c r="C315" s="3204"/>
      <c r="D315" s="3204"/>
      <c r="E315" s="3204"/>
      <c r="F315" s="3204">
        <v>1050</v>
      </c>
      <c r="G315" s="3217"/>
    </row>
    <row r="316" spans="1:7" s="3193" customFormat="1" ht="14.25" customHeight="1">
      <c r="A316" s="3204" t="s">
        <v>306</v>
      </c>
      <c r="B316" s="3204" t="s">
        <v>3027</v>
      </c>
      <c r="C316" s="3204"/>
      <c r="D316" s="3204"/>
      <c r="E316" s="3204"/>
      <c r="F316" s="3204">
        <v>900</v>
      </c>
      <c r="G316" s="3217"/>
    </row>
    <row r="317" spans="1:7" s="3193" customFormat="1" ht="14.25" customHeight="1">
      <c r="A317" s="3204" t="s">
        <v>306</v>
      </c>
      <c r="B317" s="3204" t="s">
        <v>3152</v>
      </c>
      <c r="C317" s="3204"/>
      <c r="D317" s="3204"/>
      <c r="E317" s="3204"/>
      <c r="F317" s="3204">
        <v>920</v>
      </c>
      <c r="G317" s="3217"/>
    </row>
    <row r="318" spans="1:7" s="3193" customFormat="1" ht="14.25" customHeight="1">
      <c r="A318" s="3204" t="s">
        <v>306</v>
      </c>
      <c r="B318" s="3204" t="s">
        <v>3153</v>
      </c>
      <c r="C318" s="3204"/>
      <c r="D318" s="3204"/>
      <c r="E318" s="3204"/>
      <c r="F318" s="3204">
        <v>1080</v>
      </c>
      <c r="G318" s="3217"/>
    </row>
    <row r="319" spans="1:7" s="3193" customFormat="1" ht="14.25" customHeight="1">
      <c r="A319" s="3204" t="s">
        <v>306</v>
      </c>
      <c r="B319" s="3204" t="s">
        <v>3040</v>
      </c>
      <c r="C319" s="3204"/>
      <c r="D319" s="3204"/>
      <c r="E319" s="3204"/>
      <c r="F319" s="3204">
        <v>1020</v>
      </c>
      <c r="G319" s="3217"/>
    </row>
    <row r="320" spans="1:7" s="3193" customFormat="1" ht="14.25" customHeight="1">
      <c r="A320" s="3204" t="s">
        <v>306</v>
      </c>
      <c r="B320" s="3204" t="s">
        <v>3043</v>
      </c>
      <c r="C320" s="3204"/>
      <c r="D320" s="3204"/>
      <c r="E320" s="3204"/>
      <c r="F320" s="3204">
        <v>1050</v>
      </c>
      <c r="G320" s="3217"/>
    </row>
    <row r="321" spans="1:7" s="3193" customFormat="1" ht="14.25" customHeight="1">
      <c r="A321" s="3204" t="s">
        <v>306</v>
      </c>
      <c r="B321" s="3204" t="s">
        <v>3045</v>
      </c>
      <c r="C321" s="3204"/>
      <c r="D321" s="3204"/>
      <c r="E321" s="3204"/>
      <c r="F321" s="3204">
        <v>960</v>
      </c>
      <c r="G321" s="3217"/>
    </row>
    <row r="322" spans="1:7" s="3193" customFormat="1" ht="14.25" customHeight="1">
      <c r="A322" s="3204" t="s">
        <v>306</v>
      </c>
      <c r="B322" s="3204" t="s">
        <v>3047</v>
      </c>
      <c r="C322" s="3204"/>
      <c r="D322" s="3204"/>
      <c r="E322" s="3204"/>
      <c r="F322" s="3204">
        <v>960</v>
      </c>
      <c r="G322" s="3217"/>
    </row>
    <row r="323" spans="1:7" s="3193" customFormat="1" ht="14.25" customHeight="1">
      <c r="A323" s="3204" t="s">
        <v>306</v>
      </c>
      <c r="B323" s="3204" t="s">
        <v>3049</v>
      </c>
      <c r="C323" s="3204"/>
      <c r="D323" s="3204"/>
      <c r="E323" s="3204"/>
      <c r="F323" s="3204">
        <v>880</v>
      </c>
      <c r="G323" s="3217"/>
    </row>
    <row r="324" spans="1:7" s="3193" customFormat="1" ht="14.25" customHeight="1">
      <c r="A324" s="3204" t="s">
        <v>306</v>
      </c>
      <c r="B324" s="3204" t="s">
        <v>3051</v>
      </c>
      <c r="C324" s="3204"/>
      <c r="D324" s="3204"/>
      <c r="E324" s="3204"/>
      <c r="F324" s="3204">
        <v>930</v>
      </c>
      <c r="G324" s="3217"/>
    </row>
    <row r="325" spans="1:7" s="3193" customFormat="1" ht="14.25" customHeight="1">
      <c r="A325" s="3204" t="s">
        <v>306</v>
      </c>
      <c r="B325" s="3205" t="s">
        <v>3053</v>
      </c>
      <c r="C325" s="3204"/>
      <c r="D325" s="3204"/>
      <c r="E325" s="3204"/>
      <c r="F325" s="3204">
        <v>900</v>
      </c>
      <c r="G325" s="3217"/>
    </row>
    <row r="326" spans="1:7" s="3193" customFormat="1" ht="14.25" customHeight="1" thickBot="1">
      <c r="A326" s="3218" t="s">
        <v>306</v>
      </c>
      <c r="B326" s="3211" t="s">
        <v>3055</v>
      </c>
      <c r="C326" s="3211"/>
      <c r="D326" s="3211"/>
      <c r="E326" s="3211"/>
      <c r="F326" s="3211">
        <v>790</v>
      </c>
      <c r="G326" s="3219"/>
    </row>
    <row r="327" spans="1:7" s="3193" customFormat="1" ht="14.25" customHeight="1">
      <c r="A327" s="3209" t="s">
        <v>307</v>
      </c>
      <c r="B327" s="3200" t="s">
        <v>3154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3155</v>
      </c>
      <c r="C329" s="3204">
        <v>2730</v>
      </c>
      <c r="D329" s="3204">
        <v>2690</v>
      </c>
      <c r="E329" s="3204">
        <v>3100</v>
      </c>
      <c r="F329" s="3204">
        <v>660</v>
      </c>
      <c r="G329" s="3204">
        <v>1610</v>
      </c>
    </row>
    <row r="330" spans="1:7" s="3193" customFormat="1" ht="14.25" customHeight="1">
      <c r="A330" s="3204" t="s">
        <v>307</v>
      </c>
      <c r="B330" s="3204" t="s">
        <v>3156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2889</v>
      </c>
      <c r="C332" s="3204">
        <v>3520</v>
      </c>
      <c r="D332" s="3204">
        <v>3480</v>
      </c>
      <c r="E332" s="3204">
        <v>3830</v>
      </c>
      <c r="F332" s="3204">
        <v>720</v>
      </c>
      <c r="G332" s="3204">
        <v>2090</v>
      </c>
    </row>
    <row r="333" spans="1:7" s="3193" customFormat="1" ht="14.25" customHeight="1">
      <c r="A333" s="3204" t="s">
        <v>307</v>
      </c>
      <c r="B333" s="3204" t="s">
        <v>3157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2899</v>
      </c>
      <c r="C336" s="3204">
        <v>3570</v>
      </c>
      <c r="D336" s="3204">
        <v>3530</v>
      </c>
      <c r="E336" s="3204">
        <v>3880</v>
      </c>
      <c r="F336" s="3204">
        <v>770</v>
      </c>
      <c r="G336" s="3204">
        <v>2110</v>
      </c>
    </row>
    <row r="337" spans="1:10" s="3193" customFormat="1" ht="14.25" customHeight="1">
      <c r="A337" s="3204" t="s">
        <v>307</v>
      </c>
      <c r="B337" s="3204" t="s">
        <v>3158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3159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3160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2924</v>
      </c>
      <c r="C345" s="3204">
        <v>3190</v>
      </c>
      <c r="D345" s="3204">
        <v>3140</v>
      </c>
      <c r="E345" s="3204">
        <v>3450</v>
      </c>
      <c r="F345" s="3204">
        <v>720</v>
      </c>
      <c r="G345" s="3204">
        <v>1880</v>
      </c>
      <c r="J345" s="3193"/>
    </row>
    <row r="346" spans="1:10">
      <c r="A346" s="3204" t="s">
        <v>307</v>
      </c>
      <c r="B346" s="3204" t="s">
        <v>3161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2933</v>
      </c>
      <c r="C348" s="3204">
        <v>4000</v>
      </c>
      <c r="D348" s="3204">
        <v>3950</v>
      </c>
      <c r="E348" s="3204">
        <v>4430</v>
      </c>
      <c r="F348" s="3204">
        <v>760</v>
      </c>
      <c r="G348" s="3204">
        <v>2360</v>
      </c>
      <c r="J348" s="3193"/>
    </row>
    <row r="349" spans="1:10">
      <c r="A349" s="3204" t="s">
        <v>307</v>
      </c>
      <c r="B349" s="3204" t="s">
        <v>2938</v>
      </c>
      <c r="C349" s="3204">
        <v>3820</v>
      </c>
      <c r="D349" s="3204">
        <v>3780</v>
      </c>
      <c r="E349" s="3204">
        <v>4170</v>
      </c>
      <c r="F349" s="3204">
        <v>710</v>
      </c>
      <c r="G349" s="3204">
        <v>2260</v>
      </c>
      <c r="J349" s="3193"/>
    </row>
    <row r="350" spans="1:10">
      <c r="A350" s="3204" t="s">
        <v>307</v>
      </c>
      <c r="B350" s="3204" t="s">
        <v>3162</v>
      </c>
      <c r="C350" s="3204">
        <v>3760</v>
      </c>
      <c r="D350" s="3204">
        <v>3730</v>
      </c>
      <c r="E350" s="3204">
        <v>4100</v>
      </c>
      <c r="F350" s="3204">
        <v>800</v>
      </c>
      <c r="G350" s="3204">
        <v>2230</v>
      </c>
      <c r="J350" s="3193"/>
    </row>
    <row r="351" spans="1:10">
      <c r="A351" s="3204" t="s">
        <v>307</v>
      </c>
      <c r="B351" s="3204" t="s">
        <v>2946</v>
      </c>
      <c r="C351" s="3204">
        <v>3610</v>
      </c>
      <c r="D351" s="3204">
        <v>3580</v>
      </c>
      <c r="E351" s="3204">
        <v>3930</v>
      </c>
      <c r="F351" s="3204">
        <v>700</v>
      </c>
      <c r="G351" s="3204">
        <v>2140</v>
      </c>
      <c r="J351" s="3193"/>
    </row>
    <row r="352" spans="1:10">
      <c r="A352" s="3204" t="s">
        <v>307</v>
      </c>
      <c r="B352" s="3204" t="s">
        <v>2951</v>
      </c>
      <c r="C352" s="3204">
        <v>3670</v>
      </c>
      <c r="D352" s="3204">
        <v>3630</v>
      </c>
      <c r="E352" s="3204">
        <v>4000</v>
      </c>
      <c r="F352" s="3204">
        <v>750</v>
      </c>
      <c r="G352" s="3204">
        <v>2180</v>
      </c>
    </row>
    <row r="353" spans="1:7" s="3197" customFormat="1">
      <c r="A353" s="3204" t="s">
        <v>307</v>
      </c>
      <c r="B353" s="3204" t="s">
        <v>3163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2971</v>
      </c>
      <c r="C355" s="3204">
        <v>3650</v>
      </c>
      <c r="D355" s="3204">
        <v>3610</v>
      </c>
      <c r="E355" s="3204">
        <v>4200</v>
      </c>
      <c r="F355" s="3204">
        <v>640</v>
      </c>
      <c r="G355" s="3204">
        <v>2160</v>
      </c>
    </row>
    <row r="356" spans="1:7" s="3197" customFormat="1">
      <c r="A356" s="3204" t="s">
        <v>307</v>
      </c>
      <c r="B356" s="3204" t="s">
        <v>2978</v>
      </c>
      <c r="C356" s="3204">
        <v>3260</v>
      </c>
      <c r="D356" s="3204">
        <v>3230</v>
      </c>
      <c r="E356" s="3204">
        <v>3740</v>
      </c>
      <c r="F356" s="3204">
        <v>600</v>
      </c>
      <c r="G356" s="3204">
        <v>1930</v>
      </c>
    </row>
    <row r="357" spans="1:7" s="3197" customFormat="1" ht="11.4" thickBot="1">
      <c r="A357" s="3212" t="s">
        <v>307</v>
      </c>
      <c r="B357" s="3215" t="s">
        <v>3164</v>
      </c>
      <c r="C357" s="3215">
        <v>3690</v>
      </c>
      <c r="D357" s="3215">
        <v>3650</v>
      </c>
      <c r="E357" s="3215">
        <v>4020</v>
      </c>
      <c r="F357" s="3215">
        <v>700</v>
      </c>
      <c r="G357" s="3215">
        <v>2190</v>
      </c>
    </row>
    <row r="358" spans="1:7" s="3197" customFormat="1">
      <c r="A358" s="3209" t="s">
        <v>3165</v>
      </c>
      <c r="B358" s="3200" t="s">
        <v>3166</v>
      </c>
      <c r="C358" s="3200">
        <v>2080</v>
      </c>
      <c r="D358" s="3200">
        <v>2040</v>
      </c>
      <c r="E358" s="3200">
        <v>2010</v>
      </c>
      <c r="F358" s="3200">
        <v>530</v>
      </c>
      <c r="G358" s="3216">
        <v>1230</v>
      </c>
    </row>
    <row r="359" spans="1:7" s="3197" customFormat="1">
      <c r="A359" s="3204" t="s">
        <v>3165</v>
      </c>
      <c r="B359" s="3204" t="s">
        <v>3167</v>
      </c>
      <c r="C359" s="3204">
        <v>1850</v>
      </c>
      <c r="D359" s="3204">
        <v>1820</v>
      </c>
      <c r="E359" s="3204">
        <v>1780</v>
      </c>
      <c r="F359" s="3204">
        <v>520</v>
      </c>
      <c r="G359" s="3217">
        <v>1100</v>
      </c>
    </row>
    <row r="360" spans="1:7" s="3197" customFormat="1">
      <c r="A360" s="3204" t="s">
        <v>3165</v>
      </c>
      <c r="B360" s="3204" t="s">
        <v>3168</v>
      </c>
      <c r="C360" s="3204">
        <v>2020</v>
      </c>
      <c r="D360" s="3204">
        <v>1990</v>
      </c>
      <c r="E360" s="3204">
        <v>1950</v>
      </c>
      <c r="F360" s="3204">
        <v>500</v>
      </c>
      <c r="G360" s="3217">
        <v>1200</v>
      </c>
    </row>
    <row r="361" spans="1:7" s="3197" customFormat="1">
      <c r="A361" s="3204" t="s">
        <v>3165</v>
      </c>
      <c r="B361" s="3204" t="s">
        <v>153</v>
      </c>
      <c r="C361" s="3204">
        <v>2260</v>
      </c>
      <c r="D361" s="3204">
        <v>2220</v>
      </c>
      <c r="E361" s="3204">
        <v>2180</v>
      </c>
      <c r="F361" s="3204">
        <v>580</v>
      </c>
      <c r="G361" s="3217">
        <v>1340</v>
      </c>
    </row>
    <row r="362" spans="1:7" s="3197" customFormat="1">
      <c r="A362" s="3204" t="s">
        <v>3165</v>
      </c>
      <c r="B362" s="3204" t="s">
        <v>3169</v>
      </c>
      <c r="C362" s="3204">
        <v>2650</v>
      </c>
      <c r="D362" s="3204">
        <v>2610</v>
      </c>
      <c r="E362" s="3204">
        <v>2570</v>
      </c>
      <c r="F362" s="3204">
        <v>630</v>
      </c>
      <c r="G362" s="3217">
        <v>1570</v>
      </c>
    </row>
    <row r="363" spans="1:7" s="3197" customFormat="1">
      <c r="A363" s="3204" t="s">
        <v>3165</v>
      </c>
      <c r="B363" s="3204" t="s">
        <v>2890</v>
      </c>
      <c r="C363" s="3204">
        <v>2390</v>
      </c>
      <c r="D363" s="3204">
        <v>2360</v>
      </c>
      <c r="E363" s="3204">
        <v>2320</v>
      </c>
      <c r="F363" s="3204">
        <v>600</v>
      </c>
      <c r="G363" s="3217">
        <v>1420</v>
      </c>
    </row>
    <row r="364" spans="1:7" s="3197" customFormat="1">
      <c r="A364" s="3204" t="s">
        <v>3165</v>
      </c>
      <c r="B364" s="3204" t="s">
        <v>3170</v>
      </c>
      <c r="C364" s="3204">
        <v>2050</v>
      </c>
      <c r="D364" s="3204">
        <v>2030</v>
      </c>
      <c r="E364" s="3204">
        <v>1990</v>
      </c>
      <c r="F364" s="3204">
        <v>550</v>
      </c>
      <c r="G364" s="3217">
        <v>1220</v>
      </c>
    </row>
    <row r="365" spans="1:7" s="3197" customFormat="1">
      <c r="A365" s="3204" t="s">
        <v>3165</v>
      </c>
      <c r="B365" s="3204" t="s">
        <v>200</v>
      </c>
      <c r="C365" s="3204">
        <v>2140</v>
      </c>
      <c r="D365" s="3204">
        <v>2100</v>
      </c>
      <c r="E365" s="3204">
        <v>2060</v>
      </c>
      <c r="F365" s="3204">
        <v>540</v>
      </c>
      <c r="G365" s="3217">
        <v>1270</v>
      </c>
    </row>
    <row r="366" spans="1:7" s="3197" customFormat="1">
      <c r="A366" s="3204" t="s">
        <v>3165</v>
      </c>
      <c r="B366" s="3204" t="s">
        <v>2897</v>
      </c>
      <c r="C366" s="3204">
        <v>2410</v>
      </c>
      <c r="D366" s="3204">
        <v>2370</v>
      </c>
      <c r="E366" s="3204">
        <v>2330</v>
      </c>
      <c r="F366" s="3204">
        <v>570</v>
      </c>
      <c r="G366" s="3217">
        <v>1440</v>
      </c>
    </row>
    <row r="367" spans="1:7" s="3197" customFormat="1">
      <c r="A367" s="3204" t="s">
        <v>3165</v>
      </c>
      <c r="B367" s="3204" t="s">
        <v>3171</v>
      </c>
      <c r="C367" s="3204">
        <v>2300</v>
      </c>
      <c r="D367" s="3204">
        <v>2260</v>
      </c>
      <c r="E367" s="3204">
        <v>2220</v>
      </c>
      <c r="F367" s="3204">
        <v>560</v>
      </c>
      <c r="G367" s="3217">
        <v>1370</v>
      </c>
    </row>
    <row r="368" spans="1:7" s="3197" customFormat="1">
      <c r="A368" s="3204" t="s">
        <v>3165</v>
      </c>
      <c r="B368" s="3204" t="s">
        <v>3172</v>
      </c>
      <c r="C368" s="3204">
        <v>2430</v>
      </c>
      <c r="D368" s="3204">
        <v>2390</v>
      </c>
      <c r="E368" s="3204">
        <v>2350</v>
      </c>
      <c r="F368" s="3204">
        <v>570</v>
      </c>
      <c r="G368" s="3217">
        <v>1450</v>
      </c>
    </row>
    <row r="369" spans="1:7" s="3197" customFormat="1">
      <c r="A369" s="3204" t="s">
        <v>3165</v>
      </c>
      <c r="B369" s="3204" t="s">
        <v>214</v>
      </c>
      <c r="C369" s="3204">
        <v>2320</v>
      </c>
      <c r="D369" s="3204">
        <v>2290</v>
      </c>
      <c r="E369" s="3204">
        <v>2250</v>
      </c>
      <c r="F369" s="3204">
        <v>550</v>
      </c>
      <c r="G369" s="3217">
        <v>1380</v>
      </c>
    </row>
    <row r="370" spans="1:7" s="3197" customFormat="1">
      <c r="A370" s="3204" t="s">
        <v>3165</v>
      </c>
      <c r="B370" s="3204" t="s">
        <v>221</v>
      </c>
      <c r="C370" s="3204">
        <v>2190</v>
      </c>
      <c r="D370" s="3204">
        <v>2170</v>
      </c>
      <c r="E370" s="3204">
        <v>2130</v>
      </c>
      <c r="F370" s="3204">
        <v>530</v>
      </c>
      <c r="G370" s="3217">
        <v>1310</v>
      </c>
    </row>
    <row r="371" spans="1:7" s="3197" customFormat="1">
      <c r="A371" s="3204" t="s">
        <v>3165</v>
      </c>
      <c r="B371" s="3204" t="s">
        <v>229</v>
      </c>
      <c r="C371" s="3204">
        <v>2460</v>
      </c>
      <c r="D371" s="3204">
        <v>2420</v>
      </c>
      <c r="E371" s="3204">
        <v>2370</v>
      </c>
      <c r="F371" s="3204">
        <v>560</v>
      </c>
      <c r="G371" s="3217">
        <v>1470</v>
      </c>
    </row>
    <row r="372" spans="1:7" s="3197" customFormat="1">
      <c r="A372" s="3204" t="s">
        <v>3165</v>
      </c>
      <c r="B372" s="3204" t="s">
        <v>3173</v>
      </c>
      <c r="C372" s="3204">
        <v>2250</v>
      </c>
      <c r="D372" s="3204">
        <v>2210</v>
      </c>
      <c r="E372" s="3204">
        <v>2180</v>
      </c>
      <c r="F372" s="3204">
        <v>550</v>
      </c>
      <c r="G372" s="3217">
        <v>1340</v>
      </c>
    </row>
    <row r="373" spans="1:7" s="3197" customFormat="1">
      <c r="A373" s="3204" t="s">
        <v>3165</v>
      </c>
      <c r="B373" s="3204" t="s">
        <v>258</v>
      </c>
      <c r="C373" s="3204">
        <v>2210</v>
      </c>
      <c r="D373" s="3204">
        <v>2190</v>
      </c>
      <c r="E373" s="3204">
        <v>2150</v>
      </c>
      <c r="F373" s="3204">
        <v>530</v>
      </c>
      <c r="G373" s="3217">
        <v>1320</v>
      </c>
    </row>
    <row r="374" spans="1:7" s="3197" customFormat="1">
      <c r="A374" s="3204" t="s">
        <v>3165</v>
      </c>
      <c r="B374" s="3204" t="s">
        <v>266</v>
      </c>
      <c r="C374" s="3204">
        <v>2320</v>
      </c>
      <c r="D374" s="3204">
        <v>2280</v>
      </c>
      <c r="E374" s="3204">
        <v>2230</v>
      </c>
      <c r="F374" s="3204">
        <v>580</v>
      </c>
      <c r="G374" s="3217">
        <v>1380</v>
      </c>
    </row>
    <row r="375" spans="1:7" s="3197" customFormat="1">
      <c r="A375" s="3204" t="s">
        <v>3165</v>
      </c>
      <c r="B375" s="3204" t="s">
        <v>3174</v>
      </c>
      <c r="C375" s="3204">
        <v>2090</v>
      </c>
      <c r="D375" s="3204">
        <v>2050</v>
      </c>
      <c r="E375" s="3204">
        <v>2020</v>
      </c>
      <c r="F375" s="3204">
        <v>520</v>
      </c>
      <c r="G375" s="3217">
        <v>1240</v>
      </c>
    </row>
    <row r="376" spans="1:7" s="3197" customFormat="1">
      <c r="A376" s="3204" t="s">
        <v>3165</v>
      </c>
      <c r="B376" s="3204" t="s">
        <v>277</v>
      </c>
      <c r="C376" s="3204">
        <v>2010</v>
      </c>
      <c r="D376" s="3204">
        <v>1980</v>
      </c>
      <c r="E376" s="3204">
        <v>1940</v>
      </c>
      <c r="F376" s="3204">
        <v>540</v>
      </c>
      <c r="G376" s="3217">
        <v>1190</v>
      </c>
    </row>
    <row r="377" spans="1:7" s="3197" customFormat="1" ht="11.4" thickBot="1">
      <c r="A377" s="3212" t="s">
        <v>3165</v>
      </c>
      <c r="B377" s="3215" t="s">
        <v>2927</v>
      </c>
      <c r="C377" s="3215">
        <v>1930</v>
      </c>
      <c r="D377" s="3215">
        <v>1890</v>
      </c>
      <c r="E377" s="3215">
        <v>1860</v>
      </c>
      <c r="F377" s="3215">
        <v>530</v>
      </c>
      <c r="G377" s="3220">
        <v>1150</v>
      </c>
    </row>
    <row r="378" spans="1:7" s="3197" customFormat="1">
      <c r="A378" s="3221" t="s">
        <v>3175</v>
      </c>
      <c r="B378" s="3200" t="s">
        <v>3176</v>
      </c>
      <c r="C378" s="3200">
        <v>1520</v>
      </c>
      <c r="D378" s="3200">
        <v>1490</v>
      </c>
      <c r="E378" s="3200">
        <v>1460</v>
      </c>
      <c r="F378" s="3200">
        <v>460</v>
      </c>
      <c r="G378" s="3216">
        <v>940</v>
      </c>
    </row>
    <row r="379" spans="1:7" s="3197" customFormat="1">
      <c r="A379" s="3222" t="s">
        <v>3175</v>
      </c>
      <c r="B379" s="3204" t="s">
        <v>3177</v>
      </c>
      <c r="C379" s="3204">
        <v>1500</v>
      </c>
      <c r="D379" s="3204">
        <v>1470</v>
      </c>
      <c r="E379" s="3204">
        <v>1430</v>
      </c>
      <c r="F379" s="3204">
        <v>460</v>
      </c>
      <c r="G379" s="3217">
        <v>920</v>
      </c>
    </row>
    <row r="380" spans="1:7" s="3197" customFormat="1">
      <c r="A380" s="3222" t="s">
        <v>3175</v>
      </c>
      <c r="B380" s="3204" t="s">
        <v>3178</v>
      </c>
      <c r="C380" s="3204">
        <v>1620</v>
      </c>
      <c r="D380" s="3204">
        <v>1590</v>
      </c>
      <c r="E380" s="3204">
        <v>1560</v>
      </c>
      <c r="F380" s="3204">
        <v>480</v>
      </c>
      <c r="G380" s="3217">
        <v>1000</v>
      </c>
    </row>
    <row r="381" spans="1:7" s="3197" customFormat="1">
      <c r="A381" s="3222" t="s">
        <v>3175</v>
      </c>
      <c r="B381" s="3204" t="s">
        <v>3179</v>
      </c>
      <c r="C381" s="3204">
        <v>1460</v>
      </c>
      <c r="D381" s="3204">
        <v>1430</v>
      </c>
      <c r="E381" s="3204">
        <v>1390</v>
      </c>
      <c r="F381" s="3204">
        <v>450</v>
      </c>
      <c r="G381" s="3217">
        <v>900</v>
      </c>
    </row>
    <row r="382" spans="1:7" s="3197" customFormat="1">
      <c r="A382" s="3222" t="s">
        <v>3175</v>
      </c>
      <c r="B382" s="3204" t="s">
        <v>3180</v>
      </c>
      <c r="C382" s="3204">
        <v>1310</v>
      </c>
      <c r="D382" s="3204">
        <v>1280</v>
      </c>
      <c r="E382" s="3204">
        <v>1250</v>
      </c>
      <c r="F382" s="3204">
        <v>440</v>
      </c>
      <c r="G382" s="3217">
        <v>800</v>
      </c>
    </row>
    <row r="383" spans="1:7" s="3197" customFormat="1">
      <c r="A383" s="3222" t="s">
        <v>3175</v>
      </c>
      <c r="B383" s="3204" t="s">
        <v>3181</v>
      </c>
      <c r="C383" s="3204">
        <v>1260</v>
      </c>
      <c r="D383" s="3204">
        <v>1230</v>
      </c>
      <c r="E383" s="3204">
        <v>1200</v>
      </c>
      <c r="F383" s="3204">
        <v>420</v>
      </c>
      <c r="G383" s="3217">
        <v>770</v>
      </c>
    </row>
    <row r="384" spans="1:7" s="3197" customFormat="1" ht="11.4" thickBot="1">
      <c r="A384" s="3223" t="s">
        <v>3175</v>
      </c>
      <c r="B384" s="3211" t="s">
        <v>3182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60" customWidth="1"/>
    <col min="2" max="2" width="20" style="3260" customWidth="1"/>
    <col min="3" max="7" width="8.88671875" style="3224"/>
    <col min="8" max="16384" width="8.88671875" style="3225"/>
  </cols>
  <sheetData>
    <row r="1" spans="1:7">
      <c r="A1" s="4290" t="s">
        <v>3183</v>
      </c>
      <c r="B1" s="4290"/>
    </row>
    <row r="2" spans="1:7" ht="15" thickBot="1">
      <c r="A2" s="3226"/>
      <c r="B2" s="3226"/>
    </row>
    <row r="3" spans="1:7" ht="15" thickBot="1">
      <c r="A3" s="3226"/>
      <c r="B3" s="3226"/>
      <c r="C3" s="3227" t="s">
        <v>2813</v>
      </c>
      <c r="D3" s="3227" t="s">
        <v>2869</v>
      </c>
      <c r="E3" s="3227" t="s">
        <v>2815</v>
      </c>
      <c r="F3" s="3227" t="s">
        <v>2870</v>
      </c>
      <c r="G3" s="3227" t="s">
        <v>2633</v>
      </c>
    </row>
    <row r="4" spans="1:7" ht="15" thickBot="1">
      <c r="A4" s="3228" t="s">
        <v>2868</v>
      </c>
      <c r="B4" s="3229" t="s">
        <v>2874</v>
      </c>
      <c r="C4" s="3227"/>
      <c r="D4" s="3227"/>
      <c r="E4" s="3227"/>
      <c r="F4" s="3227"/>
      <c r="G4" s="3227"/>
    </row>
    <row r="5" spans="1:7">
      <c r="A5" s="3230" t="s">
        <v>2842</v>
      </c>
      <c r="B5" s="3231" t="s">
        <v>2856</v>
      </c>
      <c r="C5" s="3232">
        <v>9.8000000000000004E-2</v>
      </c>
      <c r="D5" s="3232">
        <v>8.6999999999999994E-2</v>
      </c>
      <c r="E5" s="3232">
        <v>8.6999999999999994E-2</v>
      </c>
      <c r="F5" s="3232">
        <v>9.8000000000000004E-2</v>
      </c>
      <c r="G5" s="3233">
        <v>9.5000000000000001E-2</v>
      </c>
    </row>
    <row r="6" spans="1:7">
      <c r="A6" s="3234" t="s">
        <v>144</v>
      </c>
      <c r="B6" s="3235" t="s">
        <v>2871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5" thickBot="1">
      <c r="A9" s="3238" t="s">
        <v>144</v>
      </c>
      <c r="B9" s="3239" t="s">
        <v>154</v>
      </c>
      <c r="C9" s="3240">
        <v>0.1</v>
      </c>
      <c r="D9" s="3240">
        <v>0.1</v>
      </c>
      <c r="E9" s="3240">
        <v>0.1</v>
      </c>
      <c r="F9" s="3241"/>
      <c r="G9" s="3242">
        <v>0.1</v>
      </c>
    </row>
    <row r="10" spans="1:7">
      <c r="A10" s="3230" t="s">
        <v>184</v>
      </c>
      <c r="B10" s="3231" t="s">
        <v>2857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2907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5" thickBot="1">
      <c r="A29" s="3238" t="s">
        <v>184</v>
      </c>
      <c r="B29" s="3239" t="s">
        <v>2925</v>
      </c>
      <c r="C29" s="3244"/>
      <c r="D29" s="3240">
        <v>5.1999999999999998E-2</v>
      </c>
      <c r="E29" s="3240">
        <v>7.0000000000000007E-2</v>
      </c>
      <c r="F29" s="3244"/>
      <c r="G29" s="3242">
        <v>7.0999999999999994E-2</v>
      </c>
    </row>
    <row r="30" spans="1:7">
      <c r="A30" s="3245" t="s">
        <v>296</v>
      </c>
      <c r="B30" s="3231" t="s">
        <v>2858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2844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2928</v>
      </c>
      <c r="C50" s="3236">
        <v>9.8000000000000004E-2</v>
      </c>
      <c r="D50" s="3236">
        <v>7.2999999999999995E-2</v>
      </c>
      <c r="E50" s="3236">
        <v>7.0999999999999994E-2</v>
      </c>
      <c r="F50" s="3247"/>
      <c r="G50" s="3237">
        <v>7.2999999999999995E-2</v>
      </c>
    </row>
    <row r="51" spans="1:7">
      <c r="A51" s="3246" t="s">
        <v>296</v>
      </c>
      <c r="B51" s="3235" t="s">
        <v>2930</v>
      </c>
      <c r="C51" s="3236">
        <v>9.9000000000000005E-2</v>
      </c>
      <c r="D51" s="3236">
        <v>8.5000000000000006E-2</v>
      </c>
      <c r="E51" s="3236">
        <v>6.3E-2</v>
      </c>
      <c r="F51" s="3247"/>
      <c r="G51" s="3237">
        <v>9.6000000000000002E-2</v>
      </c>
    </row>
    <row r="52" spans="1:7">
      <c r="A52" s="3246" t="s">
        <v>296</v>
      </c>
      <c r="B52" s="3235" t="s">
        <v>2934</v>
      </c>
      <c r="C52" s="3236">
        <v>7.3999999999999996E-2</v>
      </c>
      <c r="D52" s="3236">
        <v>9.6000000000000002E-2</v>
      </c>
      <c r="E52" s="3236">
        <v>0.05</v>
      </c>
      <c r="F52" s="3247"/>
      <c r="G52" s="3237">
        <v>9.8000000000000004E-2</v>
      </c>
    </row>
    <row r="53" spans="1:7">
      <c r="A53" s="3246" t="s">
        <v>296</v>
      </c>
      <c r="B53" s="3235" t="s">
        <v>2939</v>
      </c>
      <c r="C53" s="3236">
        <v>8.5999999999999993E-2</v>
      </c>
      <c r="D53" s="3247"/>
      <c r="E53" s="3236">
        <v>9.1999999999999998E-2</v>
      </c>
      <c r="F53" s="3247"/>
      <c r="G53" s="3248"/>
    </row>
    <row r="54" spans="1:7" ht="15" thickBot="1">
      <c r="A54" s="3249" t="s">
        <v>296</v>
      </c>
      <c r="B54" s="3239" t="s">
        <v>2942</v>
      </c>
      <c r="C54" s="3240">
        <v>9.6000000000000002E-2</v>
      </c>
      <c r="D54" s="3241"/>
      <c r="E54" s="3250"/>
      <c r="F54" s="3241"/>
      <c r="G54" s="3251"/>
    </row>
    <row r="55" spans="1:7">
      <c r="A55" s="3245" t="s">
        <v>110</v>
      </c>
      <c r="B55" s="3231" t="s">
        <v>2859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2940</v>
      </c>
      <c r="C78" s="3236">
        <v>0.1</v>
      </c>
      <c r="D78" s="3236">
        <v>8.5000000000000006E-2</v>
      </c>
      <c r="E78" s="3236">
        <v>9.6000000000000002E-2</v>
      </c>
      <c r="F78" s="3247"/>
      <c r="G78" s="3237">
        <v>9.6000000000000002E-2</v>
      </c>
    </row>
    <row r="79" spans="1:7">
      <c r="A79" s="3246" t="s">
        <v>110</v>
      </c>
      <c r="B79" s="3235" t="s">
        <v>2943</v>
      </c>
      <c r="C79" s="3236">
        <v>0.05</v>
      </c>
      <c r="D79" s="3236">
        <v>9.6000000000000002E-2</v>
      </c>
      <c r="E79" s="3236">
        <v>9.5000000000000001E-2</v>
      </c>
      <c r="F79" s="3247"/>
      <c r="G79" s="3237">
        <v>9.8000000000000004E-2</v>
      </c>
    </row>
    <row r="80" spans="1:7">
      <c r="A80" s="3246" t="s">
        <v>110</v>
      </c>
      <c r="B80" s="3235" t="s">
        <v>2947</v>
      </c>
      <c r="C80" s="3236">
        <v>8.5999999999999993E-2</v>
      </c>
      <c r="D80" s="3252"/>
      <c r="E80" s="3236">
        <v>0.1</v>
      </c>
      <c r="F80" s="3247"/>
      <c r="G80" s="3248"/>
    </row>
    <row r="81" spans="1:7">
      <c r="A81" s="3246" t="s">
        <v>110</v>
      </c>
      <c r="B81" s="3235" t="s">
        <v>2952</v>
      </c>
      <c r="C81" s="3236">
        <v>9.6000000000000002E-2</v>
      </c>
      <c r="D81" s="3247"/>
      <c r="E81" s="3236">
        <v>9.8000000000000004E-2</v>
      </c>
      <c r="F81" s="3247"/>
      <c r="G81" s="3248"/>
    </row>
    <row r="82" spans="1:7">
      <c r="A82" s="3246" t="s">
        <v>110</v>
      </c>
      <c r="B82" s="3235" t="s">
        <v>2959</v>
      </c>
      <c r="C82" s="3252"/>
      <c r="D82" s="3247"/>
      <c r="E82" s="3236">
        <v>7.6999999999999999E-2</v>
      </c>
      <c r="F82" s="3247"/>
      <c r="G82" s="3248"/>
    </row>
    <row r="83" spans="1:7">
      <c r="A83" s="3246" t="s">
        <v>110</v>
      </c>
      <c r="B83" s="3235" t="s">
        <v>2965</v>
      </c>
      <c r="C83" s="3247"/>
      <c r="D83" s="3247"/>
      <c r="E83" s="3247"/>
      <c r="F83" s="3236">
        <v>0.1</v>
      </c>
      <c r="G83" s="3253"/>
    </row>
    <row r="84" spans="1:7">
      <c r="A84" s="3246" t="s">
        <v>110</v>
      </c>
      <c r="B84" s="3235" t="s">
        <v>2972</v>
      </c>
      <c r="C84" s="3247"/>
      <c r="D84" s="3247"/>
      <c r="E84" s="3247"/>
      <c r="F84" s="3236">
        <v>0.1</v>
      </c>
      <c r="G84" s="3253"/>
    </row>
    <row r="85" spans="1:7">
      <c r="A85" s="3246" t="s">
        <v>110</v>
      </c>
      <c r="B85" s="3235" t="s">
        <v>2979</v>
      </c>
      <c r="C85" s="3247"/>
      <c r="D85" s="3247"/>
      <c r="E85" s="3247"/>
      <c r="F85" s="3236">
        <v>0.1</v>
      </c>
      <c r="G85" s="3253"/>
    </row>
    <row r="86" spans="1:7" ht="15" thickBot="1">
      <c r="A86" s="3249" t="s">
        <v>110</v>
      </c>
      <c r="B86" s="3239" t="s">
        <v>2984</v>
      </c>
      <c r="C86" s="3240">
        <v>9.8000000000000004E-2</v>
      </c>
      <c r="D86" s="3240">
        <v>9.8000000000000004E-2</v>
      </c>
      <c r="E86" s="3240">
        <v>9.6000000000000002E-2</v>
      </c>
      <c r="F86" s="3250"/>
      <c r="G86" s="3242">
        <v>0.1</v>
      </c>
    </row>
    <row r="87" spans="1:7">
      <c r="A87" s="3245" t="s">
        <v>303</v>
      </c>
      <c r="B87" s="3231" t="s">
        <v>2860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2953</v>
      </c>
      <c r="C113" s="3236">
        <v>0.1</v>
      </c>
      <c r="D113" s="3236">
        <v>0.1</v>
      </c>
      <c r="E113" s="3247"/>
      <c r="F113" s="3247"/>
      <c r="G113" s="3237">
        <v>0.1</v>
      </c>
    </row>
    <row r="114" spans="1:7">
      <c r="A114" s="3246" t="s">
        <v>303</v>
      </c>
      <c r="B114" s="3235" t="s">
        <v>2960</v>
      </c>
      <c r="C114" s="3236">
        <v>9.7000000000000003E-2</v>
      </c>
      <c r="D114" s="3236">
        <v>9.7000000000000003E-2</v>
      </c>
      <c r="E114" s="3247"/>
      <c r="F114" s="3247"/>
      <c r="G114" s="3237">
        <v>9.9000000000000005E-2</v>
      </c>
    </row>
    <row r="115" spans="1:7">
      <c r="A115" s="3246" t="s">
        <v>303</v>
      </c>
      <c r="B115" s="3235" t="s">
        <v>2966</v>
      </c>
      <c r="C115" s="3236">
        <v>0.1</v>
      </c>
      <c r="D115" s="3236">
        <v>0.1</v>
      </c>
      <c r="E115" s="3247"/>
      <c r="F115" s="3247"/>
      <c r="G115" s="3237">
        <v>0.1</v>
      </c>
    </row>
    <row r="116" spans="1:7">
      <c r="A116" s="3246" t="s">
        <v>303</v>
      </c>
      <c r="B116" s="3235" t="s">
        <v>2973</v>
      </c>
      <c r="C116" s="3236">
        <v>0.1</v>
      </c>
      <c r="D116" s="3236">
        <v>0.1</v>
      </c>
      <c r="E116" s="3247"/>
      <c r="F116" s="3247"/>
      <c r="G116" s="3237">
        <v>0.1</v>
      </c>
    </row>
    <row r="117" spans="1:7">
      <c r="A117" s="3246" t="s">
        <v>303</v>
      </c>
      <c r="B117" s="3235" t="s">
        <v>2980</v>
      </c>
      <c r="C117" s="3236">
        <v>9.7000000000000003E-2</v>
      </c>
      <c r="D117" s="3236">
        <v>9.7000000000000003E-2</v>
      </c>
      <c r="E117" s="3247"/>
      <c r="F117" s="3247"/>
      <c r="G117" s="3237">
        <v>9.7000000000000003E-2</v>
      </c>
    </row>
    <row r="118" spans="1:7">
      <c r="A118" s="3246" t="s">
        <v>303</v>
      </c>
      <c r="B118" s="3235" t="s">
        <v>2985</v>
      </c>
      <c r="C118" s="3236">
        <v>0.1</v>
      </c>
      <c r="D118" s="3236">
        <v>0.1</v>
      </c>
      <c r="E118" s="3247"/>
      <c r="F118" s="3247"/>
      <c r="G118" s="3237">
        <v>0.1</v>
      </c>
    </row>
    <row r="119" spans="1:7">
      <c r="A119" s="3246" t="s">
        <v>303</v>
      </c>
      <c r="B119" s="3235" t="s">
        <v>2989</v>
      </c>
      <c r="C119" s="3236">
        <v>5.0999999999999997E-2</v>
      </c>
      <c r="D119" s="3236">
        <v>5.1999999999999998E-2</v>
      </c>
      <c r="E119" s="3247"/>
      <c r="F119" s="3252"/>
      <c r="G119" s="3237">
        <v>0.06</v>
      </c>
    </row>
    <row r="120" spans="1:7">
      <c r="A120" s="3246" t="s">
        <v>303</v>
      </c>
      <c r="B120" s="3235" t="s">
        <v>2993</v>
      </c>
      <c r="C120" s="3247"/>
      <c r="D120" s="3247"/>
      <c r="E120" s="3247"/>
      <c r="F120" s="3236">
        <v>0.1</v>
      </c>
      <c r="G120" s="3253"/>
    </row>
    <row r="121" spans="1:7">
      <c r="A121" s="3246" t="s">
        <v>303</v>
      </c>
      <c r="B121" s="3235" t="s">
        <v>2998</v>
      </c>
      <c r="C121" s="3247"/>
      <c r="D121" s="3247"/>
      <c r="E121" s="3247"/>
      <c r="F121" s="3236">
        <v>0.1</v>
      </c>
      <c r="G121" s="3253"/>
    </row>
    <row r="122" spans="1:7">
      <c r="A122" s="3246" t="s">
        <v>303</v>
      </c>
      <c r="B122" s="3235" t="s">
        <v>3003</v>
      </c>
      <c r="C122" s="3236">
        <v>0.1</v>
      </c>
      <c r="D122" s="3236">
        <v>0.1</v>
      </c>
      <c r="E122" s="3236">
        <v>9.8000000000000004E-2</v>
      </c>
      <c r="F122" s="3236">
        <v>0.1</v>
      </c>
      <c r="G122" s="3237">
        <v>0.1</v>
      </c>
    </row>
    <row r="123" spans="1:7">
      <c r="A123" s="3246" t="s">
        <v>303</v>
      </c>
      <c r="B123" s="3235" t="s">
        <v>3008</v>
      </c>
      <c r="C123" s="3236">
        <v>0.1</v>
      </c>
      <c r="D123" s="3236">
        <v>0.1</v>
      </c>
      <c r="E123" s="3236">
        <v>9.8000000000000004E-2</v>
      </c>
      <c r="F123" s="3236">
        <v>0.1</v>
      </c>
      <c r="G123" s="3237">
        <v>0.1</v>
      </c>
    </row>
    <row r="124" spans="1:7">
      <c r="A124" s="3246" t="s">
        <v>303</v>
      </c>
      <c r="B124" s="3235" t="s">
        <v>3013</v>
      </c>
      <c r="C124" s="3236">
        <v>0.1</v>
      </c>
      <c r="D124" s="3236">
        <v>0.1</v>
      </c>
      <c r="E124" s="3236">
        <v>9.8000000000000004E-2</v>
      </c>
      <c r="F124" s="3252"/>
      <c r="G124" s="3237">
        <v>0.1</v>
      </c>
    </row>
    <row r="125" spans="1:7">
      <c r="A125" s="3246" t="s">
        <v>303</v>
      </c>
      <c r="B125" s="3235" t="s">
        <v>3018</v>
      </c>
      <c r="C125" s="3236">
        <v>9.8000000000000004E-2</v>
      </c>
      <c r="D125" s="3236">
        <v>9.8000000000000004E-2</v>
      </c>
      <c r="E125" s="3236">
        <v>9.6000000000000002E-2</v>
      </c>
      <c r="F125" s="3252"/>
      <c r="G125" s="3237">
        <v>0.1</v>
      </c>
    </row>
    <row r="126" spans="1:7" ht="15" thickBot="1">
      <c r="A126" s="3249" t="s">
        <v>303</v>
      </c>
      <c r="B126" s="3239" t="s">
        <v>3184</v>
      </c>
      <c r="C126" s="3240">
        <v>0.1</v>
      </c>
      <c r="D126" s="3240">
        <v>0.1</v>
      </c>
      <c r="E126" s="3240">
        <v>9.8000000000000004E-2</v>
      </c>
      <c r="F126" s="3240">
        <v>0.1</v>
      </c>
      <c r="G126" s="3242">
        <v>0.1</v>
      </c>
    </row>
    <row r="127" spans="1:7">
      <c r="A127" s="3245" t="s">
        <v>29</v>
      </c>
      <c r="B127" s="3231" t="s">
        <v>2861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2931</v>
      </c>
      <c r="C148" s="3236">
        <v>0.13</v>
      </c>
      <c r="D148" s="3236">
        <v>0.13</v>
      </c>
      <c r="E148" s="3236">
        <v>0.13</v>
      </c>
      <c r="F148" s="3247"/>
      <c r="G148" s="3237">
        <v>0.13</v>
      </c>
    </row>
    <row r="149" spans="1:7">
      <c r="A149" s="3246" t="s">
        <v>29</v>
      </c>
      <c r="B149" s="3235" t="s">
        <v>2935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2954</v>
      </c>
      <c r="C153" s="3236">
        <v>0.13</v>
      </c>
      <c r="D153" s="3236">
        <v>0.13</v>
      </c>
      <c r="E153" s="3236">
        <v>0.13</v>
      </c>
      <c r="F153" s="3236">
        <v>0.13</v>
      </c>
      <c r="G153" s="3237">
        <v>0.13</v>
      </c>
    </row>
    <row r="154" spans="1:7">
      <c r="A154" s="3246" t="s">
        <v>29</v>
      </c>
      <c r="B154" s="3235" t="s">
        <v>2961</v>
      </c>
      <c r="C154" s="3236">
        <v>0.121</v>
      </c>
      <c r="D154" s="3236">
        <v>0.121</v>
      </c>
      <c r="E154" s="3236">
        <v>0.105</v>
      </c>
      <c r="F154" s="3236">
        <v>0.121</v>
      </c>
      <c r="G154" s="3237">
        <v>0.123</v>
      </c>
    </row>
    <row r="155" spans="1:7">
      <c r="A155" s="3246" t="s">
        <v>29</v>
      </c>
      <c r="B155" s="3235" t="s">
        <v>2967</v>
      </c>
      <c r="C155" s="3236">
        <v>0.1</v>
      </c>
      <c r="D155" s="3236">
        <v>0.1</v>
      </c>
      <c r="E155" s="3236">
        <v>0.1</v>
      </c>
      <c r="F155" s="3236">
        <v>0.1</v>
      </c>
      <c r="G155" s="3237">
        <v>0.1</v>
      </c>
    </row>
    <row r="156" spans="1:7">
      <c r="A156" s="3246" t="s">
        <v>29</v>
      </c>
      <c r="B156" s="3235" t="s">
        <v>2974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2994</v>
      </c>
      <c r="C160" s="3236">
        <v>0.13</v>
      </c>
      <c r="D160" s="3236">
        <v>0.13</v>
      </c>
      <c r="E160" s="3236">
        <v>0.124</v>
      </c>
      <c r="F160" s="3236">
        <v>0.126</v>
      </c>
      <c r="G160" s="3237">
        <v>0.13</v>
      </c>
    </row>
    <row r="161" spans="1:7">
      <c r="A161" s="3246" t="s">
        <v>29</v>
      </c>
      <c r="B161" s="3235" t="s">
        <v>2999</v>
      </c>
      <c r="C161" s="3236">
        <v>0.13</v>
      </c>
      <c r="D161" s="3236">
        <v>0.13</v>
      </c>
      <c r="E161" s="3236">
        <v>0.124</v>
      </c>
      <c r="F161" s="3236">
        <v>0.127</v>
      </c>
      <c r="G161" s="3237">
        <v>0.13</v>
      </c>
    </row>
    <row r="162" spans="1:7">
      <c r="A162" s="3246" t="s">
        <v>29</v>
      </c>
      <c r="B162" s="3235" t="s">
        <v>3004</v>
      </c>
      <c r="C162" s="3236">
        <v>0.1</v>
      </c>
      <c r="D162" s="3236">
        <v>0.1</v>
      </c>
      <c r="E162" s="3236">
        <v>0.1</v>
      </c>
      <c r="F162" s="3236">
        <v>0.121</v>
      </c>
      <c r="G162" s="3237">
        <v>0.105</v>
      </c>
    </row>
    <row r="163" spans="1:7">
      <c r="A163" s="3246" t="s">
        <v>29</v>
      </c>
      <c r="B163" s="3235" t="s">
        <v>3009</v>
      </c>
      <c r="C163" s="3236">
        <v>0.1</v>
      </c>
      <c r="D163" s="3236">
        <v>0.1</v>
      </c>
      <c r="E163" s="3236">
        <v>0.1</v>
      </c>
      <c r="F163" s="3236">
        <v>0.1</v>
      </c>
      <c r="G163" s="3237">
        <v>0.1</v>
      </c>
    </row>
    <row r="164" spans="1:7">
      <c r="A164" s="3246" t="s">
        <v>29</v>
      </c>
      <c r="B164" s="3235" t="s">
        <v>3014</v>
      </c>
      <c r="C164" s="3252"/>
      <c r="D164" s="3252"/>
      <c r="E164" s="3252"/>
      <c r="F164" s="3236">
        <v>0.1</v>
      </c>
      <c r="G164" s="3248"/>
    </row>
    <row r="165" spans="1:7">
      <c r="A165" s="3246" t="s">
        <v>29</v>
      </c>
      <c r="B165" s="3235" t="s">
        <v>3185</v>
      </c>
      <c r="C165" s="3236">
        <v>0.126</v>
      </c>
      <c r="D165" s="3236">
        <v>0.126</v>
      </c>
      <c r="E165" s="3236">
        <v>0.11899999999999999</v>
      </c>
      <c r="F165" s="3236">
        <v>0.13</v>
      </c>
      <c r="G165" s="3237">
        <v>0.128</v>
      </c>
    </row>
    <row r="166" spans="1:7">
      <c r="A166" s="3246" t="s">
        <v>29</v>
      </c>
      <c r="B166" s="3235" t="s">
        <v>3024</v>
      </c>
      <c r="C166" s="3236">
        <v>0.129</v>
      </c>
      <c r="D166" s="3236">
        <v>0.129</v>
      </c>
      <c r="E166" s="3236">
        <v>0.123</v>
      </c>
      <c r="F166" s="3236">
        <v>0.128</v>
      </c>
      <c r="G166" s="3237">
        <v>0.13</v>
      </c>
    </row>
    <row r="167" spans="1:7">
      <c r="A167" s="3246" t="s">
        <v>29</v>
      </c>
      <c r="B167" s="3235" t="s">
        <v>3028</v>
      </c>
      <c r="C167" s="3236">
        <v>0.125</v>
      </c>
      <c r="D167" s="3236">
        <v>0.125</v>
      </c>
      <c r="E167" s="3236">
        <v>0.11700000000000001</v>
      </c>
      <c r="F167" s="3236">
        <v>0.13</v>
      </c>
      <c r="G167" s="3237">
        <v>0.126</v>
      </c>
    </row>
    <row r="168" spans="1:7">
      <c r="A168" s="3246" t="s">
        <v>29</v>
      </c>
      <c r="B168" s="3235" t="s">
        <v>3033</v>
      </c>
      <c r="C168" s="3236">
        <v>0.128</v>
      </c>
      <c r="D168" s="3236">
        <v>0.128</v>
      </c>
      <c r="E168" s="3236">
        <v>0.123</v>
      </c>
      <c r="F168" s="3247"/>
      <c r="G168" s="3237">
        <v>0.13</v>
      </c>
    </row>
    <row r="169" spans="1:7">
      <c r="A169" s="3246" t="s">
        <v>29</v>
      </c>
      <c r="B169" s="3235" t="s">
        <v>3186</v>
      </c>
      <c r="C169" s="3252"/>
      <c r="D169" s="3252"/>
      <c r="E169" s="3252"/>
      <c r="F169" s="3236">
        <v>0.05</v>
      </c>
      <c r="G169" s="3248"/>
    </row>
    <row r="170" spans="1:7">
      <c r="A170" s="3246" t="s">
        <v>29</v>
      </c>
      <c r="B170" s="3235" t="s">
        <v>3187</v>
      </c>
      <c r="C170" s="3252"/>
      <c r="D170" s="3252"/>
      <c r="E170" s="3252"/>
      <c r="F170" s="3236">
        <v>0.05</v>
      </c>
      <c r="G170" s="3248"/>
    </row>
    <row r="171" spans="1:7">
      <c r="A171" s="3246" t="s">
        <v>29</v>
      </c>
      <c r="B171" s="3235" t="s">
        <v>3188</v>
      </c>
      <c r="C171" s="3252"/>
      <c r="D171" s="3252"/>
      <c r="E171" s="3252"/>
      <c r="F171" s="3236">
        <v>0.05</v>
      </c>
      <c r="G171" s="3253"/>
    </row>
    <row r="172" spans="1:7">
      <c r="A172" s="3246" t="s">
        <v>29</v>
      </c>
      <c r="B172" s="3235" t="s">
        <v>3189</v>
      </c>
      <c r="C172" s="3252"/>
      <c r="D172" s="3252"/>
      <c r="E172" s="3252"/>
      <c r="F172" s="3236">
        <v>0.05</v>
      </c>
      <c r="G172" s="3253"/>
    </row>
    <row r="173" spans="1:7">
      <c r="A173" s="3246" t="s">
        <v>29</v>
      </c>
      <c r="B173" s="3235" t="s">
        <v>3190</v>
      </c>
      <c r="C173" s="3252"/>
      <c r="D173" s="3252"/>
      <c r="E173" s="3252"/>
      <c r="F173" s="3236">
        <v>0.05</v>
      </c>
      <c r="G173" s="3248"/>
    </row>
    <row r="174" spans="1:7">
      <c r="A174" s="3246" t="s">
        <v>29</v>
      </c>
      <c r="B174" s="3235" t="s">
        <v>3191</v>
      </c>
      <c r="C174" s="3252"/>
      <c r="D174" s="3252"/>
      <c r="E174" s="3252"/>
      <c r="F174" s="3236">
        <v>0.05</v>
      </c>
      <c r="G174" s="3248"/>
    </row>
    <row r="175" spans="1:7">
      <c r="A175" s="3246" t="s">
        <v>29</v>
      </c>
      <c r="B175" s="3235" t="s">
        <v>3192</v>
      </c>
      <c r="C175" s="3252"/>
      <c r="D175" s="3252"/>
      <c r="E175" s="3252"/>
      <c r="F175" s="3236">
        <v>0.05</v>
      </c>
      <c r="G175" s="3248"/>
    </row>
    <row r="176" spans="1:7">
      <c r="A176" s="3246" t="s">
        <v>29</v>
      </c>
      <c r="B176" s="3235" t="s">
        <v>3193</v>
      </c>
      <c r="C176" s="3252"/>
      <c r="D176" s="3252"/>
      <c r="E176" s="3252"/>
      <c r="F176" s="3236">
        <v>0.05</v>
      </c>
      <c r="G176" s="3248"/>
    </row>
    <row r="177" spans="1:7">
      <c r="A177" s="3246" t="s">
        <v>29</v>
      </c>
      <c r="B177" s="3235" t="s">
        <v>3194</v>
      </c>
      <c r="C177" s="3247"/>
      <c r="D177" s="3247"/>
      <c r="E177" s="3247"/>
      <c r="F177" s="3236">
        <v>0.05</v>
      </c>
      <c r="G177" s="3253"/>
    </row>
    <row r="178" spans="1:7">
      <c r="A178" s="3246" t="s">
        <v>29</v>
      </c>
      <c r="B178" s="3235" t="s">
        <v>3195</v>
      </c>
      <c r="C178" s="3247"/>
      <c r="D178" s="3247"/>
      <c r="E178" s="3247"/>
      <c r="F178" s="3236">
        <v>0.05</v>
      </c>
      <c r="G178" s="3253"/>
    </row>
    <row r="179" spans="1:7">
      <c r="A179" s="3246" t="s">
        <v>29</v>
      </c>
      <c r="B179" s="3235" t="s">
        <v>3196</v>
      </c>
      <c r="C179" s="3247"/>
      <c r="D179" s="3247"/>
      <c r="E179" s="3247"/>
      <c r="F179" s="3236">
        <v>0.05</v>
      </c>
      <c r="G179" s="3253"/>
    </row>
    <row r="180" spans="1:7">
      <c r="A180" s="3246" t="s">
        <v>29</v>
      </c>
      <c r="B180" s="3235" t="s">
        <v>3197</v>
      </c>
      <c r="C180" s="3247"/>
      <c r="D180" s="3247"/>
      <c r="E180" s="3247"/>
      <c r="F180" s="3236">
        <v>0.05</v>
      </c>
      <c r="G180" s="3253"/>
    </row>
    <row r="181" spans="1:7">
      <c r="A181" s="3246" t="s">
        <v>29</v>
      </c>
      <c r="B181" s="3235" t="s">
        <v>3198</v>
      </c>
      <c r="C181" s="3247"/>
      <c r="D181" s="3247"/>
      <c r="E181" s="3247"/>
      <c r="F181" s="3236">
        <v>0.05</v>
      </c>
      <c r="G181" s="3253"/>
    </row>
    <row r="182" spans="1:7">
      <c r="A182" s="3246" t="s">
        <v>29</v>
      </c>
      <c r="B182" s="3235" t="s">
        <v>3199</v>
      </c>
      <c r="C182" s="3247"/>
      <c r="D182" s="3247"/>
      <c r="E182" s="3247"/>
      <c r="F182" s="3236">
        <v>0.05</v>
      </c>
      <c r="G182" s="3253"/>
    </row>
    <row r="183" spans="1:7">
      <c r="A183" s="3246" t="s">
        <v>29</v>
      </c>
      <c r="B183" s="3235" t="s">
        <v>3200</v>
      </c>
      <c r="C183" s="3247"/>
      <c r="D183" s="3247"/>
      <c r="E183" s="3247"/>
      <c r="F183" s="3236">
        <v>0.05</v>
      </c>
      <c r="G183" s="3253"/>
    </row>
    <row r="184" spans="1:7">
      <c r="A184" s="3246" t="s">
        <v>29</v>
      </c>
      <c r="B184" s="3235" t="s">
        <v>3201</v>
      </c>
      <c r="C184" s="3247"/>
      <c r="D184" s="3247"/>
      <c r="E184" s="3247"/>
      <c r="F184" s="3236">
        <v>0.05</v>
      </c>
      <c r="G184" s="3253"/>
    </row>
    <row r="185" spans="1:7">
      <c r="A185" s="3246" t="s">
        <v>29</v>
      </c>
      <c r="B185" s="3235" t="s">
        <v>3202</v>
      </c>
      <c r="C185" s="3247"/>
      <c r="D185" s="3247"/>
      <c r="E185" s="3247"/>
      <c r="F185" s="3236">
        <v>0.05</v>
      </c>
      <c r="G185" s="3253"/>
    </row>
    <row r="186" spans="1:7">
      <c r="A186" s="3246" t="s">
        <v>29</v>
      </c>
      <c r="B186" s="3235" t="s">
        <v>3203</v>
      </c>
      <c r="C186" s="3247"/>
      <c r="D186" s="3247"/>
      <c r="E186" s="3247"/>
      <c r="F186" s="3236">
        <v>0.05</v>
      </c>
      <c r="G186" s="3253"/>
    </row>
    <row r="187" spans="1:7">
      <c r="A187" s="3246" t="s">
        <v>29</v>
      </c>
      <c r="B187" s="3235" t="s">
        <v>3204</v>
      </c>
      <c r="C187" s="3247"/>
      <c r="D187" s="3247"/>
      <c r="E187" s="3247"/>
      <c r="F187" s="3236">
        <v>0.05</v>
      </c>
      <c r="G187" s="3253"/>
    </row>
    <row r="188" spans="1:7">
      <c r="A188" s="3246" t="s">
        <v>29</v>
      </c>
      <c r="B188" s="3235" t="s">
        <v>3205</v>
      </c>
      <c r="C188" s="3247"/>
      <c r="D188" s="3247"/>
      <c r="E188" s="3247"/>
      <c r="F188" s="3236">
        <v>0.05</v>
      </c>
      <c r="G188" s="3253"/>
    </row>
    <row r="189" spans="1:7" ht="15" thickBot="1">
      <c r="A189" s="3249" t="s">
        <v>29</v>
      </c>
      <c r="B189" s="3239" t="s">
        <v>3206</v>
      </c>
      <c r="C189" s="3241"/>
      <c r="D189" s="3241"/>
      <c r="E189" s="3241"/>
      <c r="F189" s="3240">
        <v>0.05</v>
      </c>
      <c r="G189" s="3254"/>
    </row>
    <row r="190" spans="1:7">
      <c r="A190" s="3245" t="s">
        <v>304</v>
      </c>
      <c r="B190" s="3231" t="s">
        <v>2862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2898</v>
      </c>
      <c r="C199" s="3236">
        <v>0.13</v>
      </c>
      <c r="D199" s="3236">
        <v>0.13</v>
      </c>
      <c r="E199" s="3236">
        <v>0.13</v>
      </c>
      <c r="F199" s="3236">
        <v>0.13</v>
      </c>
      <c r="G199" s="3237">
        <v>0.13</v>
      </c>
    </row>
    <row r="200" spans="1:7">
      <c r="A200" s="3246" t="s">
        <v>304</v>
      </c>
      <c r="B200" s="3235" t="s">
        <v>2901</v>
      </c>
      <c r="C200" s="3252"/>
      <c r="D200" s="3252"/>
      <c r="E200" s="3252"/>
      <c r="F200" s="3236">
        <v>0.13</v>
      </c>
      <c r="G200" s="3248"/>
    </row>
    <row r="201" spans="1:7">
      <c r="A201" s="3246" t="s">
        <v>304</v>
      </c>
      <c r="B201" s="3235" t="s">
        <v>2906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2909</v>
      </c>
      <c r="C203" s="3236">
        <v>0.129</v>
      </c>
      <c r="D203" s="3236">
        <v>0.129</v>
      </c>
      <c r="E203" s="3236">
        <v>0.13</v>
      </c>
      <c r="F203" s="3236">
        <v>0.13</v>
      </c>
      <c r="G203" s="3237">
        <v>0.13</v>
      </c>
    </row>
    <row r="204" spans="1:7">
      <c r="A204" s="3246" t="s">
        <v>304</v>
      </c>
      <c r="B204" s="3235" t="s">
        <v>2912</v>
      </c>
      <c r="C204" s="3236">
        <v>0.129</v>
      </c>
      <c r="D204" s="3236">
        <v>0.129</v>
      </c>
      <c r="E204" s="3236">
        <v>0.123</v>
      </c>
      <c r="F204" s="3236">
        <v>0.13</v>
      </c>
      <c r="G204" s="3237">
        <v>0.13</v>
      </c>
    </row>
    <row r="205" spans="1:7">
      <c r="A205" s="3246" t="s">
        <v>304</v>
      </c>
      <c r="B205" s="3235" t="s">
        <v>2914</v>
      </c>
      <c r="C205" s="3236">
        <v>0.13</v>
      </c>
      <c r="D205" s="3236">
        <v>0.13</v>
      </c>
      <c r="E205" s="3236">
        <v>0.13</v>
      </c>
      <c r="F205" s="3236">
        <v>0.13</v>
      </c>
      <c r="G205" s="3237">
        <v>0.13</v>
      </c>
    </row>
    <row r="206" spans="1:7">
      <c r="A206" s="3246" t="s">
        <v>304</v>
      </c>
      <c r="B206" s="3235" t="s">
        <v>2917</v>
      </c>
      <c r="C206" s="3236">
        <v>0.13</v>
      </c>
      <c r="D206" s="3236">
        <v>0.13</v>
      </c>
      <c r="E206" s="3236">
        <v>0.13</v>
      </c>
      <c r="F206" s="3236">
        <v>0.128</v>
      </c>
      <c r="G206" s="3237">
        <v>0.13</v>
      </c>
    </row>
    <row r="207" spans="1:7">
      <c r="A207" s="3246" t="s">
        <v>304</v>
      </c>
      <c r="B207" s="3235" t="s">
        <v>2919</v>
      </c>
      <c r="C207" s="3236">
        <v>0.13</v>
      </c>
      <c r="D207" s="3236">
        <v>0.13</v>
      </c>
      <c r="E207" s="3236">
        <v>0.13</v>
      </c>
      <c r="F207" s="3236">
        <v>0.13</v>
      </c>
      <c r="G207" s="3237">
        <v>0.13</v>
      </c>
    </row>
    <row r="208" spans="1:7">
      <c r="A208" s="3246" t="s">
        <v>304</v>
      </c>
      <c r="B208" s="3235" t="s">
        <v>2922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2929</v>
      </c>
      <c r="C210" s="3236">
        <v>0.121</v>
      </c>
      <c r="D210" s="3236">
        <v>0.121</v>
      </c>
      <c r="E210" s="3236">
        <v>0.125</v>
      </c>
      <c r="F210" s="3236">
        <v>0.13</v>
      </c>
      <c r="G210" s="3237">
        <v>0.123</v>
      </c>
    </row>
    <row r="211" spans="1:7">
      <c r="A211" s="3246" t="s">
        <v>304</v>
      </c>
      <c r="B211" s="3235" t="s">
        <v>2932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2944</v>
      </c>
      <c r="C214" s="3236">
        <v>0.128</v>
      </c>
      <c r="D214" s="3236">
        <v>0.128</v>
      </c>
      <c r="E214" s="3236">
        <v>0.13</v>
      </c>
      <c r="F214" s="3236">
        <v>0.13</v>
      </c>
      <c r="G214" s="3237">
        <v>0.13</v>
      </c>
    </row>
    <row r="215" spans="1:7">
      <c r="A215" s="3246" t="s">
        <v>304</v>
      </c>
      <c r="B215" s="3235" t="s">
        <v>2948</v>
      </c>
      <c r="C215" s="3236">
        <v>0.13</v>
      </c>
      <c r="D215" s="3236">
        <v>0.13</v>
      </c>
      <c r="E215" s="3236">
        <v>0.13</v>
      </c>
      <c r="F215" s="3236">
        <v>0.129</v>
      </c>
      <c r="G215" s="3237">
        <v>0.13</v>
      </c>
    </row>
    <row r="216" spans="1:7">
      <c r="A216" s="3246" t="s">
        <v>304</v>
      </c>
      <c r="B216" s="3235" t="s">
        <v>2955</v>
      </c>
      <c r="C216" s="3236">
        <v>0.13</v>
      </c>
      <c r="D216" s="3236">
        <v>0.13</v>
      </c>
      <c r="E216" s="3236">
        <v>0.13</v>
      </c>
      <c r="F216" s="3236">
        <v>0.13</v>
      </c>
      <c r="G216" s="3237">
        <v>0.13</v>
      </c>
    </row>
    <row r="217" spans="1:7">
      <c r="A217" s="3246" t="s">
        <v>304</v>
      </c>
      <c r="B217" s="3235" t="s">
        <v>2962</v>
      </c>
      <c r="C217" s="3236">
        <v>0.129</v>
      </c>
      <c r="D217" s="3236">
        <v>0.129</v>
      </c>
      <c r="E217" s="3236">
        <v>0.13</v>
      </c>
      <c r="F217" s="3236">
        <v>0.13</v>
      </c>
      <c r="G217" s="3237">
        <v>0.13</v>
      </c>
    </row>
    <row r="218" spans="1:7">
      <c r="A218" s="3246" t="s">
        <v>304</v>
      </c>
      <c r="B218" s="3235" t="s">
        <v>2968</v>
      </c>
      <c r="C218" s="3247"/>
      <c r="D218" s="3247"/>
      <c r="E218" s="3247"/>
      <c r="F218" s="3236">
        <v>0.05</v>
      </c>
      <c r="G218" s="3253"/>
    </row>
    <row r="219" spans="1:7">
      <c r="A219" s="3246" t="s">
        <v>304</v>
      </c>
      <c r="B219" s="3235" t="s">
        <v>2975</v>
      </c>
      <c r="C219" s="3247"/>
      <c r="D219" s="3247"/>
      <c r="E219" s="3247"/>
      <c r="F219" s="3236">
        <v>0.05</v>
      </c>
      <c r="G219" s="3253"/>
    </row>
    <row r="220" spans="1:7">
      <c r="A220" s="3246" t="s">
        <v>304</v>
      </c>
      <c r="B220" s="3235" t="s">
        <v>2981</v>
      </c>
      <c r="C220" s="3247"/>
      <c r="D220" s="3247"/>
      <c r="E220" s="3247"/>
      <c r="F220" s="3236">
        <v>0.05</v>
      </c>
      <c r="G220" s="3253"/>
    </row>
    <row r="221" spans="1:7">
      <c r="A221" s="3246" t="s">
        <v>304</v>
      </c>
      <c r="B221" s="3235" t="s">
        <v>2986</v>
      </c>
      <c r="C221" s="3247"/>
      <c r="D221" s="3247"/>
      <c r="E221" s="3247"/>
      <c r="F221" s="3236">
        <v>0.05</v>
      </c>
      <c r="G221" s="3253"/>
    </row>
    <row r="222" spans="1:7">
      <c r="A222" s="3246" t="s">
        <v>304</v>
      </c>
      <c r="B222" s="3235" t="s">
        <v>2990</v>
      </c>
      <c r="C222" s="3247"/>
      <c r="D222" s="3247"/>
      <c r="E222" s="3247"/>
      <c r="F222" s="3236">
        <v>0.05</v>
      </c>
      <c r="G222" s="3253"/>
    </row>
    <row r="223" spans="1:7">
      <c r="A223" s="3246" t="s">
        <v>304</v>
      </c>
      <c r="B223" s="3235" t="s">
        <v>2995</v>
      </c>
      <c r="C223" s="3247"/>
      <c r="D223" s="3247"/>
      <c r="E223" s="3247"/>
      <c r="F223" s="3236">
        <v>0.05</v>
      </c>
      <c r="G223" s="3253"/>
    </row>
    <row r="224" spans="1:7">
      <c r="A224" s="3246" t="s">
        <v>304</v>
      </c>
      <c r="B224" s="3235" t="s">
        <v>3000</v>
      </c>
      <c r="C224" s="3247"/>
      <c r="D224" s="3247"/>
      <c r="E224" s="3247"/>
      <c r="F224" s="3236">
        <v>0.05</v>
      </c>
      <c r="G224" s="3253"/>
    </row>
    <row r="225" spans="1:7">
      <c r="A225" s="3246" t="s">
        <v>304</v>
      </c>
      <c r="B225" s="3235" t="s">
        <v>3005</v>
      </c>
      <c r="C225" s="3247"/>
      <c r="D225" s="3247"/>
      <c r="E225" s="3247"/>
      <c r="F225" s="3236">
        <v>0.05</v>
      </c>
      <c r="G225" s="3253"/>
    </row>
    <row r="226" spans="1:7">
      <c r="A226" s="3246" t="s">
        <v>304</v>
      </c>
      <c r="B226" s="3235" t="s">
        <v>3207</v>
      </c>
      <c r="C226" s="3247"/>
      <c r="D226" s="3247"/>
      <c r="E226" s="3247"/>
      <c r="F226" s="3236">
        <v>0.05</v>
      </c>
      <c r="G226" s="3253"/>
    </row>
    <row r="227" spans="1:7">
      <c r="A227" s="3246" t="s">
        <v>304</v>
      </c>
      <c r="B227" s="3235" t="s">
        <v>3208</v>
      </c>
      <c r="C227" s="3247"/>
      <c r="D227" s="3247"/>
      <c r="E227" s="3247"/>
      <c r="F227" s="3236">
        <v>0.05</v>
      </c>
      <c r="G227" s="3253"/>
    </row>
    <row r="228" spans="1:7">
      <c r="A228" s="3246" t="s">
        <v>304</v>
      </c>
      <c r="B228" s="3235" t="s">
        <v>3209</v>
      </c>
      <c r="C228" s="3247"/>
      <c r="D228" s="3247"/>
      <c r="E228" s="3247"/>
      <c r="F228" s="3236">
        <v>0.05</v>
      </c>
      <c r="G228" s="3253"/>
    </row>
    <row r="229" spans="1:7">
      <c r="A229" s="3246" t="s">
        <v>304</v>
      </c>
      <c r="B229" s="3235" t="s">
        <v>3210</v>
      </c>
      <c r="C229" s="3247"/>
      <c r="D229" s="3247"/>
      <c r="E229" s="3247"/>
      <c r="F229" s="3236">
        <v>0.05</v>
      </c>
      <c r="G229" s="3253"/>
    </row>
    <row r="230" spans="1:7">
      <c r="A230" s="3246" t="s">
        <v>304</v>
      </c>
      <c r="B230" s="3235" t="s">
        <v>3211</v>
      </c>
      <c r="C230" s="3247"/>
      <c r="D230" s="3247"/>
      <c r="E230" s="3247"/>
      <c r="F230" s="3236">
        <v>0.05</v>
      </c>
      <c r="G230" s="3253"/>
    </row>
    <row r="231" spans="1:7">
      <c r="A231" s="3246" t="s">
        <v>304</v>
      </c>
      <c r="B231" s="3235" t="s">
        <v>3212</v>
      </c>
      <c r="C231" s="3247"/>
      <c r="D231" s="3247"/>
      <c r="E231" s="3247"/>
      <c r="F231" s="3236">
        <v>0.05</v>
      </c>
      <c r="G231" s="3253"/>
    </row>
    <row r="232" spans="1:7">
      <c r="A232" s="3246" t="s">
        <v>304</v>
      </c>
      <c r="B232" s="3235" t="s">
        <v>3213</v>
      </c>
      <c r="C232" s="3247"/>
      <c r="D232" s="3247"/>
      <c r="E232" s="3247"/>
      <c r="F232" s="3236">
        <v>0.05</v>
      </c>
      <c r="G232" s="3253"/>
    </row>
    <row r="233" spans="1:7" ht="15" thickBot="1">
      <c r="A233" s="3249" t="s">
        <v>304</v>
      </c>
      <c r="B233" s="3239" t="s">
        <v>3214</v>
      </c>
      <c r="C233" s="3241"/>
      <c r="D233" s="3241"/>
      <c r="E233" s="3241"/>
      <c r="F233" s="3240">
        <v>0.05</v>
      </c>
      <c r="G233" s="3254"/>
    </row>
    <row r="234" spans="1:7">
      <c r="A234" s="3245" t="s">
        <v>305</v>
      </c>
      <c r="B234" s="3231" t="s">
        <v>2863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2883</v>
      </c>
      <c r="C238" s="3236">
        <v>0.14899999999999999</v>
      </c>
      <c r="D238" s="3236">
        <v>0.14899999999999999</v>
      </c>
      <c r="E238" s="3236">
        <v>0.15</v>
      </c>
      <c r="F238" s="3236">
        <v>0.15</v>
      </c>
      <c r="G238" s="3237">
        <v>0.15</v>
      </c>
    </row>
    <row r="239" spans="1:7">
      <c r="A239" s="3246" t="s">
        <v>305</v>
      </c>
      <c r="B239" s="3235" t="s">
        <v>2887</v>
      </c>
      <c r="C239" s="3236">
        <v>0.15</v>
      </c>
      <c r="D239" s="3236">
        <v>0.15</v>
      </c>
      <c r="E239" s="3236">
        <v>0.15</v>
      </c>
      <c r="F239" s="3236">
        <v>0.15</v>
      </c>
      <c r="G239" s="3237">
        <v>0.15</v>
      </c>
    </row>
    <row r="240" spans="1:7">
      <c r="A240" s="3246" t="s">
        <v>305</v>
      </c>
      <c r="B240" s="3235" t="s">
        <v>2892</v>
      </c>
      <c r="C240" s="3236">
        <v>0.15</v>
      </c>
      <c r="D240" s="3236">
        <v>0.15</v>
      </c>
      <c r="E240" s="3236">
        <v>0.15</v>
      </c>
      <c r="F240" s="3236">
        <v>0.15</v>
      </c>
      <c r="G240" s="3237">
        <v>0.15</v>
      </c>
    </row>
    <row r="241" spans="1:7">
      <c r="A241" s="3246" t="s">
        <v>305</v>
      </c>
      <c r="B241" s="3235" t="s">
        <v>2896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2902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2910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2915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2923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2936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2945</v>
      </c>
      <c r="C258" s="3236">
        <v>0.14299999999999999</v>
      </c>
      <c r="D258" s="3236">
        <v>0.14299999999999999</v>
      </c>
      <c r="E258" s="3236">
        <v>0.15</v>
      </c>
      <c r="F258" s="3236">
        <v>0.14799999999999999</v>
      </c>
      <c r="G258" s="3237">
        <v>0.14599999999999999</v>
      </c>
    </row>
    <row r="259" spans="1:7">
      <c r="A259" s="3246" t="s">
        <v>305</v>
      </c>
      <c r="B259" s="3235" t="s">
        <v>2949</v>
      </c>
      <c r="C259" s="3236">
        <v>0.14399999999999999</v>
      </c>
      <c r="D259" s="3236">
        <v>0.14399999999999999</v>
      </c>
      <c r="E259" s="3236">
        <v>0.14899999999999999</v>
      </c>
      <c r="F259" s="3236">
        <v>0.14699999999999999</v>
      </c>
      <c r="G259" s="3237">
        <v>0.14599999999999999</v>
      </c>
    </row>
    <row r="260" spans="1:7">
      <c r="A260" s="3246" t="s">
        <v>305</v>
      </c>
      <c r="B260" s="3235" t="s">
        <v>2956</v>
      </c>
      <c r="C260" s="3236">
        <v>0.109</v>
      </c>
      <c r="D260" s="3236">
        <v>0.111</v>
      </c>
      <c r="E260" s="3236">
        <v>0.13100000000000001</v>
      </c>
      <c r="F260" s="3236">
        <v>0.126</v>
      </c>
      <c r="G260" s="3237">
        <v>0.11899999999999999</v>
      </c>
    </row>
    <row r="261" spans="1:7">
      <c r="A261" s="3246" t="s">
        <v>305</v>
      </c>
      <c r="B261" s="3235" t="s">
        <v>2963</v>
      </c>
      <c r="C261" s="3236">
        <v>0.1</v>
      </c>
      <c r="D261" s="3236">
        <v>0.1</v>
      </c>
      <c r="E261" s="3236">
        <v>0.11799999999999999</v>
      </c>
      <c r="F261" s="3236">
        <v>0.108</v>
      </c>
      <c r="G261" s="3237">
        <v>0.107</v>
      </c>
    </row>
    <row r="262" spans="1:7">
      <c r="A262" s="3246" t="s">
        <v>305</v>
      </c>
      <c r="B262" s="3235" t="s">
        <v>2969</v>
      </c>
      <c r="C262" s="3236">
        <v>0.1</v>
      </c>
      <c r="D262" s="3236">
        <v>0.1</v>
      </c>
      <c r="E262" s="3236">
        <v>0.1</v>
      </c>
      <c r="F262" s="3236">
        <v>0.14099999999999999</v>
      </c>
      <c r="G262" s="3237">
        <v>0.1</v>
      </c>
    </row>
    <row r="263" spans="1:7">
      <c r="A263" s="3246" t="s">
        <v>305</v>
      </c>
      <c r="B263" s="3235" t="s">
        <v>2976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2987</v>
      </c>
      <c r="C265" s="3247"/>
      <c r="D265" s="3247"/>
      <c r="E265" s="3247"/>
      <c r="F265" s="3236">
        <v>0.05</v>
      </c>
      <c r="G265" s="3253"/>
    </row>
    <row r="266" spans="1:7">
      <c r="A266" s="3246" t="s">
        <v>305</v>
      </c>
      <c r="B266" s="3235" t="s">
        <v>2991</v>
      </c>
      <c r="C266" s="3247"/>
      <c r="D266" s="3247"/>
      <c r="E266" s="3247"/>
      <c r="F266" s="3236">
        <v>0.05</v>
      </c>
      <c r="G266" s="3253"/>
    </row>
    <row r="267" spans="1:7">
      <c r="A267" s="3246" t="s">
        <v>305</v>
      </c>
      <c r="B267" s="3235" t="s">
        <v>2996</v>
      </c>
      <c r="C267" s="3247"/>
      <c r="D267" s="3247"/>
      <c r="E267" s="3247"/>
      <c r="F267" s="3236">
        <v>0.05</v>
      </c>
      <c r="G267" s="3253"/>
    </row>
    <row r="268" spans="1:7">
      <c r="A268" s="3246" t="s">
        <v>305</v>
      </c>
      <c r="B268" s="3235" t="s">
        <v>3001</v>
      </c>
      <c r="C268" s="3247"/>
      <c r="D268" s="3247"/>
      <c r="E268" s="3247"/>
      <c r="F268" s="3236">
        <v>0.05</v>
      </c>
      <c r="G268" s="3253"/>
    </row>
    <row r="269" spans="1:7">
      <c r="A269" s="3246" t="s">
        <v>305</v>
      </c>
      <c r="B269" s="3235" t="s">
        <v>3006</v>
      </c>
      <c r="C269" s="3247"/>
      <c r="D269" s="3247"/>
      <c r="E269" s="3247"/>
      <c r="F269" s="3236">
        <v>0.05</v>
      </c>
      <c r="G269" s="3253"/>
    </row>
    <row r="270" spans="1:7">
      <c r="A270" s="3246" t="s">
        <v>305</v>
      </c>
      <c r="B270" s="3235" t="s">
        <v>3011</v>
      </c>
      <c r="C270" s="3247"/>
      <c r="D270" s="3247"/>
      <c r="E270" s="3247"/>
      <c r="F270" s="3236">
        <v>0.05</v>
      </c>
      <c r="G270" s="3253"/>
    </row>
    <row r="271" spans="1:7">
      <c r="A271" s="3246" t="s">
        <v>305</v>
      </c>
      <c r="B271" s="3235" t="s">
        <v>3215</v>
      </c>
      <c r="C271" s="3247"/>
      <c r="D271" s="3247"/>
      <c r="E271" s="3247"/>
      <c r="F271" s="3236">
        <v>0.05</v>
      </c>
      <c r="G271" s="3253"/>
    </row>
    <row r="272" spans="1:7">
      <c r="A272" s="3246" t="s">
        <v>305</v>
      </c>
      <c r="B272" s="3235" t="s">
        <v>3216</v>
      </c>
      <c r="C272" s="3247"/>
      <c r="D272" s="3247"/>
      <c r="E272" s="3247"/>
      <c r="F272" s="3236">
        <v>0.05</v>
      </c>
      <c r="G272" s="3253"/>
    </row>
    <row r="273" spans="1:7">
      <c r="A273" s="3246" t="s">
        <v>305</v>
      </c>
      <c r="B273" s="3235" t="s">
        <v>3217</v>
      </c>
      <c r="C273" s="3247"/>
      <c r="D273" s="3247"/>
      <c r="E273" s="3247"/>
      <c r="F273" s="3236">
        <v>0.05</v>
      </c>
      <c r="G273" s="3253"/>
    </row>
    <row r="274" spans="1:7">
      <c r="A274" s="3246" t="s">
        <v>305</v>
      </c>
      <c r="B274" s="3235" t="s">
        <v>3218</v>
      </c>
      <c r="C274" s="3247"/>
      <c r="D274" s="3247"/>
      <c r="E274" s="3247"/>
      <c r="F274" s="3236">
        <v>0.05</v>
      </c>
      <c r="G274" s="3253"/>
    </row>
    <row r="275" spans="1:7">
      <c r="A275" s="3246" t="s">
        <v>305</v>
      </c>
      <c r="B275" s="3235" t="s">
        <v>3219</v>
      </c>
      <c r="C275" s="3247"/>
      <c r="D275" s="3247"/>
      <c r="E275" s="3247"/>
      <c r="F275" s="3236">
        <v>0.05</v>
      </c>
      <c r="G275" s="3253"/>
    </row>
    <row r="276" spans="1:7" ht="15" thickBot="1">
      <c r="A276" s="3249" t="s">
        <v>305</v>
      </c>
      <c r="B276" s="3239" t="s">
        <v>3220</v>
      </c>
      <c r="C276" s="3241"/>
      <c r="D276" s="3241"/>
      <c r="E276" s="3241"/>
      <c r="F276" s="3240">
        <v>0.05</v>
      </c>
      <c r="G276" s="3254"/>
    </row>
    <row r="277" spans="1:7">
      <c r="A277" s="3245" t="s">
        <v>306</v>
      </c>
      <c r="B277" s="3231" t="s">
        <v>2864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2876</v>
      </c>
      <c r="C279" s="3236">
        <v>0.15</v>
      </c>
      <c r="D279" s="3236">
        <v>0.15</v>
      </c>
      <c r="E279" s="3236">
        <v>0.15</v>
      </c>
      <c r="F279" s="3236">
        <v>0.15</v>
      </c>
      <c r="G279" s="3237">
        <v>0.15</v>
      </c>
    </row>
    <row r="280" spans="1:7">
      <c r="A280" s="3246" t="s">
        <v>306</v>
      </c>
      <c r="B280" s="3235" t="s">
        <v>2880</v>
      </c>
      <c r="C280" s="3236">
        <v>0.15</v>
      </c>
      <c r="D280" s="3236">
        <v>0.15</v>
      </c>
      <c r="E280" s="3236">
        <v>0.15</v>
      </c>
      <c r="F280" s="3236">
        <v>0.15</v>
      </c>
      <c r="G280" s="3237">
        <v>0.15</v>
      </c>
    </row>
    <row r="281" spans="1:7">
      <c r="A281" s="3246" t="s">
        <v>306</v>
      </c>
      <c r="B281" s="3235" t="s">
        <v>2884</v>
      </c>
      <c r="C281" s="3236">
        <v>0.15</v>
      </c>
      <c r="D281" s="3236">
        <v>0.15</v>
      </c>
      <c r="E281" s="3236">
        <v>0.15</v>
      </c>
      <c r="F281" s="3236">
        <v>0.15</v>
      </c>
      <c r="G281" s="3237">
        <v>0.15</v>
      </c>
    </row>
    <row r="282" spans="1:7">
      <c r="A282" s="3246" t="s">
        <v>306</v>
      </c>
      <c r="B282" s="3235" t="s">
        <v>2888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2903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2908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2918</v>
      </c>
      <c r="C293" s="3236">
        <v>0.15</v>
      </c>
      <c r="D293" s="3236">
        <v>0.15</v>
      </c>
      <c r="E293" s="3236">
        <v>0.15</v>
      </c>
      <c r="F293" s="3236">
        <v>0.14499999999999999</v>
      </c>
      <c r="G293" s="3237">
        <v>0.15</v>
      </c>
    </row>
    <row r="294" spans="1:7">
      <c r="A294" s="3246" t="s">
        <v>306</v>
      </c>
      <c r="B294" s="3235" t="s">
        <v>2920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2937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2950</v>
      </c>
      <c r="C302" s="3236">
        <v>0.15</v>
      </c>
      <c r="D302" s="3236">
        <v>0.15</v>
      </c>
      <c r="E302" s="3236">
        <v>0.15</v>
      </c>
      <c r="F302" s="3236">
        <v>0.14699999999999999</v>
      </c>
      <c r="G302" s="3237">
        <v>0.15</v>
      </c>
    </row>
    <row r="303" spans="1:7">
      <c r="A303" s="3246" t="s">
        <v>306</v>
      </c>
      <c r="B303" s="3235" t="s">
        <v>2957</v>
      </c>
      <c r="C303" s="3236">
        <v>0.15</v>
      </c>
      <c r="D303" s="3236">
        <v>0.15</v>
      </c>
      <c r="E303" s="3236">
        <v>0.15</v>
      </c>
      <c r="F303" s="3236">
        <v>0.14199999999999999</v>
      </c>
      <c r="G303" s="3237">
        <v>0.15</v>
      </c>
    </row>
    <row r="304" spans="1:7">
      <c r="A304" s="3246" t="s">
        <v>306</v>
      </c>
      <c r="B304" s="3235" t="s">
        <v>2964</v>
      </c>
      <c r="C304" s="3236">
        <v>0.15</v>
      </c>
      <c r="D304" s="3236">
        <v>0.15</v>
      </c>
      <c r="E304" s="3236">
        <v>0.15</v>
      </c>
      <c r="F304" s="3236">
        <v>0.14499999999999999</v>
      </c>
      <c r="G304" s="3237">
        <v>0.15</v>
      </c>
    </row>
    <row r="305" spans="1:7">
      <c r="A305" s="3246" t="s">
        <v>306</v>
      </c>
      <c r="B305" s="3235" t="s">
        <v>2970</v>
      </c>
      <c r="C305" s="3236">
        <v>0.15</v>
      </c>
      <c r="D305" s="3236">
        <v>0.15</v>
      </c>
      <c r="E305" s="3236">
        <v>0.15</v>
      </c>
      <c r="F305" s="3236">
        <v>0.111</v>
      </c>
      <c r="G305" s="3237">
        <v>0.15</v>
      </c>
    </row>
    <row r="306" spans="1:7">
      <c r="A306" s="3246" t="s">
        <v>306</v>
      </c>
      <c r="B306" s="3235" t="s">
        <v>2977</v>
      </c>
      <c r="C306" s="3236">
        <v>0.15</v>
      </c>
      <c r="D306" s="3236">
        <v>0.15</v>
      </c>
      <c r="E306" s="3236">
        <v>0.15</v>
      </c>
      <c r="F306" s="3236">
        <v>0.126</v>
      </c>
      <c r="G306" s="3237">
        <v>0.15</v>
      </c>
    </row>
    <row r="307" spans="1:7">
      <c r="A307" s="3246" t="s">
        <v>306</v>
      </c>
      <c r="B307" s="3235" t="s">
        <v>2982</v>
      </c>
      <c r="C307" s="3236">
        <v>0.15</v>
      </c>
      <c r="D307" s="3236">
        <v>0.15</v>
      </c>
      <c r="E307" s="3236">
        <v>0.15</v>
      </c>
      <c r="F307" s="3236">
        <v>0.12</v>
      </c>
      <c r="G307" s="3237">
        <v>0.15</v>
      </c>
    </row>
    <row r="308" spans="1:7">
      <c r="A308" s="3246" t="s">
        <v>306</v>
      </c>
      <c r="B308" s="3235" t="s">
        <v>2988</v>
      </c>
      <c r="C308" s="3236">
        <v>0.15</v>
      </c>
      <c r="D308" s="3236">
        <v>0.15</v>
      </c>
      <c r="E308" s="3236">
        <v>0.15</v>
      </c>
      <c r="F308" s="3236">
        <v>0.13</v>
      </c>
      <c r="G308" s="3237">
        <v>0.15</v>
      </c>
    </row>
    <row r="309" spans="1:7">
      <c r="A309" s="3246" t="s">
        <v>306</v>
      </c>
      <c r="B309" s="3235" t="s">
        <v>2992</v>
      </c>
      <c r="C309" s="3236">
        <v>0.15</v>
      </c>
      <c r="D309" s="3236">
        <v>0.15</v>
      </c>
      <c r="E309" s="3236">
        <v>0.15</v>
      </c>
      <c r="F309" s="3236">
        <v>0.14099999999999999</v>
      </c>
      <c r="G309" s="3237">
        <v>0.15</v>
      </c>
    </row>
    <row r="310" spans="1:7">
      <c r="A310" s="3246" t="s">
        <v>306</v>
      </c>
      <c r="B310" s="3235" t="s">
        <v>2997</v>
      </c>
      <c r="C310" s="3236">
        <v>0.15</v>
      </c>
      <c r="D310" s="3236">
        <v>0.15</v>
      </c>
      <c r="E310" s="3236">
        <v>0.15</v>
      </c>
      <c r="F310" s="3236">
        <v>0.15</v>
      </c>
      <c r="G310" s="3237">
        <v>0.15</v>
      </c>
    </row>
    <row r="311" spans="1:7">
      <c r="A311" s="3246" t="s">
        <v>306</v>
      </c>
      <c r="B311" s="3235" t="s">
        <v>3002</v>
      </c>
      <c r="C311" s="3236">
        <v>0.13200000000000001</v>
      </c>
      <c r="D311" s="3236">
        <v>0.13300000000000001</v>
      </c>
      <c r="E311" s="3236">
        <v>0.14499999999999999</v>
      </c>
      <c r="F311" s="3236">
        <v>0.14199999999999999</v>
      </c>
      <c r="G311" s="3237">
        <v>0.14000000000000001</v>
      </c>
    </row>
    <row r="312" spans="1:7">
      <c r="A312" s="3246" t="s">
        <v>306</v>
      </c>
      <c r="B312" s="3235" t="s">
        <v>3007</v>
      </c>
      <c r="C312" s="3236">
        <v>0.13800000000000001</v>
      </c>
      <c r="D312" s="3236">
        <v>0.14000000000000001</v>
      </c>
      <c r="E312" s="3236">
        <v>0.14599999999999999</v>
      </c>
      <c r="F312" s="3236">
        <v>0.14899999999999999</v>
      </c>
      <c r="G312" s="3237">
        <v>0.14199999999999999</v>
      </c>
    </row>
    <row r="313" spans="1:7">
      <c r="A313" s="3246" t="s">
        <v>306</v>
      </c>
      <c r="B313" s="3235" t="s">
        <v>3012</v>
      </c>
      <c r="C313" s="3236">
        <v>0.125</v>
      </c>
      <c r="D313" s="3236">
        <v>0.127</v>
      </c>
      <c r="E313" s="3236">
        <v>0.14399999999999999</v>
      </c>
      <c r="F313" s="3236">
        <v>0.115</v>
      </c>
      <c r="G313" s="3237">
        <v>0.13600000000000001</v>
      </c>
    </row>
    <row r="314" spans="1:7">
      <c r="A314" s="3246" t="s">
        <v>306</v>
      </c>
      <c r="B314" s="3235" t="s">
        <v>3221</v>
      </c>
      <c r="C314" s="3252"/>
      <c r="D314" s="3252"/>
      <c r="E314" s="3252"/>
      <c r="F314" s="3236">
        <v>0.05</v>
      </c>
      <c r="G314" s="3253"/>
    </row>
    <row r="315" spans="1:7">
      <c r="A315" s="3246" t="s">
        <v>306</v>
      </c>
      <c r="B315" s="3235" t="s">
        <v>3222</v>
      </c>
      <c r="C315" s="3252"/>
      <c r="D315" s="3252"/>
      <c r="E315" s="3252"/>
      <c r="F315" s="3236">
        <v>0.05</v>
      </c>
      <c r="G315" s="3253"/>
    </row>
    <row r="316" spans="1:7">
      <c r="A316" s="3246" t="s">
        <v>306</v>
      </c>
      <c r="B316" s="3235" t="s">
        <v>3223</v>
      </c>
      <c r="C316" s="3247"/>
      <c r="D316" s="3247"/>
      <c r="E316" s="3247"/>
      <c r="F316" s="3236">
        <v>0.05</v>
      </c>
      <c r="G316" s="3253"/>
    </row>
    <row r="317" spans="1:7">
      <c r="A317" s="3246" t="s">
        <v>306</v>
      </c>
      <c r="B317" s="3235" t="s">
        <v>3224</v>
      </c>
      <c r="C317" s="3247"/>
      <c r="D317" s="3247"/>
      <c r="E317" s="3247"/>
      <c r="F317" s="3236">
        <v>0.05</v>
      </c>
      <c r="G317" s="3253"/>
    </row>
    <row r="318" spans="1:7">
      <c r="A318" s="3246" t="s">
        <v>306</v>
      </c>
      <c r="B318" s="3235" t="s">
        <v>3225</v>
      </c>
      <c r="C318" s="3247"/>
      <c r="D318" s="3247"/>
      <c r="E318" s="3247"/>
      <c r="F318" s="3236">
        <v>0.05</v>
      </c>
      <c r="G318" s="3253"/>
    </row>
    <row r="319" spans="1:7">
      <c r="A319" s="3246" t="s">
        <v>306</v>
      </c>
      <c r="B319" s="3235" t="s">
        <v>3226</v>
      </c>
      <c r="C319" s="3247"/>
      <c r="D319" s="3247"/>
      <c r="E319" s="3247"/>
      <c r="F319" s="3236">
        <v>0.05</v>
      </c>
      <c r="G319" s="3253"/>
    </row>
    <row r="320" spans="1:7">
      <c r="A320" s="3246" t="s">
        <v>306</v>
      </c>
      <c r="B320" s="3235" t="s">
        <v>3227</v>
      </c>
      <c r="C320" s="3247"/>
      <c r="D320" s="3247"/>
      <c r="E320" s="3247"/>
      <c r="F320" s="3236">
        <v>0.05</v>
      </c>
      <c r="G320" s="3253"/>
    </row>
    <row r="321" spans="1:7">
      <c r="A321" s="3246" t="s">
        <v>306</v>
      </c>
      <c r="B321" s="3235" t="s">
        <v>3228</v>
      </c>
      <c r="C321" s="3247"/>
      <c r="D321" s="3247"/>
      <c r="E321" s="3247"/>
      <c r="F321" s="3236">
        <v>0.05</v>
      </c>
      <c r="G321" s="3253"/>
    </row>
    <row r="322" spans="1:7">
      <c r="A322" s="3246" t="s">
        <v>306</v>
      </c>
      <c r="B322" s="3235" t="s">
        <v>3229</v>
      </c>
      <c r="C322" s="3247"/>
      <c r="D322" s="3247"/>
      <c r="E322" s="3247"/>
      <c r="F322" s="3236">
        <v>0.05</v>
      </c>
      <c r="G322" s="3253"/>
    </row>
    <row r="323" spans="1:7">
      <c r="A323" s="3246" t="s">
        <v>306</v>
      </c>
      <c r="B323" s="3235" t="s">
        <v>3230</v>
      </c>
      <c r="C323" s="3247"/>
      <c r="D323" s="3247"/>
      <c r="E323" s="3247"/>
      <c r="F323" s="3236">
        <v>0.05</v>
      </c>
      <c r="G323" s="3253"/>
    </row>
    <row r="324" spans="1:7">
      <c r="A324" s="3246" t="s">
        <v>306</v>
      </c>
      <c r="B324" s="3235" t="s">
        <v>3231</v>
      </c>
      <c r="C324" s="3247"/>
      <c r="D324" s="3247"/>
      <c r="E324" s="3247"/>
      <c r="F324" s="3236">
        <v>0.05</v>
      </c>
      <c r="G324" s="3253"/>
    </row>
    <row r="325" spans="1:7">
      <c r="A325" s="3246" t="s">
        <v>306</v>
      </c>
      <c r="B325" s="3235" t="s">
        <v>3232</v>
      </c>
      <c r="C325" s="3247"/>
      <c r="D325" s="3247"/>
      <c r="E325" s="3247"/>
      <c r="F325" s="3236">
        <v>0.05</v>
      </c>
      <c r="G325" s="3253"/>
    </row>
    <row r="326" spans="1:7" ht="15" thickBot="1">
      <c r="A326" s="3249" t="s">
        <v>306</v>
      </c>
      <c r="B326" s="3239" t="s">
        <v>3233</v>
      </c>
      <c r="C326" s="3241"/>
      <c r="D326" s="3241"/>
      <c r="E326" s="3241"/>
      <c r="F326" s="3240">
        <v>0.05</v>
      </c>
      <c r="G326" s="3254"/>
    </row>
    <row r="327" spans="1:7">
      <c r="A327" s="3245" t="s">
        <v>307</v>
      </c>
      <c r="B327" s="3231" t="s">
        <v>2865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2877</v>
      </c>
      <c r="C329" s="3236">
        <v>0.15</v>
      </c>
      <c r="D329" s="3236">
        <v>0.15</v>
      </c>
      <c r="E329" s="3236">
        <v>0.15</v>
      </c>
      <c r="F329" s="3236">
        <v>0.15</v>
      </c>
      <c r="G329" s="3237">
        <v>0.15</v>
      </c>
    </row>
    <row r="330" spans="1:7">
      <c r="A330" s="3246" t="s">
        <v>307</v>
      </c>
      <c r="B330" s="3235" t="s">
        <v>2881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2889</v>
      </c>
      <c r="C332" s="3236">
        <v>0.15</v>
      </c>
      <c r="D332" s="3236">
        <v>0.15</v>
      </c>
      <c r="E332" s="3236">
        <v>0.15</v>
      </c>
      <c r="F332" s="3236">
        <v>0.15</v>
      </c>
      <c r="G332" s="3237">
        <v>0.15</v>
      </c>
    </row>
    <row r="333" spans="1:7">
      <c r="A333" s="3246" t="s">
        <v>307</v>
      </c>
      <c r="B333" s="3235" t="s">
        <v>2893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2899</v>
      </c>
      <c r="C336" s="3236">
        <v>0.15</v>
      </c>
      <c r="D336" s="3236">
        <v>0.15</v>
      </c>
      <c r="E336" s="3236">
        <v>0.15</v>
      </c>
      <c r="F336" s="3236">
        <v>0.14199999999999999</v>
      </c>
      <c r="G336" s="3237">
        <v>0.15</v>
      </c>
    </row>
    <row r="337" spans="1:7">
      <c r="A337" s="3246" t="s">
        <v>307</v>
      </c>
      <c r="B337" s="3235" t="s">
        <v>2904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2911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2916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2924</v>
      </c>
      <c r="C345" s="3236">
        <v>0.15</v>
      </c>
      <c r="D345" s="3236">
        <v>0.15</v>
      </c>
      <c r="E345" s="3236">
        <v>0.15</v>
      </c>
      <c r="F345" s="3236">
        <v>0.13800000000000001</v>
      </c>
      <c r="G345" s="3237">
        <v>0.15</v>
      </c>
    </row>
    <row r="346" spans="1:7">
      <c r="A346" s="3246" t="s">
        <v>307</v>
      </c>
      <c r="B346" s="3235" t="s">
        <v>2926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2933</v>
      </c>
      <c r="C348" s="3236">
        <v>0.15</v>
      </c>
      <c r="D348" s="3236">
        <v>0.15</v>
      </c>
      <c r="E348" s="3236">
        <v>0.15</v>
      </c>
      <c r="F348" s="3236">
        <v>0.14399999999999999</v>
      </c>
      <c r="G348" s="3237">
        <v>0.15</v>
      </c>
    </row>
    <row r="349" spans="1:7">
      <c r="A349" s="3246" t="s">
        <v>307</v>
      </c>
      <c r="B349" s="3235" t="s">
        <v>2938</v>
      </c>
      <c r="C349" s="3236">
        <v>0.15</v>
      </c>
      <c r="D349" s="3236">
        <v>0.15</v>
      </c>
      <c r="E349" s="3236">
        <v>0.15</v>
      </c>
      <c r="F349" s="3236">
        <v>0.15</v>
      </c>
      <c r="G349" s="3237">
        <v>0.15</v>
      </c>
    </row>
    <row r="350" spans="1:7">
      <c r="A350" s="3246" t="s">
        <v>307</v>
      </c>
      <c r="B350" s="3235" t="s">
        <v>2941</v>
      </c>
      <c r="C350" s="3236">
        <v>0.15</v>
      </c>
      <c r="D350" s="3236">
        <v>0.15</v>
      </c>
      <c r="E350" s="3236">
        <v>0.15</v>
      </c>
      <c r="F350" s="3236">
        <v>0.14699999999999999</v>
      </c>
      <c r="G350" s="3237">
        <v>0.15</v>
      </c>
    </row>
    <row r="351" spans="1:7">
      <c r="A351" s="3246" t="s">
        <v>307</v>
      </c>
      <c r="B351" s="3235" t="s">
        <v>2946</v>
      </c>
      <c r="C351" s="3236">
        <v>0.15</v>
      </c>
      <c r="D351" s="3236">
        <v>0.15</v>
      </c>
      <c r="E351" s="3236">
        <v>0.15</v>
      </c>
      <c r="F351" s="3236">
        <v>0.13</v>
      </c>
      <c r="G351" s="3237">
        <v>0.15</v>
      </c>
    </row>
    <row r="352" spans="1:7">
      <c r="A352" s="3246" t="s">
        <v>307</v>
      </c>
      <c r="B352" s="3235" t="s">
        <v>2951</v>
      </c>
      <c r="C352" s="3236">
        <v>0.15</v>
      </c>
      <c r="D352" s="3236">
        <v>0.15</v>
      </c>
      <c r="E352" s="3236">
        <v>0.15</v>
      </c>
      <c r="F352" s="3236">
        <v>0.14599999999999999</v>
      </c>
      <c r="G352" s="3237">
        <v>0.15</v>
      </c>
    </row>
    <row r="353" spans="1:7">
      <c r="A353" s="3246" t="s">
        <v>307</v>
      </c>
      <c r="B353" s="3235" t="s">
        <v>2958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2971</v>
      </c>
      <c r="C355" s="3236">
        <v>0.15</v>
      </c>
      <c r="D355" s="3236">
        <v>0.15</v>
      </c>
      <c r="E355" s="3236">
        <v>0.15</v>
      </c>
      <c r="F355" s="3236">
        <v>0.15</v>
      </c>
      <c r="G355" s="3237">
        <v>0.15</v>
      </c>
    </row>
    <row r="356" spans="1:7">
      <c r="A356" s="3246" t="s">
        <v>307</v>
      </c>
      <c r="B356" s="3235" t="s">
        <v>2978</v>
      </c>
      <c r="C356" s="3236">
        <v>0.15</v>
      </c>
      <c r="D356" s="3236">
        <v>0.15</v>
      </c>
      <c r="E356" s="3236">
        <v>0.15</v>
      </c>
      <c r="F356" s="3236">
        <v>0.15</v>
      </c>
      <c r="G356" s="3237">
        <v>0.15</v>
      </c>
    </row>
    <row r="357" spans="1:7" ht="15" thickBot="1">
      <c r="A357" s="3249" t="s">
        <v>307</v>
      </c>
      <c r="B357" s="3239" t="s">
        <v>2983</v>
      </c>
      <c r="C357" s="3240">
        <v>0.126</v>
      </c>
      <c r="D357" s="3240">
        <v>0.127</v>
      </c>
      <c r="E357" s="3240">
        <v>0.14299999999999999</v>
      </c>
      <c r="F357" s="3240">
        <v>0.125</v>
      </c>
      <c r="G357" s="3242">
        <v>0.129</v>
      </c>
    </row>
    <row r="358" spans="1:7">
      <c r="A358" s="3245" t="s">
        <v>2852</v>
      </c>
      <c r="B358" s="3231" t="s">
        <v>2866</v>
      </c>
      <c r="C358" s="3232">
        <v>0.15</v>
      </c>
      <c r="D358" s="3232">
        <v>0.15</v>
      </c>
      <c r="E358" s="3232">
        <v>0.15</v>
      </c>
      <c r="F358" s="3232">
        <v>0.15</v>
      </c>
      <c r="G358" s="3233">
        <v>0.15</v>
      </c>
    </row>
    <row r="359" spans="1:7">
      <c r="A359" s="3246" t="s">
        <v>2852</v>
      </c>
      <c r="B359" s="3235" t="s">
        <v>2872</v>
      </c>
      <c r="C359" s="3236">
        <v>0.1</v>
      </c>
      <c r="D359" s="3236">
        <v>0.1</v>
      </c>
      <c r="E359" s="3236">
        <v>0.1</v>
      </c>
      <c r="F359" s="3236">
        <v>0.1</v>
      </c>
      <c r="G359" s="3237">
        <v>0.1</v>
      </c>
    </row>
    <row r="360" spans="1:7">
      <c r="A360" s="3246" t="s">
        <v>2852</v>
      </c>
      <c r="B360" s="3235" t="s">
        <v>2878</v>
      </c>
      <c r="C360" s="3236">
        <v>0.15</v>
      </c>
      <c r="D360" s="3236">
        <v>0.15</v>
      </c>
      <c r="E360" s="3236">
        <v>0.15</v>
      </c>
      <c r="F360" s="3236">
        <v>0.14899999999999999</v>
      </c>
      <c r="G360" s="3237">
        <v>0.15</v>
      </c>
    </row>
    <row r="361" spans="1:7">
      <c r="A361" s="3246" t="s">
        <v>2852</v>
      </c>
      <c r="B361" s="3235" t="s">
        <v>153</v>
      </c>
      <c r="C361" s="3236">
        <v>0.15</v>
      </c>
      <c r="D361" s="3236">
        <v>0.15</v>
      </c>
      <c r="E361" s="3236">
        <v>0.15</v>
      </c>
      <c r="F361" s="3236">
        <v>0.115</v>
      </c>
      <c r="G361" s="3237">
        <v>0.15</v>
      </c>
    </row>
    <row r="362" spans="1:7">
      <c r="A362" s="3246" t="s">
        <v>2852</v>
      </c>
      <c r="B362" s="3235" t="s">
        <v>2885</v>
      </c>
      <c r="C362" s="3236">
        <v>0.15</v>
      </c>
      <c r="D362" s="3236">
        <v>0.15</v>
      </c>
      <c r="E362" s="3236">
        <v>0.15</v>
      </c>
      <c r="F362" s="3236">
        <v>0.106</v>
      </c>
      <c r="G362" s="3237">
        <v>0.15</v>
      </c>
    </row>
    <row r="363" spans="1:7">
      <c r="A363" s="3246" t="s">
        <v>2852</v>
      </c>
      <c r="B363" s="3235" t="s">
        <v>2890</v>
      </c>
      <c r="C363" s="3236">
        <v>0.15</v>
      </c>
      <c r="D363" s="3236">
        <v>0.15</v>
      </c>
      <c r="E363" s="3236">
        <v>0.15</v>
      </c>
      <c r="F363" s="3236">
        <v>0.14699999999999999</v>
      </c>
      <c r="G363" s="3237">
        <v>0.15</v>
      </c>
    </row>
    <row r="364" spans="1:7">
      <c r="A364" s="3246" t="s">
        <v>2852</v>
      </c>
      <c r="B364" s="3235" t="s">
        <v>2894</v>
      </c>
      <c r="C364" s="3236">
        <v>0.15</v>
      </c>
      <c r="D364" s="3236">
        <v>0.15</v>
      </c>
      <c r="E364" s="3236">
        <v>0.15</v>
      </c>
      <c r="F364" s="3236">
        <v>0.14799999999999999</v>
      </c>
      <c r="G364" s="3237">
        <v>0.15</v>
      </c>
    </row>
    <row r="365" spans="1:7">
      <c r="A365" s="3246" t="s">
        <v>2852</v>
      </c>
      <c r="B365" s="3235" t="s">
        <v>200</v>
      </c>
      <c r="C365" s="3236">
        <v>0.15</v>
      </c>
      <c r="D365" s="3236">
        <v>0.15</v>
      </c>
      <c r="E365" s="3236">
        <v>0.15</v>
      </c>
      <c r="F365" s="3236">
        <v>0.15</v>
      </c>
      <c r="G365" s="3237">
        <v>0.15</v>
      </c>
    </row>
    <row r="366" spans="1:7">
      <c r="A366" s="3246" t="s">
        <v>2852</v>
      </c>
      <c r="B366" s="3235" t="s">
        <v>2897</v>
      </c>
      <c r="C366" s="3236">
        <v>0.15</v>
      </c>
      <c r="D366" s="3236">
        <v>0.15</v>
      </c>
      <c r="E366" s="3236">
        <v>0.15</v>
      </c>
      <c r="F366" s="3236">
        <v>0.15</v>
      </c>
      <c r="G366" s="3237">
        <v>0.15</v>
      </c>
    </row>
    <row r="367" spans="1:7">
      <c r="A367" s="3246" t="s">
        <v>2852</v>
      </c>
      <c r="B367" s="3235" t="s">
        <v>2900</v>
      </c>
      <c r="C367" s="3236">
        <v>0.15</v>
      </c>
      <c r="D367" s="3236">
        <v>0.15</v>
      </c>
      <c r="E367" s="3236">
        <v>0.15</v>
      </c>
      <c r="F367" s="3236">
        <v>0.14699999999999999</v>
      </c>
      <c r="G367" s="3237">
        <v>0.15</v>
      </c>
    </row>
    <row r="368" spans="1:7">
      <c r="A368" s="3246" t="s">
        <v>2852</v>
      </c>
      <c r="B368" s="3235" t="s">
        <v>2905</v>
      </c>
      <c r="C368" s="3236">
        <v>0.15</v>
      </c>
      <c r="D368" s="3236">
        <v>0.15</v>
      </c>
      <c r="E368" s="3236">
        <v>0.15</v>
      </c>
      <c r="F368" s="3236">
        <v>0.13600000000000001</v>
      </c>
      <c r="G368" s="3237">
        <v>0.15</v>
      </c>
    </row>
    <row r="369" spans="1:7">
      <c r="A369" s="3246" t="s">
        <v>2852</v>
      </c>
      <c r="B369" s="3235" t="s">
        <v>214</v>
      </c>
      <c r="C369" s="3236">
        <v>0.15</v>
      </c>
      <c r="D369" s="3236">
        <v>0.15</v>
      </c>
      <c r="E369" s="3236">
        <v>0.15</v>
      </c>
      <c r="F369" s="3236">
        <v>0.14399999999999999</v>
      </c>
      <c r="G369" s="3237">
        <v>0.15</v>
      </c>
    </row>
    <row r="370" spans="1:7">
      <c r="A370" s="3246" t="s">
        <v>2852</v>
      </c>
      <c r="B370" s="3235" t="s">
        <v>221</v>
      </c>
      <c r="C370" s="3236">
        <v>0.15</v>
      </c>
      <c r="D370" s="3236">
        <v>0.15</v>
      </c>
      <c r="E370" s="3236">
        <v>0.15</v>
      </c>
      <c r="F370" s="3236">
        <v>0.14599999999999999</v>
      </c>
      <c r="G370" s="3237">
        <v>0.15</v>
      </c>
    </row>
    <row r="371" spans="1:7">
      <c r="A371" s="3246" t="s">
        <v>2852</v>
      </c>
      <c r="B371" s="3235" t="s">
        <v>229</v>
      </c>
      <c r="C371" s="3236">
        <v>0.15</v>
      </c>
      <c r="D371" s="3236">
        <v>0.15</v>
      </c>
      <c r="E371" s="3236">
        <v>0.15</v>
      </c>
      <c r="F371" s="3236">
        <v>0.12</v>
      </c>
      <c r="G371" s="3237">
        <v>0.15</v>
      </c>
    </row>
    <row r="372" spans="1:7">
      <c r="A372" s="3246" t="s">
        <v>2852</v>
      </c>
      <c r="B372" s="3235" t="s">
        <v>2913</v>
      </c>
      <c r="C372" s="3236">
        <v>0.15</v>
      </c>
      <c r="D372" s="3236">
        <v>0.15</v>
      </c>
      <c r="E372" s="3236">
        <v>0.15</v>
      </c>
      <c r="F372" s="3236">
        <v>0.14299999999999999</v>
      </c>
      <c r="G372" s="3237">
        <v>0.15</v>
      </c>
    </row>
    <row r="373" spans="1:7">
      <c r="A373" s="3246" t="s">
        <v>2852</v>
      </c>
      <c r="B373" s="3235" t="s">
        <v>258</v>
      </c>
      <c r="C373" s="3236">
        <v>0.15</v>
      </c>
      <c r="D373" s="3236">
        <v>0.15</v>
      </c>
      <c r="E373" s="3236">
        <v>0.15</v>
      </c>
      <c r="F373" s="3236">
        <v>0.14599999999999999</v>
      </c>
      <c r="G373" s="3237">
        <v>0.15</v>
      </c>
    </row>
    <row r="374" spans="1:7">
      <c r="A374" s="3246" t="s">
        <v>2852</v>
      </c>
      <c r="B374" s="3235" t="s">
        <v>266</v>
      </c>
      <c r="C374" s="3236">
        <v>0.15</v>
      </c>
      <c r="D374" s="3236">
        <v>0.15</v>
      </c>
      <c r="E374" s="3236">
        <v>0.15</v>
      </c>
      <c r="F374" s="3236">
        <v>0.14399999999999999</v>
      </c>
      <c r="G374" s="3237">
        <v>0.15</v>
      </c>
    </row>
    <row r="375" spans="1:7">
      <c r="A375" s="3246" t="s">
        <v>2852</v>
      </c>
      <c r="B375" s="3235" t="s">
        <v>2921</v>
      </c>
      <c r="C375" s="3236">
        <v>0.15</v>
      </c>
      <c r="D375" s="3236">
        <v>0.15</v>
      </c>
      <c r="E375" s="3236">
        <v>0.15</v>
      </c>
      <c r="F375" s="3236">
        <v>0.13</v>
      </c>
      <c r="G375" s="3237">
        <v>0.15</v>
      </c>
    </row>
    <row r="376" spans="1:7">
      <c r="A376" s="3246" t="s">
        <v>2852</v>
      </c>
      <c r="B376" s="3235" t="s">
        <v>277</v>
      </c>
      <c r="C376" s="3236">
        <v>0.15</v>
      </c>
      <c r="D376" s="3236">
        <v>0.15</v>
      </c>
      <c r="E376" s="3236">
        <v>0.15</v>
      </c>
      <c r="F376" s="3236">
        <v>0.14199999999999999</v>
      </c>
      <c r="G376" s="3237">
        <v>0.15</v>
      </c>
    </row>
    <row r="377" spans="1:7" ht="15" thickBot="1">
      <c r="A377" s="3249" t="s">
        <v>2852</v>
      </c>
      <c r="B377" s="3239" t="s">
        <v>2927</v>
      </c>
      <c r="C377" s="3240">
        <v>0.15</v>
      </c>
      <c r="D377" s="3240">
        <v>0.15</v>
      </c>
      <c r="E377" s="3240">
        <v>0.15</v>
      </c>
      <c r="F377" s="3240">
        <v>0.14000000000000001</v>
      </c>
      <c r="G377" s="3242">
        <v>0.15</v>
      </c>
    </row>
    <row r="378" spans="1:7">
      <c r="A378" s="3245" t="s">
        <v>2853</v>
      </c>
      <c r="B378" s="3231" t="s">
        <v>2867</v>
      </c>
      <c r="C378" s="3232">
        <v>0.15</v>
      </c>
      <c r="D378" s="3232">
        <v>0.15</v>
      </c>
      <c r="E378" s="3232">
        <v>0.15</v>
      </c>
      <c r="F378" s="3232">
        <v>0.107</v>
      </c>
      <c r="G378" s="3233">
        <v>0.15</v>
      </c>
    </row>
    <row r="379" spans="1:7">
      <c r="A379" s="3246" t="s">
        <v>2853</v>
      </c>
      <c r="B379" s="3235" t="s">
        <v>2873</v>
      </c>
      <c r="C379" s="3236">
        <v>0.15</v>
      </c>
      <c r="D379" s="3236">
        <v>0.15</v>
      </c>
      <c r="E379" s="3236">
        <v>0.15</v>
      </c>
      <c r="F379" s="3236">
        <v>0.115</v>
      </c>
      <c r="G379" s="3237">
        <v>0.14899999999999999</v>
      </c>
    </row>
    <row r="380" spans="1:7">
      <c r="A380" s="3246" t="s">
        <v>2853</v>
      </c>
      <c r="B380" s="3235" t="s">
        <v>2879</v>
      </c>
      <c r="C380" s="3236">
        <v>0.15</v>
      </c>
      <c r="D380" s="3236">
        <v>0.15</v>
      </c>
      <c r="E380" s="3236">
        <v>0.15</v>
      </c>
      <c r="F380" s="3236">
        <v>0.1</v>
      </c>
      <c r="G380" s="3237">
        <v>0.14799999999999999</v>
      </c>
    </row>
    <row r="381" spans="1:7">
      <c r="A381" s="3246" t="s">
        <v>2853</v>
      </c>
      <c r="B381" s="3235" t="s">
        <v>2882</v>
      </c>
      <c r="C381" s="3236">
        <v>0.15</v>
      </c>
      <c r="D381" s="3236">
        <v>0.15</v>
      </c>
      <c r="E381" s="3236">
        <v>0.15</v>
      </c>
      <c r="F381" s="3236">
        <v>0.126</v>
      </c>
      <c r="G381" s="3237">
        <v>0.15</v>
      </c>
    </row>
    <row r="382" spans="1:7">
      <c r="A382" s="3246" t="s">
        <v>2853</v>
      </c>
      <c r="B382" s="3235" t="s">
        <v>2886</v>
      </c>
      <c r="C382" s="3236">
        <v>0.15</v>
      </c>
      <c r="D382" s="3236">
        <v>0.15</v>
      </c>
      <c r="E382" s="3236">
        <v>0.15</v>
      </c>
      <c r="F382" s="3236">
        <v>0.15</v>
      </c>
      <c r="G382" s="3237">
        <v>0.15</v>
      </c>
    </row>
    <row r="383" spans="1:7">
      <c r="A383" s="3246" t="s">
        <v>2853</v>
      </c>
      <c r="B383" s="3235" t="s">
        <v>2891</v>
      </c>
      <c r="C383" s="3236">
        <v>0.15</v>
      </c>
      <c r="D383" s="3236">
        <v>0.15</v>
      </c>
      <c r="E383" s="3236">
        <v>0.15</v>
      </c>
      <c r="F383" s="3236">
        <v>0.14699999999999999</v>
      </c>
      <c r="G383" s="3237">
        <v>0.15</v>
      </c>
    </row>
    <row r="384" spans="1:7" ht="15" thickBot="1">
      <c r="A384" s="3256" t="s">
        <v>2853</v>
      </c>
      <c r="B384" s="3257" t="s">
        <v>2895</v>
      </c>
      <c r="C384" s="3258">
        <v>0.15</v>
      </c>
      <c r="D384" s="3258">
        <v>0.15</v>
      </c>
      <c r="E384" s="3258">
        <v>0.15</v>
      </c>
      <c r="F384" s="3258">
        <v>0.15</v>
      </c>
      <c r="G384" s="3259">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61"/>
  </cols>
  <sheetData>
    <row r="1" spans="1:6">
      <c r="A1" s="4291" t="s">
        <v>3234</v>
      </c>
      <c r="B1" s="4291"/>
      <c r="C1" s="4291"/>
      <c r="D1" s="4291"/>
      <c r="E1" s="4291"/>
      <c r="F1" s="4292"/>
    </row>
    <row r="2" spans="1:6">
      <c r="A2" s="3262" t="s">
        <v>3235</v>
      </c>
      <c r="B2" s="3263"/>
      <c r="C2" s="3263"/>
      <c r="D2" s="3263"/>
      <c r="E2" s="3263"/>
      <c r="F2" s="3263"/>
    </row>
    <row r="3" spans="1:6">
      <c r="A3" s="3262" t="s">
        <v>3236</v>
      </c>
      <c r="B3" s="3263"/>
      <c r="C3" s="3263"/>
      <c r="D3" s="3263"/>
      <c r="E3" s="3263"/>
      <c r="F3" s="3264" t="s">
        <v>3237</v>
      </c>
    </row>
    <row r="4" spans="1:6">
      <c r="A4" s="3265" t="s">
        <v>672</v>
      </c>
      <c r="B4" s="3265" t="s">
        <v>673</v>
      </c>
      <c r="C4" s="3265" t="s">
        <v>21</v>
      </c>
      <c r="D4" s="3265" t="s">
        <v>674</v>
      </c>
      <c r="E4" s="3265" t="s">
        <v>3</v>
      </c>
      <c r="F4" s="3265" t="s">
        <v>3238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192">
        <f>基准地价修正!G23</f>
        <v>37917</v>
      </c>
      <c r="B1" s="3181" t="s">
        <v>3373</v>
      </c>
      <c r="C1" s="3182"/>
      <c r="D1" s="3182"/>
      <c r="E1" s="3182"/>
      <c r="F1" s="3182"/>
      <c r="G1" s="3182"/>
      <c r="H1" s="3182"/>
      <c r="I1" s="3182"/>
      <c r="J1" s="3136"/>
      <c r="K1" s="3182" t="s">
        <v>454</v>
      </c>
      <c r="L1" s="3182"/>
      <c r="M1" s="3182"/>
      <c r="N1" s="3182"/>
      <c r="O1" s="3182"/>
      <c r="P1" s="3182"/>
      <c r="Q1" s="3136"/>
      <c r="R1" s="4293" t="s">
        <v>456</v>
      </c>
      <c r="S1" s="4294"/>
      <c r="T1" s="4294"/>
      <c r="U1" s="4294"/>
      <c r="V1" s="4294"/>
      <c r="W1" s="4294"/>
      <c r="X1" s="3136"/>
      <c r="Y1" s="4293" t="s">
        <v>457</v>
      </c>
      <c r="Z1" s="4294"/>
      <c r="AA1" s="4294"/>
      <c r="AB1" s="4294"/>
      <c r="AC1" s="4294"/>
      <c r="AD1" s="4294"/>
    </row>
    <row r="2" spans="1:30" s="3114" customFormat="1" ht="15" thickBot="1">
      <c r="B2" s="3115"/>
      <c r="C2" s="3116"/>
      <c r="D2" s="3117" t="s">
        <v>2812</v>
      </c>
      <c r="E2" s="3118" t="s">
        <v>2813</v>
      </c>
      <c r="F2" s="3118" t="s">
        <v>2814</v>
      </c>
      <c r="G2" s="3118" t="s">
        <v>2815</v>
      </c>
      <c r="H2" s="3118" t="s">
        <v>2816</v>
      </c>
      <c r="I2" s="3118" t="s">
        <v>2633</v>
      </c>
      <c r="J2" s="3119"/>
      <c r="K2" s="3117" t="s">
        <v>2812</v>
      </c>
      <c r="L2" s="3118" t="s">
        <v>2813</v>
      </c>
      <c r="M2" s="3118" t="s">
        <v>2814</v>
      </c>
      <c r="N2" s="3118" t="s">
        <v>2815</v>
      </c>
      <c r="O2" s="3118" t="s">
        <v>2817</v>
      </c>
      <c r="P2" s="3118" t="s">
        <v>2633</v>
      </c>
      <c r="Q2" s="3119"/>
      <c r="R2" s="3117" t="s">
        <v>2812</v>
      </c>
      <c r="S2" s="3118" t="s">
        <v>2813</v>
      </c>
      <c r="T2" s="3118" t="s">
        <v>2814</v>
      </c>
      <c r="U2" s="3118" t="s">
        <v>2818</v>
      </c>
      <c r="V2" s="3118" t="s">
        <v>2819</v>
      </c>
      <c r="W2" s="3118" t="s">
        <v>2633</v>
      </c>
      <c r="X2" s="3119"/>
      <c r="Y2" s="3117" t="s">
        <v>2812</v>
      </c>
      <c r="Z2" s="3118" t="s">
        <v>2813</v>
      </c>
      <c r="AA2" s="3118" t="s">
        <v>2814</v>
      </c>
      <c r="AB2" s="3118" t="s">
        <v>2820</v>
      </c>
      <c r="AC2" s="3118" t="s">
        <v>2819</v>
      </c>
      <c r="AD2" s="3118" t="s">
        <v>2633</v>
      </c>
    </row>
    <row r="3" spans="1:30" s="3132" customFormat="1" ht="13.2">
      <c r="A3" s="3120" t="s">
        <v>2821</v>
      </c>
      <c r="B3" s="3121"/>
      <c r="C3" s="3122"/>
      <c r="D3" s="3122">
        <f>ROUND(AVERAGEIF(D4:D19,"&lt;&gt;0"),2)</f>
        <v>0.59</v>
      </c>
      <c r="E3" s="3122">
        <f t="shared" ref="E3:H3" si="0">ROUND(AVERAGEIF(E4:E19,"&lt;&gt;0"),2)</f>
        <v>0.36</v>
      </c>
      <c r="F3" s="3122">
        <f t="shared" si="0"/>
        <v>0.06</v>
      </c>
      <c r="G3" s="3122">
        <f t="shared" si="0"/>
        <v>0.6</v>
      </c>
      <c r="H3" s="3122">
        <f t="shared" si="0"/>
        <v>0.6</v>
      </c>
      <c r="I3" s="3122">
        <f>F3</f>
        <v>0.06</v>
      </c>
      <c r="J3" s="3123"/>
      <c r="K3" s="3124">
        <f>ROUND(AVERAGEIF(K4:K19,"&lt;&gt;0"),4)</f>
        <v>5.8999999999999999E-3</v>
      </c>
      <c r="L3" s="3125">
        <f t="shared" ref="L3:O3" si="1">ROUND(AVERAGEIF(L4:L19,"&lt;&gt;0"),4)</f>
        <v>3.5999999999999999E-3</v>
      </c>
      <c r="M3" s="3125">
        <f t="shared" si="1"/>
        <v>5.9999999999999995E-4</v>
      </c>
      <c r="N3" s="3125">
        <f t="shared" si="1"/>
        <v>6.0000000000000001E-3</v>
      </c>
      <c r="O3" s="3125">
        <f t="shared" si="1"/>
        <v>6.0000000000000001E-3</v>
      </c>
      <c r="P3" s="3125">
        <f>M3</f>
        <v>5.9999999999999995E-4</v>
      </c>
      <c r="Q3" s="3123"/>
      <c r="R3" s="3126">
        <f>ROUND(SUMPRODUCT(PRODUCT(1+K4:K19)),4)</f>
        <v>1.0852999999999999</v>
      </c>
      <c r="S3" s="3127">
        <f t="shared" ref="S3:V3" si="2">ROUND(SUMPRODUCT(PRODUCT(1+L4:L19)),4)</f>
        <v>1.0513999999999999</v>
      </c>
      <c r="T3" s="3127">
        <f t="shared" si="2"/>
        <v>1.0083</v>
      </c>
      <c r="U3" s="3127">
        <f t="shared" si="2"/>
        <v>1.0871999999999999</v>
      </c>
      <c r="V3" s="3127">
        <f t="shared" si="2"/>
        <v>1.0880000000000001</v>
      </c>
      <c r="W3" s="3126">
        <f>T3</f>
        <v>1.0083</v>
      </c>
      <c r="X3" s="3123"/>
      <c r="Y3" s="3128">
        <f>ROUND(AVERAGEIF(Y6:Y19,"&lt;&gt;0"),4)</f>
        <v>8.3999999999999995E-3</v>
      </c>
      <c r="Z3" s="3129">
        <f t="shared" ref="Z3:AC3" si="3">ROUND(AVERAGEIF(Z6:Z19,"&lt;&gt;0"),4)</f>
        <v>3.5000000000000001E-3</v>
      </c>
      <c r="AA3" s="3130">
        <f t="shared" si="3"/>
        <v>8.0000000000000004E-4</v>
      </c>
      <c r="AB3" s="3128">
        <f t="shared" si="3"/>
        <v>9.1000000000000004E-3</v>
      </c>
      <c r="AC3" s="3131">
        <f t="shared" si="3"/>
        <v>6.1000000000000004E-3</v>
      </c>
      <c r="AD3" s="3128">
        <f>AA3</f>
        <v>8.0000000000000004E-4</v>
      </c>
    </row>
    <row r="4" spans="1:30" s="3133" customFormat="1" ht="13.2">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3.2">
      <c r="A5" s="2177" t="s">
        <v>3379</v>
      </c>
      <c r="B5" s="3148">
        <v>2024</v>
      </c>
      <c r="C5" s="3149">
        <v>3</v>
      </c>
      <c r="D5" s="3150">
        <v>0</v>
      </c>
      <c r="E5" s="3150">
        <v>0</v>
      </c>
      <c r="F5" s="3150">
        <v>0</v>
      </c>
      <c r="G5" s="3150">
        <v>0</v>
      </c>
      <c r="H5" s="3150">
        <v>0</v>
      </c>
      <c r="I5" s="3151">
        <f t="shared" ref="I5" si="4">F5</f>
        <v>0</v>
      </c>
      <c r="J5" s="3152"/>
      <c r="K5" s="3153">
        <f t="shared" ref="K5" si="5">D5/100</f>
        <v>0</v>
      </c>
      <c r="L5" s="3143">
        <f t="shared" ref="L5" si="6">E5/100</f>
        <v>0</v>
      </c>
      <c r="M5" s="3143">
        <f t="shared" ref="M5" si="7">F5/100</f>
        <v>0</v>
      </c>
      <c r="N5" s="3143">
        <f t="shared" ref="N5" si="8">G5/100</f>
        <v>0</v>
      </c>
      <c r="O5" s="3143">
        <f t="shared" ref="O5" si="9">H5/100</f>
        <v>0</v>
      </c>
      <c r="P5" s="3143">
        <f>M5</f>
        <v>0</v>
      </c>
      <c r="Q5" s="3152"/>
      <c r="R5" s="3154">
        <f>ROUND(IF(项目基本情况!$B$8="出让",SUMPRODUCT(PRODUCT(1+K5:$K$19)),SUMPRODUCT(PRODUCT(1+K5:$K$18))),4)</f>
        <v>1.0748</v>
      </c>
      <c r="S5" s="3154">
        <f>ROUND(IF(项目基本情况!$B$8="出让",SUMPRODUCT(PRODUCT(1+L5:$L$19)),SUMPRODUCT(PRODUCT(1+L5:$L$18))),4)</f>
        <v>1.0498000000000001</v>
      </c>
      <c r="T5" s="3154">
        <f>ROUND(IF(项目基本情况!$B$8="出让",SUMPRODUCT(PRODUCT(1+M5:$M$19)),SUMPRODUCT(PRODUCT(1+M5:$M$18))),4)</f>
        <v>1.0107999999999999</v>
      </c>
      <c r="U5" s="3154">
        <f>ROUND(IF(项目基本情况!$B$8="出让",SUMPRODUCT(PRODUCT(1+N5:$N$19)),SUMPRODUCT(PRODUCT(1+N5:$N$18))),4)</f>
        <v>1.0752999999999999</v>
      </c>
      <c r="V5" s="3154">
        <f>ROUND(IF(项目基本情况!$B$8="出让",SUMPRODUCT(PRODUCT(1+O5:$O$19)),SUMPRODUCT(PRODUCT(1+O5:$O$18))),4)</f>
        <v>1.0841000000000001</v>
      </c>
      <c r="W5" s="3154">
        <f>T5</f>
        <v>1.0107999999999999</v>
      </c>
      <c r="X5" s="3152"/>
      <c r="Y5" s="3155">
        <f>IF(D5=0,0,ROUND(AVERAGE(D5:D18)/100,4))</f>
        <v>0</v>
      </c>
      <c r="Z5" s="3155">
        <f t="shared" ref="Z5" si="10">IF(E5=0,0,ROUND(AVERAGE(E5:E18)/100,4))</f>
        <v>0</v>
      </c>
      <c r="AA5" s="3155">
        <f t="shared" ref="AA5" si="11">IF(F5=0,0,ROUND(AVERAGE(F5:F18)/100,4))</f>
        <v>0</v>
      </c>
      <c r="AB5" s="3155">
        <f t="shared" ref="AB5" si="12">IF(G5=0,0,ROUND(AVERAGE(G5:G18)/100,4))</f>
        <v>0</v>
      </c>
      <c r="AC5" s="3155">
        <f t="shared" ref="AC5" si="13">IF(H5=0,0,ROUND(AVERAGE(H5:H18)/100,4))</f>
        <v>0</v>
      </c>
      <c r="AD5" s="3155">
        <f t="shared" ref="AD5" si="14">AA5</f>
        <v>0</v>
      </c>
    </row>
    <row r="6" spans="1:30" s="3166" customFormat="1" ht="13.2">
      <c r="A6" s="3157" t="s">
        <v>3380</v>
      </c>
      <c r="B6" s="3158">
        <v>2024</v>
      </c>
      <c r="C6" s="3159">
        <v>2</v>
      </c>
      <c r="D6" s="3160">
        <v>-0.59</v>
      </c>
      <c r="E6" s="3160">
        <v>-0.21</v>
      </c>
      <c r="F6" s="3160">
        <v>-1.38</v>
      </c>
      <c r="G6" s="3160">
        <v>-1.24</v>
      </c>
      <c r="H6" s="3161">
        <v>0.34</v>
      </c>
      <c r="I6" s="3162">
        <f t="shared" ref="I6:I19" si="15">F6</f>
        <v>-1.38</v>
      </c>
      <c r="J6" s="3163"/>
      <c r="K6" s="3164">
        <f t="shared" ref="K6:O19" si="16">D6/100</f>
        <v>-5.8999999999999999E-3</v>
      </c>
      <c r="L6" s="3165">
        <f t="shared" si="16"/>
        <v>-2.0999999999999999E-3</v>
      </c>
      <c r="M6" s="3165">
        <f t="shared" si="16"/>
        <v>-1.38E-2</v>
      </c>
      <c r="N6" s="3165">
        <f t="shared" si="16"/>
        <v>-1.24E-2</v>
      </c>
      <c r="O6" s="3165">
        <f t="shared" si="16"/>
        <v>3.4000000000000002E-3</v>
      </c>
      <c r="P6" s="3165">
        <f>M6</f>
        <v>-1.38E-2</v>
      </c>
      <c r="Q6" s="3163"/>
      <c r="R6" s="3163">
        <f>ROUND(IF(项目基本情况!$B$8="出让",SUMPRODUCT(PRODUCT(1+K6:$K$19)),SUMPRODUCT(PRODUCT(1+K6:$K$18))),4)</f>
        <v>1.0748</v>
      </c>
      <c r="S6" s="3163">
        <f>ROUND(IF(项目基本情况!$B$8="出让",SUMPRODUCT(PRODUCT(1+L6:$L$19)),SUMPRODUCT(PRODUCT(1+L6:$L$18))),4)</f>
        <v>1.0498000000000001</v>
      </c>
      <c r="T6" s="3163">
        <f>ROUND(IF(项目基本情况!$B$8="出让",SUMPRODUCT(PRODUCT(1+M6:$M$19)),SUMPRODUCT(PRODUCT(1+M6:$M$18))),4)</f>
        <v>1.0107999999999999</v>
      </c>
      <c r="U6" s="3163">
        <f>ROUND(IF(项目基本情况!$B$8="出让",SUMPRODUCT(PRODUCT(1+N6:$N$19)),SUMPRODUCT(PRODUCT(1+N6:$N$18))),4)</f>
        <v>1.0752999999999999</v>
      </c>
      <c r="V6" s="3163">
        <f>ROUND(IF(项目基本情况!$B$8="出让",SUMPRODUCT(PRODUCT(1+O6:$O$19)),SUMPRODUCT(PRODUCT(1+O6:$O$18))),4)</f>
        <v>1.0841000000000001</v>
      </c>
      <c r="W6" s="3163">
        <f>T6</f>
        <v>1.0107999999999999</v>
      </c>
      <c r="X6" s="3163"/>
      <c r="Y6" s="3165">
        <f>IF(D6=0,0,ROUND(AVERAGE(D6:D19)/100,4))</f>
        <v>5.8999999999999999E-3</v>
      </c>
      <c r="Z6" s="3165">
        <f t="shared" ref="Z6:AC6" si="17">IF(E6=0,0,ROUND(AVERAGE(E6:E19)/100,4))</f>
        <v>3.5999999999999999E-3</v>
      </c>
      <c r="AA6" s="3165">
        <f t="shared" si="17"/>
        <v>5.9999999999999995E-4</v>
      </c>
      <c r="AB6" s="3165">
        <f t="shared" si="17"/>
        <v>6.0000000000000001E-3</v>
      </c>
      <c r="AC6" s="3165">
        <f t="shared" si="17"/>
        <v>6.0000000000000001E-3</v>
      </c>
      <c r="AD6" s="3165">
        <f t="shared" ref="AD6:AD18" si="18">AA6</f>
        <v>5.9999999999999995E-4</v>
      </c>
    </row>
    <row r="7" spans="1:30" s="3156" customFormat="1" ht="13.2">
      <c r="A7" s="3147" t="s">
        <v>3382</v>
      </c>
      <c r="B7" s="3148">
        <v>2024</v>
      </c>
      <c r="C7" s="3149">
        <v>1</v>
      </c>
      <c r="D7" s="3150">
        <v>0.08</v>
      </c>
      <c r="E7" s="3150">
        <v>0.46</v>
      </c>
      <c r="F7" s="3150">
        <v>-0.16</v>
      </c>
      <c r="G7" s="3150">
        <v>0.26</v>
      </c>
      <c r="H7" s="3167">
        <v>0.59</v>
      </c>
      <c r="I7" s="3151">
        <v>0</v>
      </c>
      <c r="J7" s="3152"/>
      <c r="K7" s="3153">
        <f t="shared" ref="K7" si="19">D7/100</f>
        <v>8.0000000000000004E-4</v>
      </c>
      <c r="L7" s="3143">
        <f t="shared" ref="L7" si="20">E7/100</f>
        <v>4.5999999999999999E-3</v>
      </c>
      <c r="M7" s="3143">
        <f t="shared" ref="M7" si="21">F7/100</f>
        <v>-1.6000000000000001E-3</v>
      </c>
      <c r="N7" s="3143">
        <f t="shared" ref="N7" si="22">G7/100</f>
        <v>2.5999999999999999E-3</v>
      </c>
      <c r="O7" s="3143">
        <f t="shared" ref="O7" si="23">H7/100</f>
        <v>5.8999999999999999E-3</v>
      </c>
      <c r="P7" s="3143">
        <f t="shared" ref="P7" si="24">M7</f>
        <v>-1.6000000000000001E-3</v>
      </c>
      <c r="Q7" s="3152"/>
      <c r="R7" s="3154">
        <f>ROUND(IF(项目基本情况!$B$8="出让",SUMPRODUCT(PRODUCT(1+K7:$K$19)),SUMPRODUCT(PRODUCT(1+K7:$K$18))),4)</f>
        <v>1.0811999999999999</v>
      </c>
      <c r="S7" s="3154">
        <f>ROUND(IF(项目基本情况!$B$8="出让",SUMPRODUCT(PRODUCT(1+L7:$L$19)),SUMPRODUCT(PRODUCT(1+L7:$L$18))),4)</f>
        <v>1.052</v>
      </c>
      <c r="T7" s="3154">
        <f>ROUND(IF(项目基本情况!$B$8="出让",SUMPRODUCT(PRODUCT(1+M7:$M$19)),SUMPRODUCT(PRODUCT(1+M7:$M$18))),4)</f>
        <v>1.0249999999999999</v>
      </c>
      <c r="U7" s="3154">
        <f>ROUND(IF(项目基本情况!$B$8="出让",SUMPRODUCT(PRODUCT(1+N7:$N$19)),SUMPRODUCT(PRODUCT(1+N7:$N$18))),4)</f>
        <v>1.0888</v>
      </c>
      <c r="V7" s="3154">
        <f>ROUND(IF(项目基本情况!$B$8="出让",SUMPRODUCT(PRODUCT(1+O7:$O$19)),SUMPRODUCT(PRODUCT(1+O7:$O$18))),4)</f>
        <v>1.0804</v>
      </c>
      <c r="W7" s="3154">
        <f t="shared" ref="W7" si="25">T7</f>
        <v>1.0249999999999999</v>
      </c>
      <c r="X7" s="3152"/>
      <c r="Y7" s="3155"/>
      <c r="Z7" s="3155"/>
      <c r="AA7" s="3155"/>
      <c r="AB7" s="3155"/>
      <c r="AC7" s="3155"/>
      <c r="AD7" s="3155"/>
    </row>
    <row r="8" spans="1:30" s="3156" customFormat="1" ht="13.2">
      <c r="A8" s="3147" t="s">
        <v>3377</v>
      </c>
      <c r="B8" s="3148">
        <v>2023</v>
      </c>
      <c r="C8" s="3149">
        <v>4</v>
      </c>
      <c r="D8" s="3150">
        <v>0.19</v>
      </c>
      <c r="E8" s="3150">
        <v>0.24</v>
      </c>
      <c r="F8" s="3150">
        <v>-0.16</v>
      </c>
      <c r="G8" s="3150">
        <v>0.17</v>
      </c>
      <c r="H8" s="3167">
        <v>0.61</v>
      </c>
      <c r="I8" s="3151">
        <f>F8</f>
        <v>-0.16</v>
      </c>
      <c r="J8" s="3152"/>
      <c r="K8" s="3153">
        <f t="shared" si="16"/>
        <v>1.9E-3</v>
      </c>
      <c r="L8" s="3143">
        <f t="shared" si="16"/>
        <v>2.3999999999999998E-3</v>
      </c>
      <c r="M8" s="3143">
        <f t="shared" si="16"/>
        <v>-1.6000000000000001E-3</v>
      </c>
      <c r="N8" s="3143">
        <f t="shared" si="16"/>
        <v>1.7000000000000001E-3</v>
      </c>
      <c r="O8" s="3143">
        <f t="shared" si="16"/>
        <v>6.0999999999999995E-3</v>
      </c>
      <c r="P8" s="3143">
        <f t="shared" ref="P8" si="26">M8</f>
        <v>-1.6000000000000001E-3</v>
      </c>
      <c r="Q8" s="3152"/>
      <c r="R8" s="3154">
        <f>ROUND(IF(项目基本情况!$B$8="出让",SUMPRODUCT(PRODUCT(1+K8:$K$19)),SUMPRODUCT(PRODUCT(1+K8:$K$18))),4)</f>
        <v>1.0804</v>
      </c>
      <c r="S8" s="3154">
        <f>ROUND(IF(项目基本情况!$B$8="出让",SUMPRODUCT(PRODUCT(1+L8:$L$19)),SUMPRODUCT(PRODUCT(1+L8:$L$18))),4)</f>
        <v>1.0471999999999999</v>
      </c>
      <c r="T8" s="3154">
        <f>ROUND(IF(项目基本情况!$B$8="出让",SUMPRODUCT(PRODUCT(1+M8:$M$19)),SUMPRODUCT(PRODUCT(1+M8:$M$18))),4)</f>
        <v>1.0266</v>
      </c>
      <c r="U8" s="3154">
        <f>ROUND(IF(项目基本情况!$B$8="出让",SUMPRODUCT(PRODUCT(1+N8:$N$19)),SUMPRODUCT(PRODUCT(1+N8:$N$18))),4)</f>
        <v>1.0859000000000001</v>
      </c>
      <c r="V8" s="3154">
        <f>ROUND(IF(项目基本情况!$B$8="出让",SUMPRODUCT(PRODUCT(1+O8:$O$19)),SUMPRODUCT(PRODUCT(1+O8:$O$18))),4)</f>
        <v>1.0741000000000001</v>
      </c>
      <c r="W8" s="3154">
        <f t="shared" ref="W8" si="27">T8</f>
        <v>1.0266</v>
      </c>
      <c r="X8" s="3152"/>
      <c r="Y8" s="3155"/>
      <c r="Z8" s="3155"/>
      <c r="AA8" s="3155"/>
      <c r="AB8" s="3155"/>
      <c r="AC8" s="3155"/>
      <c r="AD8" s="3155"/>
    </row>
    <row r="9" spans="1:30" s="3156" customFormat="1" ht="13.2">
      <c r="A9" s="3147" t="s">
        <v>3376</v>
      </c>
      <c r="B9" s="3148">
        <v>2023</v>
      </c>
      <c r="C9" s="3149">
        <v>3</v>
      </c>
      <c r="D9" s="3150">
        <v>0.25</v>
      </c>
      <c r="E9" s="3150">
        <v>0.5</v>
      </c>
      <c r="F9" s="3150">
        <v>0.31</v>
      </c>
      <c r="G9" s="3150">
        <v>0.21</v>
      </c>
      <c r="H9" s="3167">
        <v>0.43</v>
      </c>
      <c r="I9" s="3151">
        <f t="shared" si="15"/>
        <v>0.31</v>
      </c>
      <c r="J9" s="3152"/>
      <c r="K9" s="3153">
        <f t="shared" ref="K9:K11" si="28">D9/100</f>
        <v>2.5000000000000001E-3</v>
      </c>
      <c r="L9" s="3143">
        <f t="shared" ref="L9:L11" si="29">E9/100</f>
        <v>5.0000000000000001E-3</v>
      </c>
      <c r="M9" s="3143">
        <f t="shared" ref="M9:M11" si="30">F9/100</f>
        <v>3.0999999999999999E-3</v>
      </c>
      <c r="N9" s="3143">
        <f t="shared" ref="N9:N11" si="31">G9/100</f>
        <v>2.0999999999999999E-3</v>
      </c>
      <c r="O9" s="3143">
        <f t="shared" ref="O9:O11" si="32">H9/100</f>
        <v>4.3E-3</v>
      </c>
      <c r="P9" s="3143">
        <f t="shared" ref="P9:P11" si="33">M9</f>
        <v>3.0999999999999999E-3</v>
      </c>
      <c r="Q9" s="3152"/>
      <c r="R9" s="3154">
        <f>ROUND(IF(项目基本情况!$B$8="出让",SUMPRODUCT(PRODUCT(1+K9:$K$19)),SUMPRODUCT(PRODUCT(1+K9:$K$18))),4)</f>
        <v>1.0783</v>
      </c>
      <c r="S9" s="3154">
        <f>ROUND(IF(项目基本情况!$B$8="出让",SUMPRODUCT(PRODUCT(1+L9:$L$19)),SUMPRODUCT(PRODUCT(1+L9:$L$18))),4)</f>
        <v>1.0447</v>
      </c>
      <c r="T9" s="3154">
        <f>ROUND(IF(项目基本情况!$B$8="出让",SUMPRODUCT(PRODUCT(1+M9:$M$19)),SUMPRODUCT(PRODUCT(1+M9:$M$18))),4)</f>
        <v>1.0282</v>
      </c>
      <c r="U9" s="3154">
        <f>ROUND(IF(项目基本情况!$B$8="出让",SUMPRODUCT(PRODUCT(1+N9:$N$19)),SUMPRODUCT(PRODUCT(1+N9:$N$18))),4)</f>
        <v>1.0841000000000001</v>
      </c>
      <c r="V9" s="3154">
        <f>ROUND(IF(项目基本情况!$B$8="出让",SUMPRODUCT(PRODUCT(1+O9:$O$19)),SUMPRODUCT(PRODUCT(1+O9:$O$18))),4)</f>
        <v>1.0674999999999999</v>
      </c>
      <c r="W9" s="3154">
        <f t="shared" ref="W9:W10" si="34">T9</f>
        <v>1.0282</v>
      </c>
      <c r="X9" s="3152"/>
      <c r="Y9" s="3155"/>
      <c r="Z9" s="3155"/>
      <c r="AA9" s="3155"/>
      <c r="AB9" s="3155"/>
      <c r="AC9" s="3155"/>
      <c r="AD9" s="3155"/>
    </row>
    <row r="10" spans="1:30" s="3156" customFormat="1" ht="13.2">
      <c r="A10" s="3147" t="s">
        <v>3372</v>
      </c>
      <c r="B10" s="3148">
        <v>2023</v>
      </c>
      <c r="C10" s="3149">
        <v>2</v>
      </c>
      <c r="D10" s="3150">
        <v>0.91</v>
      </c>
      <c r="E10" s="3150">
        <v>0.66</v>
      </c>
      <c r="F10" s="3150">
        <v>0.47</v>
      </c>
      <c r="G10" s="3150">
        <v>0.96</v>
      </c>
      <c r="H10" s="3167">
        <v>0.71</v>
      </c>
      <c r="I10" s="3151">
        <f t="shared" si="15"/>
        <v>0.47</v>
      </c>
      <c r="J10" s="3152"/>
      <c r="K10" s="3153">
        <f t="shared" si="28"/>
        <v>9.1000000000000004E-3</v>
      </c>
      <c r="L10" s="3143">
        <f t="shared" si="29"/>
        <v>6.6E-3</v>
      </c>
      <c r="M10" s="3143">
        <f t="shared" si="30"/>
        <v>4.6999999999999993E-3</v>
      </c>
      <c r="N10" s="3143">
        <f t="shared" si="31"/>
        <v>9.5999999999999992E-3</v>
      </c>
      <c r="O10" s="3143">
        <f t="shared" si="32"/>
        <v>7.0999999999999995E-3</v>
      </c>
      <c r="P10" s="3143">
        <f t="shared" si="33"/>
        <v>4.6999999999999993E-3</v>
      </c>
      <c r="Q10" s="3152"/>
      <c r="R10" s="3154">
        <f>ROUND(IF(项目基本情况!$B$8="出让",SUMPRODUCT(PRODUCT(1+K10:$K$19)),SUMPRODUCT(PRODUCT(1+K10:$K$18))),4)</f>
        <v>1.0755999999999999</v>
      </c>
      <c r="S10" s="3154">
        <f>ROUND(IF(项目基本情况!$B$8="出让",SUMPRODUCT(PRODUCT(1+L10:$L$19)),SUMPRODUCT(PRODUCT(1+L10:$L$18))),4)</f>
        <v>1.0395000000000001</v>
      </c>
      <c r="T10" s="3154">
        <f>ROUND(IF(项目基本情况!$B$8="出让",SUMPRODUCT(PRODUCT(1+M10:$M$19)),SUMPRODUCT(PRODUCT(1+M10:$M$18))),4)</f>
        <v>1.0250999999999999</v>
      </c>
      <c r="U10" s="3154">
        <f>ROUND(IF(项目基本情况!$B$8="出让",SUMPRODUCT(PRODUCT(1+N10:$N$19)),SUMPRODUCT(PRODUCT(1+N10:$N$18))),4)</f>
        <v>1.0818000000000001</v>
      </c>
      <c r="V10" s="3154">
        <f>ROUND(IF(项目基本情况!$B$8="出让",SUMPRODUCT(PRODUCT(1+O10:$O$19)),SUMPRODUCT(PRODUCT(1+O10:$O$18))),4)</f>
        <v>1.0629999999999999</v>
      </c>
      <c r="W10" s="3154">
        <f t="shared" si="34"/>
        <v>1.0250999999999999</v>
      </c>
      <c r="X10" s="3152"/>
      <c r="Y10" s="3155"/>
      <c r="Z10" s="3155"/>
      <c r="AA10" s="3155"/>
      <c r="AB10" s="3155"/>
      <c r="AC10" s="3155"/>
      <c r="AD10" s="3155"/>
    </row>
    <row r="11" spans="1:30" s="3156" customFormat="1" ht="13.2">
      <c r="A11" s="3147" t="s">
        <v>3371</v>
      </c>
      <c r="B11" s="3148">
        <v>2023</v>
      </c>
      <c r="C11" s="3149">
        <v>1</v>
      </c>
      <c r="D11" s="3150">
        <v>0.89</v>
      </c>
      <c r="E11" s="3150">
        <v>0.74</v>
      </c>
      <c r="F11" s="3150">
        <v>0.56999999999999995</v>
      </c>
      <c r="G11" s="3150">
        <v>0.92</v>
      </c>
      <c r="H11" s="3167">
        <v>0.5</v>
      </c>
      <c r="I11" s="3151">
        <f t="shared" si="15"/>
        <v>0.56999999999999995</v>
      </c>
      <c r="J11" s="3152"/>
      <c r="K11" s="3153">
        <f t="shared" si="28"/>
        <v>8.8999999999999999E-3</v>
      </c>
      <c r="L11" s="3143">
        <f t="shared" si="29"/>
        <v>7.4000000000000003E-3</v>
      </c>
      <c r="M11" s="3143">
        <f t="shared" si="30"/>
        <v>5.6999999999999993E-3</v>
      </c>
      <c r="N11" s="3143">
        <f t="shared" si="31"/>
        <v>9.1999999999999998E-3</v>
      </c>
      <c r="O11" s="3143">
        <f t="shared" si="32"/>
        <v>5.0000000000000001E-3</v>
      </c>
      <c r="P11" s="3143">
        <f t="shared" si="33"/>
        <v>5.6999999999999993E-3</v>
      </c>
      <c r="Q11" s="3152"/>
      <c r="R11" s="3154">
        <f>ROUND(IF(项目基本情况!$B$8="出让",SUMPRODUCT(PRODUCT(1+K11:$K$19)),SUMPRODUCT(PRODUCT(1+K11:$K$18))),4)</f>
        <v>1.0659000000000001</v>
      </c>
      <c r="S11" s="3154">
        <f>ROUND(IF(项目基本情况!$B$8="出让",SUMPRODUCT(PRODUCT(1+L11:$L$19)),SUMPRODUCT(PRODUCT(1+L11:$L$18))),4)</f>
        <v>1.0326</v>
      </c>
      <c r="T11" s="3154">
        <f>ROUND(IF(项目基本情况!$B$8="出让",SUMPRODUCT(PRODUCT(1+M11:$M$19)),SUMPRODUCT(PRODUCT(1+M11:$M$18))),4)</f>
        <v>1.0203</v>
      </c>
      <c r="U11" s="3154">
        <f>ROUND(IF(项目基本情况!$B$8="出让",SUMPRODUCT(PRODUCT(1+N11:$N$19)),SUMPRODUCT(PRODUCT(1+N11:$N$18))),4)</f>
        <v>1.0714999999999999</v>
      </c>
      <c r="V11" s="3154">
        <f>ROUND(IF(项目基本情况!$B$8="出让",SUMPRODUCT(PRODUCT(1+O11:$O$19)),SUMPRODUCT(PRODUCT(1+O11:$O$18))),4)</f>
        <v>1.0555000000000001</v>
      </c>
      <c r="W11" s="3154">
        <f t="shared" ref="W11:W18" si="35">T11</f>
        <v>1.0203</v>
      </c>
      <c r="X11" s="3152"/>
      <c r="Y11" s="3155"/>
      <c r="Z11" s="3155"/>
      <c r="AA11" s="3155"/>
      <c r="AB11" s="3155"/>
      <c r="AC11" s="3155"/>
      <c r="AD11" s="3155"/>
    </row>
    <row r="12" spans="1:30" s="3156" customFormat="1" ht="13.2">
      <c r="A12" s="3147" t="s">
        <v>3370</v>
      </c>
      <c r="B12" s="3148">
        <v>2022</v>
      </c>
      <c r="C12" s="3149">
        <v>4</v>
      </c>
      <c r="D12" s="3150">
        <v>0.62</v>
      </c>
      <c r="E12" s="3150">
        <v>0.2</v>
      </c>
      <c r="F12" s="3150">
        <v>0.11</v>
      </c>
      <c r="G12" s="3150">
        <v>0.69</v>
      </c>
      <c r="H12" s="3167">
        <v>0.53</v>
      </c>
      <c r="I12" s="3151">
        <f t="shared" si="15"/>
        <v>0.11</v>
      </c>
      <c r="J12" s="3152"/>
      <c r="K12" s="3153">
        <f t="shared" si="16"/>
        <v>6.1999999999999998E-3</v>
      </c>
      <c r="L12" s="3143">
        <f t="shared" si="16"/>
        <v>2E-3</v>
      </c>
      <c r="M12" s="3143">
        <f t="shared" si="16"/>
        <v>1.1000000000000001E-3</v>
      </c>
      <c r="N12" s="3143">
        <f t="shared" si="16"/>
        <v>6.8999999999999999E-3</v>
      </c>
      <c r="O12" s="3143">
        <f t="shared" si="16"/>
        <v>5.3E-3</v>
      </c>
      <c r="P12" s="3143">
        <f t="shared" ref="P12:P19" si="36">M12</f>
        <v>1.1000000000000001E-3</v>
      </c>
      <c r="Q12" s="3152"/>
      <c r="R12" s="3154">
        <f>ROUND(IF(项目基本情况!$B$8="出让",SUMPRODUCT(PRODUCT(1+K12:$K$19)),SUMPRODUCT(PRODUCT(1+K12:$K$18))),4)</f>
        <v>1.0565</v>
      </c>
      <c r="S12" s="3154">
        <f>ROUND(IF(项目基本情况!$B$8="出让",SUMPRODUCT(PRODUCT(1+L12:$L$19)),SUMPRODUCT(PRODUCT(1+L12:$L$18))),4)</f>
        <v>1.0250999999999999</v>
      </c>
      <c r="T12" s="3154">
        <f>ROUND(IF(项目基本情况!$B$8="出让",SUMPRODUCT(PRODUCT(1+M12:$M$19)),SUMPRODUCT(PRODUCT(1+M12:$M$18))),4)</f>
        <v>1.0145</v>
      </c>
      <c r="U12" s="3154">
        <f>ROUND(IF(项目基本情况!$B$8="出让",SUMPRODUCT(PRODUCT(1+N12:$N$19)),SUMPRODUCT(PRODUCT(1+N12:$N$18))),4)</f>
        <v>1.0618000000000001</v>
      </c>
      <c r="V12" s="3154">
        <f>ROUND(IF(项目基本情况!$B$8="出让",SUMPRODUCT(PRODUCT(1+O12:$O$19)),SUMPRODUCT(PRODUCT(1+O12:$O$18))),4)</f>
        <v>1.0502</v>
      </c>
      <c r="W12" s="3154">
        <f t="shared" si="35"/>
        <v>1.0145</v>
      </c>
      <c r="X12" s="3152"/>
      <c r="Y12" s="3155">
        <f>IF(D12=0,0,ROUND(AVERAGE(D12:D20)/100,4))</f>
        <v>8.0999999999999996E-3</v>
      </c>
      <c r="Z12" s="3155">
        <f t="shared" ref="Z12:AC12" si="37">IF(E12=0,0,ROUND(AVERAGE(E12:E19)/100,4))</f>
        <v>3.3E-3</v>
      </c>
      <c r="AA12" s="3155">
        <f t="shared" si="37"/>
        <v>1.5E-3</v>
      </c>
      <c r="AB12" s="3155">
        <f t="shared" si="37"/>
        <v>8.8999999999999999E-3</v>
      </c>
      <c r="AC12" s="3155">
        <f t="shared" si="37"/>
        <v>6.6E-3</v>
      </c>
      <c r="AD12" s="3155">
        <f t="shared" si="18"/>
        <v>1.5E-3</v>
      </c>
    </row>
    <row r="13" spans="1:30" s="3156" customFormat="1" ht="13.2">
      <c r="A13" s="3147" t="s">
        <v>3366</v>
      </c>
      <c r="B13" s="3148">
        <v>2022</v>
      </c>
      <c r="C13" s="3149">
        <v>3</v>
      </c>
      <c r="D13" s="3150">
        <v>0.66</v>
      </c>
      <c r="E13" s="3150">
        <v>0.32</v>
      </c>
      <c r="F13" s="3150">
        <v>0.23</v>
      </c>
      <c r="G13" s="3150">
        <v>0.72</v>
      </c>
      <c r="H13" s="3167">
        <v>0.63</v>
      </c>
      <c r="I13" s="3151">
        <f t="shared" si="15"/>
        <v>0.23</v>
      </c>
      <c r="J13" s="3152"/>
      <c r="K13" s="3153">
        <f t="shared" si="16"/>
        <v>6.6E-3</v>
      </c>
      <c r="L13" s="3143">
        <f t="shared" si="16"/>
        <v>3.2000000000000002E-3</v>
      </c>
      <c r="M13" s="3143">
        <f t="shared" si="16"/>
        <v>2.3E-3</v>
      </c>
      <c r="N13" s="3143">
        <f t="shared" si="16"/>
        <v>7.1999999999999998E-3</v>
      </c>
      <c r="O13" s="3143">
        <f t="shared" si="16"/>
        <v>6.3E-3</v>
      </c>
      <c r="P13" s="3143">
        <f t="shared" si="36"/>
        <v>2.3E-3</v>
      </c>
      <c r="Q13" s="3152"/>
      <c r="R13" s="3154">
        <f>ROUND(IF(项目基本情况!$B$8="出让",SUMPRODUCT(PRODUCT(1+K13:$K$19)),SUMPRODUCT(PRODUCT(1+K13:$K$18))),4)</f>
        <v>1.05</v>
      </c>
      <c r="S13" s="3154">
        <f>ROUND(IF(项目基本情况!$B$8="出让",SUMPRODUCT(PRODUCT(1+L13:$L$19)),SUMPRODUCT(PRODUCT(1+L13:$L$18))),4)</f>
        <v>1.0229999999999999</v>
      </c>
      <c r="T13" s="3154">
        <f>ROUND(IF(项目基本情况!$B$8="出让",SUMPRODUCT(PRODUCT(1+M13:$M$19)),SUMPRODUCT(PRODUCT(1+M13:$M$18))),4)</f>
        <v>1.0134000000000001</v>
      </c>
      <c r="U13" s="3154">
        <f>ROUND(IF(项目基本情况!$B$8="出让",SUMPRODUCT(PRODUCT(1+N13:$N$19)),SUMPRODUCT(PRODUCT(1+N13:$N$18))),4)</f>
        <v>1.0545</v>
      </c>
      <c r="V13" s="3154">
        <f>ROUND(IF(项目基本情况!$B$8="出让",SUMPRODUCT(PRODUCT(1+O13:$O$19)),SUMPRODUCT(PRODUCT(1+O13:$O$18))),4)</f>
        <v>1.0447</v>
      </c>
      <c r="W13" s="3154">
        <f t="shared" si="35"/>
        <v>1.0134000000000001</v>
      </c>
      <c r="X13" s="3152"/>
      <c r="Y13" s="3155">
        <f>IF(D13=0,0,ROUND(AVERAGE(D13:D19)/100,4))</f>
        <v>8.3999999999999995E-3</v>
      </c>
      <c r="Z13" s="3155">
        <f t="shared" ref="Z13:AC13" si="38">IF(E13=0,0,ROUND(AVERAGE(E13:E19)/100,4))</f>
        <v>3.5000000000000001E-3</v>
      </c>
      <c r="AA13" s="3155">
        <f t="shared" si="38"/>
        <v>1.5E-3</v>
      </c>
      <c r="AB13" s="3155">
        <f t="shared" si="38"/>
        <v>9.1999999999999998E-3</v>
      </c>
      <c r="AC13" s="3155">
        <f t="shared" si="38"/>
        <v>6.7999999999999996E-3</v>
      </c>
      <c r="AD13" s="3155">
        <f t="shared" si="18"/>
        <v>1.5E-3</v>
      </c>
    </row>
    <row r="14" spans="1:30" s="3156" customFormat="1" ht="13.2">
      <c r="A14" s="3147" t="s">
        <v>3357</v>
      </c>
      <c r="B14" s="3148">
        <v>2022</v>
      </c>
      <c r="C14" s="3149">
        <v>2</v>
      </c>
      <c r="D14" s="3150">
        <v>0.93</v>
      </c>
      <c r="E14" s="3150">
        <v>0.15</v>
      </c>
      <c r="F14" s="3150">
        <v>0.01</v>
      </c>
      <c r="G14" s="3150">
        <v>1.05</v>
      </c>
      <c r="H14" s="3167">
        <v>1.08</v>
      </c>
      <c r="I14" s="3151">
        <f t="shared" si="15"/>
        <v>0.01</v>
      </c>
      <c r="J14" s="3152"/>
      <c r="K14" s="3153">
        <f t="shared" si="16"/>
        <v>9.300000000000001E-3</v>
      </c>
      <c r="L14" s="3143">
        <f t="shared" si="16"/>
        <v>1.5E-3</v>
      </c>
      <c r="M14" s="3143">
        <f t="shared" si="16"/>
        <v>1E-4</v>
      </c>
      <c r="N14" s="3143">
        <f t="shared" si="16"/>
        <v>1.0500000000000001E-2</v>
      </c>
      <c r="O14" s="3143">
        <f t="shared" si="16"/>
        <v>1.0800000000000001E-2</v>
      </c>
      <c r="P14" s="3143">
        <f t="shared" si="36"/>
        <v>1E-4</v>
      </c>
      <c r="Q14" s="3152"/>
      <c r="R14" s="3154">
        <f>ROUND(IF(项目基本情况!$B$8="出让",SUMPRODUCT(PRODUCT(1+K14:$K$19)),SUMPRODUCT(PRODUCT(1+K14:$K$18))),4)</f>
        <v>1.0430999999999999</v>
      </c>
      <c r="S14" s="3154">
        <f>ROUND(IF(项目基本情况!$B$8="出让",SUMPRODUCT(PRODUCT(1+L14:$L$19)),SUMPRODUCT(PRODUCT(1+L14:$L$18))),4)</f>
        <v>1.0197000000000001</v>
      </c>
      <c r="T14" s="3154">
        <f>ROUND(IF(项目基本情况!$B$8="出让",SUMPRODUCT(PRODUCT(1+M14:$M$19)),SUMPRODUCT(PRODUCT(1+M14:$M$18))),4)</f>
        <v>1.0109999999999999</v>
      </c>
      <c r="U14" s="3154">
        <f>ROUND(IF(项目基本情况!$B$8="出让",SUMPRODUCT(PRODUCT(1+N14:$N$19)),SUMPRODUCT(PRODUCT(1+N14:$N$18))),4)</f>
        <v>1.0468999999999999</v>
      </c>
      <c r="V14" s="3154">
        <f>ROUND(IF(项目基本情况!$B$8="出让",SUMPRODUCT(PRODUCT(1+O14:$O$19)),SUMPRODUCT(PRODUCT(1+O14:$O$18))),4)</f>
        <v>1.0382</v>
      </c>
      <c r="W14" s="3154">
        <f t="shared" si="35"/>
        <v>1.0109999999999999</v>
      </c>
      <c r="X14" s="3152"/>
      <c r="Y14" s="3155">
        <f>IF(D14=0,0,ROUND(AVERAGE(D14:D19)/100,4))</f>
        <v>8.6999999999999994E-3</v>
      </c>
      <c r="Z14" s="3155">
        <f t="shared" ref="Z14:AC14" si="39">IF(E14=0,0,ROUND(AVERAGE(E14:E19)/100,4))</f>
        <v>3.5000000000000001E-3</v>
      </c>
      <c r="AA14" s="3155">
        <f t="shared" si="39"/>
        <v>1.4E-3</v>
      </c>
      <c r="AB14" s="3155">
        <f t="shared" si="39"/>
        <v>9.4999999999999998E-3</v>
      </c>
      <c r="AC14" s="3155">
        <f t="shared" si="39"/>
        <v>6.8999999999999999E-3</v>
      </c>
      <c r="AD14" s="3155">
        <f t="shared" si="18"/>
        <v>1.4E-3</v>
      </c>
    </row>
    <row r="15" spans="1:30" s="3156" customFormat="1" ht="13.2">
      <c r="A15" s="3147" t="s">
        <v>2822</v>
      </c>
      <c r="B15" s="3148">
        <v>2022</v>
      </c>
      <c r="C15" s="3149">
        <v>1</v>
      </c>
      <c r="D15" s="3150">
        <v>0.89</v>
      </c>
      <c r="E15" s="3150">
        <v>0.44</v>
      </c>
      <c r="F15" s="3150">
        <v>0.37</v>
      </c>
      <c r="G15" s="3150">
        <v>0.96</v>
      </c>
      <c r="H15" s="3167">
        <v>0.64</v>
      </c>
      <c r="I15" s="3151">
        <f t="shared" si="15"/>
        <v>0.37</v>
      </c>
      <c r="J15" s="3152"/>
      <c r="K15" s="3153">
        <f t="shared" si="16"/>
        <v>8.8999999999999999E-3</v>
      </c>
      <c r="L15" s="3143">
        <f t="shared" si="16"/>
        <v>4.4000000000000003E-3</v>
      </c>
      <c r="M15" s="3143">
        <f t="shared" si="16"/>
        <v>3.7000000000000002E-3</v>
      </c>
      <c r="N15" s="3143">
        <f t="shared" si="16"/>
        <v>9.5999999999999992E-3</v>
      </c>
      <c r="O15" s="3143">
        <f t="shared" si="16"/>
        <v>6.4000000000000003E-3</v>
      </c>
      <c r="P15" s="3143">
        <f t="shared" si="36"/>
        <v>3.7000000000000002E-3</v>
      </c>
      <c r="Q15" s="3152"/>
      <c r="R15" s="3154">
        <f>ROUND(IF(项目基本情况!$B$8="出让",SUMPRODUCT(PRODUCT(1+K15:$K$19)),SUMPRODUCT(PRODUCT(1+K15:$K$18))),4)</f>
        <v>1.0335000000000001</v>
      </c>
      <c r="S15" s="3154">
        <f>ROUND(IF(项目基本情况!$B$8="出让",SUMPRODUCT(PRODUCT(1+L15:$L$19)),SUMPRODUCT(PRODUCT(1+L15:$L$18))),4)</f>
        <v>1.0182</v>
      </c>
      <c r="T15" s="3154">
        <f>ROUND(IF(项目基本情况!$B$8="出让",SUMPRODUCT(PRODUCT(1+M15:$M$19)),SUMPRODUCT(PRODUCT(1+M15:$M$18))),4)</f>
        <v>1.0108999999999999</v>
      </c>
      <c r="U15" s="3154">
        <f>ROUND(IF(项目基本情况!$B$8="出让",SUMPRODUCT(PRODUCT(1+N15:$N$19)),SUMPRODUCT(PRODUCT(1+N15:$N$18))),4)</f>
        <v>1.0361</v>
      </c>
      <c r="V15" s="3154">
        <f>ROUND(IF(项目基本情况!$B$8="出让",SUMPRODUCT(PRODUCT(1+O15:$O$19)),SUMPRODUCT(PRODUCT(1+O15:$O$18))),4)</f>
        <v>1.0270999999999999</v>
      </c>
      <c r="W15" s="3154">
        <f t="shared" si="35"/>
        <v>1.0108999999999999</v>
      </c>
      <c r="X15" s="3152"/>
      <c r="Y15" s="3155">
        <f>IF(D15=0,0,ROUND(AVERAGE(D15:D19)/100,4))</f>
        <v>8.6E-3</v>
      </c>
      <c r="Z15" s="3155">
        <f t="shared" ref="Z15:AC15" si="40">IF(E15=0,0,ROUND(AVERAGE(E15:E19)/100,4))</f>
        <v>3.8999999999999998E-3</v>
      </c>
      <c r="AA15" s="3155">
        <f t="shared" si="40"/>
        <v>1.6999999999999999E-3</v>
      </c>
      <c r="AB15" s="3155">
        <f t="shared" si="40"/>
        <v>9.2999999999999992E-3</v>
      </c>
      <c r="AC15" s="3155">
        <f t="shared" si="40"/>
        <v>6.1000000000000004E-3</v>
      </c>
      <c r="AD15" s="3155">
        <f t="shared" si="18"/>
        <v>1.6999999999999999E-3</v>
      </c>
    </row>
    <row r="16" spans="1:30" s="3156" customFormat="1" ht="13.2">
      <c r="A16" s="3147" t="s">
        <v>2823</v>
      </c>
      <c r="B16" s="3148">
        <v>2021</v>
      </c>
      <c r="C16" s="3149">
        <v>4</v>
      </c>
      <c r="D16" s="3150">
        <v>1.03</v>
      </c>
      <c r="E16" s="3150">
        <v>0.24</v>
      </c>
      <c r="F16" s="3150">
        <v>7.0000000000000007E-2</v>
      </c>
      <c r="G16" s="3150">
        <v>1.17</v>
      </c>
      <c r="H16" s="3167">
        <v>0.55000000000000004</v>
      </c>
      <c r="I16" s="3151">
        <f t="shared" si="15"/>
        <v>7.0000000000000007E-2</v>
      </c>
      <c r="J16" s="3152"/>
      <c r="K16" s="3153">
        <f t="shared" si="16"/>
        <v>1.03E-2</v>
      </c>
      <c r="L16" s="3143">
        <f t="shared" si="16"/>
        <v>2.3999999999999998E-3</v>
      </c>
      <c r="M16" s="3143">
        <f t="shared" si="16"/>
        <v>7.000000000000001E-4</v>
      </c>
      <c r="N16" s="3143">
        <f t="shared" si="16"/>
        <v>1.1699999999999999E-2</v>
      </c>
      <c r="O16" s="3143">
        <f t="shared" si="16"/>
        <v>5.5000000000000005E-3</v>
      </c>
      <c r="P16" s="3143">
        <f t="shared" si="36"/>
        <v>7.000000000000001E-4</v>
      </c>
      <c r="Q16" s="3152"/>
      <c r="R16" s="3154">
        <f>ROUND(IF(项目基本情况!$B$8="出让",SUMPRODUCT(PRODUCT(1+K16:$K$19)),SUMPRODUCT(PRODUCT(1+K16:$K$18))),4)</f>
        <v>1.0244</v>
      </c>
      <c r="S16" s="3154">
        <f>ROUND(IF(项目基本情况!$B$8="出让",SUMPRODUCT(PRODUCT(1+L16:$L$19)),SUMPRODUCT(PRODUCT(1+L16:$L$18))),4)</f>
        <v>1.0138</v>
      </c>
      <c r="T16" s="3154">
        <f>ROUND(IF(项目基本情况!$B$8="出让",SUMPRODUCT(PRODUCT(1+M16:$M$19)),SUMPRODUCT(PRODUCT(1+M16:$M$18))),4)</f>
        <v>1.0072000000000001</v>
      </c>
      <c r="U16" s="3154">
        <f>ROUND(IF(项目基本情况!$B$8="出让",SUMPRODUCT(PRODUCT(1+N16:$N$19)),SUMPRODUCT(PRODUCT(1+N16:$N$18))),4)</f>
        <v>1.0262</v>
      </c>
      <c r="V16" s="3154">
        <f>ROUND(IF(项目基本情况!$B$8="出让",SUMPRODUCT(PRODUCT(1+O16:$O$19)),SUMPRODUCT(PRODUCT(1+O16:$O$18))),4)</f>
        <v>1.0205</v>
      </c>
      <c r="W16" s="3154">
        <f t="shared" si="35"/>
        <v>1.0072000000000001</v>
      </c>
      <c r="X16" s="3152"/>
      <c r="Y16" s="3155">
        <f>IF(D16=0,0,ROUND(AVERAGE(D16:D19)/100,4))</f>
        <v>8.5000000000000006E-3</v>
      </c>
      <c r="Z16" s="3155">
        <f t="shared" ref="Z16:AC16" si="41">IF(E16=0,0,ROUND(AVERAGE(E16:E19)/100,4))</f>
        <v>3.8E-3</v>
      </c>
      <c r="AA16" s="3155">
        <f t="shared" si="41"/>
        <v>1.1999999999999999E-3</v>
      </c>
      <c r="AB16" s="3155">
        <f t="shared" si="41"/>
        <v>9.2999999999999992E-3</v>
      </c>
      <c r="AC16" s="3155">
        <f t="shared" si="41"/>
        <v>6.0000000000000001E-3</v>
      </c>
      <c r="AD16" s="3155">
        <f t="shared" si="18"/>
        <v>1.1999999999999999E-3</v>
      </c>
    </row>
    <row r="17" spans="1:30" s="3156" customFormat="1" ht="13.2">
      <c r="A17" s="3147" t="s">
        <v>2824</v>
      </c>
      <c r="B17" s="3148">
        <v>2021</v>
      </c>
      <c r="C17" s="3149">
        <v>3</v>
      </c>
      <c r="D17" s="3150">
        <v>0.47</v>
      </c>
      <c r="E17" s="3150">
        <v>0.41</v>
      </c>
      <c r="F17" s="3150">
        <v>0.24</v>
      </c>
      <c r="G17" s="3150">
        <v>0.48</v>
      </c>
      <c r="H17" s="3167">
        <v>0.48</v>
      </c>
      <c r="I17" s="3151">
        <f t="shared" si="15"/>
        <v>0.24</v>
      </c>
      <c r="J17" s="3152"/>
      <c r="K17" s="3153">
        <f t="shared" si="16"/>
        <v>4.6999999999999993E-3</v>
      </c>
      <c r="L17" s="3143">
        <f t="shared" si="16"/>
        <v>4.0999999999999995E-3</v>
      </c>
      <c r="M17" s="3143">
        <f t="shared" si="16"/>
        <v>2.3999999999999998E-3</v>
      </c>
      <c r="N17" s="3143">
        <f t="shared" si="16"/>
        <v>4.7999999999999996E-3</v>
      </c>
      <c r="O17" s="3143">
        <f t="shared" si="16"/>
        <v>4.7999999999999996E-3</v>
      </c>
      <c r="P17" s="3143">
        <f t="shared" si="36"/>
        <v>2.3999999999999998E-3</v>
      </c>
      <c r="Q17" s="3152"/>
      <c r="R17" s="3154">
        <f>ROUND(IF(项目基本情况!$B$8="出让",SUMPRODUCT(PRODUCT(1+K17:$K$19)),SUMPRODUCT(PRODUCT(1+K17:$K$18))),4)</f>
        <v>1.0139</v>
      </c>
      <c r="S17" s="3154">
        <f>ROUND(IF(项目基本情况!$B$8="出让",SUMPRODUCT(PRODUCT(1+L17:$L$19)),SUMPRODUCT(PRODUCT(1+L17:$L$18))),4)</f>
        <v>1.0113000000000001</v>
      </c>
      <c r="T17" s="3154">
        <f>ROUND(IF(项目基本情况!$B$8="出让",SUMPRODUCT(PRODUCT(1+M17:$M$19)),SUMPRODUCT(PRODUCT(1+M17:$M$18))),4)</f>
        <v>1.0065</v>
      </c>
      <c r="U17" s="3154">
        <f>ROUND(IF(项目基本情况!$B$8="出让",SUMPRODUCT(PRODUCT(1+N17:$N$19)),SUMPRODUCT(PRODUCT(1+N17:$N$18))),4)</f>
        <v>1.0143</v>
      </c>
      <c r="V17" s="3154">
        <f>ROUND(IF(项目基本情况!$B$8="出让",SUMPRODUCT(PRODUCT(1+O17:$O$19)),SUMPRODUCT(PRODUCT(1+O17:$O$18))),4)</f>
        <v>1.0148999999999999</v>
      </c>
      <c r="W17" s="3154">
        <f t="shared" si="35"/>
        <v>1.0065</v>
      </c>
      <c r="X17" s="3152"/>
      <c r="Y17" s="3155">
        <f>IF(D17=0,0,ROUND(AVERAGE(D17:D19)/100,4))</f>
        <v>7.9000000000000008E-3</v>
      </c>
      <c r="Z17" s="3155">
        <f>IF(E17=0,0,ROUND(AVERAGE(E17:E19)/100,4))</f>
        <v>4.3E-3</v>
      </c>
      <c r="AA17" s="3155">
        <f>IF(F17=0,0,ROUND(AVERAGE(F17:F19)/100,4))</f>
        <v>1.2999999999999999E-3</v>
      </c>
      <c r="AB17" s="3155">
        <f>IF(G17=0,0,ROUND(AVERAGE(G17:G19)/100,4))</f>
        <v>8.5000000000000006E-3</v>
      </c>
      <c r="AC17" s="3155">
        <f>IF(H17=0,0,ROUND(AVERAGE(H17:H19)/100,4))</f>
        <v>6.1999999999999998E-3</v>
      </c>
      <c r="AD17" s="3155">
        <f t="shared" si="18"/>
        <v>1.2999999999999999E-3</v>
      </c>
    </row>
    <row r="18" spans="1:30" s="3156" customFormat="1" ht="13.2">
      <c r="A18" s="3147" t="s">
        <v>2825</v>
      </c>
      <c r="B18" s="3148">
        <v>2021</v>
      </c>
      <c r="C18" s="3149">
        <v>2</v>
      </c>
      <c r="D18" s="3150">
        <v>0.92</v>
      </c>
      <c r="E18" s="3150">
        <v>0.72</v>
      </c>
      <c r="F18" s="3150">
        <v>0.41</v>
      </c>
      <c r="G18" s="3150">
        <v>0.95</v>
      </c>
      <c r="H18" s="3167">
        <v>1.01</v>
      </c>
      <c r="I18" s="3151">
        <f t="shared" si="15"/>
        <v>0.41</v>
      </c>
      <c r="J18" s="3152"/>
      <c r="K18" s="3153">
        <f t="shared" si="16"/>
        <v>9.1999999999999998E-3</v>
      </c>
      <c r="L18" s="3143">
        <f t="shared" si="16"/>
        <v>7.1999999999999998E-3</v>
      </c>
      <c r="M18" s="3143">
        <f t="shared" si="16"/>
        <v>4.0999999999999995E-3</v>
      </c>
      <c r="N18" s="3143">
        <f t="shared" si="16"/>
        <v>9.4999999999999998E-3</v>
      </c>
      <c r="O18" s="3143">
        <f t="shared" si="16"/>
        <v>1.01E-2</v>
      </c>
      <c r="P18" s="3143">
        <f t="shared" si="36"/>
        <v>4.0999999999999995E-3</v>
      </c>
      <c r="Q18" s="3152"/>
      <c r="R18" s="3154">
        <f>ROUND(IF(项目基本情况!$B$8="出让",SUMPRODUCT(PRODUCT(1+K18:$K$19)),SUMPRODUCT(PRODUCT(1+K18:$K$18))),4)</f>
        <v>1.0092000000000001</v>
      </c>
      <c r="S18" s="3154">
        <f>ROUND(IF(项目基本情况!$B$8="出让",SUMPRODUCT(PRODUCT(1+L18:$L$19)),SUMPRODUCT(PRODUCT(1+L18:$L$18))),4)</f>
        <v>1.0072000000000001</v>
      </c>
      <c r="T18" s="3154">
        <f>ROUND(IF(项目基本情况!$B$8="出让",SUMPRODUCT(PRODUCT(1+M18:$M$19)),SUMPRODUCT(PRODUCT(1+M18:$M$18))),4)</f>
        <v>1.0041</v>
      </c>
      <c r="U18" s="3154">
        <f>ROUND(IF(项目基本情况!$B$8="出让",SUMPRODUCT(PRODUCT(1+N18:$N$19)),SUMPRODUCT(PRODUCT(1+N18:$N$18))),4)</f>
        <v>1.0095000000000001</v>
      </c>
      <c r="V18" s="3154">
        <f>ROUND(IF(项目基本情况!$B$8="出让",SUMPRODUCT(PRODUCT(1+O18:$O$19)),SUMPRODUCT(PRODUCT(1+O18:$O$18))),4)</f>
        <v>1.0101</v>
      </c>
      <c r="W18" s="3154">
        <f t="shared" si="35"/>
        <v>1.0041</v>
      </c>
      <c r="X18" s="3152"/>
      <c r="Y18" s="3155">
        <f>IF(D18=0,0,ROUND(AVERAGE(D18:D19)/100,4))</f>
        <v>9.4999999999999998E-3</v>
      </c>
      <c r="Z18" s="3155">
        <f>IF(E18=0,0,ROUND(AVERAGE(E18:E19)/100,4))</f>
        <v>4.4000000000000003E-3</v>
      </c>
      <c r="AA18" s="3155">
        <f>IF(F18=0,0,ROUND(AVERAGE(F18:F19)/100,4))</f>
        <v>8.0000000000000004E-4</v>
      </c>
      <c r="AB18" s="3155">
        <f>IF(G18=0,0,ROUND(AVERAGE(G18:G19)/100,4))</f>
        <v>1.03E-2</v>
      </c>
      <c r="AC18" s="3155">
        <f>IF(H18=0,0,ROUND(AVERAGE(H18:H19)/100,4))</f>
        <v>6.8999999999999999E-3</v>
      </c>
      <c r="AD18" s="3155">
        <f t="shared" si="18"/>
        <v>8.0000000000000004E-4</v>
      </c>
    </row>
    <row r="19" spans="1:30" s="3178" customFormat="1" ht="13.8" thickBot="1">
      <c r="A19" s="3168" t="s">
        <v>2826</v>
      </c>
      <c r="B19" s="3169">
        <v>2021</v>
      </c>
      <c r="C19" s="3170">
        <v>1</v>
      </c>
      <c r="D19" s="3171">
        <v>0.97</v>
      </c>
      <c r="E19" s="3171">
        <v>0.16</v>
      </c>
      <c r="F19" s="3171">
        <v>-0.25</v>
      </c>
      <c r="G19" s="3171">
        <v>1.1100000000000001</v>
      </c>
      <c r="H19" s="3172">
        <v>0.36</v>
      </c>
      <c r="I19" s="3173">
        <f t="shared" si="15"/>
        <v>-0.25</v>
      </c>
      <c r="J19" s="3174"/>
      <c r="K19" s="3175">
        <f t="shared" si="16"/>
        <v>9.7000000000000003E-3</v>
      </c>
      <c r="L19" s="3176">
        <f t="shared" si="16"/>
        <v>1.6000000000000001E-3</v>
      </c>
      <c r="M19" s="3176">
        <f>F19/100</f>
        <v>-2.5000000000000001E-3</v>
      </c>
      <c r="N19" s="3176">
        <f t="shared" si="16"/>
        <v>1.11E-2</v>
      </c>
      <c r="O19" s="3176">
        <f t="shared" si="16"/>
        <v>3.5999999999999999E-3</v>
      </c>
      <c r="P19" s="3176">
        <f t="shared" si="36"/>
        <v>-2.5000000000000001E-3</v>
      </c>
      <c r="Q19" s="3174"/>
      <c r="R19" s="3177">
        <v>1</v>
      </c>
      <c r="S19" s="3177">
        <v>1</v>
      </c>
      <c r="T19" s="3177">
        <v>1</v>
      </c>
      <c r="U19" s="3177">
        <v>1</v>
      </c>
      <c r="V19" s="3177">
        <v>1</v>
      </c>
      <c r="W19" s="3177">
        <f t="shared" ref="W19" si="42">T19</f>
        <v>1</v>
      </c>
      <c r="X19" s="3174"/>
      <c r="Y19" s="3176">
        <f>IF(D19=0,0,ROUND(AVERAGE(D19:D19)/100,4))</f>
        <v>9.7000000000000003E-3</v>
      </c>
      <c r="Z19" s="3176">
        <f>IF(E19=0,0,ROUND(AVERAGE(E19:E19)/100,4))</f>
        <v>1.6000000000000001E-3</v>
      </c>
      <c r="AA19" s="3176">
        <f>IF(F19=0,0,ROUND(AVERAGE(F19:F19)/100,4))</f>
        <v>-2.5000000000000001E-3</v>
      </c>
      <c r="AB19" s="3176">
        <f>IF(G19=0,0,ROUND(AVERAGE(G19:G19)/100,4))</f>
        <v>1.11E-2</v>
      </c>
      <c r="AC19" s="3176">
        <f>IF(H19=0,0,ROUND(AVERAGE(H19:H19)/100,4))</f>
        <v>3.5999999999999999E-3</v>
      </c>
      <c r="AD19" s="3176">
        <f>AA19</f>
        <v>-2.5000000000000001E-3</v>
      </c>
    </row>
    <row r="20" spans="1:30" s="2980" customFormat="1" ht="15" thickTop="1"/>
    <row r="21" spans="1:30" s="2980" customFormat="1">
      <c r="A21" s="3419" t="s">
        <v>3368</v>
      </c>
    </row>
    <row r="22" spans="1:30" s="2980" customFormat="1">
      <c r="I22" s="3179" t="s">
        <v>2827</v>
      </c>
    </row>
    <row r="23" spans="1:30" s="2980" customFormat="1"/>
    <row r="24" spans="1:30" s="3180" customFormat="1" ht="13.2">
      <c r="B24" s="3181" t="s">
        <v>3374</v>
      </c>
      <c r="C24" s="3182"/>
      <c r="D24" s="3182"/>
      <c r="E24" s="3182"/>
      <c r="F24" s="3182"/>
      <c r="G24" s="3182"/>
      <c r="H24" s="3182"/>
      <c r="I24" s="3182"/>
      <c r="J24" s="3136"/>
      <c r="K24" s="3182" t="s">
        <v>2828</v>
      </c>
      <c r="L24" s="3182"/>
      <c r="M24" s="3182"/>
      <c r="N24" s="3182"/>
      <c r="O24" s="3182"/>
      <c r="P24" s="3182"/>
      <c r="Q24" s="3136"/>
      <c r="R24" s="4293" t="s">
        <v>2829</v>
      </c>
      <c r="S24" s="4294"/>
      <c r="T24" s="4294"/>
      <c r="U24" s="4294"/>
      <c r="V24" s="4294"/>
      <c r="W24" s="4294"/>
      <c r="X24" s="3136"/>
      <c r="Y24" s="4293" t="s">
        <v>2830</v>
      </c>
      <c r="Z24" s="4294"/>
      <c r="AA24" s="4294"/>
      <c r="AB24" s="4294"/>
      <c r="AC24" s="4294"/>
      <c r="AD24" s="4294"/>
    </row>
    <row r="25" spans="1:30" s="3114" customFormat="1" ht="15" thickBot="1">
      <c r="B25" s="3115"/>
      <c r="C25" s="3116"/>
      <c r="D25" s="3117" t="s">
        <v>2831</v>
      </c>
      <c r="E25" s="3118" t="s">
        <v>2832</v>
      </c>
      <c r="F25" s="3118" t="s">
        <v>2833</v>
      </c>
      <c r="G25" s="3118" t="s">
        <v>2834</v>
      </c>
      <c r="H25" s="3118"/>
      <c r="I25" s="3118" t="s">
        <v>2835</v>
      </c>
      <c r="J25" s="3119"/>
      <c r="K25" s="3117" t="s">
        <v>2831</v>
      </c>
      <c r="L25" s="3118" t="s">
        <v>2832</v>
      </c>
      <c r="M25" s="3118" t="s">
        <v>2833</v>
      </c>
      <c r="N25" s="3118" t="s">
        <v>2834</v>
      </c>
      <c r="O25" s="3118"/>
      <c r="P25" s="3118" t="s">
        <v>2835</v>
      </c>
      <c r="Q25" s="3119"/>
      <c r="R25" s="3117" t="s">
        <v>2831</v>
      </c>
      <c r="S25" s="3118" t="s">
        <v>2832</v>
      </c>
      <c r="T25" s="3118" t="s">
        <v>2833</v>
      </c>
      <c r="U25" s="3118" t="s">
        <v>2834</v>
      </c>
      <c r="V25" s="3118"/>
      <c r="W25" s="3118" t="s">
        <v>2835</v>
      </c>
      <c r="X25" s="3119"/>
      <c r="Y25" s="3117" t="s">
        <v>2831</v>
      </c>
      <c r="Z25" s="3118" t="s">
        <v>2832</v>
      </c>
      <c r="AA25" s="3118" t="s">
        <v>2833</v>
      </c>
      <c r="AB25" s="3118" t="s">
        <v>2834</v>
      </c>
      <c r="AC25" s="3118"/>
      <c r="AD25" s="3118" t="s">
        <v>2835</v>
      </c>
    </row>
    <row r="26" spans="1:30" s="3132" customFormat="1" ht="13.2">
      <c r="A26" s="3120" t="s">
        <v>2836</v>
      </c>
      <c r="B26" s="3121"/>
      <c r="C26" s="3122"/>
      <c r="D26" s="3122"/>
      <c r="E26" s="3122">
        <f t="shared" ref="E26:G26" si="43">ROUND(AVERAGEIF(E27:E42,"&lt;&gt;0"),2)</f>
        <v>0.33</v>
      </c>
      <c r="F26" s="3122">
        <f t="shared" si="43"/>
        <v>0.24</v>
      </c>
      <c r="G26" s="3122">
        <f t="shared" si="43"/>
        <v>0.62</v>
      </c>
      <c r="H26" s="3122"/>
      <c r="I26" s="3122">
        <f>F26</f>
        <v>0.24</v>
      </c>
      <c r="J26" s="3123"/>
      <c r="K26" s="3124"/>
      <c r="L26" s="3125">
        <f t="shared" ref="L26:N26" si="44">ROUND(AVERAGEIF(L27:L42,"&lt;&gt;0"),4)</f>
        <v>3.3E-3</v>
      </c>
      <c r="M26" s="3125">
        <f t="shared" si="44"/>
        <v>2.3999999999999998E-3</v>
      </c>
      <c r="N26" s="3125">
        <f t="shared" si="44"/>
        <v>6.1999999999999998E-3</v>
      </c>
      <c r="O26" s="3125"/>
      <c r="P26" s="3125">
        <f>M26</f>
        <v>2.3999999999999998E-3</v>
      </c>
      <c r="Q26" s="3123"/>
      <c r="R26" s="3126"/>
      <c r="S26" s="3127">
        <f>ROUND(SUMPRODUCT(PRODUCT(1+L27:L42)),4)</f>
        <v>1.0468999999999999</v>
      </c>
      <c r="T26" s="3127">
        <f t="shared" ref="T26:U26" si="45">ROUND(SUMPRODUCT(PRODUCT(1+M27:M42)),4)</f>
        <v>1.0347</v>
      </c>
      <c r="U26" s="3127">
        <f t="shared" si="45"/>
        <v>1.0895999999999999</v>
      </c>
      <c r="V26" s="3127"/>
      <c r="W26" s="3126">
        <f>T26</f>
        <v>1.0347</v>
      </c>
      <c r="X26" s="3123"/>
      <c r="Y26" s="3128"/>
      <c r="Z26" s="3129">
        <f t="shared" ref="Z26:AB26" si="46">ROUND(AVERAGEIF(Z27:Z42,"&lt;&gt;0"),4)</f>
        <v>4.1999999999999997E-3</v>
      </c>
      <c r="AA26" s="3130">
        <f t="shared" si="46"/>
        <v>3.3999999999999998E-3</v>
      </c>
      <c r="AB26" s="3128">
        <f t="shared" si="46"/>
        <v>8.6E-3</v>
      </c>
      <c r="AC26" s="3131"/>
      <c r="AD26" s="3128">
        <f>AA26</f>
        <v>3.3999999999999998E-3</v>
      </c>
    </row>
    <row r="27" spans="1:30" s="3133" customFormat="1" ht="13.2">
      <c r="B27" s="3134"/>
      <c r="C27" s="3135"/>
      <c r="D27" s="3135"/>
      <c r="E27" s="3135"/>
      <c r="F27" s="3135"/>
      <c r="G27" s="3135"/>
      <c r="H27" s="3135"/>
      <c r="I27" s="3135"/>
      <c r="J27" s="3136"/>
      <c r="K27" s="3137"/>
      <c r="L27" s="3138"/>
      <c r="M27" s="3138"/>
      <c r="N27" s="3138"/>
      <c r="O27" s="3138"/>
      <c r="P27" s="3138"/>
      <c r="Q27" s="3136"/>
      <c r="R27" s="3139"/>
      <c r="S27" s="3140"/>
      <c r="T27" s="3141"/>
      <c r="U27" s="3139"/>
      <c r="V27" s="3142"/>
      <c r="W27" s="3139"/>
      <c r="X27" s="3136"/>
      <c r="Y27" s="3143"/>
      <c r="Z27" s="3144"/>
      <c r="AA27" s="3145"/>
      <c r="AB27" s="3143"/>
      <c r="AC27" s="3146"/>
      <c r="AD27" s="3143"/>
    </row>
    <row r="28" spans="1:30" s="3156" customFormat="1" ht="13.2">
      <c r="A28" s="2177" t="s">
        <v>3379</v>
      </c>
      <c r="B28" s="3148">
        <v>2024</v>
      </c>
      <c r="C28" s="3149">
        <v>3</v>
      </c>
      <c r="D28" s="3150"/>
      <c r="E28" s="3150">
        <v>0</v>
      </c>
      <c r="F28" s="3150">
        <v>0</v>
      </c>
      <c r="G28" s="3150">
        <v>0</v>
      </c>
      <c r="H28" s="3150"/>
      <c r="I28" s="3151">
        <f t="shared" ref="I28" si="47">F28</f>
        <v>0</v>
      </c>
      <c r="J28" s="3152"/>
      <c r="K28" s="3153"/>
      <c r="L28" s="3143">
        <f t="shared" ref="L28" si="48">E28/100</f>
        <v>0</v>
      </c>
      <c r="M28" s="3143">
        <f t="shared" ref="M28" si="49">F28/100</f>
        <v>0</v>
      </c>
      <c r="N28" s="3143">
        <f t="shared" ref="N28" si="50">G28/100</f>
        <v>0</v>
      </c>
      <c r="O28" s="3143"/>
      <c r="P28" s="3143">
        <f>M28</f>
        <v>0</v>
      </c>
      <c r="Q28" s="3152"/>
      <c r="R28" s="3154"/>
      <c r="S28" s="3154">
        <f>ROUND(IF(项目基本情况!$B$8="出让",SUMPRODUCT(PRODUCT(1+L28:L$42)),SUMPRODUCT(PRODUCT(1+L28:L$41))),4)</f>
        <v>1.0432999999999999</v>
      </c>
      <c r="T28" s="3154">
        <f>ROUND(IF(项目基本情况!$B$8="出让",SUMPRODUCT(PRODUCT(1+M28:M$42)),SUMPRODUCT(PRODUCT(1+M28:M$41))),4)</f>
        <v>1.0298</v>
      </c>
      <c r="U28" s="3154">
        <f>ROUND(IF(项目基本情况!$B$8="出让",SUMPRODUCT(PRODUCT(1+N28:N$42)),SUMPRODUCT(PRODUCT(1+N28:N$41))),4)</f>
        <v>1.079</v>
      </c>
      <c r="V28" s="3154"/>
      <c r="W28" s="3154">
        <f>T28</f>
        <v>1.0298</v>
      </c>
      <c r="X28" s="3152"/>
      <c r="Y28" s="3155"/>
      <c r="Z28" s="3183">
        <f t="shared" ref="Z28:AB29" si="51">IF(E28=0,0,ROUND(AVERAGE(E28:E41)/100,4))</f>
        <v>0</v>
      </c>
      <c r="AA28" s="3183">
        <f t="shared" si="51"/>
        <v>0</v>
      </c>
      <c r="AB28" s="3183">
        <f t="shared" si="51"/>
        <v>0</v>
      </c>
      <c r="AC28" s="3184"/>
      <c r="AD28" s="3155">
        <f>IF(I28=0,0,ROUND(AVERAGE(I28:I41)/100,4))</f>
        <v>0</v>
      </c>
    </row>
    <row r="29" spans="1:30" s="3166" customFormat="1" ht="13.2">
      <c r="A29" s="3157" t="s">
        <v>3380</v>
      </c>
      <c r="B29" s="3158">
        <v>2024</v>
      </c>
      <c r="C29" s="3159">
        <v>2</v>
      </c>
      <c r="D29" s="3160"/>
      <c r="E29" s="3160">
        <v>-0.31</v>
      </c>
      <c r="F29" s="3160">
        <v>-0.39</v>
      </c>
      <c r="G29" s="3160">
        <v>1.23</v>
      </c>
      <c r="H29" s="3161"/>
      <c r="I29" s="3162">
        <f t="shared" ref="I29:I42" si="52">F29</f>
        <v>-0.39</v>
      </c>
      <c r="J29" s="3163"/>
      <c r="K29" s="3164"/>
      <c r="L29" s="3165">
        <f t="shared" ref="L29:N42" si="53">E29/100</f>
        <v>-3.0999999999999999E-3</v>
      </c>
      <c r="M29" s="3165">
        <f t="shared" si="53"/>
        <v>-3.9000000000000003E-3</v>
      </c>
      <c r="N29" s="3165">
        <f t="shared" si="53"/>
        <v>1.23E-2</v>
      </c>
      <c r="O29" s="3165"/>
      <c r="P29" s="3165">
        <f>M29</f>
        <v>-3.9000000000000003E-3</v>
      </c>
      <c r="Q29" s="3163"/>
      <c r="R29" s="3163"/>
      <c r="S29" s="3163">
        <f>ROUND(IF(项目基本情况!$B$8="出让",SUMPRODUCT(PRODUCT(1+L29:L$42)),SUMPRODUCT(PRODUCT(1+L29:L$41))),4)</f>
        <v>1.0432999999999999</v>
      </c>
      <c r="T29" s="3163">
        <f>ROUND(IF(项目基本情况!$B$8="出让",SUMPRODUCT(PRODUCT(1+M29:M$42)),SUMPRODUCT(PRODUCT(1+M29:M$41))),4)</f>
        <v>1.0298</v>
      </c>
      <c r="U29" s="3163">
        <f>ROUND(IF(项目基本情况!$B$8="出让",SUMPRODUCT(PRODUCT(1+N29:N$42)),SUMPRODUCT(PRODUCT(1+N29:N$41))),4)</f>
        <v>1.079</v>
      </c>
      <c r="V29" s="3163"/>
      <c r="W29" s="3163">
        <f>T29</f>
        <v>1.0298</v>
      </c>
      <c r="X29" s="3163"/>
      <c r="Y29" s="3165"/>
      <c r="Z29" s="3186">
        <f t="shared" si="51"/>
        <v>3.3E-3</v>
      </c>
      <c r="AA29" s="3187">
        <f t="shared" si="51"/>
        <v>2.3999999999999998E-3</v>
      </c>
      <c r="AB29" s="3165">
        <f t="shared" si="51"/>
        <v>6.1999999999999998E-3</v>
      </c>
      <c r="AC29" s="3188"/>
      <c r="AD29" s="3165">
        <f>IF(I29=0,0,ROUND(AVERAGE(I29:I42)/100,4))</f>
        <v>2.3999999999999998E-3</v>
      </c>
    </row>
    <row r="30" spans="1:30" s="3156" customFormat="1" ht="13.2">
      <c r="A30" s="3147" t="s">
        <v>3381</v>
      </c>
      <c r="B30" s="3148">
        <v>2024</v>
      </c>
      <c r="C30" s="3149">
        <v>1</v>
      </c>
      <c r="D30" s="3150"/>
      <c r="E30" s="3150">
        <v>0.25</v>
      </c>
      <c r="F30" s="3150">
        <v>0.4</v>
      </c>
      <c r="G30" s="3150">
        <v>-0.63</v>
      </c>
      <c r="H30" s="3167"/>
      <c r="I30" s="3151">
        <f t="shared" ref="I30:I31" si="54">F30</f>
        <v>0.4</v>
      </c>
      <c r="J30" s="3152"/>
      <c r="K30" s="3153"/>
      <c r="L30" s="3143">
        <f t="shared" ref="L30" si="55">E30/100</f>
        <v>2.5000000000000001E-3</v>
      </c>
      <c r="M30" s="3143">
        <f t="shared" ref="M30" si="56">F30/100</f>
        <v>4.0000000000000001E-3</v>
      </c>
      <c r="N30" s="3143">
        <f t="shared" ref="N30" si="57">G30/100</f>
        <v>-6.3E-3</v>
      </c>
      <c r="O30" s="3143"/>
      <c r="P30" s="3143">
        <f t="shared" ref="P30" si="58">M30</f>
        <v>4.0000000000000001E-3</v>
      </c>
      <c r="Q30" s="3152"/>
      <c r="R30" s="3154"/>
      <c r="S30" s="3154">
        <f>ROUND(IF(项目基本情况!$B$8="出让",SUMPRODUCT(PRODUCT(1+L30:L$42)),SUMPRODUCT(PRODUCT(1+L30:L$41))),4)</f>
        <v>1.0465</v>
      </c>
      <c r="T30" s="3154">
        <f>ROUND(IF(项目基本情况!$B$8="出让",SUMPRODUCT(PRODUCT(1+M30:M$42)),SUMPRODUCT(PRODUCT(1+M30:M$41))),4)</f>
        <v>1.0338000000000001</v>
      </c>
      <c r="U30" s="3154">
        <f>ROUND(IF(项目基本情况!$B$8="出让",SUMPRODUCT(PRODUCT(1+N30:N$42)),SUMPRODUCT(PRODUCT(1+N30:N$41))),4)</f>
        <v>1.0659000000000001</v>
      </c>
      <c r="V30" s="3154"/>
      <c r="W30" s="3154">
        <f t="shared" ref="W30" si="59">T30</f>
        <v>1.0338000000000001</v>
      </c>
      <c r="X30" s="3152"/>
      <c r="Y30" s="3155"/>
      <c r="Z30" s="3183"/>
      <c r="AA30" s="3185"/>
      <c r="AB30" s="3155"/>
      <c r="AC30" s="3184"/>
      <c r="AD30" s="3155"/>
    </row>
    <row r="31" spans="1:30" s="3156" customFormat="1" ht="13.2">
      <c r="A31" s="3147" t="s">
        <v>3378</v>
      </c>
      <c r="B31" s="3148">
        <v>2023</v>
      </c>
      <c r="C31" s="3149">
        <v>4</v>
      </c>
      <c r="D31" s="3150"/>
      <c r="E31" s="3150">
        <v>7.0000000000000007E-2</v>
      </c>
      <c r="F31" s="3150">
        <v>0.09</v>
      </c>
      <c r="G31" s="3150">
        <v>0.03</v>
      </c>
      <c r="H31" s="3167"/>
      <c r="I31" s="3151">
        <f t="shared" si="54"/>
        <v>0.09</v>
      </c>
      <c r="J31" s="3152"/>
      <c r="K31" s="3153"/>
      <c r="L31" s="3143">
        <f t="shared" si="53"/>
        <v>7.000000000000001E-4</v>
      </c>
      <c r="M31" s="3143">
        <f t="shared" si="53"/>
        <v>8.9999999999999998E-4</v>
      </c>
      <c r="N31" s="3143">
        <f t="shared" si="53"/>
        <v>2.9999999999999997E-4</v>
      </c>
      <c r="O31" s="3143"/>
      <c r="P31" s="3143">
        <f t="shared" ref="P31" si="60">M31</f>
        <v>8.9999999999999998E-4</v>
      </c>
      <c r="Q31" s="3152"/>
      <c r="R31" s="3154"/>
      <c r="S31" s="3154">
        <f>ROUND(IF(项目基本情况!$B$8="出让",SUMPRODUCT(PRODUCT(1+L31:L$42)),SUMPRODUCT(PRODUCT(1+L31:L$41))),4)</f>
        <v>1.0439000000000001</v>
      </c>
      <c r="T31" s="3154">
        <f>ROUND(IF(项目基本情况!$B$8="出让",SUMPRODUCT(PRODUCT(1+M31:M$42)),SUMPRODUCT(PRODUCT(1+M31:M$41))),4)</f>
        <v>1.0297000000000001</v>
      </c>
      <c r="U31" s="3154">
        <f>ROUND(IF(项目基本情况!$B$8="出让",SUMPRODUCT(PRODUCT(1+N31:N$42)),SUMPRODUCT(PRODUCT(1+N31:N$41))),4)</f>
        <v>1.0727</v>
      </c>
      <c r="V31" s="3154"/>
      <c r="W31" s="3154">
        <f t="shared" ref="W31" si="61">T31</f>
        <v>1.0297000000000001</v>
      </c>
      <c r="X31" s="3152"/>
      <c r="Y31" s="3155"/>
      <c r="Z31" s="3183"/>
      <c r="AA31" s="3185"/>
      <c r="AB31" s="3155"/>
      <c r="AC31" s="3184"/>
      <c r="AD31" s="3155"/>
    </row>
    <row r="32" spans="1:30" s="3156" customFormat="1" ht="13.2">
      <c r="A32" s="3147" t="s">
        <v>3376</v>
      </c>
      <c r="B32" s="3148">
        <v>2023</v>
      </c>
      <c r="C32" s="3149">
        <v>3</v>
      </c>
      <c r="D32" s="3150"/>
      <c r="E32" s="3150">
        <v>0.35</v>
      </c>
      <c r="F32" s="3150">
        <v>0.17</v>
      </c>
      <c r="G32" s="3150">
        <v>0.52</v>
      </c>
      <c r="H32" s="3167"/>
      <c r="I32" s="3151">
        <f t="shared" si="52"/>
        <v>0.17</v>
      </c>
      <c r="J32" s="3152"/>
      <c r="K32" s="3153"/>
      <c r="L32" s="3143">
        <f t="shared" ref="L32:L34" si="62">E32/100</f>
        <v>3.4999999999999996E-3</v>
      </c>
      <c r="M32" s="3143">
        <f t="shared" ref="M32:M34" si="63">F32/100</f>
        <v>1.7000000000000001E-3</v>
      </c>
      <c r="N32" s="3143">
        <f t="shared" ref="N32:N34" si="64">G32/100</f>
        <v>5.1999999999999998E-3</v>
      </c>
      <c r="O32" s="3143"/>
      <c r="P32" s="3143">
        <f t="shared" ref="P32:P34" si="65">M32</f>
        <v>1.7000000000000001E-3</v>
      </c>
      <c r="Q32" s="3152"/>
      <c r="R32" s="3154"/>
      <c r="S32" s="3154">
        <f>ROUND(IF(项目基本情况!$B$8="出让",SUMPRODUCT(PRODUCT(1+L32:L$42)),SUMPRODUCT(PRODUCT(1+L32:L$41))),4)</f>
        <v>1.0431999999999999</v>
      </c>
      <c r="T32" s="3154">
        <f>ROUND(IF(项目基本情况!$B$8="出让",SUMPRODUCT(PRODUCT(1+M32:M$42)),SUMPRODUCT(PRODUCT(1+M32:M$41))),4)</f>
        <v>1.0286999999999999</v>
      </c>
      <c r="U32" s="3154">
        <f>ROUND(IF(项目基本情况!$B$8="出让",SUMPRODUCT(PRODUCT(1+N32:N$42)),SUMPRODUCT(PRODUCT(1+N32:N$41))),4)</f>
        <v>1.0723</v>
      </c>
      <c r="V32" s="3154"/>
      <c r="W32" s="3154">
        <f t="shared" ref="W32:W34" si="66">T32</f>
        <v>1.0286999999999999</v>
      </c>
      <c r="X32" s="3152"/>
      <c r="Y32" s="3155"/>
      <c r="Z32" s="3183"/>
      <c r="AA32" s="3185"/>
      <c r="AB32" s="3155"/>
      <c r="AC32" s="3184"/>
      <c r="AD32" s="3155"/>
    </row>
    <row r="33" spans="1:30" s="3156" customFormat="1" ht="13.2">
      <c r="A33" s="3147" t="s">
        <v>3375</v>
      </c>
      <c r="B33" s="3148">
        <v>2023</v>
      </c>
      <c r="C33" s="3149">
        <v>2</v>
      </c>
      <c r="D33" s="3150"/>
      <c r="E33" s="3150">
        <v>0.5</v>
      </c>
      <c r="F33" s="3150">
        <v>0.45</v>
      </c>
      <c r="G33" s="3150">
        <v>0.89</v>
      </c>
      <c r="H33" s="3167"/>
      <c r="I33" s="3151">
        <f t="shared" si="52"/>
        <v>0.45</v>
      </c>
      <c r="J33" s="3152"/>
      <c r="K33" s="3153"/>
      <c r="L33" s="3143">
        <f t="shared" si="62"/>
        <v>5.0000000000000001E-3</v>
      </c>
      <c r="M33" s="3143">
        <f t="shared" si="63"/>
        <v>4.5000000000000005E-3</v>
      </c>
      <c r="N33" s="3143">
        <f t="shared" si="64"/>
        <v>8.8999999999999999E-3</v>
      </c>
      <c r="O33" s="3143"/>
      <c r="P33" s="3143">
        <f t="shared" si="65"/>
        <v>4.5000000000000005E-3</v>
      </c>
      <c r="Q33" s="3152"/>
      <c r="R33" s="3154"/>
      <c r="S33" s="3154">
        <f>ROUND(IF(项目基本情况!$B$8="出让",SUMPRODUCT(PRODUCT(1+L33:L$42)),SUMPRODUCT(PRODUCT(1+L33:L$41))),4)</f>
        <v>1.0396000000000001</v>
      </c>
      <c r="T33" s="3154">
        <f>ROUND(IF(项目基本情况!$B$8="出让",SUMPRODUCT(PRODUCT(1+M33:M$42)),SUMPRODUCT(PRODUCT(1+M33:M$41))),4)</f>
        <v>1.0269999999999999</v>
      </c>
      <c r="U33" s="3154">
        <f>ROUND(IF(项目基本情况!$B$8="出让",SUMPRODUCT(PRODUCT(1+N33:N$42)),SUMPRODUCT(PRODUCT(1+N33:N$41))),4)</f>
        <v>1.0668</v>
      </c>
      <c r="V33" s="3154"/>
      <c r="W33" s="3154">
        <f t="shared" si="66"/>
        <v>1.0269999999999999</v>
      </c>
      <c r="X33" s="3152"/>
      <c r="Y33" s="3155"/>
      <c r="Z33" s="3183"/>
      <c r="AA33" s="3185"/>
      <c r="AB33" s="3155"/>
      <c r="AC33" s="3184"/>
      <c r="AD33" s="3155"/>
    </row>
    <row r="34" spans="1:30" s="3156" customFormat="1" ht="13.2">
      <c r="A34" s="3147" t="s">
        <v>3371</v>
      </c>
      <c r="B34" s="3148">
        <v>2023</v>
      </c>
      <c r="C34" s="3149">
        <v>1</v>
      </c>
      <c r="D34" s="3150"/>
      <c r="E34" s="3150">
        <v>0.55000000000000004</v>
      </c>
      <c r="F34" s="3150">
        <v>0.59</v>
      </c>
      <c r="G34" s="3150">
        <v>0.64</v>
      </c>
      <c r="H34" s="3167"/>
      <c r="I34" s="3151">
        <f t="shared" si="52"/>
        <v>0.59</v>
      </c>
      <c r="J34" s="3152"/>
      <c r="K34" s="3153"/>
      <c r="L34" s="3143">
        <f t="shared" si="62"/>
        <v>5.5000000000000005E-3</v>
      </c>
      <c r="M34" s="3143">
        <f t="shared" si="63"/>
        <v>5.8999999999999999E-3</v>
      </c>
      <c r="N34" s="3143">
        <f t="shared" si="64"/>
        <v>6.4000000000000003E-3</v>
      </c>
      <c r="O34" s="3143"/>
      <c r="P34" s="3143">
        <f t="shared" si="65"/>
        <v>5.8999999999999999E-3</v>
      </c>
      <c r="Q34" s="3152"/>
      <c r="R34" s="3154"/>
      <c r="S34" s="3154">
        <f>ROUND(IF(项目基本情况!$B$8="出让",SUMPRODUCT(PRODUCT(1+L34:L$42)),SUMPRODUCT(PRODUCT(1+L34:L$41))),4)</f>
        <v>1.0344</v>
      </c>
      <c r="T34" s="3154">
        <f>ROUND(IF(项目基本情况!$B$8="出让",SUMPRODUCT(PRODUCT(1+M34:M$42)),SUMPRODUCT(PRODUCT(1+M34:M$41))),4)</f>
        <v>1.0224</v>
      </c>
      <c r="U34" s="3154">
        <f>ROUND(IF(项目基本情况!$B$8="出让",SUMPRODUCT(PRODUCT(1+N34:N$42)),SUMPRODUCT(PRODUCT(1+N34:N$41))),4)</f>
        <v>1.0573999999999999</v>
      </c>
      <c r="V34" s="3154"/>
      <c r="W34" s="3154">
        <f t="shared" si="66"/>
        <v>1.0224</v>
      </c>
      <c r="X34" s="3152"/>
      <c r="Y34" s="3155"/>
      <c r="Z34" s="3183"/>
      <c r="AA34" s="3185"/>
      <c r="AB34" s="3155"/>
      <c r="AC34" s="3184"/>
      <c r="AD34" s="3155"/>
    </row>
    <row r="35" spans="1:30" s="3156" customFormat="1" ht="13.2">
      <c r="A35" s="3147" t="s">
        <v>3370</v>
      </c>
      <c r="B35" s="3148">
        <v>2022</v>
      </c>
      <c r="C35" s="3149">
        <v>4</v>
      </c>
      <c r="D35" s="3150"/>
      <c r="E35" s="3150">
        <v>0.45</v>
      </c>
      <c r="F35" s="3150">
        <v>0.2</v>
      </c>
      <c r="G35" s="3150">
        <v>0.38</v>
      </c>
      <c r="H35" s="3167"/>
      <c r="I35" s="3151">
        <f t="shared" si="52"/>
        <v>0.2</v>
      </c>
      <c r="J35" s="3152"/>
      <c r="K35" s="3153"/>
      <c r="L35" s="3143">
        <f t="shared" si="53"/>
        <v>4.5000000000000005E-3</v>
      </c>
      <c r="M35" s="3143">
        <f t="shared" si="53"/>
        <v>2E-3</v>
      </c>
      <c r="N35" s="3143">
        <f t="shared" si="53"/>
        <v>3.8E-3</v>
      </c>
      <c r="O35" s="3143"/>
      <c r="P35" s="3143">
        <f t="shared" ref="P35:P42" si="67">M35</f>
        <v>2E-3</v>
      </c>
      <c r="Q35" s="3152"/>
      <c r="R35" s="3154"/>
      <c r="S35" s="3154">
        <f>ROUND(IF(项目基本情况!$B$8="出让",SUMPRODUCT(PRODUCT(1+L35:L$42)),SUMPRODUCT(PRODUCT(1+L35:L$41))),4)</f>
        <v>1.0286999999999999</v>
      </c>
      <c r="T35" s="3154">
        <f>ROUND(IF(项目基本情况!$B$8="出让",SUMPRODUCT(PRODUCT(1+M35:M$42)),SUMPRODUCT(PRODUCT(1+M35:M$41))),4)</f>
        <v>1.0164</v>
      </c>
      <c r="U35" s="3154">
        <f>ROUND(IF(项目基本情况!$B$8="出让",SUMPRODUCT(PRODUCT(1+N35:N$42)),SUMPRODUCT(PRODUCT(1+N35:N$41))),4)</f>
        <v>1.0506</v>
      </c>
      <c r="V35" s="3154"/>
      <c r="W35" s="3154">
        <f t="shared" ref="W35:W42" si="68">T35</f>
        <v>1.0164</v>
      </c>
      <c r="X35" s="3152"/>
      <c r="Y35" s="3155"/>
      <c r="Z35" s="3183">
        <f t="shared" ref="Z35:AD42" si="69">IF(E35=0,0,ROUND(AVERAGE(E35:E43)/100,4))</f>
        <v>4.0000000000000001E-3</v>
      </c>
      <c r="AA35" s="3185">
        <f t="shared" si="69"/>
        <v>2.5999999999999999E-3</v>
      </c>
      <c r="AB35" s="3155">
        <f t="shared" si="69"/>
        <v>7.4000000000000003E-3</v>
      </c>
      <c r="AC35" s="3184"/>
      <c r="AD35" s="3155">
        <f t="shared" si="69"/>
        <v>2.5999999999999999E-3</v>
      </c>
    </row>
    <row r="36" spans="1:30" s="3156" customFormat="1" ht="13.2">
      <c r="A36" s="3147" t="s">
        <v>3367</v>
      </c>
      <c r="B36" s="3148">
        <v>2022</v>
      </c>
      <c r="C36" s="3149">
        <v>3</v>
      </c>
      <c r="D36" s="3150"/>
      <c r="E36" s="3150">
        <v>0.3</v>
      </c>
      <c r="F36" s="3150">
        <v>0.28999999999999998</v>
      </c>
      <c r="G36" s="3150">
        <v>0.83</v>
      </c>
      <c r="H36" s="3167"/>
      <c r="I36" s="3151">
        <f t="shared" si="52"/>
        <v>0.28999999999999998</v>
      </c>
      <c r="J36" s="3152"/>
      <c r="K36" s="3153"/>
      <c r="L36" s="3143">
        <f t="shared" si="53"/>
        <v>3.0000000000000001E-3</v>
      </c>
      <c r="M36" s="3143">
        <f t="shared" si="53"/>
        <v>2.8999999999999998E-3</v>
      </c>
      <c r="N36" s="3143">
        <f t="shared" si="53"/>
        <v>8.3000000000000001E-3</v>
      </c>
      <c r="O36" s="3143"/>
      <c r="P36" s="3143">
        <f t="shared" si="67"/>
        <v>2.8999999999999998E-3</v>
      </c>
      <c r="Q36" s="3152"/>
      <c r="R36" s="3154"/>
      <c r="S36" s="3154">
        <f>ROUND(IF(项目基本情况!$B$8="出让",SUMPRODUCT(PRODUCT(1+L36:L$42)),SUMPRODUCT(PRODUCT(1+L36:L$41))),4)</f>
        <v>1.0241</v>
      </c>
      <c r="T36" s="3154">
        <f>ROUND(IF(项目基本情况!$B$8="出让",SUMPRODUCT(PRODUCT(1+M36:M$42)),SUMPRODUCT(PRODUCT(1+M36:M$41))),4)</f>
        <v>1.0144</v>
      </c>
      <c r="U36" s="3154">
        <f>ROUND(IF(项目基本情况!$B$8="出让",SUMPRODUCT(PRODUCT(1+N36:N$42)),SUMPRODUCT(PRODUCT(1+N36:N$41))),4)</f>
        <v>1.0467</v>
      </c>
      <c r="V36" s="3154"/>
      <c r="W36" s="3154">
        <f t="shared" si="68"/>
        <v>1.0144</v>
      </c>
      <c r="X36" s="3152"/>
      <c r="Y36" s="3155"/>
      <c r="Z36" s="3183">
        <f t="shared" si="69"/>
        <v>3.8999999999999998E-3</v>
      </c>
      <c r="AA36" s="3185">
        <f t="shared" si="69"/>
        <v>2.7000000000000001E-3</v>
      </c>
      <c r="AB36" s="3155">
        <f t="shared" si="69"/>
        <v>7.9000000000000008E-3</v>
      </c>
      <c r="AC36" s="3184"/>
      <c r="AD36" s="3155">
        <f t="shared" si="69"/>
        <v>2.7000000000000001E-3</v>
      </c>
    </row>
    <row r="37" spans="1:30" s="3156" customFormat="1" ht="13.2">
      <c r="A37" s="3147" t="s">
        <v>3357</v>
      </c>
      <c r="B37" s="3148">
        <v>2022</v>
      </c>
      <c r="C37" s="3149">
        <v>2</v>
      </c>
      <c r="D37" s="3150"/>
      <c r="E37" s="3150">
        <v>-0.11</v>
      </c>
      <c r="F37" s="3150">
        <v>-0.13</v>
      </c>
      <c r="G37" s="3150">
        <v>0.53</v>
      </c>
      <c r="H37" s="3167"/>
      <c r="I37" s="3151">
        <f t="shared" si="52"/>
        <v>-0.13</v>
      </c>
      <c r="J37" s="3152"/>
      <c r="K37" s="3153"/>
      <c r="L37" s="3143">
        <f t="shared" si="53"/>
        <v>-1.1000000000000001E-3</v>
      </c>
      <c r="M37" s="3143">
        <f t="shared" si="53"/>
        <v>-1.2999999999999999E-3</v>
      </c>
      <c r="N37" s="3143">
        <f t="shared" si="53"/>
        <v>5.3E-3</v>
      </c>
      <c r="O37" s="3143"/>
      <c r="P37" s="3143">
        <f t="shared" si="67"/>
        <v>-1.2999999999999999E-3</v>
      </c>
      <c r="Q37" s="3152"/>
      <c r="R37" s="3154"/>
      <c r="S37" s="3154">
        <f>ROUND(IF(项目基本情况!$B$8="出让",SUMPRODUCT(PRODUCT(1+L37:L$42)),SUMPRODUCT(PRODUCT(1+L37:L$41))),4)</f>
        <v>1.0210999999999999</v>
      </c>
      <c r="T37" s="3154">
        <f>ROUND(IF(项目基本情况!$B$8="出让",SUMPRODUCT(PRODUCT(1+M37:M$42)),SUMPRODUCT(PRODUCT(1+M37:M$41))),4)</f>
        <v>1.0114000000000001</v>
      </c>
      <c r="U37" s="3154">
        <f>ROUND(IF(项目基本情况!$B$8="出让",SUMPRODUCT(PRODUCT(1+N37:N$42)),SUMPRODUCT(PRODUCT(1+N37:N$41))),4)</f>
        <v>1.0381</v>
      </c>
      <c r="V37" s="3154"/>
      <c r="W37" s="3154">
        <f t="shared" si="68"/>
        <v>1.0114000000000001</v>
      </c>
      <c r="X37" s="3152"/>
      <c r="Y37" s="3155"/>
      <c r="Z37" s="3183">
        <f t="shared" si="69"/>
        <v>4.1000000000000003E-3</v>
      </c>
      <c r="AA37" s="3185">
        <f t="shared" si="69"/>
        <v>2.7000000000000001E-3</v>
      </c>
      <c r="AB37" s="3155">
        <f t="shared" si="69"/>
        <v>7.9000000000000008E-3</v>
      </c>
      <c r="AC37" s="3184"/>
      <c r="AD37" s="3155">
        <f t="shared" si="69"/>
        <v>2.7000000000000001E-3</v>
      </c>
    </row>
    <row r="38" spans="1:30" s="3156" customFormat="1" ht="13.2">
      <c r="A38" s="3147" t="s">
        <v>2837</v>
      </c>
      <c r="B38" s="3148">
        <v>2022</v>
      </c>
      <c r="C38" s="3149">
        <v>1</v>
      </c>
      <c r="D38" s="3150"/>
      <c r="E38" s="3150">
        <v>0.6</v>
      </c>
      <c r="F38" s="3150">
        <v>0.45</v>
      </c>
      <c r="G38" s="3150">
        <v>0.53</v>
      </c>
      <c r="H38" s="3167"/>
      <c r="I38" s="3151">
        <f t="shared" si="52"/>
        <v>0.45</v>
      </c>
      <c r="J38" s="3152"/>
      <c r="K38" s="3153"/>
      <c r="L38" s="3143">
        <f t="shared" si="53"/>
        <v>6.0000000000000001E-3</v>
      </c>
      <c r="M38" s="3143">
        <f t="shared" si="53"/>
        <v>4.5000000000000005E-3</v>
      </c>
      <c r="N38" s="3143">
        <f t="shared" si="53"/>
        <v>5.3E-3</v>
      </c>
      <c r="O38" s="3143"/>
      <c r="P38" s="3143">
        <f t="shared" si="67"/>
        <v>4.5000000000000005E-3</v>
      </c>
      <c r="Q38" s="3152"/>
      <c r="R38" s="3154"/>
      <c r="S38" s="3154">
        <f>ROUND(IF(项目基本情况!$B$8="出让",SUMPRODUCT(PRODUCT(1+L38:L$42)),SUMPRODUCT(PRODUCT(1+L38:L$41))),4)</f>
        <v>1.0222</v>
      </c>
      <c r="T38" s="3154">
        <f>ROUND(IF(项目基本情况!$B$8="出让",SUMPRODUCT(PRODUCT(1+M38:M$42)),SUMPRODUCT(PRODUCT(1+M38:M$41))),4)</f>
        <v>1.0127999999999999</v>
      </c>
      <c r="U38" s="3154">
        <f>ROUND(IF(项目基本情况!$B$8="出让",SUMPRODUCT(PRODUCT(1+N38:N$42)),SUMPRODUCT(PRODUCT(1+N38:N$41))),4)</f>
        <v>1.0326</v>
      </c>
      <c r="V38" s="3154"/>
      <c r="W38" s="3154">
        <f t="shared" si="68"/>
        <v>1.0127999999999999</v>
      </c>
      <c r="X38" s="3152"/>
      <c r="Y38" s="3155"/>
      <c r="Z38" s="3183">
        <f t="shared" si="69"/>
        <v>5.1000000000000004E-3</v>
      </c>
      <c r="AA38" s="3185">
        <f t="shared" si="69"/>
        <v>3.5000000000000001E-3</v>
      </c>
      <c r="AB38" s="3155">
        <f t="shared" si="69"/>
        <v>8.3999999999999995E-3</v>
      </c>
      <c r="AC38" s="3184"/>
      <c r="AD38" s="3155">
        <f t="shared" si="69"/>
        <v>3.5000000000000001E-3</v>
      </c>
    </row>
    <row r="39" spans="1:30" s="3156" customFormat="1" ht="13.2">
      <c r="A39" s="3147" t="s">
        <v>2838</v>
      </c>
      <c r="B39" s="3148">
        <v>2021</v>
      </c>
      <c r="C39" s="3149">
        <v>4</v>
      </c>
      <c r="D39" s="3150"/>
      <c r="E39" s="3150">
        <v>0.57999999999999996</v>
      </c>
      <c r="F39" s="3150">
        <v>0.08</v>
      </c>
      <c r="G39" s="3150">
        <v>0.68</v>
      </c>
      <c r="H39" s="3167"/>
      <c r="I39" s="3151">
        <f t="shared" si="52"/>
        <v>0.08</v>
      </c>
      <c r="J39" s="3152"/>
      <c r="K39" s="3153"/>
      <c r="L39" s="3143">
        <f t="shared" si="53"/>
        <v>5.7999999999999996E-3</v>
      </c>
      <c r="M39" s="3143">
        <f t="shared" si="53"/>
        <v>8.0000000000000004E-4</v>
      </c>
      <c r="N39" s="3143">
        <f t="shared" si="53"/>
        <v>6.8000000000000005E-3</v>
      </c>
      <c r="O39" s="3143"/>
      <c r="P39" s="3143">
        <f t="shared" si="67"/>
        <v>8.0000000000000004E-4</v>
      </c>
      <c r="Q39" s="3152"/>
      <c r="R39" s="3154"/>
      <c r="S39" s="3154">
        <f>ROUND(IF(项目基本情况!$B$8="出让",SUMPRODUCT(PRODUCT(1+L39:L$42)),SUMPRODUCT(PRODUCT(1+L39:L$41))),4)</f>
        <v>1.0161</v>
      </c>
      <c r="T39" s="3154">
        <f>ROUND(IF(项目基本情况!$B$8="出让",SUMPRODUCT(PRODUCT(1+M39:M$42)),SUMPRODUCT(PRODUCT(1+M39:M$41))),4)</f>
        <v>1.0082</v>
      </c>
      <c r="U39" s="3154">
        <f>ROUND(IF(项目基本情况!$B$8="出让",SUMPRODUCT(PRODUCT(1+N39:N$42)),SUMPRODUCT(PRODUCT(1+N39:N$41))),4)</f>
        <v>1.0270999999999999</v>
      </c>
      <c r="V39" s="3154"/>
      <c r="W39" s="3154">
        <f t="shared" si="68"/>
        <v>1.0082</v>
      </c>
      <c r="X39" s="3152"/>
      <c r="Y39" s="3155"/>
      <c r="Z39" s="3183">
        <f t="shared" si="69"/>
        <v>4.8999999999999998E-3</v>
      </c>
      <c r="AA39" s="3185">
        <f t="shared" si="69"/>
        <v>3.3E-3</v>
      </c>
      <c r="AB39" s="3155">
        <f t="shared" si="69"/>
        <v>9.1999999999999998E-3</v>
      </c>
      <c r="AC39" s="3184"/>
      <c r="AD39" s="3155">
        <f t="shared" si="69"/>
        <v>3.3E-3</v>
      </c>
    </row>
    <row r="40" spans="1:30" s="3156" customFormat="1" ht="13.2">
      <c r="A40" s="3147" t="s">
        <v>2839</v>
      </c>
      <c r="B40" s="3148">
        <v>2021</v>
      </c>
      <c r="C40" s="3149">
        <v>3</v>
      </c>
      <c r="D40" s="3150"/>
      <c r="E40" s="3150">
        <v>0.47</v>
      </c>
      <c r="F40" s="3150">
        <v>0.28000000000000003</v>
      </c>
      <c r="G40" s="3150">
        <v>0.91</v>
      </c>
      <c r="H40" s="3167"/>
      <c r="I40" s="3151">
        <f t="shared" si="52"/>
        <v>0.28000000000000003</v>
      </c>
      <c r="J40" s="3152"/>
      <c r="K40" s="3153"/>
      <c r="L40" s="3143">
        <f t="shared" si="53"/>
        <v>4.6999999999999993E-3</v>
      </c>
      <c r="M40" s="3143">
        <f t="shared" si="53"/>
        <v>2.8000000000000004E-3</v>
      </c>
      <c r="N40" s="3143">
        <f t="shared" si="53"/>
        <v>9.1000000000000004E-3</v>
      </c>
      <c r="O40" s="3143"/>
      <c r="P40" s="3143">
        <f t="shared" si="67"/>
        <v>2.8000000000000004E-3</v>
      </c>
      <c r="Q40" s="3152"/>
      <c r="R40" s="3154"/>
      <c r="S40" s="3154">
        <f>ROUND(IF(项目基本情况!$B$8="出让",SUMPRODUCT(PRODUCT(1+L40:L$42)),SUMPRODUCT(PRODUCT(1+L40:L$41))),4)</f>
        <v>1.0102</v>
      </c>
      <c r="T40" s="3154">
        <f>ROUND(IF(项目基本情况!$B$8="出让",SUMPRODUCT(PRODUCT(1+M40:M$42)),SUMPRODUCT(PRODUCT(1+M40:M$41))),4)</f>
        <v>1.0074000000000001</v>
      </c>
      <c r="U40" s="3154">
        <f>ROUND(IF(项目基本情况!$B$8="出让",SUMPRODUCT(PRODUCT(1+N40:N$42)),SUMPRODUCT(PRODUCT(1+N40:N$41))),4)</f>
        <v>1.0202</v>
      </c>
      <c r="V40" s="3154"/>
      <c r="W40" s="3154">
        <f t="shared" si="68"/>
        <v>1.0074000000000001</v>
      </c>
      <c r="X40" s="3152"/>
      <c r="Y40" s="3155"/>
      <c r="Z40" s="3183">
        <f t="shared" si="69"/>
        <v>4.5999999999999999E-3</v>
      </c>
      <c r="AA40" s="3185">
        <f t="shared" si="69"/>
        <v>4.1000000000000003E-3</v>
      </c>
      <c r="AB40" s="3155">
        <f t="shared" si="69"/>
        <v>0.01</v>
      </c>
      <c r="AC40" s="3184"/>
      <c r="AD40" s="3155">
        <f t="shared" si="69"/>
        <v>4.1000000000000003E-3</v>
      </c>
    </row>
    <row r="41" spans="1:30" s="3156" customFormat="1" ht="13.2">
      <c r="A41" s="3147" t="s">
        <v>2840</v>
      </c>
      <c r="B41" s="3148">
        <v>2021</v>
      </c>
      <c r="C41" s="3149">
        <v>2</v>
      </c>
      <c r="D41" s="3150"/>
      <c r="E41" s="3150">
        <v>0.55000000000000004</v>
      </c>
      <c r="F41" s="3150">
        <v>0.46</v>
      </c>
      <c r="G41" s="3150">
        <v>1.1000000000000001</v>
      </c>
      <c r="H41" s="3167"/>
      <c r="I41" s="3151">
        <f t="shared" si="52"/>
        <v>0.46</v>
      </c>
      <c r="J41" s="3152"/>
      <c r="K41" s="3153"/>
      <c r="L41" s="3143">
        <f t="shared" si="53"/>
        <v>5.5000000000000005E-3</v>
      </c>
      <c r="M41" s="3143">
        <f t="shared" si="53"/>
        <v>4.5999999999999999E-3</v>
      </c>
      <c r="N41" s="3143">
        <f t="shared" si="53"/>
        <v>1.1000000000000001E-2</v>
      </c>
      <c r="O41" s="3143"/>
      <c r="P41" s="3143">
        <f t="shared" si="67"/>
        <v>4.5999999999999999E-3</v>
      </c>
      <c r="Q41" s="3152"/>
      <c r="R41" s="3154"/>
      <c r="S41" s="3154">
        <f>ROUND(IF(项目基本情况!$B$8="出让",SUMPRODUCT(PRODUCT(1+L41:L$42)),SUMPRODUCT(PRODUCT(1+L41:L$41))),4)</f>
        <v>1.0055000000000001</v>
      </c>
      <c r="T41" s="3154">
        <f>ROUND(IF(项目基本情况!$B$8="出让",SUMPRODUCT(PRODUCT(1+M41:M$42)),SUMPRODUCT(PRODUCT(1+M41:M$41))),4)</f>
        <v>1.0045999999999999</v>
      </c>
      <c r="U41" s="3154">
        <f>ROUND(IF(项目基本情况!$B$8="出让",SUMPRODUCT(PRODUCT(1+N41:N$42)),SUMPRODUCT(PRODUCT(1+N41:N$41))),4)</f>
        <v>1.0109999999999999</v>
      </c>
      <c r="V41" s="3154"/>
      <c r="W41" s="3154">
        <f t="shared" si="68"/>
        <v>1.0045999999999999</v>
      </c>
      <c r="X41" s="3152"/>
      <c r="Y41" s="3155"/>
      <c r="Z41" s="3183">
        <f t="shared" si="69"/>
        <v>4.4999999999999997E-3</v>
      </c>
      <c r="AA41" s="3185">
        <f t="shared" si="69"/>
        <v>4.7000000000000002E-3</v>
      </c>
      <c r="AB41" s="3155">
        <f t="shared" si="69"/>
        <v>1.04E-2</v>
      </c>
      <c r="AC41" s="3184"/>
      <c r="AD41" s="3155">
        <f t="shared" si="69"/>
        <v>4.7000000000000002E-3</v>
      </c>
    </row>
    <row r="42" spans="1:30" s="3178" customFormat="1" ht="13.8" thickBot="1">
      <c r="A42" s="3168" t="s">
        <v>2826</v>
      </c>
      <c r="B42" s="3169">
        <v>2021</v>
      </c>
      <c r="C42" s="3170">
        <v>1</v>
      </c>
      <c r="D42" s="3171"/>
      <c r="E42" s="3171">
        <v>0.35</v>
      </c>
      <c r="F42" s="3171">
        <v>0.48</v>
      </c>
      <c r="G42" s="3171">
        <v>0.98</v>
      </c>
      <c r="H42" s="3172"/>
      <c r="I42" s="3173">
        <f t="shared" si="52"/>
        <v>0.48</v>
      </c>
      <c r="J42" s="3174"/>
      <c r="K42" s="3175"/>
      <c r="L42" s="3176">
        <f t="shared" si="53"/>
        <v>3.4999999999999996E-3</v>
      </c>
      <c r="M42" s="3176">
        <f>F42/100</f>
        <v>4.7999999999999996E-3</v>
      </c>
      <c r="N42" s="3176">
        <f t="shared" si="53"/>
        <v>9.7999999999999997E-3</v>
      </c>
      <c r="O42" s="3176"/>
      <c r="P42" s="3176">
        <f t="shared" si="67"/>
        <v>4.7999999999999996E-3</v>
      </c>
      <c r="Q42" s="3174"/>
      <c r="R42" s="3177"/>
      <c r="S42" s="3177">
        <v>1</v>
      </c>
      <c r="T42" s="3177">
        <v>1</v>
      </c>
      <c r="U42" s="3177">
        <v>1</v>
      </c>
      <c r="V42" s="3177"/>
      <c r="W42" s="3177">
        <f t="shared" si="68"/>
        <v>1</v>
      </c>
      <c r="X42" s="3174"/>
      <c r="Y42" s="3176"/>
      <c r="Z42" s="3189">
        <f t="shared" si="69"/>
        <v>3.5000000000000001E-3</v>
      </c>
      <c r="AA42" s="3190">
        <f t="shared" si="69"/>
        <v>4.7999999999999996E-3</v>
      </c>
      <c r="AB42" s="3176">
        <f t="shared" si="69"/>
        <v>9.7999999999999997E-3</v>
      </c>
      <c r="AC42" s="3191"/>
      <c r="AD42" s="3176">
        <f t="shared" si="69"/>
        <v>4.7999999999999996E-3</v>
      </c>
    </row>
    <row r="43" spans="1:30" ht="15" thickTop="1"/>
    <row r="44" spans="1:30">
      <c r="A44" s="3419"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64"/>
    <col min="2" max="6" width="9" style="2164" customWidth="1"/>
    <col min="7" max="7" width="9" style="2202"/>
    <col min="8" max="8" width="9" style="2164"/>
    <col min="9" max="12" width="9" style="2164" customWidth="1"/>
    <col min="13" max="13" width="2.21875" style="2164" customWidth="1"/>
    <col min="14" max="14" width="9" style="2202" customWidth="1"/>
    <col min="15" max="17" width="9" style="2164" customWidth="1"/>
    <col min="18" max="18" width="2.33203125" style="2164" customWidth="1"/>
    <col min="19" max="19" width="7.109375" style="2202" customWidth="1"/>
    <col min="20" max="22" width="7.109375" style="2164" customWidth="1"/>
    <col min="23" max="23" width="24.21875" style="2164" customWidth="1"/>
    <col min="24" max="25" width="9" style="2164"/>
    <col min="26" max="27" width="11.6640625" style="2164" customWidth="1"/>
    <col min="28" max="28" width="9" style="2164"/>
    <col min="29" max="29" width="2" style="2164" customWidth="1"/>
    <col min="30" max="16384" width="9" style="2164"/>
  </cols>
  <sheetData>
    <row r="1" spans="1:34" s="2143" customFormat="1">
      <c r="B1" s="4300" t="s">
        <v>452</v>
      </c>
      <c r="C1" s="4300"/>
      <c r="D1" s="4300"/>
      <c r="E1" s="4300"/>
      <c r="F1" s="4300"/>
      <c r="G1" s="4299" t="s">
        <v>453</v>
      </c>
      <c r="H1" s="4299"/>
      <c r="I1" s="4299"/>
      <c r="J1" s="4299"/>
      <c r="K1" s="4299"/>
      <c r="L1" s="4299"/>
      <c r="N1" s="4299" t="s">
        <v>454</v>
      </c>
      <c r="O1" s="4299"/>
      <c r="P1" s="4299"/>
      <c r="Q1" s="4299"/>
      <c r="S1" s="4299" t="s">
        <v>455</v>
      </c>
      <c r="T1" s="4299"/>
      <c r="U1" s="4299"/>
      <c r="V1" s="4299"/>
      <c r="X1" s="4298" t="s">
        <v>456</v>
      </c>
      <c r="Y1" s="4299"/>
      <c r="Z1" s="4299"/>
      <c r="AA1" s="4299"/>
      <c r="AB1" s="4299"/>
      <c r="AD1" s="4298" t="s">
        <v>457</v>
      </c>
      <c r="AE1" s="4299"/>
      <c r="AF1" s="4299"/>
      <c r="AG1" s="4299"/>
      <c r="AH1" s="4299"/>
    </row>
    <row r="2" spans="1:34" s="2144" customFormat="1" ht="15" thickBot="1">
      <c r="B2" s="2145" t="s">
        <v>458</v>
      </c>
      <c r="C2" s="2145" t="s">
        <v>459</v>
      </c>
      <c r="D2" s="2146" t="s">
        <v>460</v>
      </c>
      <c r="E2" s="2146" t="s">
        <v>461</v>
      </c>
      <c r="F2" s="2145" t="s">
        <v>462</v>
      </c>
      <c r="G2" s="2147"/>
      <c r="I2" s="2145" t="s">
        <v>458</v>
      </c>
      <c r="J2" s="2146" t="s">
        <v>676</v>
      </c>
      <c r="K2" s="2146" t="s">
        <v>308</v>
      </c>
      <c r="L2" s="2145" t="s">
        <v>462</v>
      </c>
      <c r="N2" s="2145" t="s">
        <v>458</v>
      </c>
      <c r="O2" s="2146" t="s">
        <v>676</v>
      </c>
      <c r="P2" s="2146" t="s">
        <v>308</v>
      </c>
      <c r="Q2" s="2145" t="s">
        <v>462</v>
      </c>
      <c r="S2" s="2145" t="s">
        <v>458</v>
      </c>
      <c r="T2" s="2146" t="s">
        <v>676</v>
      </c>
      <c r="U2" s="2146" t="s">
        <v>308</v>
      </c>
      <c r="V2" s="2145" t="s">
        <v>462</v>
      </c>
      <c r="X2" s="2145" t="s">
        <v>458</v>
      </c>
      <c r="Y2" s="2145" t="s">
        <v>459</v>
      </c>
      <c r="Z2" s="2146" t="s">
        <v>460</v>
      </c>
      <c r="AA2" s="2146" t="s">
        <v>461</v>
      </c>
      <c r="AB2" s="2145" t="s">
        <v>462</v>
      </c>
      <c r="AD2" s="2145" t="s">
        <v>458</v>
      </c>
      <c r="AE2" s="2145" t="s">
        <v>459</v>
      </c>
      <c r="AF2" s="2146" t="s">
        <v>460</v>
      </c>
      <c r="AG2" s="2146" t="s">
        <v>461</v>
      </c>
      <c r="AH2" s="2145" t="s">
        <v>462</v>
      </c>
    </row>
    <row r="3" spans="1:34" s="2154" customFormat="1" ht="14.4">
      <c r="A3" s="2148" t="s">
        <v>2114</v>
      </c>
      <c r="B3" s="2149"/>
      <c r="C3" s="2149"/>
      <c r="D3" s="2150"/>
      <c r="E3" s="2150"/>
      <c r="F3" s="2149"/>
      <c r="G3" s="2151"/>
      <c r="H3" s="2152"/>
      <c r="I3" s="2153">
        <f>ROUND(AVERAGE($I4:$I40),2)</f>
        <v>1.55</v>
      </c>
      <c r="J3" s="2153">
        <f>ROUND(AVERAGE($J4:$J40),2)</f>
        <v>0.97</v>
      </c>
      <c r="K3" s="2153">
        <f>ROUND(AVERAGE($K4:$K40),2)</f>
        <v>1.66</v>
      </c>
      <c r="L3" s="2153">
        <f>ROUND(AVERAGE($L4:$L40),2)</f>
        <v>1.1000000000000001</v>
      </c>
      <c r="N3" s="2151"/>
      <c r="S3" s="2151"/>
      <c r="W3" s="2155"/>
      <c r="X3" s="2156">
        <f>ROUND(SUMPRODUCT(PRODUCT(1+N3:N$39)),4)</f>
        <v>1.6585000000000001</v>
      </c>
      <c r="Y3" s="2156">
        <f>ROUND(SUMPRODUCT(PRODUCT(1+O3:O$39)),4)</f>
        <v>1.3676999999999999</v>
      </c>
      <c r="Z3" s="2156">
        <f t="shared" ref="Z3:Z37" si="0">Y3</f>
        <v>1.3676999999999999</v>
      </c>
      <c r="AA3" s="2156">
        <f>ROUND(SUMPRODUCT(PRODUCT(1+P3:P$39)),4)</f>
        <v>1.7434000000000001</v>
      </c>
      <c r="AB3" s="2156">
        <f>ROUND(SUMPRODUCT(PRODUCT(1+Q3:Q$39)),4)</f>
        <v>1.4609000000000001</v>
      </c>
      <c r="AD3" s="2157">
        <f>ROUND(AVERAGE(I3:I$40)/100,4)</f>
        <v>1.55E-2</v>
      </c>
      <c r="AE3" s="2157">
        <f>ROUND(AVERAGE(J3:J$40)/100,4)</f>
        <v>9.7000000000000003E-3</v>
      </c>
      <c r="AF3" s="2157">
        <f t="shared" ref="AF3:AF38" si="1">AE3</f>
        <v>9.7000000000000003E-3</v>
      </c>
      <c r="AG3" s="2157">
        <f>ROUND(AVERAGE(K3:K$40)/100,4)</f>
        <v>1.66E-2</v>
      </c>
      <c r="AH3" s="2157">
        <f>ROUND(AVERAGE(L3:L$40)/100,4)</f>
        <v>1.0999999999999999E-2</v>
      </c>
    </row>
    <row r="4" spans="1:34" s="2158" customFormat="1" ht="14.4">
      <c r="B4" s="2159"/>
      <c r="C4" s="2159"/>
      <c r="D4" s="2160"/>
      <c r="E4" s="2160"/>
      <c r="F4" s="2159"/>
      <c r="G4" s="2161"/>
      <c r="H4" s="2162"/>
      <c r="I4" s="2163"/>
      <c r="J4" s="2163"/>
      <c r="K4" s="2163"/>
      <c r="L4" s="2163"/>
      <c r="N4" s="2161"/>
      <c r="S4" s="2161"/>
      <c r="X4" s="2164"/>
      <c r="Y4" s="2164"/>
      <c r="Z4" s="2164"/>
      <c r="AA4" s="2164"/>
      <c r="AB4" s="2164"/>
      <c r="AD4" s="2165"/>
      <c r="AE4" s="2165"/>
      <c r="AF4" s="2165"/>
      <c r="AG4" s="2165"/>
      <c r="AH4" s="2165"/>
    </row>
    <row r="5" spans="1:34" s="2184" customFormat="1">
      <c r="A5" s="2177" t="s">
        <v>3365</v>
      </c>
      <c r="B5" s="2178">
        <f t="shared" ref="B5" si="2">B6*(1+N5)</f>
        <v>510.07089659554606</v>
      </c>
      <c r="C5" s="2178">
        <f t="shared" ref="C5" si="3">C6*(1+O5)</f>
        <v>352.55593185737411</v>
      </c>
      <c r="D5" s="2178">
        <f t="shared" ref="D5" si="4">C5</f>
        <v>352.55593185737411</v>
      </c>
      <c r="E5" s="2178">
        <f t="shared" ref="E5" si="5">E6*(1+P5)</f>
        <v>737.27992463403655</v>
      </c>
      <c r="F5" s="2178">
        <f t="shared" ref="F5" si="6">F6*(1+Q5)</f>
        <v>335.88319198297864</v>
      </c>
      <c r="G5" s="3407">
        <v>2022</v>
      </c>
      <c r="H5" s="2179">
        <v>1</v>
      </c>
      <c r="I5" s="2141">
        <v>0</v>
      </c>
      <c r="J5" s="2141">
        <v>0</v>
      </c>
      <c r="K5" s="2141">
        <v>0</v>
      </c>
      <c r="L5" s="2142">
        <v>0</v>
      </c>
      <c r="M5" s="2164"/>
      <c r="N5" s="2180">
        <f t="shared" ref="N5" si="7">I5/100</f>
        <v>0</v>
      </c>
      <c r="O5" s="2165">
        <f t="shared" ref="O5" si="8">J5/100</f>
        <v>0</v>
      </c>
      <c r="P5" s="2165">
        <f t="shared" ref="P5" si="9">K5/100</f>
        <v>0</v>
      </c>
      <c r="Q5" s="2165">
        <f t="shared" ref="Q5" si="10">L5/100</f>
        <v>0</v>
      </c>
      <c r="R5" s="2181"/>
      <c r="S5" s="2180"/>
      <c r="T5" s="2165"/>
      <c r="U5" s="2165"/>
      <c r="V5" s="2165"/>
      <c r="W5" s="2182"/>
      <c r="X5" s="2182" t="e">
        <f>ROUND(IF(项目基本情况!#REF!="出让",SUMPRODUCT(PRODUCT(1+N5:N$40)),SUMPRODUCT(PRODUCT(1+N5:N$39))),4)</f>
        <v>#REF!</v>
      </c>
      <c r="Y5" s="2182" t="e">
        <f>ROUND(IF(项目基本情况!#REF!="出让",SUMPRODUCT(PRODUCT(1+O5:O$40)),SUMPRODUCT(PRODUCT(1+O5:O$39))),4)</f>
        <v>#REF!</v>
      </c>
      <c r="Z5" s="2182" t="e">
        <f t="shared" ref="Z5" si="11">Y5</f>
        <v>#REF!</v>
      </c>
      <c r="AA5" s="2182" t="e">
        <f>ROUND(IF(项目基本情况!#REF!="出让",SUMPRODUCT(PRODUCT(1+P5:P$40)),SUMPRODUCT(PRODUCT(1+P5:P$39))),4)</f>
        <v>#REF!</v>
      </c>
      <c r="AB5" s="2182" t="e">
        <f>ROUND(IF(项目基本情况!#REF!="出让",SUMPRODUCT(PRODUCT(1+Q5:Q$40)),SUMPRODUCT(PRODUCT(1+Q5:Q$39))),4)</f>
        <v>#REF!</v>
      </c>
      <c r="AC5" s="2182"/>
      <c r="AD5" s="2183">
        <f>ROUND(AVERAGE(I5:I$40)/100,4)</f>
        <v>1.55E-2</v>
      </c>
      <c r="AE5" s="2183">
        <f>ROUND(AVERAGE(J5:J$40)/100,4)</f>
        <v>9.7000000000000003E-3</v>
      </c>
      <c r="AF5" s="2183">
        <f t="shared" ref="AF5" si="12">AE5</f>
        <v>9.7000000000000003E-3</v>
      </c>
      <c r="AG5" s="2183">
        <f>ROUND(AVERAGE(K5:K$40)/100,4)</f>
        <v>1.66E-2</v>
      </c>
      <c r="AH5" s="2183">
        <f>ROUND(AVERAGE(L5:L$40)/100,4)</f>
        <v>1.0999999999999999E-2</v>
      </c>
    </row>
    <row r="6" spans="1:34" s="2171" customFormat="1">
      <c r="A6" s="2166" t="s">
        <v>3362</v>
      </c>
      <c r="B6" s="2167">
        <f t="shared" ref="B6" si="13">B7*(1+N6)</f>
        <v>510.07089659554606</v>
      </c>
      <c r="C6" s="2167">
        <f t="shared" ref="C6" si="14">C7*(1+O6)</f>
        <v>352.55593185737411</v>
      </c>
      <c r="D6" s="2167">
        <f t="shared" ref="D6" si="15">C6</f>
        <v>352.55593185737411</v>
      </c>
      <c r="E6" s="2167">
        <f t="shared" ref="E6" si="16">E7*(1+P6)</f>
        <v>737.27992463403655</v>
      </c>
      <c r="F6" s="2167">
        <f t="shared" ref="F6" si="17">F7*(1+Q6)</f>
        <v>335.88319198297864</v>
      </c>
      <c r="G6" s="3407">
        <v>2022</v>
      </c>
      <c r="H6" s="2169">
        <v>1</v>
      </c>
      <c r="I6" s="2170">
        <v>0</v>
      </c>
      <c r="J6" s="2170">
        <v>0</v>
      </c>
      <c r="K6" s="2170">
        <v>0</v>
      </c>
      <c r="L6" s="2170">
        <v>0</v>
      </c>
      <c r="N6" s="2172">
        <f t="shared" ref="N6" si="18">I6/100</f>
        <v>0</v>
      </c>
      <c r="O6" s="2172">
        <f t="shared" ref="O6" si="19">J6/100</f>
        <v>0</v>
      </c>
      <c r="P6" s="2172">
        <f t="shared" ref="P6" si="20">K6/100</f>
        <v>0</v>
      </c>
      <c r="Q6" s="2172">
        <f t="shared" ref="Q6" si="21">L6/100</f>
        <v>0</v>
      </c>
      <c r="S6" s="2173"/>
      <c r="W6" s="2174" t="s">
        <v>2115</v>
      </c>
      <c r="X6" s="2175" t="e">
        <f>ROUND(IF(项目基本情况!#REF!="出让",SUMPRODUCT(PRODUCT(1+N6:N$40)),SUMPRODUCT(PRODUCT(1+N6:N$39))),4)</f>
        <v>#REF!</v>
      </c>
      <c r="Y6" s="2175" t="e">
        <f>ROUND(IF(项目基本情况!#REF!="出让",SUMPRODUCT(PRODUCT(1+O6:O$40)),SUMPRODUCT(PRODUCT(1+O6:O$39))),4)</f>
        <v>#REF!</v>
      </c>
      <c r="Z6" s="2175" t="e">
        <f t="shared" ref="Z6" si="22">Y6</f>
        <v>#REF!</v>
      </c>
      <c r="AA6" s="2175" t="e">
        <f>ROUND(IF(项目基本情况!#REF!="出让",SUMPRODUCT(PRODUCT(1+P6:P$40)),SUMPRODUCT(PRODUCT(1+P6:P$39))),4)</f>
        <v>#REF!</v>
      </c>
      <c r="AB6" s="2175" t="e">
        <f>ROUND(IF(项目基本情况!#REF!="出让",SUMPRODUCT(PRODUCT(1+Q6:Q$40)),SUMPRODUCT(PRODUCT(1+Q6:Q$39))),4)</f>
        <v>#REF!</v>
      </c>
      <c r="AD6" s="2176">
        <f>ROUND(AVERAGE(I6:I$40)/100,4)</f>
        <v>1.6E-2</v>
      </c>
      <c r="AE6" s="2176">
        <f>ROUND(AVERAGE(J6:J$40)/100,4)</f>
        <v>0.01</v>
      </c>
      <c r="AF6" s="2176">
        <f t="shared" ref="AF6" si="23">AE6</f>
        <v>0.01</v>
      </c>
      <c r="AG6" s="2176">
        <f>ROUND(AVERAGE(K6:K$40)/100,4)</f>
        <v>1.7100000000000001E-2</v>
      </c>
      <c r="AH6" s="2176">
        <f>ROUND(AVERAGE(L6:L$40)/100,4)</f>
        <v>1.1299999999999999E-2</v>
      </c>
    </row>
    <row r="7" spans="1:34" s="2184" customFormat="1">
      <c r="A7" s="2177" t="s">
        <v>3363</v>
      </c>
      <c r="B7" s="2178">
        <f t="shared" ref="B7" si="24">B8*(1+N7)</f>
        <v>510.07089659554606</v>
      </c>
      <c r="C7" s="2178">
        <f t="shared" ref="C7" si="25">C8*(1+O7)</f>
        <v>352.55593185737411</v>
      </c>
      <c r="D7" s="2178">
        <f t="shared" ref="D7" si="26">C7</f>
        <v>352.55593185737411</v>
      </c>
      <c r="E7" s="2178">
        <f t="shared" ref="E7" si="27">E8*(1+P7)</f>
        <v>737.27992463403655</v>
      </c>
      <c r="F7" s="2178">
        <f t="shared" ref="F7" si="28">F8*(1+Q7)</f>
        <v>335.88319198297864</v>
      </c>
      <c r="G7" s="3407">
        <v>2022</v>
      </c>
      <c r="H7" s="2179">
        <v>1</v>
      </c>
      <c r="I7" s="2141">
        <v>0</v>
      </c>
      <c r="J7" s="2141">
        <v>0</v>
      </c>
      <c r="K7" s="2141">
        <v>0</v>
      </c>
      <c r="L7" s="2142">
        <v>0</v>
      </c>
      <c r="M7" s="2164"/>
      <c r="N7" s="2180">
        <f t="shared" ref="N7" si="29">I7/100</f>
        <v>0</v>
      </c>
      <c r="O7" s="2165">
        <f t="shared" ref="O7" si="30">J7/100</f>
        <v>0</v>
      </c>
      <c r="P7" s="2165">
        <f t="shared" ref="P7" si="31">K7/100</f>
        <v>0</v>
      </c>
      <c r="Q7" s="2165">
        <f t="shared" ref="Q7" si="32">L7/100</f>
        <v>0</v>
      </c>
      <c r="R7" s="2181"/>
      <c r="S7" s="2180"/>
      <c r="T7" s="2165"/>
      <c r="U7" s="2165"/>
      <c r="V7" s="2165"/>
      <c r="W7" s="2182"/>
      <c r="X7" s="2182" t="e">
        <f>ROUND(IF(项目基本情况!#REF!="出让",SUMPRODUCT(PRODUCT(1+N7:N$40)),SUMPRODUCT(PRODUCT(1+N7:N$39))),4)</f>
        <v>#REF!</v>
      </c>
      <c r="Y7" s="2182" t="e">
        <f>ROUND(IF(项目基本情况!#REF!="出让",SUMPRODUCT(PRODUCT(1+O7:O$40)),SUMPRODUCT(PRODUCT(1+O7:O$39))),4)</f>
        <v>#REF!</v>
      </c>
      <c r="Z7" s="2182" t="e">
        <f t="shared" ref="Z7" si="33">Y7</f>
        <v>#REF!</v>
      </c>
      <c r="AA7" s="2182" t="e">
        <f>ROUND(IF(项目基本情况!#REF!="出让",SUMPRODUCT(PRODUCT(1+P7:P$40)),SUMPRODUCT(PRODUCT(1+P7:P$39))),4)</f>
        <v>#REF!</v>
      </c>
      <c r="AB7" s="2182" t="e">
        <f>ROUND(IF(项目基本情况!#REF!="出让",SUMPRODUCT(PRODUCT(1+Q7:Q$40)),SUMPRODUCT(PRODUCT(1+Q7:Q$39))),4)</f>
        <v>#REF!</v>
      </c>
      <c r="AC7" s="2182"/>
      <c r="AD7" s="2183">
        <f>ROUND(AVERAGE(I7:I$40)/100,4)</f>
        <v>1.6400000000000001E-2</v>
      </c>
      <c r="AE7" s="2183">
        <f>ROUND(AVERAGE(J7:J$40)/100,4)</f>
        <v>1.03E-2</v>
      </c>
      <c r="AF7" s="2183">
        <f t="shared" ref="AF7" si="34">AE7</f>
        <v>1.03E-2</v>
      </c>
      <c r="AG7" s="2183">
        <f>ROUND(AVERAGE(K7:K$40)/100,4)</f>
        <v>1.7600000000000001E-2</v>
      </c>
      <c r="AH7" s="2183">
        <f>ROUND(AVERAGE(L7:L$40)/100,4)</f>
        <v>1.1599999999999999E-2</v>
      </c>
    </row>
    <row r="8" spans="1:34" s="2184" customFormat="1">
      <c r="A8" s="2177" t="s">
        <v>3364</v>
      </c>
      <c r="B8" s="2178">
        <f t="shared" ref="B8" si="35">B9*(1+N8)</f>
        <v>510.07089659554606</v>
      </c>
      <c r="C8" s="2178">
        <f t="shared" ref="C8" si="36">C9*(1+O8)</f>
        <v>352.55593185737411</v>
      </c>
      <c r="D8" s="2178">
        <f t="shared" ref="D8" si="37">C8</f>
        <v>352.55593185737411</v>
      </c>
      <c r="E8" s="2178">
        <f t="shared" ref="E8" si="38">E9*(1+P8)</f>
        <v>737.27992463403655</v>
      </c>
      <c r="F8" s="2178">
        <f t="shared" ref="F8" si="39">F9*(1+Q8)</f>
        <v>335.88319198297864</v>
      </c>
      <c r="G8" s="3407">
        <v>2022</v>
      </c>
      <c r="H8" s="2179">
        <v>1</v>
      </c>
      <c r="I8" s="2141"/>
      <c r="J8" s="2141"/>
      <c r="K8" s="2141">
        <v>0</v>
      </c>
      <c r="L8" s="2142">
        <v>0</v>
      </c>
      <c r="M8" s="2164"/>
      <c r="N8" s="2180">
        <f t="shared" ref="N8" si="40">I8/100</f>
        <v>0</v>
      </c>
      <c r="O8" s="2165">
        <f t="shared" ref="O8" si="41">J8/100</f>
        <v>0</v>
      </c>
      <c r="P8" s="2165">
        <f t="shared" ref="P8" si="42">K8/100</f>
        <v>0</v>
      </c>
      <c r="Q8" s="2165">
        <f t="shared" ref="Q8" si="43">L8/100</f>
        <v>0</v>
      </c>
      <c r="R8" s="2181"/>
      <c r="S8" s="2180"/>
      <c r="T8" s="2165"/>
      <c r="U8" s="2165"/>
      <c r="V8" s="2165"/>
      <c r="W8" s="2182"/>
      <c r="X8" s="2182">
        <f>ROUND(IF(项目基本情况!B1="出让",SUMPRODUCT(PRODUCT(1+N8:N$40)),SUMPRODUCT(PRODUCT(1+N8:N$39))),4)</f>
        <v>1.6585000000000001</v>
      </c>
      <c r="Y8" s="2182">
        <f>ROUND(IF(项目基本情况!B1="出让",SUMPRODUCT(PRODUCT(1+O8:O$40)),SUMPRODUCT(PRODUCT(1+O8:O$39))),4)</f>
        <v>1.3676999999999999</v>
      </c>
      <c r="Z8" s="2182">
        <f t="shared" ref="Z8" si="44">Y8</f>
        <v>1.3676999999999999</v>
      </c>
      <c r="AA8" s="2182">
        <f>ROUND(IF(项目基本情况!B1="出让",SUMPRODUCT(PRODUCT(1+P8:P$40)),SUMPRODUCT(PRODUCT(1+P8:P$39))),4)</f>
        <v>1.7434000000000001</v>
      </c>
      <c r="AB8" s="2182">
        <f>ROUND(IF(项目基本情况!B1="出让",SUMPRODUCT(PRODUCT(1+Q8:Q$40)),SUMPRODUCT(PRODUCT(1+Q8:Q$39))),4)</f>
        <v>1.4609000000000001</v>
      </c>
      <c r="AC8" s="2182"/>
      <c r="AD8" s="2183">
        <f>ROUND(AVERAGE(I8:I$40)/100,4)</f>
        <v>1.6899999999999998E-2</v>
      </c>
      <c r="AE8" s="2183">
        <f>ROUND(AVERAGE(J8:J$40)/100,4)</f>
        <v>1.06E-2</v>
      </c>
      <c r="AF8" s="2183">
        <f t="shared" ref="AF8" si="45">AE8</f>
        <v>1.06E-2</v>
      </c>
      <c r="AG8" s="2183">
        <f>ROUND(AVERAGE(K8:K$40)/100,4)</f>
        <v>1.8100000000000002E-2</v>
      </c>
      <c r="AH8" s="2183">
        <f>ROUND(AVERAGE(L8:L$40)/100,4)</f>
        <v>1.2E-2</v>
      </c>
    </row>
    <row r="9" spans="1:34" s="2184" customFormat="1">
      <c r="A9" s="2177" t="s">
        <v>2438</v>
      </c>
      <c r="B9" s="2178">
        <f t="shared" ref="B9" si="46">B10*(1+N9)</f>
        <v>510.07089659554606</v>
      </c>
      <c r="C9" s="2178">
        <f t="shared" ref="C9" si="47">C10*(1+O9)</f>
        <v>352.55593185737411</v>
      </c>
      <c r="D9" s="2178">
        <f t="shared" ref="D9" si="48">C9</f>
        <v>352.55593185737411</v>
      </c>
      <c r="E9" s="2178">
        <f t="shared" ref="E9" si="49">E10*(1+P9)</f>
        <v>737.27992463403655</v>
      </c>
      <c r="F9" s="2178">
        <f t="shared" ref="F9" si="50">F10*(1+Q9)</f>
        <v>335.88319198297864</v>
      </c>
      <c r="G9" s="2976">
        <v>2021</v>
      </c>
      <c r="H9" s="2179">
        <v>4</v>
      </c>
      <c r="I9" s="2141">
        <v>1.03</v>
      </c>
      <c r="J9" s="2141">
        <v>0.24</v>
      </c>
      <c r="K9" s="2141">
        <v>1.17</v>
      </c>
      <c r="L9" s="2142">
        <v>0.55000000000000004</v>
      </c>
      <c r="M9" s="2164"/>
      <c r="N9" s="2180">
        <f t="shared" ref="N9" si="51">I9/100</f>
        <v>1.03E-2</v>
      </c>
      <c r="O9" s="2165">
        <f t="shared" ref="O9" si="52">J9/100</f>
        <v>2.3999999999999998E-3</v>
      </c>
      <c r="P9" s="2165">
        <f t="shared" ref="P9" si="53">K9/100</f>
        <v>1.1699999999999999E-2</v>
      </c>
      <c r="Q9" s="2165">
        <f t="shared" ref="Q9" si="54">L9/100</f>
        <v>5.5000000000000005E-3</v>
      </c>
      <c r="R9" s="2181"/>
      <c r="S9" s="2180"/>
      <c r="T9" s="2165"/>
      <c r="U9" s="2165"/>
      <c r="V9" s="2165"/>
      <c r="W9" s="2182"/>
      <c r="X9" s="2182">
        <f>ROUND(IF(项目基本情况!B2="出让",SUMPRODUCT(PRODUCT(1+N9:N$40)),SUMPRODUCT(PRODUCT(1+N9:N$39))),4)</f>
        <v>1.6585000000000001</v>
      </c>
      <c r="Y9" s="2182">
        <f>ROUND(IF(项目基本情况!B2="出让",SUMPRODUCT(PRODUCT(1+O9:O$40)),SUMPRODUCT(PRODUCT(1+O9:O$39))),4)</f>
        <v>1.3676999999999999</v>
      </c>
      <c r="Z9" s="2182">
        <f t="shared" ref="Z9" si="55">Y9</f>
        <v>1.3676999999999999</v>
      </c>
      <c r="AA9" s="2182">
        <f>ROUND(IF(项目基本情况!B2="出让",SUMPRODUCT(PRODUCT(1+P9:P$40)),SUMPRODUCT(PRODUCT(1+P9:P$39))),4)</f>
        <v>1.7434000000000001</v>
      </c>
      <c r="AB9" s="2182">
        <f>ROUND(IF(项目基本情况!B2="出让",SUMPRODUCT(PRODUCT(1+Q9:Q$40)),SUMPRODUCT(PRODUCT(1+Q9:Q$39))),4)</f>
        <v>1.4609000000000001</v>
      </c>
      <c r="AC9" s="2182"/>
      <c r="AD9" s="2183">
        <f>ROUND(AVERAGE(I9:I$40)/100,4)</f>
        <v>1.6899999999999998E-2</v>
      </c>
      <c r="AE9" s="2183">
        <f>ROUND(AVERAGE(J9:J$40)/100,4)</f>
        <v>1.06E-2</v>
      </c>
      <c r="AF9" s="2183">
        <f t="shared" ref="AF9" si="56">AE9</f>
        <v>1.06E-2</v>
      </c>
      <c r="AG9" s="2183">
        <f>ROUND(AVERAGE(K9:K$40)/100,4)</f>
        <v>1.8700000000000001E-2</v>
      </c>
      <c r="AH9" s="2183">
        <f>ROUND(AVERAGE(L9:L$40)/100,4)</f>
        <v>1.24E-2</v>
      </c>
    </row>
    <row r="10" spans="1:34" s="2184" customFormat="1">
      <c r="A10" s="2177" t="s">
        <v>2315</v>
      </c>
      <c r="B10" s="2178">
        <f t="shared" ref="B10" si="57">B11*(1+N10)</f>
        <v>504.87072809615569</v>
      </c>
      <c r="C10" s="2178">
        <f t="shared" ref="C10" si="58">C11*(1+O10)</f>
        <v>351.71182348101968</v>
      </c>
      <c r="D10" s="2178">
        <f t="shared" ref="D10" si="59">C10</f>
        <v>351.71182348101968</v>
      </c>
      <c r="E10" s="2178">
        <f t="shared" ref="E10" si="60">E11*(1+P10)</f>
        <v>728.75350858360832</v>
      </c>
      <c r="F10" s="2178">
        <f t="shared" ref="F10" si="61">F11*(1+Q10)</f>
        <v>334.04593931673656</v>
      </c>
      <c r="G10" s="2801">
        <v>2021</v>
      </c>
      <c r="H10" s="2179">
        <v>3</v>
      </c>
      <c r="I10" s="2141">
        <v>0.47</v>
      </c>
      <c r="J10" s="2141">
        <v>0.41</v>
      </c>
      <c r="K10" s="2141">
        <v>0.48</v>
      </c>
      <c r="L10" s="2142">
        <v>0.48</v>
      </c>
      <c r="M10" s="2164"/>
      <c r="N10" s="2180">
        <f t="shared" ref="N10" si="62">I10/100</f>
        <v>4.6999999999999993E-3</v>
      </c>
      <c r="O10" s="2165">
        <f t="shared" ref="O10" si="63">J10/100</f>
        <v>4.0999999999999995E-3</v>
      </c>
      <c r="P10" s="2165">
        <f t="shared" ref="P10" si="64">K10/100</f>
        <v>4.7999999999999996E-3</v>
      </c>
      <c r="Q10" s="2165">
        <f t="shared" ref="Q10" si="65">L10/100</f>
        <v>4.7999999999999996E-3</v>
      </c>
      <c r="R10" s="2181"/>
      <c r="S10" s="2180"/>
      <c r="T10" s="2165"/>
      <c r="U10" s="2165"/>
      <c r="V10" s="2165"/>
      <c r="W10" s="2182"/>
      <c r="X10" s="2182">
        <f>ROUND(IF(项目基本情况!B3="出让",SUMPRODUCT(PRODUCT(1+N10:N$40)),SUMPRODUCT(PRODUCT(1+N10:N$39))),4)</f>
        <v>1.6415999999999999</v>
      </c>
      <c r="Y10" s="2182">
        <f>ROUND(IF(项目基本情况!B3="出让",SUMPRODUCT(PRODUCT(1+O10:O$40)),SUMPRODUCT(PRODUCT(1+O10:O$39))),4)</f>
        <v>1.3644000000000001</v>
      </c>
      <c r="Z10" s="2182">
        <f t="shared" ref="Z10" si="66">Y10</f>
        <v>1.3644000000000001</v>
      </c>
      <c r="AA10" s="2182">
        <f>ROUND(IF(项目基本情况!B3="出让",SUMPRODUCT(PRODUCT(1+P10:P$40)),SUMPRODUCT(PRODUCT(1+P10:P$39))),4)</f>
        <v>1.7232000000000001</v>
      </c>
      <c r="AB10" s="2182">
        <f>ROUND(IF(项目基本情况!B3="出让",SUMPRODUCT(PRODUCT(1+Q10:Q$40)),SUMPRODUCT(PRODUCT(1+Q10:Q$39))),4)</f>
        <v>1.4529000000000001</v>
      </c>
      <c r="AC10" s="2182"/>
      <c r="AD10" s="2183">
        <f>ROUND(AVERAGE(I10:I$40)/100,4)</f>
        <v>1.72E-2</v>
      </c>
      <c r="AE10" s="2183">
        <f>ROUND(AVERAGE(J10:J$40)/100,4)</f>
        <v>1.09E-2</v>
      </c>
      <c r="AF10" s="2183">
        <f t="shared" ref="AF10" si="67">AE10</f>
        <v>1.09E-2</v>
      </c>
      <c r="AG10" s="2183">
        <f>ROUND(AVERAGE(K10:K$40)/100,4)</f>
        <v>1.89E-2</v>
      </c>
      <c r="AH10" s="2183">
        <f>ROUND(AVERAGE(L10:L$40)/100,4)</f>
        <v>1.26E-2</v>
      </c>
    </row>
    <row r="11" spans="1:34" s="2184" customFormat="1">
      <c r="A11" s="2177" t="s">
        <v>2314</v>
      </c>
      <c r="B11" s="2178">
        <f t="shared" ref="B11" si="68">B12*(1+N11)</f>
        <v>502.50893609650217</v>
      </c>
      <c r="C11" s="2178">
        <f t="shared" ref="C11" si="69">C12*(1+O11)</f>
        <v>350.27569313914915</v>
      </c>
      <c r="D11" s="2178">
        <f t="shared" ref="D11" si="70">C11</f>
        <v>350.27569313914915</v>
      </c>
      <c r="E11" s="2178">
        <f t="shared" ref="E11" si="71">E12*(1+P11)</f>
        <v>725.27220201394141</v>
      </c>
      <c r="F11" s="2178">
        <f t="shared" ref="F11" si="72">F12*(1+Q11)</f>
        <v>332.45017846012797</v>
      </c>
      <c r="G11" s="2800">
        <v>2021</v>
      </c>
      <c r="H11" s="2179">
        <v>2</v>
      </c>
      <c r="I11" s="2141">
        <v>0.92</v>
      </c>
      <c r="J11" s="2141">
        <v>0.72</v>
      </c>
      <c r="K11" s="2141">
        <v>0.95</v>
      </c>
      <c r="L11" s="2142">
        <v>1.01</v>
      </c>
      <c r="M11" s="2164"/>
      <c r="N11" s="2180">
        <f t="shared" ref="N11" si="73">I11/100</f>
        <v>9.1999999999999998E-3</v>
      </c>
      <c r="O11" s="2165">
        <f t="shared" ref="O11" si="74">J11/100</f>
        <v>7.1999999999999998E-3</v>
      </c>
      <c r="P11" s="2165">
        <f t="shared" ref="P11" si="75">K11/100</f>
        <v>9.4999999999999998E-3</v>
      </c>
      <c r="Q11" s="2165">
        <f t="shared" ref="Q11" si="76">L11/100</f>
        <v>1.01E-2</v>
      </c>
      <c r="R11" s="2181"/>
      <c r="S11" s="2180"/>
      <c r="T11" s="2165"/>
      <c r="U11" s="2165"/>
      <c r="V11" s="2165"/>
      <c r="W11" s="2182"/>
      <c r="X11" s="2182">
        <f>ROUND(IF(项目基本情况!B4="出让",SUMPRODUCT(PRODUCT(1+N11:N$40)),SUMPRODUCT(PRODUCT(1+N11:N$39))),4)</f>
        <v>1.6338999999999999</v>
      </c>
      <c r="Y11" s="2182">
        <f>ROUND(IF(项目基本情况!B4="出让",SUMPRODUCT(PRODUCT(1+O11:O$40)),SUMPRODUCT(PRODUCT(1+O11:O$39))),4)</f>
        <v>1.3588</v>
      </c>
      <c r="Z11" s="2182">
        <f t="shared" ref="Z11" si="77">Y11</f>
        <v>1.3588</v>
      </c>
      <c r="AA11" s="2182">
        <f>ROUND(IF(项目基本情况!B4="出让",SUMPRODUCT(PRODUCT(1+P11:P$40)),SUMPRODUCT(PRODUCT(1+P11:P$39))),4)</f>
        <v>1.7150000000000001</v>
      </c>
      <c r="AB11" s="2182">
        <f>ROUND(IF(项目基本情况!B4="出让",SUMPRODUCT(PRODUCT(1+Q11:Q$40)),SUMPRODUCT(PRODUCT(1+Q11:Q$39))),4)</f>
        <v>1.446</v>
      </c>
      <c r="AC11" s="2182"/>
      <c r="AD11" s="2183">
        <f>ROUND(AVERAGE(I11:I$40)/100,4)</f>
        <v>1.7600000000000001E-2</v>
      </c>
      <c r="AE11" s="2183">
        <f>ROUND(AVERAGE(J11:J$40)/100,4)</f>
        <v>1.11E-2</v>
      </c>
      <c r="AF11" s="2183">
        <f t="shared" ref="AF11" si="78">AE11</f>
        <v>1.11E-2</v>
      </c>
      <c r="AG11" s="2183">
        <f>ROUND(AVERAGE(K11:K$40)/100,4)</f>
        <v>1.9400000000000001E-2</v>
      </c>
      <c r="AH11" s="2183">
        <f>ROUND(AVERAGE(L11:L$40)/100,4)</f>
        <v>1.2800000000000001E-2</v>
      </c>
    </row>
    <row r="12" spans="1:34" s="2184" customFormat="1">
      <c r="A12" s="2177" t="s">
        <v>2313</v>
      </c>
      <c r="B12" s="2178">
        <f t="shared" ref="B12" si="79">B13*(1+N12)</f>
        <v>497.92799851020823</v>
      </c>
      <c r="C12" s="2178">
        <f t="shared" ref="C12" si="80">C13*(1+O12)</f>
        <v>347.77173663537445</v>
      </c>
      <c r="D12" s="2178">
        <f t="shared" ref="D12" si="81">C12</f>
        <v>347.77173663537445</v>
      </c>
      <c r="E12" s="2178">
        <f t="shared" ref="E12" si="82">E13*(1+P12)</f>
        <v>718.44695593258189</v>
      </c>
      <c r="F12" s="2178">
        <f t="shared" ref="F12" si="83">F13*(1+Q12)</f>
        <v>329.12600580153247</v>
      </c>
      <c r="G12" s="2784">
        <v>2021</v>
      </c>
      <c r="H12" s="2179">
        <v>1</v>
      </c>
      <c r="I12" s="2141">
        <v>0.97</v>
      </c>
      <c r="J12" s="2141">
        <v>0.16</v>
      </c>
      <c r="K12" s="2141">
        <v>1.1100000000000001</v>
      </c>
      <c r="L12" s="2142">
        <v>0.36</v>
      </c>
      <c r="M12" s="2164"/>
      <c r="N12" s="2180">
        <f t="shared" ref="N12" si="84">I12/100</f>
        <v>9.7000000000000003E-3</v>
      </c>
      <c r="O12" s="2165">
        <f t="shared" ref="O12" si="85">J12/100</f>
        <v>1.6000000000000001E-3</v>
      </c>
      <c r="P12" s="2165">
        <f t="shared" ref="P12" si="86">K12/100</f>
        <v>1.11E-2</v>
      </c>
      <c r="Q12" s="2165">
        <f t="shared" ref="Q12" si="87">L12/100</f>
        <v>3.5999999999999999E-3</v>
      </c>
      <c r="R12" s="2181"/>
      <c r="S12" s="2180">
        <f>B12/B13-1</f>
        <v>9.7000000000000419E-3</v>
      </c>
      <c r="T12" s="2165">
        <f t="shared" ref="T12" si="88">C12/C13-1</f>
        <v>1.6000000000000458E-3</v>
      </c>
      <c r="U12" s="2165">
        <f t="shared" ref="U12" si="89">D12/D13-1</f>
        <v>1.6000000000000458E-3</v>
      </c>
      <c r="V12" s="2165">
        <f t="shared" ref="V12" si="90">E12/E13-1</f>
        <v>1.110000000000011E-2</v>
      </c>
      <c r="W12" s="2182"/>
      <c r="X12" s="2182">
        <f>ROUND(IF(项目基本情况!B5="出让",SUMPRODUCT(PRODUCT(1+N12:N$40)),SUMPRODUCT(PRODUCT(1+N12:N$39))),4)</f>
        <v>1.619</v>
      </c>
      <c r="Y12" s="2182">
        <f>ROUND(IF(项目基本情况!B5="出让",SUMPRODUCT(PRODUCT(1+O12:O$40)),SUMPRODUCT(PRODUCT(1+O12:O$39))),4)</f>
        <v>1.3491</v>
      </c>
      <c r="Z12" s="2182">
        <f t="shared" ref="Z12" si="91">Y12</f>
        <v>1.3491</v>
      </c>
      <c r="AA12" s="2182">
        <f>ROUND(IF(项目基本情况!B5="出让",SUMPRODUCT(PRODUCT(1+P12:P$40)),SUMPRODUCT(PRODUCT(1+P12:P$39))),4)</f>
        <v>1.6988000000000001</v>
      </c>
      <c r="AB12" s="2182">
        <f>ROUND(IF(项目基本情况!B5="出让",SUMPRODUCT(PRODUCT(1+Q12:Q$40)),SUMPRODUCT(PRODUCT(1+Q12:Q$39))),4)</f>
        <v>1.4315</v>
      </c>
      <c r="AC12" s="2182"/>
      <c r="AD12" s="2183">
        <f>ROUND(AVERAGE(I12:I$40)/100,4)</f>
        <v>1.7899999999999999E-2</v>
      </c>
      <c r="AE12" s="2183">
        <f>ROUND(AVERAGE(J12:J$40)/100,4)</f>
        <v>1.12E-2</v>
      </c>
      <c r="AF12" s="2183">
        <f t="shared" ref="AF12" si="92">AE12</f>
        <v>1.12E-2</v>
      </c>
      <c r="AG12" s="2183">
        <f>ROUND(AVERAGE(K12:K$40)/100,4)</f>
        <v>1.9699999999999999E-2</v>
      </c>
      <c r="AH12" s="2183">
        <f>ROUND(AVERAGE(L12:L$40)/100,4)</f>
        <v>1.29E-2</v>
      </c>
    </row>
    <row r="13" spans="1:34" s="2184" customFormat="1">
      <c r="A13" s="2177" t="s">
        <v>2310</v>
      </c>
      <c r="B13" s="2178">
        <f t="shared" ref="B13" si="93">B14*(1+N13)</f>
        <v>493.14449689037161</v>
      </c>
      <c r="C13" s="2178">
        <f t="shared" ref="C13" si="94">C14*(1+O13)</f>
        <v>347.21619073020611</v>
      </c>
      <c r="D13" s="2178">
        <f t="shared" ref="D13" si="95">C13</f>
        <v>347.21619073020611</v>
      </c>
      <c r="E13" s="2178">
        <f t="shared" ref="E13" si="96">E14*(1+P13)</f>
        <v>710.55974278763904</v>
      </c>
      <c r="F13" s="2178">
        <f t="shared" ref="F13" si="97">F14*(1+Q13)</f>
        <v>327.94540235306141</v>
      </c>
      <c r="G13" s="2783">
        <v>2020</v>
      </c>
      <c r="H13" s="2179">
        <v>4</v>
      </c>
      <c r="I13" s="2141">
        <v>2.0699999999999998</v>
      </c>
      <c r="J13" s="2141">
        <v>0.37</v>
      </c>
      <c r="K13" s="2141">
        <v>2.35</v>
      </c>
      <c r="L13" s="2142">
        <v>2.69</v>
      </c>
      <c r="M13" s="2164"/>
      <c r="N13" s="2180">
        <f t="shared" ref="N13" si="98">I13/100</f>
        <v>2.07E-2</v>
      </c>
      <c r="O13" s="2165">
        <f t="shared" ref="O13" si="99">J13/100</f>
        <v>3.7000000000000002E-3</v>
      </c>
      <c r="P13" s="2165">
        <f t="shared" ref="P13" si="100">K13/100</f>
        <v>2.35E-2</v>
      </c>
      <c r="Q13" s="2165">
        <f t="shared" ref="Q13" si="101">L13/100</f>
        <v>2.69E-2</v>
      </c>
      <c r="R13" s="2181"/>
      <c r="S13" s="2180"/>
      <c r="T13" s="2165"/>
      <c r="U13" s="2165"/>
      <c r="V13" s="2165"/>
      <c r="W13" s="2182"/>
      <c r="X13" s="2182">
        <f>ROUND(IF(项目基本情况!B6="出让",SUMPRODUCT(PRODUCT(1+N13:N$40)),SUMPRODUCT(PRODUCT(1+N13:N$39))),4)</f>
        <v>1.6034999999999999</v>
      </c>
      <c r="Y13" s="2182">
        <f>ROUND(IF(项目基本情况!B6="出让",SUMPRODUCT(PRODUCT(1+O13:O$40)),SUMPRODUCT(PRODUCT(1+O13:O$39))),4)</f>
        <v>1.3469</v>
      </c>
      <c r="Z13" s="2182">
        <f t="shared" ref="Z13" si="102">Y13</f>
        <v>1.3469</v>
      </c>
      <c r="AA13" s="2182">
        <f>ROUND(IF(项目基本情况!B6="出让",SUMPRODUCT(PRODUCT(1+P13:P$40)),SUMPRODUCT(PRODUCT(1+P13:P$39))),4)</f>
        <v>1.6801999999999999</v>
      </c>
      <c r="AB13" s="2182">
        <f>ROUND(IF(项目基本情况!B6="出让",SUMPRODUCT(PRODUCT(1+Q13:Q$40)),SUMPRODUCT(PRODUCT(1+Q13:Q$39))),4)</f>
        <v>1.4263999999999999</v>
      </c>
      <c r="AC13" s="2182"/>
      <c r="AD13" s="2183">
        <f>ROUND(AVERAGE(I13:I$40)/100,4)</f>
        <v>1.8200000000000001E-2</v>
      </c>
      <c r="AE13" s="2183">
        <f>ROUND(AVERAGE(J13:J$40)/100,4)</f>
        <v>1.1599999999999999E-2</v>
      </c>
      <c r="AF13" s="2183">
        <f t="shared" ref="AF13" si="103">AE13</f>
        <v>1.1599999999999999E-2</v>
      </c>
      <c r="AG13" s="2183">
        <f>ROUND(AVERAGE(K13:K$40)/100,4)</f>
        <v>0.02</v>
      </c>
      <c r="AH13" s="2183">
        <f>ROUND(AVERAGE(L13:L$40)/100,4)</f>
        <v>1.3299999999999999E-2</v>
      </c>
    </row>
    <row r="14" spans="1:34" s="2184" customFormat="1">
      <c r="A14" s="2177" t="s">
        <v>2309</v>
      </c>
      <c r="B14" s="2178">
        <f t="shared" ref="B14" si="104">B15*(1+N14)</f>
        <v>483.1434279321756</v>
      </c>
      <c r="C14" s="2178">
        <f t="shared" ref="C14" si="105">C15*(1+O14)</f>
        <v>345.93622669144776</v>
      </c>
      <c r="D14" s="2178">
        <f t="shared" ref="D14" si="106">C14</f>
        <v>345.93622669144776</v>
      </c>
      <c r="E14" s="2178">
        <f t="shared" ref="E14" si="107">E15*(1+P14)</f>
        <v>694.24498562544113</v>
      </c>
      <c r="F14" s="2178">
        <f t="shared" ref="F14" si="108">F15*(1+Q14)</f>
        <v>319.35475932716082</v>
      </c>
      <c r="G14" s="2780">
        <v>2020</v>
      </c>
      <c r="H14" s="2179">
        <v>3</v>
      </c>
      <c r="I14" s="2141">
        <v>0.36</v>
      </c>
      <c r="J14" s="2141">
        <v>-0.39</v>
      </c>
      <c r="K14" s="2141">
        <v>0.49</v>
      </c>
      <c r="L14" s="2142">
        <v>7.0000000000000007E-2</v>
      </c>
      <c r="M14" s="2164"/>
      <c r="N14" s="2180">
        <f t="shared" ref="N14" si="109">I14/100</f>
        <v>3.5999999999999999E-3</v>
      </c>
      <c r="O14" s="2165">
        <f t="shared" ref="O14" si="110">J14/100</f>
        <v>-3.9000000000000003E-3</v>
      </c>
      <c r="P14" s="2165">
        <f t="shared" ref="P14" si="111">K14/100</f>
        <v>4.8999999999999998E-3</v>
      </c>
      <c r="Q14" s="2165">
        <f t="shared" ref="Q14" si="112">L14/100</f>
        <v>7.000000000000001E-4</v>
      </c>
      <c r="R14" s="2181"/>
      <c r="S14" s="2180"/>
      <c r="T14" s="2165"/>
      <c r="U14" s="2165"/>
      <c r="V14" s="2165"/>
      <c r="W14" s="2182"/>
      <c r="X14" s="2182">
        <f>ROUND(IF(项目基本情况!B7="出让",SUMPRODUCT(PRODUCT(1+N14:N$40)),SUMPRODUCT(PRODUCT(1+N14:N$39))),4)</f>
        <v>1.571</v>
      </c>
      <c r="Y14" s="2182">
        <f>ROUND(IF(项目基本情况!B7="出让",SUMPRODUCT(PRODUCT(1+O14:O$40)),SUMPRODUCT(PRODUCT(1+O14:O$39))),4)</f>
        <v>1.3420000000000001</v>
      </c>
      <c r="Z14" s="2182">
        <f t="shared" ref="Z14" si="113">Y14</f>
        <v>1.3420000000000001</v>
      </c>
      <c r="AA14" s="2182">
        <f>ROUND(IF(项目基本情况!B7="出让",SUMPRODUCT(PRODUCT(1+P14:P$40)),SUMPRODUCT(PRODUCT(1+P14:P$39))),4)</f>
        <v>1.6415999999999999</v>
      </c>
      <c r="AB14" s="2182">
        <f>ROUND(IF(项目基本情况!B7="出让",SUMPRODUCT(PRODUCT(1+Q14:Q$40)),SUMPRODUCT(PRODUCT(1+Q14:Q$39))),4)</f>
        <v>1.389</v>
      </c>
      <c r="AC14" s="2182"/>
      <c r="AD14" s="2183">
        <f>ROUND(AVERAGE(I14:I$40)/100,4)</f>
        <v>1.8100000000000002E-2</v>
      </c>
      <c r="AE14" s="2183">
        <f>ROUND(AVERAGE(J14:J$40)/100,4)</f>
        <v>1.1900000000000001E-2</v>
      </c>
      <c r="AF14" s="2183">
        <f t="shared" ref="AF14" si="114">AE14</f>
        <v>1.1900000000000001E-2</v>
      </c>
      <c r="AG14" s="2183">
        <f>ROUND(AVERAGE(K14:K$40)/100,4)</f>
        <v>1.9900000000000001E-2</v>
      </c>
      <c r="AH14" s="2183">
        <f>ROUND(AVERAGE(L14:L$40)/100,4)</f>
        <v>1.2800000000000001E-2</v>
      </c>
    </row>
    <row r="15" spans="1:34" s="2184" customFormat="1">
      <c r="A15" s="2177" t="s">
        <v>2130</v>
      </c>
      <c r="B15" s="2178">
        <f t="shared" ref="B15" si="115">B16*(1+N15)</f>
        <v>481.4103506697644</v>
      </c>
      <c r="C15" s="2178">
        <f t="shared" ref="C15" si="116">C16*(1+O15)</f>
        <v>347.29066026648707</v>
      </c>
      <c r="D15" s="2178">
        <f t="shared" ref="D15" si="117">C15</f>
        <v>347.29066026648707</v>
      </c>
      <c r="E15" s="2178">
        <f t="shared" ref="E15" si="118">E16*(1+P15)</f>
        <v>690.85977273901995</v>
      </c>
      <c r="F15" s="2178">
        <f t="shared" ref="F15" si="119">F16*(1+Q15)</f>
        <v>319.13136737000184</v>
      </c>
      <c r="G15" s="2168">
        <v>2020</v>
      </c>
      <c r="H15" s="2179">
        <v>2</v>
      </c>
      <c r="I15" s="2141">
        <v>0.31</v>
      </c>
      <c r="J15" s="2141">
        <v>-0.78</v>
      </c>
      <c r="K15" s="2141">
        <v>0.5</v>
      </c>
      <c r="L15" s="2142">
        <v>0.47</v>
      </c>
      <c r="M15" s="2164"/>
      <c r="N15" s="2180">
        <f t="shared" ref="N15" si="120">I15/100</f>
        <v>3.0999999999999999E-3</v>
      </c>
      <c r="O15" s="2165">
        <f t="shared" ref="O15" si="121">J15/100</f>
        <v>-7.8000000000000005E-3</v>
      </c>
      <c r="P15" s="2165">
        <f t="shared" ref="P15" si="122">K15/100</f>
        <v>5.0000000000000001E-3</v>
      </c>
      <c r="Q15" s="2165">
        <f t="shared" ref="Q15" si="123">L15/100</f>
        <v>4.6999999999999993E-3</v>
      </c>
      <c r="R15" s="2181"/>
      <c r="S15" s="2180"/>
      <c r="T15" s="2165"/>
      <c r="U15" s="2165"/>
      <c r="V15" s="2165"/>
      <c r="W15" s="2182"/>
      <c r="X15" s="2182">
        <f>ROUND(IF(项目基本情况!B8="出让",SUMPRODUCT(PRODUCT(1+N15:N$40)),SUMPRODUCT(PRODUCT(1+N15:N$39))),4)</f>
        <v>1.5652999999999999</v>
      </c>
      <c r="Y15" s="2182">
        <f>ROUND(IF(项目基本情况!B8="出让",SUMPRODUCT(PRODUCT(1+O15:O$40)),SUMPRODUCT(PRODUCT(1+O15:O$39))),4)</f>
        <v>1.3472</v>
      </c>
      <c r="Z15" s="2182">
        <f t="shared" ref="Z15" si="124">Y15</f>
        <v>1.3472</v>
      </c>
      <c r="AA15" s="2182">
        <f>ROUND(IF(项目基本情况!B8="出让",SUMPRODUCT(PRODUCT(1+P15:P$40)),SUMPRODUCT(PRODUCT(1+P15:P$39))),4)</f>
        <v>1.6335999999999999</v>
      </c>
      <c r="AB15" s="2182">
        <f>ROUND(IF(项目基本情况!B8="出让",SUMPRODUCT(PRODUCT(1+Q15:Q$40)),SUMPRODUCT(PRODUCT(1+Q15:Q$39))),4)</f>
        <v>1.3880999999999999</v>
      </c>
      <c r="AC15" s="2182"/>
      <c r="AD15" s="2183">
        <f>ROUND(AVERAGE(I15:I$40)/100,4)</f>
        <v>1.8599999999999998E-2</v>
      </c>
      <c r="AE15" s="2183">
        <f>ROUND(AVERAGE(J15:J$40)/100,4)</f>
        <v>1.2500000000000001E-2</v>
      </c>
      <c r="AF15" s="2183">
        <f t="shared" ref="AF15" si="125">AE15</f>
        <v>1.2500000000000001E-2</v>
      </c>
      <c r="AG15" s="2183">
        <f>ROUND(AVERAGE(K15:K$40)/100,4)</f>
        <v>2.0400000000000001E-2</v>
      </c>
      <c r="AH15" s="2183">
        <f>ROUND(AVERAGE(L15:L$40)/100,4)</f>
        <v>1.32E-2</v>
      </c>
    </row>
    <row r="16" spans="1:34" s="2184" customFormat="1">
      <c r="A16" s="2177" t="s">
        <v>2128</v>
      </c>
      <c r="B16" s="2178">
        <f t="shared" ref="B16" si="126">B17*(1+N16)</f>
        <v>479.92259063878413</v>
      </c>
      <c r="C16" s="2178">
        <f t="shared" ref="C16" si="127">C17*(1+O16)</f>
        <v>350.02082268341775</v>
      </c>
      <c r="D16" s="2178">
        <f t="shared" ref="D16" si="128">C16</f>
        <v>350.02082268341775</v>
      </c>
      <c r="E16" s="2178">
        <f t="shared" ref="E16" si="129">E17*(1+P16)</f>
        <v>687.42265944181099</v>
      </c>
      <c r="F16" s="2178">
        <f t="shared" ref="F16" si="130">F17*(1+Q16)</f>
        <v>317.63846657708956</v>
      </c>
      <c r="G16" s="2168">
        <v>2020</v>
      </c>
      <c r="H16" s="2179">
        <v>1</v>
      </c>
      <c r="I16" s="2141">
        <v>0.12</v>
      </c>
      <c r="J16" s="2141">
        <v>-0.4</v>
      </c>
      <c r="K16" s="2141">
        <v>0.21</v>
      </c>
      <c r="L16" s="2142">
        <v>0.27</v>
      </c>
      <c r="M16" s="2164"/>
      <c r="N16" s="2180">
        <f t="shared" ref="N16" si="131">I16/100</f>
        <v>1.1999999999999999E-3</v>
      </c>
      <c r="O16" s="2165">
        <f t="shared" ref="O16" si="132">J16/100</f>
        <v>-4.0000000000000001E-3</v>
      </c>
      <c r="P16" s="2165">
        <f t="shared" ref="P16" si="133">K16/100</f>
        <v>2.0999999999999999E-3</v>
      </c>
      <c r="Q16" s="2165">
        <f t="shared" ref="Q16" si="134">L16/100</f>
        <v>2.7000000000000001E-3</v>
      </c>
      <c r="R16" s="2181"/>
      <c r="S16" s="2180">
        <f>B16/B17-1</f>
        <v>1.2000000000000899E-3</v>
      </c>
      <c r="T16" s="2165">
        <f t="shared" ref="T16" si="135">C16/C17-1</f>
        <v>-4.0000000000000036E-3</v>
      </c>
      <c r="U16" s="2165">
        <f t="shared" ref="U16" si="136">D16/D17-1</f>
        <v>-4.0000000000000036E-3</v>
      </c>
      <c r="V16" s="2165">
        <f t="shared" ref="V16" si="137">E16/E17-1</f>
        <v>2.0999999999999908E-3</v>
      </c>
      <c r="W16" s="2182"/>
      <c r="X16" s="2182">
        <f>ROUND(IF(项目基本情况!B8="出让",SUMPRODUCT(PRODUCT(1+N16:N$40)),SUMPRODUCT(PRODUCT(1+N16:N$39))),4)</f>
        <v>1.5605</v>
      </c>
      <c r="Y16" s="2182">
        <f>ROUND(IF(项目基本情况!B8="出让",SUMPRODUCT(PRODUCT(1+O16:O$40)),SUMPRODUCT(PRODUCT(1+O16:O$39))),4)</f>
        <v>1.3577999999999999</v>
      </c>
      <c r="Z16" s="2182">
        <f t="shared" ref="Z16" si="138">Y16</f>
        <v>1.3577999999999999</v>
      </c>
      <c r="AA16" s="2182">
        <f>ROUND(IF(项目基本情况!B8="出让",SUMPRODUCT(PRODUCT(1+P16:P$40)),SUMPRODUCT(PRODUCT(1+P16:P$39))),4)</f>
        <v>1.6254999999999999</v>
      </c>
      <c r="AB16" s="2182">
        <f>ROUND(IF(项目基本情况!B8="出让",SUMPRODUCT(PRODUCT(1+Q16:Q$40)),SUMPRODUCT(PRODUCT(1+Q16:Q$39))),4)</f>
        <v>1.3815999999999999</v>
      </c>
      <c r="AC16" s="2182"/>
      <c r="AD16" s="2183">
        <f>ROUND(AVERAGE(I16:I$40)/100,4)</f>
        <v>1.9199999999999998E-2</v>
      </c>
      <c r="AE16" s="2183">
        <f>ROUND(AVERAGE(J16:J$40)/100,4)</f>
        <v>1.3299999999999999E-2</v>
      </c>
      <c r="AF16" s="2183">
        <f t="shared" ref="AF16" si="139">AE16</f>
        <v>1.3299999999999999E-2</v>
      </c>
      <c r="AG16" s="2183">
        <f>ROUND(AVERAGE(K16:K$40)/100,4)</f>
        <v>2.1100000000000001E-2</v>
      </c>
      <c r="AH16" s="2183">
        <f>ROUND(AVERAGE(L16:L$40)/100,4)</f>
        <v>1.3599999999999999E-2</v>
      </c>
    </row>
    <row r="17" spans="1:34" s="2184" customFormat="1">
      <c r="A17" s="2177" t="s">
        <v>2127</v>
      </c>
      <c r="B17" s="2178">
        <f t="shared" ref="B17" si="140">B18*(1+N17)</f>
        <v>479.34737379023579</v>
      </c>
      <c r="C17" s="2178">
        <f t="shared" ref="C17" si="141">C18*(1+O17)</f>
        <v>351.4265287986122</v>
      </c>
      <c r="D17" s="2178">
        <f t="shared" ref="D17" si="142">C17</f>
        <v>351.4265287986122</v>
      </c>
      <c r="E17" s="2178">
        <f t="shared" ref="E17" si="143">E18*(1+P17)</f>
        <v>685.98209703803116</v>
      </c>
      <c r="F17" s="2178">
        <f t="shared" ref="F17" si="144">F18*(1+Q17)</f>
        <v>316.78315206651001</v>
      </c>
      <c r="G17" s="2168">
        <v>2019</v>
      </c>
      <c r="H17" s="2179">
        <v>4</v>
      </c>
      <c r="I17" s="2179">
        <v>0.45</v>
      </c>
      <c r="J17" s="2179">
        <v>-0.12</v>
      </c>
      <c r="K17" s="2179">
        <v>0.54</v>
      </c>
      <c r="L17" s="2185">
        <v>0.48</v>
      </c>
      <c r="M17" s="2164"/>
      <c r="N17" s="2180">
        <f t="shared" ref="N17:N22" si="145">I17/100</f>
        <v>4.5000000000000005E-3</v>
      </c>
      <c r="O17" s="2165">
        <f t="shared" ref="O17" si="146">J17/100</f>
        <v>-1.1999999999999999E-3</v>
      </c>
      <c r="P17" s="2165">
        <f t="shared" ref="P17" si="147">K17/100</f>
        <v>5.4000000000000003E-3</v>
      </c>
      <c r="Q17" s="2165">
        <f t="shared" ref="Q17" si="148">L17/100</f>
        <v>4.7999999999999996E-3</v>
      </c>
      <c r="R17" s="2181"/>
      <c r="S17" s="2180"/>
      <c r="T17" s="2165"/>
      <c r="U17" s="2165"/>
      <c r="V17" s="2165"/>
      <c r="W17" s="2182"/>
      <c r="X17" s="2182">
        <f>ROUND(IF(项目基本情况!B8="出让",SUMPRODUCT(PRODUCT(1+N17:N$40)),SUMPRODUCT(PRODUCT(1+N17:N$39))),4)</f>
        <v>1.5586</v>
      </c>
      <c r="Y17" s="2182">
        <f>ROUND(IF(项目基本情况!B8="出让",SUMPRODUCT(PRODUCT(1+O17:O$40)),SUMPRODUCT(PRODUCT(1+O17:O$39))),4)</f>
        <v>1.3633</v>
      </c>
      <c r="Z17" s="2182">
        <f t="shared" ref="Z17" si="149">Y17</f>
        <v>1.3633</v>
      </c>
      <c r="AA17" s="2182">
        <f>ROUND(IF(项目基本情况!B8="出让",SUMPRODUCT(PRODUCT(1+P17:P$40)),SUMPRODUCT(PRODUCT(1+P17:P$39))),4)</f>
        <v>1.6221000000000001</v>
      </c>
      <c r="AB17" s="2182">
        <f>ROUND(IF(项目基本情况!B8="出让",SUMPRODUCT(PRODUCT(1+Q17:Q$40)),SUMPRODUCT(PRODUCT(1+Q17:Q$39))),4)</f>
        <v>1.3777999999999999</v>
      </c>
      <c r="AC17" s="2182"/>
      <c r="AD17" s="2183">
        <f>ROUND(AVERAGE(I17:I$40)/100,4)</f>
        <v>0.02</v>
      </c>
      <c r="AE17" s="2183">
        <f>ROUND(AVERAGE(J17:J$40)/100,4)</f>
        <v>1.4E-2</v>
      </c>
      <c r="AF17" s="2183">
        <f t="shared" ref="AF17" si="150">AE17</f>
        <v>1.4E-2</v>
      </c>
      <c r="AG17" s="2183">
        <f>ROUND(AVERAGE(K17:K$40)/100,4)</f>
        <v>2.1899999999999999E-2</v>
      </c>
      <c r="AH17" s="2183">
        <f>ROUND(AVERAGE(L17:L$40)/100,4)</f>
        <v>1.4E-2</v>
      </c>
    </row>
    <row r="18" spans="1:34" s="2184" customFormat="1" ht="13.8" thickBot="1">
      <c r="A18" s="2177" t="s">
        <v>2126</v>
      </c>
      <c r="B18" s="2178">
        <f t="shared" ref="B18" si="151">B19*(1+N18)</f>
        <v>477.19997390765138</v>
      </c>
      <c r="C18" s="2178">
        <f t="shared" ref="C18" si="152">C19*(1+O18)</f>
        <v>351.84874729536665</v>
      </c>
      <c r="D18" s="2178">
        <f t="shared" ref="D18" si="153">C18</f>
        <v>351.84874729536665</v>
      </c>
      <c r="E18" s="2178">
        <f t="shared" ref="E18" si="154">E19*(1+P18)</f>
        <v>682.29768951465201</v>
      </c>
      <c r="F18" s="2178">
        <f t="shared" ref="F18" si="155">F19*(1+Q18)</f>
        <v>315.26985675409043</v>
      </c>
      <c r="G18" s="2168">
        <v>2019</v>
      </c>
      <c r="H18" s="2179">
        <v>3</v>
      </c>
      <c r="I18" s="2179">
        <v>0.61</v>
      </c>
      <c r="J18" s="2179">
        <v>0.67</v>
      </c>
      <c r="K18" s="2179">
        <v>0.6</v>
      </c>
      <c r="L18" s="2185">
        <v>1.03</v>
      </c>
      <c r="M18" s="2164"/>
      <c r="N18" s="2180">
        <f t="shared" si="145"/>
        <v>6.0999999999999995E-3</v>
      </c>
      <c r="O18" s="2165">
        <f t="shared" ref="O18" si="156">J18/100</f>
        <v>6.7000000000000002E-3</v>
      </c>
      <c r="P18" s="2165">
        <f t="shared" ref="P18" si="157">K18/100</f>
        <v>6.0000000000000001E-3</v>
      </c>
      <c r="Q18" s="2165">
        <f t="shared" ref="Q18" si="158">L18/100</f>
        <v>1.03E-2</v>
      </c>
      <c r="R18" s="2181"/>
      <c r="S18" s="2180"/>
      <c r="T18" s="2165"/>
      <c r="U18" s="2165"/>
      <c r="V18" s="2165"/>
      <c r="W18" s="2182"/>
      <c r="X18" s="2182">
        <f>ROUND(IF(项目基本情况!B8="出让",SUMPRODUCT(PRODUCT(1+N18:N$40)),SUMPRODUCT(PRODUCT(1+N18:N$39))),4)</f>
        <v>1.5516000000000001</v>
      </c>
      <c r="Y18" s="2182">
        <f>ROUND(IF(项目基本情况!B8="出让",SUMPRODUCT(PRODUCT(1+O18:O$40)),SUMPRODUCT(PRODUCT(1+O18:O$39))),4)</f>
        <v>1.3649</v>
      </c>
      <c r="Z18" s="2182">
        <f t="shared" ref="Z18" si="159">Y18</f>
        <v>1.3649</v>
      </c>
      <c r="AA18" s="2182">
        <f>ROUND(IF(项目基本情况!B8="出让",SUMPRODUCT(PRODUCT(1+P18:P$40)),SUMPRODUCT(PRODUCT(1+P18:P$39))),4)</f>
        <v>1.6133999999999999</v>
      </c>
      <c r="AB18" s="2182">
        <f>ROUND(IF(项目基本情况!B8="出让",SUMPRODUCT(PRODUCT(1+Q18:Q$40)),SUMPRODUCT(PRODUCT(1+Q18:Q$39))),4)</f>
        <v>1.3713</v>
      </c>
      <c r="AC18" s="2182"/>
      <c r="AD18" s="2183">
        <f>ROUND(AVERAGE(I18:I$40)/100,4)</f>
        <v>2.07E-2</v>
      </c>
      <c r="AE18" s="2183">
        <f>ROUND(AVERAGE(J18:J$40)/100,4)</f>
        <v>1.47E-2</v>
      </c>
      <c r="AF18" s="2183">
        <f t="shared" ref="AF18" si="160">AE18</f>
        <v>1.47E-2</v>
      </c>
      <c r="AG18" s="2183">
        <f>ROUND(AVERAGE(K18:K$40)/100,4)</f>
        <v>2.2599999999999999E-2</v>
      </c>
      <c r="AH18" s="2183">
        <f>ROUND(AVERAGE(L18:L$40)/100,4)</f>
        <v>1.44E-2</v>
      </c>
    </row>
    <row r="19" spans="1:34" s="2184" customFormat="1">
      <c r="A19" s="2177" t="s">
        <v>2124</v>
      </c>
      <c r="B19" s="2178">
        <f t="shared" ref="B19" si="161">B20*(1+N19)</f>
        <v>474.30670301923408</v>
      </c>
      <c r="C19" s="2178">
        <f t="shared" ref="C19" si="162">C20*(1+O19)</f>
        <v>349.50705005996491</v>
      </c>
      <c r="D19" s="2178">
        <f t="shared" ref="D19" si="163">C19</f>
        <v>349.50705005996491</v>
      </c>
      <c r="E19" s="2178">
        <f t="shared" ref="E19" si="164">E20*(1+P19)</f>
        <v>678.22831959706957</v>
      </c>
      <c r="F19" s="2178">
        <f t="shared" ref="F19" si="165">F20*(1+Q19)</f>
        <v>312.0556832169558</v>
      </c>
      <c r="G19" s="2168">
        <v>2019</v>
      </c>
      <c r="H19" s="2186">
        <v>2</v>
      </c>
      <c r="I19" s="2186">
        <v>1.53</v>
      </c>
      <c r="J19" s="2186">
        <v>1.01</v>
      </c>
      <c r="K19" s="2186">
        <v>1.62</v>
      </c>
      <c r="L19" s="2187">
        <v>1.25</v>
      </c>
      <c r="M19" s="2164"/>
      <c r="N19" s="2180">
        <f t="shared" si="145"/>
        <v>1.5300000000000001E-2</v>
      </c>
      <c r="O19" s="2165">
        <f t="shared" ref="O19" si="166">J19/100</f>
        <v>1.01E-2</v>
      </c>
      <c r="P19" s="2165">
        <f t="shared" ref="P19" si="167">K19/100</f>
        <v>1.6200000000000003E-2</v>
      </c>
      <c r="Q19" s="2165">
        <f t="shared" ref="Q19" si="168">L19/100</f>
        <v>1.2500000000000001E-2</v>
      </c>
      <c r="R19" s="2181"/>
      <c r="S19" s="2180"/>
      <c r="T19" s="2165"/>
      <c r="U19" s="2165"/>
      <c r="V19" s="2165"/>
      <c r="W19" s="2182"/>
      <c r="X19" s="2182">
        <f>ROUND(IF(项目基本情况!B8="出让",SUMPRODUCT(PRODUCT(1+N19:N$40)),SUMPRODUCT(PRODUCT(1+N19:N$39))),4)</f>
        <v>1.5422</v>
      </c>
      <c r="Y19" s="2182">
        <f>ROUND(IF(项目基本情况!B8="出让",SUMPRODUCT(PRODUCT(1+O19:O$40)),SUMPRODUCT(PRODUCT(1+O19:O$39))),4)</f>
        <v>1.3557999999999999</v>
      </c>
      <c r="Z19" s="2182">
        <f t="shared" ref="Z19" si="169">Y19</f>
        <v>1.3557999999999999</v>
      </c>
      <c r="AA19" s="2182">
        <f>ROUND(IF(项目基本情况!B8="出让",SUMPRODUCT(PRODUCT(1+P19:P$40)),SUMPRODUCT(PRODUCT(1+P19:P$39))),4)</f>
        <v>1.6036999999999999</v>
      </c>
      <c r="AB19" s="2182">
        <f>ROUND(IF(项目基本情况!B8="出让",SUMPRODUCT(PRODUCT(1+Q19:Q$40)),SUMPRODUCT(PRODUCT(1+Q19:Q$39))),4)</f>
        <v>1.3573</v>
      </c>
      <c r="AC19" s="2182"/>
      <c r="AD19" s="2183">
        <f>ROUND(AVERAGE(I19:I$40)/100,4)</f>
        <v>2.1299999999999999E-2</v>
      </c>
      <c r="AE19" s="2183">
        <f>ROUND(AVERAGE(J19:J$40)/100,4)</f>
        <v>1.4999999999999999E-2</v>
      </c>
      <c r="AF19" s="2183">
        <f t="shared" ref="AF19" si="170">AE19</f>
        <v>1.4999999999999999E-2</v>
      </c>
      <c r="AG19" s="2183">
        <f>ROUND(AVERAGE(K19:K$40)/100,4)</f>
        <v>2.3300000000000001E-2</v>
      </c>
      <c r="AH19" s="2183">
        <f>ROUND(AVERAGE(L19:L$40)/100,4)</f>
        <v>1.46E-2</v>
      </c>
    </row>
    <row r="20" spans="1:34" s="2184" customFormat="1" ht="13.8" thickBot="1">
      <c r="A20" s="2177" t="s">
        <v>2123</v>
      </c>
      <c r="B20" s="2178">
        <f t="shared" ref="B20" si="171">B21*(1+N20)</f>
        <v>467.15916775261894</v>
      </c>
      <c r="C20" s="2178">
        <f t="shared" ref="C20" si="172">C21*(1+O20)</f>
        <v>346.01232557169084</v>
      </c>
      <c r="D20" s="2178">
        <f t="shared" ref="D20" si="173">C20</f>
        <v>346.01232557169084</v>
      </c>
      <c r="E20" s="2178">
        <f t="shared" ref="E20" si="174">E21*(1+P20)</f>
        <v>667.41617752122568</v>
      </c>
      <c r="F20" s="2178">
        <f t="shared" ref="F20" si="175">F21*(1+Q20)</f>
        <v>308.20314391798104</v>
      </c>
      <c r="G20" s="2168">
        <v>2019</v>
      </c>
      <c r="H20" s="2179">
        <v>1</v>
      </c>
      <c r="I20" s="2179">
        <v>0.6</v>
      </c>
      <c r="J20" s="2179">
        <v>0.37</v>
      </c>
      <c r="K20" s="2179">
        <v>0.63</v>
      </c>
      <c r="L20" s="2185">
        <v>1.1299999999999999</v>
      </c>
      <c r="M20" s="2164"/>
      <c r="N20" s="2180">
        <f t="shared" si="145"/>
        <v>6.0000000000000001E-3</v>
      </c>
      <c r="O20" s="2165">
        <f t="shared" ref="O20" si="176">J20/100</f>
        <v>3.7000000000000002E-3</v>
      </c>
      <c r="P20" s="2165">
        <f t="shared" ref="P20" si="177">K20/100</f>
        <v>6.3E-3</v>
      </c>
      <c r="Q20" s="2165">
        <f t="shared" ref="Q20" si="178">L20/100</f>
        <v>1.1299999999999999E-2</v>
      </c>
      <c r="R20" s="2181"/>
      <c r="S20" s="2180">
        <f>B20/B21-1</f>
        <v>6.0000000000000053E-3</v>
      </c>
      <c r="T20" s="2165">
        <f t="shared" ref="T20" si="179">C20/C21-1</f>
        <v>3.7000000000000366E-3</v>
      </c>
      <c r="U20" s="2165">
        <f t="shared" ref="U20" si="180">D20/D21-1</f>
        <v>3.7000000000000366E-3</v>
      </c>
      <c r="V20" s="2165">
        <f t="shared" ref="V20" si="181">E20/E21-1</f>
        <v>6.2999999999999723E-3</v>
      </c>
      <c r="W20" s="2182"/>
      <c r="X20" s="2182">
        <f>ROUND(IF(项目基本情况!B8="出让",SUMPRODUCT(PRODUCT(1+N20:N$40)),SUMPRODUCT(PRODUCT(1+N20:N$39))),4)</f>
        <v>1.5189999999999999</v>
      </c>
      <c r="Y20" s="2182">
        <f>ROUND(IF(项目基本情况!B8="出让",SUMPRODUCT(PRODUCT(1+O20:O$40)),SUMPRODUCT(PRODUCT(1+O20:O$39))),4)</f>
        <v>1.3423</v>
      </c>
      <c r="Z20" s="2182">
        <f t="shared" ref="Z20" si="182">Y20</f>
        <v>1.3423</v>
      </c>
      <c r="AA20" s="2182">
        <f>ROUND(IF(项目基本情况!B8="出让",SUMPRODUCT(PRODUCT(1+P20:P$40)),SUMPRODUCT(PRODUCT(1+P20:P$39))),4)</f>
        <v>1.5782</v>
      </c>
      <c r="AB20" s="2182">
        <f>ROUND(IF(项目基本情况!B8="出让",SUMPRODUCT(PRODUCT(1+Q20:Q$40)),SUMPRODUCT(PRODUCT(1+Q20:Q$39))),4)</f>
        <v>1.3405</v>
      </c>
      <c r="AC20" s="2182"/>
      <c r="AD20" s="2183">
        <f>ROUND(AVERAGE(I20:I$40)/100,4)</f>
        <v>2.1600000000000001E-2</v>
      </c>
      <c r="AE20" s="2183">
        <f>ROUND(AVERAGE(J20:J$40)/100,4)</f>
        <v>1.5299999999999999E-2</v>
      </c>
      <c r="AF20" s="2183">
        <f t="shared" ref="AF20" si="183">AE20</f>
        <v>1.5299999999999999E-2</v>
      </c>
      <c r="AG20" s="2183">
        <f>ROUND(AVERAGE(K20:K$40)/100,4)</f>
        <v>2.3699999999999999E-2</v>
      </c>
      <c r="AH20" s="2183">
        <f>ROUND(AVERAGE(L20:L$40)/100,4)</f>
        <v>1.47E-2</v>
      </c>
    </row>
    <row r="21" spans="1:34" s="2184" customFormat="1">
      <c r="A21" s="2177" t="s">
        <v>2125</v>
      </c>
      <c r="B21" s="2188">
        <f t="shared" ref="B21" si="184">B22*(1+N21)</f>
        <v>464.37293017158942</v>
      </c>
      <c r="C21" s="2188">
        <f t="shared" ref="C21" si="185">C22*(1+O21)</f>
        <v>344.73679941385956</v>
      </c>
      <c r="D21" s="2188">
        <f t="shared" ref="D21" si="186">C21</f>
        <v>344.73679941385956</v>
      </c>
      <c r="E21" s="2188">
        <f t="shared" ref="E21" si="187">E22*(1+P21)</f>
        <v>663.2377795103107</v>
      </c>
      <c r="F21" s="2189">
        <f t="shared" ref="F21" si="188">F22*(1+Q21)</f>
        <v>304.75936311478398</v>
      </c>
      <c r="G21" s="4296">
        <v>2018</v>
      </c>
      <c r="H21" s="2186">
        <v>4</v>
      </c>
      <c r="I21" s="2186">
        <v>0.96</v>
      </c>
      <c r="J21" s="2186">
        <v>1.03</v>
      </c>
      <c r="K21" s="2186">
        <v>0.92</v>
      </c>
      <c r="L21" s="2187">
        <v>1.29</v>
      </c>
      <c r="M21" s="2164"/>
      <c r="N21" s="2180">
        <f t="shared" si="145"/>
        <v>9.5999999999999992E-3</v>
      </c>
      <c r="O21" s="2165">
        <f t="shared" ref="O21" si="189">J21/100</f>
        <v>1.03E-2</v>
      </c>
      <c r="P21" s="2165">
        <f t="shared" ref="P21" si="190">K21/100</f>
        <v>9.1999999999999998E-3</v>
      </c>
      <c r="Q21" s="2165">
        <f t="shared" ref="Q21" si="191">L21/100</f>
        <v>1.29E-2</v>
      </c>
      <c r="R21" s="2181"/>
      <c r="S21" s="2180"/>
      <c r="T21" s="2165"/>
      <c r="U21" s="2165"/>
      <c r="V21" s="2165"/>
      <c r="W21" s="2182"/>
      <c r="X21" s="2182">
        <f>ROUND(SUMPRODUCT(PRODUCT(1+N21:N$39)),4)</f>
        <v>1.5099</v>
      </c>
      <c r="Y21" s="2182">
        <f>ROUND(SUMPRODUCT(PRODUCT(1+O21:O$39)),4)</f>
        <v>1.3372999999999999</v>
      </c>
      <c r="Z21" s="2182">
        <f t="shared" ref="Z21" si="192">Y21</f>
        <v>1.3372999999999999</v>
      </c>
      <c r="AA21" s="2182">
        <f>ROUND(SUMPRODUCT(PRODUCT(1+P21:P$39)),4)</f>
        <v>1.5683</v>
      </c>
      <c r="AB21" s="2182">
        <f>ROUND(SUMPRODUCT(PRODUCT(1+Q21:Q$39)),4)</f>
        <v>1.3255999999999999</v>
      </c>
      <c r="AC21" s="2182"/>
      <c r="AD21" s="2183">
        <f>ROUND(AVERAGE(I21:I$40)/100,4)</f>
        <v>2.24E-2</v>
      </c>
      <c r="AE21" s="2183">
        <f>ROUND(AVERAGE(J21:J$40)/100,4)</f>
        <v>1.5800000000000002E-2</v>
      </c>
      <c r="AF21" s="2183">
        <f t="shared" ref="AF21" si="193">AE21</f>
        <v>1.5800000000000002E-2</v>
      </c>
      <c r="AG21" s="2183">
        <f>ROUND(AVERAGE(K21:K$40)/100,4)</f>
        <v>2.4500000000000001E-2</v>
      </c>
      <c r="AH21" s="2183">
        <f>ROUND(AVERAGE(L21:L$40)/100,4)</f>
        <v>1.49E-2</v>
      </c>
    </row>
    <row r="22" spans="1:34" s="2184" customFormat="1" ht="14.4" customHeight="1">
      <c r="A22" s="2177" t="s">
        <v>2121</v>
      </c>
      <c r="B22" s="2178">
        <f t="shared" ref="B22" si="194">B23*(1+N22)</f>
        <v>459.95733971036987</v>
      </c>
      <c r="C22" s="2178">
        <f t="shared" ref="C22" si="195">C23*(1+O22)</f>
        <v>341.22221064422405</v>
      </c>
      <c r="D22" s="2178">
        <f t="shared" ref="D22" si="196">C22</f>
        <v>341.22221064422405</v>
      </c>
      <c r="E22" s="2178">
        <f t="shared" ref="E22" si="197">E23*(1+P22)</f>
        <v>657.19161663724799</v>
      </c>
      <c r="F22" s="2178">
        <f t="shared" ref="F22" si="198">F23*(1+Q22)</f>
        <v>300.87803644464805</v>
      </c>
      <c r="G22" s="4296"/>
      <c r="H22" s="2179">
        <v>3</v>
      </c>
      <c r="I22" s="2179">
        <v>1.51</v>
      </c>
      <c r="J22" s="2179">
        <v>1.41</v>
      </c>
      <c r="K22" s="2179">
        <v>1.52</v>
      </c>
      <c r="L22" s="2185">
        <v>1.74</v>
      </c>
      <c r="M22" s="2164"/>
      <c r="N22" s="2180">
        <f t="shared" si="145"/>
        <v>1.5100000000000001E-2</v>
      </c>
      <c r="O22" s="2165">
        <f t="shared" ref="O22" si="199">J22/100</f>
        <v>1.41E-2</v>
      </c>
      <c r="P22" s="2165">
        <f t="shared" ref="P22" si="200">K22/100</f>
        <v>1.52E-2</v>
      </c>
      <c r="Q22" s="2165">
        <f t="shared" ref="Q22" si="201">L22/100</f>
        <v>1.7399999999999999E-2</v>
      </c>
      <c r="R22" s="2181"/>
      <c r="S22" s="2180"/>
      <c r="T22" s="2165"/>
      <c r="U22" s="2165"/>
      <c r="V22" s="2165"/>
      <c r="W22" s="2182"/>
      <c r="X22" s="2182">
        <f>ROUND(SUMPRODUCT(PRODUCT(1+N22:N$39)),4)</f>
        <v>1.4956</v>
      </c>
      <c r="Y22" s="2182">
        <f>ROUND(SUMPRODUCT(PRODUCT(1+O22:O$39)),4)</f>
        <v>1.3237000000000001</v>
      </c>
      <c r="Z22" s="2182">
        <f t="shared" ref="Z22" si="202">Y22</f>
        <v>1.3237000000000001</v>
      </c>
      <c r="AA22" s="2182">
        <f>ROUND(SUMPRODUCT(PRODUCT(1+P22:P$39)),4)</f>
        <v>1.554</v>
      </c>
      <c r="AB22" s="2182">
        <f>ROUND(SUMPRODUCT(PRODUCT(1+Q22:Q$39)),4)</f>
        <v>1.3087</v>
      </c>
      <c r="AC22" s="2182"/>
      <c r="AD22" s="2183">
        <f>ROUND(AVERAGE(I22:I$40)/100,4)</f>
        <v>2.3099999999999999E-2</v>
      </c>
      <c r="AE22" s="2183">
        <f>ROUND(AVERAGE(J22:J$40)/100,4)</f>
        <v>1.61E-2</v>
      </c>
      <c r="AF22" s="2183">
        <f t="shared" ref="AF22" si="203">AE22</f>
        <v>1.61E-2</v>
      </c>
      <c r="AG22" s="2183">
        <f>ROUND(AVERAGE(K22:K$40)/100,4)</f>
        <v>2.53E-2</v>
      </c>
      <c r="AH22" s="2183">
        <f>ROUND(AVERAGE(L22:L$40)/100,4)</f>
        <v>1.4999999999999999E-2</v>
      </c>
    </row>
    <row r="23" spans="1:34" s="2184" customFormat="1" ht="14.4" customHeight="1">
      <c r="A23" s="2177" t="s">
        <v>2120</v>
      </c>
      <c r="B23" s="2178">
        <f t="shared" ref="B23" si="204">B24*(1+N23)</f>
        <v>453.11529869999993</v>
      </c>
      <c r="C23" s="2178">
        <f t="shared" ref="C23" si="205">C24*(1+O23)</f>
        <v>336.47787264000004</v>
      </c>
      <c r="D23" s="2178">
        <f t="shared" ref="D23" si="206">C23</f>
        <v>336.47787264000004</v>
      </c>
      <c r="E23" s="2178">
        <f t="shared" ref="E23" si="207">E24*(1+P23)</f>
        <v>647.35186823999993</v>
      </c>
      <c r="F23" s="2178">
        <f t="shared" ref="F23" si="208">F24*(1+Q23)</f>
        <v>295.73229452000004</v>
      </c>
      <c r="G23" s="4296"/>
      <c r="H23" s="2190">
        <v>2</v>
      </c>
      <c r="I23" s="2190">
        <v>1.49</v>
      </c>
      <c r="J23" s="2190">
        <v>0.96</v>
      </c>
      <c r="K23" s="2190">
        <v>1.58</v>
      </c>
      <c r="L23" s="2191">
        <v>2.44</v>
      </c>
      <c r="M23" s="2164"/>
      <c r="N23" s="2180">
        <f t="shared" ref="N23" si="209">I23/100</f>
        <v>1.49E-2</v>
      </c>
      <c r="O23" s="2165">
        <f t="shared" ref="O23" si="210">J23/100</f>
        <v>9.5999999999999992E-3</v>
      </c>
      <c r="P23" s="2165">
        <f t="shared" ref="P23" si="211">K23/100</f>
        <v>1.5800000000000002E-2</v>
      </c>
      <c r="Q23" s="2165">
        <f t="shared" ref="Q23" si="212">L23/100</f>
        <v>2.4399999999999998E-2</v>
      </c>
      <c r="R23" s="2181"/>
      <c r="S23" s="2180"/>
      <c r="T23" s="2165"/>
      <c r="U23" s="2165"/>
      <c r="V23" s="2165"/>
      <c r="W23" s="2182"/>
      <c r="X23" s="2182">
        <f>ROUND(SUMPRODUCT(PRODUCT(1+N23:N$39)),4)</f>
        <v>1.4733000000000001</v>
      </c>
      <c r="Y23" s="2182">
        <f>ROUND(SUMPRODUCT(PRODUCT(1+O23:O$39)),4)</f>
        <v>1.3052999999999999</v>
      </c>
      <c r="Z23" s="2182">
        <f t="shared" ref="Z23" si="213">Y23</f>
        <v>1.3052999999999999</v>
      </c>
      <c r="AA23" s="2182">
        <f>ROUND(SUMPRODUCT(PRODUCT(1+P23:P$39)),4)</f>
        <v>1.5306999999999999</v>
      </c>
      <c r="AB23" s="2182">
        <f>ROUND(SUMPRODUCT(PRODUCT(1+Q23:Q$39)),4)</f>
        <v>1.2863</v>
      </c>
      <c r="AC23" s="2182"/>
      <c r="AD23" s="2183">
        <f>ROUND(AVERAGE(I23:I$40)/100,4)</f>
        <v>2.35E-2</v>
      </c>
      <c r="AE23" s="2183">
        <f>ROUND(AVERAGE(J23:J$40)/100,4)</f>
        <v>1.6199999999999999E-2</v>
      </c>
      <c r="AF23" s="2183">
        <f t="shared" ref="AF23" si="214">AE23</f>
        <v>1.6199999999999999E-2</v>
      </c>
      <c r="AG23" s="2183">
        <f>ROUND(AVERAGE(K23:K$40)/100,4)</f>
        <v>2.5899999999999999E-2</v>
      </c>
      <c r="AH23" s="2183">
        <f>ROUND(AVERAGE(L23:L$40)/100,4)</f>
        <v>1.49E-2</v>
      </c>
    </row>
    <row r="24" spans="1:34" s="2184" customFormat="1" ht="15" customHeight="1" thickBot="1">
      <c r="A24" s="2177" t="s">
        <v>2113</v>
      </c>
      <c r="B24" s="2178">
        <f t="shared" ref="B24" si="215">B25*(1+N24)</f>
        <v>446.46299999999997</v>
      </c>
      <c r="C24" s="2178">
        <f t="shared" ref="C24" si="216">C25*(1+O24)</f>
        <v>333.27840000000003</v>
      </c>
      <c r="D24" s="2178">
        <f t="shared" ref="D24" si="217">C24</f>
        <v>333.27840000000003</v>
      </c>
      <c r="E24" s="2178">
        <f t="shared" ref="E24" si="218">E25*(1+P24)</f>
        <v>637.28279999999995</v>
      </c>
      <c r="F24" s="2178">
        <f t="shared" ref="F24" si="219">F25*(1+Q24)</f>
        <v>288.68830000000003</v>
      </c>
      <c r="G24" s="4305"/>
      <c r="H24" s="2179">
        <v>1</v>
      </c>
      <c r="I24" s="2179">
        <v>1.7</v>
      </c>
      <c r="J24" s="2179">
        <v>1.92</v>
      </c>
      <c r="K24" s="2179">
        <v>1.64</v>
      </c>
      <c r="L24" s="2185">
        <v>2.0099999999999998</v>
      </c>
      <c r="M24" s="2164"/>
      <c r="N24" s="2180">
        <f t="shared" ref="N24:N29" si="220">I24/100</f>
        <v>1.7000000000000001E-2</v>
      </c>
      <c r="O24" s="2165">
        <f t="shared" ref="O24" si="221">J24/100</f>
        <v>1.9199999999999998E-2</v>
      </c>
      <c r="P24" s="2165">
        <f t="shared" ref="P24" si="222">K24/100</f>
        <v>1.6399999999999998E-2</v>
      </c>
      <c r="Q24" s="2165">
        <f t="shared" ref="Q24" si="223">L24/100</f>
        <v>2.0099999999999996E-2</v>
      </c>
      <c r="R24" s="2181"/>
      <c r="S24" s="2180">
        <f>B24/B25-1</f>
        <v>1.6999999999999904E-2</v>
      </c>
      <c r="T24" s="2165">
        <f t="shared" ref="T24" si="224">C24/C25-1</f>
        <v>1.9200000000000106E-2</v>
      </c>
      <c r="U24" s="2165">
        <f t="shared" ref="U24" si="225">D24/D25-1</f>
        <v>1.9200000000000106E-2</v>
      </c>
      <c r="V24" s="2165">
        <f t="shared" ref="V24" si="226">E24/E25-1</f>
        <v>1.639999999999997E-2</v>
      </c>
      <c r="W24" s="2182"/>
      <c r="X24" s="2182">
        <f>ROUND(SUMPRODUCT(PRODUCT(1+N24:N$39)),4)</f>
        <v>1.4517</v>
      </c>
      <c r="Y24" s="2182">
        <f>ROUND(SUMPRODUCT(PRODUCT(1+O24:O$39)),4)</f>
        <v>1.2928999999999999</v>
      </c>
      <c r="Z24" s="2182">
        <f t="shared" ref="Z24" si="227">Y24</f>
        <v>1.2928999999999999</v>
      </c>
      <c r="AA24" s="2182">
        <f>ROUND(SUMPRODUCT(PRODUCT(1+P24:P$39)),4)</f>
        <v>1.5068999999999999</v>
      </c>
      <c r="AB24" s="2182">
        <f>ROUND(SUMPRODUCT(PRODUCT(1+Q24:Q$39)),4)</f>
        <v>1.2557</v>
      </c>
      <c r="AC24" s="2182"/>
      <c r="AD24" s="2183">
        <f>ROUND(AVERAGE(I24:I$40)/100,4)</f>
        <v>2.4E-2</v>
      </c>
      <c r="AE24" s="2183">
        <f>ROUND(AVERAGE(J24:J$40)/100,4)</f>
        <v>1.66E-2</v>
      </c>
      <c r="AF24" s="2183">
        <f t="shared" ref="AF24" si="228">AE24</f>
        <v>1.66E-2</v>
      </c>
      <c r="AG24" s="2183">
        <f>ROUND(AVERAGE(K24:K$40)/100,4)</f>
        <v>2.6499999999999999E-2</v>
      </c>
      <c r="AH24" s="2183">
        <f>ROUND(AVERAGE(L24:L$40)/100,4)</f>
        <v>1.43E-2</v>
      </c>
    </row>
    <row r="25" spans="1:34">
      <c r="A25" s="2177" t="s">
        <v>2111</v>
      </c>
      <c r="B25" s="2192">
        <v>439</v>
      </c>
      <c r="C25" s="2192">
        <v>327</v>
      </c>
      <c r="D25" s="2192">
        <f>C25</f>
        <v>327</v>
      </c>
      <c r="E25" s="2192">
        <v>627</v>
      </c>
      <c r="F25" s="2193">
        <v>283</v>
      </c>
      <c r="G25" s="4301">
        <v>2017</v>
      </c>
      <c r="H25" s="2186">
        <v>4</v>
      </c>
      <c r="I25" s="2186">
        <v>1.71</v>
      </c>
      <c r="J25" s="2186">
        <v>1.78</v>
      </c>
      <c r="K25" s="2186">
        <v>1.71</v>
      </c>
      <c r="L25" s="2187">
        <v>1.43</v>
      </c>
      <c r="N25" s="2180">
        <f t="shared" si="220"/>
        <v>1.7100000000000001E-2</v>
      </c>
      <c r="O25" s="2165">
        <f t="shared" ref="O25" si="229">J25/100</f>
        <v>1.78E-2</v>
      </c>
      <c r="P25" s="2165">
        <f t="shared" ref="P25" si="230">K25/100</f>
        <v>1.7100000000000001E-2</v>
      </c>
      <c r="Q25" s="2165">
        <f t="shared" ref="Q25" si="231">L25/100</f>
        <v>1.43E-2</v>
      </c>
      <c r="R25" s="2181"/>
      <c r="S25" s="2194"/>
      <c r="T25" s="2195"/>
      <c r="U25" s="2195"/>
      <c r="V25" s="2195"/>
      <c r="X25" s="2164">
        <f>ROUND(SUMPRODUCT(PRODUCT(1+N25:N$39)),4)</f>
        <v>1.4274</v>
      </c>
      <c r="Y25" s="2164">
        <f>ROUND(SUMPRODUCT(PRODUCT(1+O25:O$39)),4)</f>
        <v>1.2685</v>
      </c>
      <c r="Z25" s="2164">
        <f t="shared" si="0"/>
        <v>1.2685</v>
      </c>
      <c r="AA25" s="2164">
        <f>ROUND(SUMPRODUCT(PRODUCT(1+P25:P$39)),4)</f>
        <v>1.4825999999999999</v>
      </c>
      <c r="AB25" s="2164">
        <f>ROUND(SUMPRODUCT(PRODUCT(1+Q25:Q$39)),4)</f>
        <v>1.2309000000000001</v>
      </c>
      <c r="AD25" s="2165">
        <f>ROUND(AVERAGE(I25:I$40)/100,4)</f>
        <v>2.4500000000000001E-2</v>
      </c>
      <c r="AE25" s="2165">
        <f>ROUND(AVERAGE(J25:J$40)/100,4)</f>
        <v>1.6500000000000001E-2</v>
      </c>
      <c r="AF25" s="2165">
        <f t="shared" si="1"/>
        <v>1.6500000000000001E-2</v>
      </c>
      <c r="AG25" s="2165">
        <f>ROUND(AVERAGE(K25:K$40)/100,4)</f>
        <v>2.7099999999999999E-2</v>
      </c>
      <c r="AH25" s="2165">
        <f>ROUND(AVERAGE(L25:L$40)/100,4)</f>
        <v>1.3899999999999999E-2</v>
      </c>
    </row>
    <row r="26" spans="1:34" s="2184" customFormat="1" ht="14.4" customHeight="1">
      <c r="A26" s="2177" t="s">
        <v>2112</v>
      </c>
      <c r="B26" s="2178">
        <f t="shared" ref="B26:B27" si="232">B27*(1+N26)</f>
        <v>431.80730811680002</v>
      </c>
      <c r="C26" s="2178">
        <f t="shared" ref="C26:C27" si="233">C27*(1+O26)</f>
        <v>320.57880516480003</v>
      </c>
      <c r="D26" s="2178">
        <f t="shared" ref="D26:D27" si="234">C26</f>
        <v>320.57880516480003</v>
      </c>
      <c r="E26" s="2178">
        <f t="shared" ref="E26:E27" si="235">E27*(1+P26)</f>
        <v>615.96110553196797</v>
      </c>
      <c r="F26" s="2178">
        <f t="shared" ref="F26:F27" si="236">F27*(1+Q26)</f>
        <v>279.46777300108801</v>
      </c>
      <c r="G26" s="4296"/>
      <c r="H26" s="2179">
        <v>3</v>
      </c>
      <c r="I26" s="2179">
        <v>2.98</v>
      </c>
      <c r="J26" s="2179">
        <v>2.11</v>
      </c>
      <c r="K26" s="2179">
        <v>3.24</v>
      </c>
      <c r="L26" s="2185">
        <v>1.72</v>
      </c>
      <c r="M26" s="2164"/>
      <c r="N26" s="2180">
        <f t="shared" si="220"/>
        <v>2.98E-2</v>
      </c>
      <c r="O26" s="2165">
        <f t="shared" ref="O26" si="237">J26/100</f>
        <v>2.1099999999999997E-2</v>
      </c>
      <c r="P26" s="2165">
        <f t="shared" ref="P26" si="238">K26/100</f>
        <v>3.2400000000000005E-2</v>
      </c>
      <c r="Q26" s="2165">
        <f t="shared" ref="Q26" si="239">L26/100</f>
        <v>1.72E-2</v>
      </c>
      <c r="R26" s="2181"/>
      <c r="S26" s="2180"/>
      <c r="T26" s="2165"/>
      <c r="U26" s="2165"/>
      <c r="V26" s="2165"/>
      <c r="W26" s="2182"/>
      <c r="X26" s="2182">
        <f>ROUND(SUMPRODUCT(PRODUCT(1+N26:N$39)),4)</f>
        <v>1.4034</v>
      </c>
      <c r="Y26" s="2182">
        <f>ROUND(SUMPRODUCT(PRODUCT(1+O26:O$39)),4)</f>
        <v>1.2463</v>
      </c>
      <c r="Z26" s="2182">
        <f t="shared" si="0"/>
        <v>1.2463</v>
      </c>
      <c r="AA26" s="2182">
        <f>ROUND(SUMPRODUCT(PRODUCT(1+P26:P$39)),4)</f>
        <v>1.4577</v>
      </c>
      <c r="AB26" s="2182">
        <f>ROUND(SUMPRODUCT(PRODUCT(1+Q26:Q$39)),4)</f>
        <v>1.2136</v>
      </c>
      <c r="AC26" s="2182"/>
      <c r="AD26" s="2183">
        <f>ROUND(AVERAGE(I26:I$40)/100,4)</f>
        <v>2.4899999999999999E-2</v>
      </c>
      <c r="AE26" s="2183">
        <f>ROUND(AVERAGE(J26:J$40)/100,4)</f>
        <v>1.6400000000000001E-2</v>
      </c>
      <c r="AF26" s="2183">
        <f t="shared" si="1"/>
        <v>1.6400000000000001E-2</v>
      </c>
      <c r="AG26" s="2183">
        <f>ROUND(AVERAGE(K26:K$40)/100,4)</f>
        <v>2.7799999999999998E-2</v>
      </c>
      <c r="AH26" s="2183">
        <f>ROUND(AVERAGE(L26:L$40)/100,4)</f>
        <v>1.3899999999999999E-2</v>
      </c>
    </row>
    <row r="27" spans="1:34" s="2171" customFormat="1" ht="14.4" customHeight="1">
      <c r="A27" s="2177" t="s">
        <v>677</v>
      </c>
      <c r="B27" s="2178">
        <f t="shared" si="232"/>
        <v>419.31181600000002</v>
      </c>
      <c r="C27" s="2178">
        <f t="shared" si="233"/>
        <v>313.95436800000004</v>
      </c>
      <c r="D27" s="2178">
        <f t="shared" si="234"/>
        <v>313.95436800000004</v>
      </c>
      <c r="E27" s="2178">
        <f t="shared" si="235"/>
        <v>596.63028431999999</v>
      </c>
      <c r="F27" s="2178">
        <f t="shared" si="236"/>
        <v>274.74220703999998</v>
      </c>
      <c r="G27" s="4296"/>
      <c r="H27" s="2190">
        <v>2</v>
      </c>
      <c r="I27" s="2190">
        <v>3.4</v>
      </c>
      <c r="J27" s="2190">
        <v>2</v>
      </c>
      <c r="K27" s="2190">
        <v>3.82</v>
      </c>
      <c r="L27" s="2191">
        <v>1.68</v>
      </c>
      <c r="M27" s="2164"/>
      <c r="N27" s="2180">
        <f t="shared" si="220"/>
        <v>3.4000000000000002E-2</v>
      </c>
      <c r="O27" s="2165">
        <f t="shared" ref="O27" si="240">J27/100</f>
        <v>0.02</v>
      </c>
      <c r="P27" s="2165">
        <f t="shared" ref="P27" si="241">K27/100</f>
        <v>3.8199999999999998E-2</v>
      </c>
      <c r="Q27" s="2165">
        <f t="shared" ref="Q27" si="242">L27/100</f>
        <v>1.6799999999999999E-2</v>
      </c>
      <c r="R27" s="2181"/>
      <c r="S27" s="2194"/>
      <c r="T27" s="2195"/>
      <c r="U27" s="2195"/>
      <c r="V27" s="2195"/>
      <c r="W27" s="2158"/>
      <c r="X27" s="2182">
        <f>ROUND(SUMPRODUCT(PRODUCT(1+N27:N$39)),4)</f>
        <v>1.3628</v>
      </c>
      <c r="Y27" s="2182">
        <f>ROUND(SUMPRODUCT(PRODUCT(1+O27:O$39)),4)</f>
        <v>1.2205999999999999</v>
      </c>
      <c r="Z27" s="2182">
        <f t="shared" si="0"/>
        <v>1.2205999999999999</v>
      </c>
      <c r="AA27" s="2182">
        <f>ROUND(SUMPRODUCT(PRODUCT(1+P27:P$39)),4)</f>
        <v>1.4118999999999999</v>
      </c>
      <c r="AB27" s="2182">
        <f>ROUND(SUMPRODUCT(PRODUCT(1+Q27:Q$39)),4)</f>
        <v>1.1930000000000001</v>
      </c>
      <c r="AC27" s="2158"/>
      <c r="AD27" s="2183">
        <f>ROUND(AVERAGE(I27:I$40)/100,4)</f>
        <v>2.46E-2</v>
      </c>
      <c r="AE27" s="2183">
        <f>ROUND(AVERAGE(J27:J$40)/100,4)</f>
        <v>1.6E-2</v>
      </c>
      <c r="AF27" s="2183">
        <f t="shared" si="1"/>
        <v>1.6E-2</v>
      </c>
      <c r="AG27" s="2183">
        <f>ROUND(AVERAGE(K27:K$40)/100,4)</f>
        <v>2.75E-2</v>
      </c>
      <c r="AH27" s="2183">
        <f>ROUND(AVERAGE(L27:L$40)/100,4)</f>
        <v>1.37E-2</v>
      </c>
    </row>
    <row r="28" spans="1:34" s="2184" customFormat="1" ht="15" customHeight="1" thickBot="1">
      <c r="A28" s="2177" t="s">
        <v>463</v>
      </c>
      <c r="B28" s="2178">
        <f>B29*(1+N28)</f>
        <v>405.524</v>
      </c>
      <c r="C28" s="2178">
        <f>C29*(1+O28)</f>
        <v>307.79840000000002</v>
      </c>
      <c r="D28" s="2178">
        <f>C28</f>
        <v>307.79840000000002</v>
      </c>
      <c r="E28" s="2178">
        <f>E29*(1+P28)</f>
        <v>574.67759999999998</v>
      </c>
      <c r="F28" s="2178">
        <f>F29*(1+Q28)</f>
        <v>270.20280000000002</v>
      </c>
      <c r="G28" s="4305"/>
      <c r="H28" s="2179">
        <v>1</v>
      </c>
      <c r="I28" s="2179">
        <v>3.45</v>
      </c>
      <c r="J28" s="2179">
        <v>1.92</v>
      </c>
      <c r="K28" s="2179">
        <v>3.92</v>
      </c>
      <c r="L28" s="2185">
        <v>1.58</v>
      </c>
      <c r="M28" s="2164"/>
      <c r="N28" s="2180">
        <f t="shared" si="220"/>
        <v>3.4500000000000003E-2</v>
      </c>
      <c r="O28" s="2165">
        <f t="shared" ref="O28:Q43" si="243">J28/100</f>
        <v>1.9199999999999998E-2</v>
      </c>
      <c r="P28" s="2165">
        <f t="shared" si="243"/>
        <v>3.9199999999999999E-2</v>
      </c>
      <c r="Q28" s="2165">
        <f t="shared" si="243"/>
        <v>1.5800000000000002E-2</v>
      </c>
      <c r="R28" s="2181"/>
      <c r="S28" s="2180">
        <f>B28/B29-1</f>
        <v>3.4499999999999975E-2</v>
      </c>
      <c r="T28" s="2165">
        <f t="shared" ref="T28:V28" si="244">C28/C29-1</f>
        <v>1.9200000000000106E-2</v>
      </c>
      <c r="U28" s="2165">
        <f t="shared" si="244"/>
        <v>1.9200000000000106E-2</v>
      </c>
      <c r="V28" s="2165">
        <f t="shared" si="244"/>
        <v>3.9199999999999902E-2</v>
      </c>
      <c r="W28" s="2182"/>
      <c r="X28" s="2182">
        <f>ROUND(SUMPRODUCT(PRODUCT(1+N28:N$39)),4)</f>
        <v>1.3180000000000001</v>
      </c>
      <c r="Y28" s="2182">
        <f>ROUND(SUMPRODUCT(PRODUCT(1+O28:O$39)),4)</f>
        <v>1.1966000000000001</v>
      </c>
      <c r="Z28" s="2182">
        <f t="shared" si="0"/>
        <v>1.1966000000000001</v>
      </c>
      <c r="AA28" s="2182">
        <f>ROUND(SUMPRODUCT(PRODUCT(1+P28:P$39)),4)</f>
        <v>1.36</v>
      </c>
      <c r="AB28" s="2182">
        <f>ROUND(SUMPRODUCT(PRODUCT(1+Q28:Q$39)),4)</f>
        <v>1.1733</v>
      </c>
      <c r="AC28" s="2182"/>
      <c r="AD28" s="2183">
        <f>ROUND(AVERAGE(I28:I$40)/100,4)</f>
        <v>2.3900000000000001E-2</v>
      </c>
      <c r="AE28" s="2183">
        <f>ROUND(AVERAGE(J28:J$40)/100,4)</f>
        <v>1.5699999999999999E-2</v>
      </c>
      <c r="AF28" s="2183">
        <f t="shared" si="1"/>
        <v>1.5699999999999999E-2</v>
      </c>
      <c r="AG28" s="2183">
        <f>ROUND(AVERAGE(K28:K$40)/100,4)</f>
        <v>2.6599999999999999E-2</v>
      </c>
      <c r="AH28" s="2183">
        <f>ROUND(AVERAGE(L28:L$40)/100,4)</f>
        <v>1.34E-2</v>
      </c>
    </row>
    <row r="29" spans="1:34">
      <c r="A29" s="2177" t="s">
        <v>127</v>
      </c>
      <c r="B29" s="2192">
        <v>392</v>
      </c>
      <c r="C29" s="2192">
        <v>302</v>
      </c>
      <c r="D29" s="2192">
        <f>C29</f>
        <v>302</v>
      </c>
      <c r="E29" s="2192">
        <v>553</v>
      </c>
      <c r="F29" s="2193">
        <v>266</v>
      </c>
      <c r="G29" s="4301">
        <v>2016</v>
      </c>
      <c r="H29" s="2186">
        <v>4</v>
      </c>
      <c r="I29" s="2186">
        <v>4.5599999999999996</v>
      </c>
      <c r="J29" s="2186">
        <v>2.15</v>
      </c>
      <c r="K29" s="2186">
        <v>5.32</v>
      </c>
      <c r="L29" s="2187">
        <v>1.57</v>
      </c>
      <c r="N29" s="2180">
        <f t="shared" si="220"/>
        <v>4.5599999999999995E-2</v>
      </c>
      <c r="O29" s="2165">
        <f t="shared" si="243"/>
        <v>2.1499999999999998E-2</v>
      </c>
      <c r="P29" s="2165">
        <f t="shared" si="243"/>
        <v>5.3200000000000004E-2</v>
      </c>
      <c r="Q29" s="2165">
        <f t="shared" si="243"/>
        <v>1.5700000000000002E-2</v>
      </c>
      <c r="R29" s="2181"/>
      <c r="S29" s="2194"/>
      <c r="T29" s="2195"/>
      <c r="U29" s="2195"/>
      <c r="V29" s="2195"/>
      <c r="X29" s="2164">
        <f>ROUND(SUMPRODUCT(PRODUCT(1+N29:N$39)),4)</f>
        <v>1.274</v>
      </c>
      <c r="Y29" s="2164">
        <f>ROUND(SUMPRODUCT(PRODUCT(1+O29:O$39)),4)</f>
        <v>1.1740999999999999</v>
      </c>
      <c r="Z29" s="2164">
        <f t="shared" si="0"/>
        <v>1.1740999999999999</v>
      </c>
      <c r="AA29" s="2164">
        <f>ROUND(SUMPRODUCT(PRODUCT(1+P29:P$39)),4)</f>
        <v>1.3087</v>
      </c>
      <c r="AB29" s="2164">
        <f>ROUND(SUMPRODUCT(PRODUCT(1+Q29:Q$39)),4)</f>
        <v>1.1551</v>
      </c>
      <c r="AD29" s="2165">
        <f>ROUND(AVERAGE(I29:I$40)/100,4)</f>
        <v>2.3E-2</v>
      </c>
      <c r="AE29" s="2165">
        <f>ROUND(AVERAGE(J29:J$40)/100,4)</f>
        <v>1.55E-2</v>
      </c>
      <c r="AF29" s="2165">
        <f t="shared" si="1"/>
        <v>1.55E-2</v>
      </c>
      <c r="AG29" s="2165">
        <f>ROUND(AVERAGE(K29:K$40)/100,4)</f>
        <v>2.5600000000000001E-2</v>
      </c>
      <c r="AH29" s="2165">
        <f>ROUND(AVERAGE(L29:L$40)/100,4)</f>
        <v>1.32E-2</v>
      </c>
    </row>
    <row r="30" spans="1:34">
      <c r="A30" s="2177" t="s">
        <v>126</v>
      </c>
      <c r="B30" s="2178">
        <f t="shared" ref="B30:C32" si="245">B29/(1+N29)</f>
        <v>374.90436113236416</v>
      </c>
      <c r="C30" s="2178">
        <f t="shared" si="245"/>
        <v>295.64366128242779</v>
      </c>
      <c r="D30" s="2178">
        <f t="shared" ref="D30:D89" si="246">C30</f>
        <v>295.64366128242779</v>
      </c>
      <c r="E30" s="2178">
        <f t="shared" ref="E30:F32" si="247">E29/(1+P29)</f>
        <v>525.06646410938095</v>
      </c>
      <c r="F30" s="2178">
        <f t="shared" si="247"/>
        <v>261.88835286009646</v>
      </c>
      <c r="G30" s="4296"/>
      <c r="H30" s="2179">
        <v>3</v>
      </c>
      <c r="I30" s="2179">
        <v>4.12</v>
      </c>
      <c r="J30" s="2179">
        <v>2</v>
      </c>
      <c r="K30" s="2179">
        <v>4.79</v>
      </c>
      <c r="L30" s="2185">
        <v>1.97</v>
      </c>
      <c r="N30" s="2180">
        <f t="shared" ref="N30:Q64" si="248">I30/100</f>
        <v>4.1200000000000001E-2</v>
      </c>
      <c r="O30" s="2165">
        <f t="shared" si="243"/>
        <v>0.02</v>
      </c>
      <c r="P30" s="2165">
        <f t="shared" si="243"/>
        <v>4.7899999999999998E-2</v>
      </c>
      <c r="Q30" s="2165">
        <f t="shared" si="243"/>
        <v>1.9699999999999999E-2</v>
      </c>
      <c r="R30" s="2181"/>
      <c r="S30" s="2180"/>
      <c r="T30" s="2165"/>
      <c r="U30" s="2165"/>
      <c r="V30" s="2165"/>
      <c r="X30" s="2164">
        <f>ROUND(SUMPRODUCT(PRODUCT(1+N30:N$39)),4)</f>
        <v>1.2184999999999999</v>
      </c>
      <c r="Y30" s="2164">
        <f>ROUND(SUMPRODUCT(PRODUCT(1+O30:O$39)),4)</f>
        <v>1.1494</v>
      </c>
      <c r="Z30" s="2164">
        <f t="shared" si="0"/>
        <v>1.1494</v>
      </c>
      <c r="AA30" s="2164">
        <f>ROUND(SUMPRODUCT(PRODUCT(1+P30:P$39)),4)</f>
        <v>1.2425999999999999</v>
      </c>
      <c r="AB30" s="2164">
        <f>ROUND(SUMPRODUCT(PRODUCT(1+Q30:Q$39)),4)</f>
        <v>1.1372</v>
      </c>
      <c r="AD30" s="2165">
        <f>ROUND(AVERAGE(I30:I$40)/100,4)</f>
        <v>2.0899999999999998E-2</v>
      </c>
      <c r="AE30" s="2165">
        <f>ROUND(AVERAGE(J30:J$40)/100,4)</f>
        <v>1.49E-2</v>
      </c>
      <c r="AF30" s="2165">
        <f t="shared" si="1"/>
        <v>1.49E-2</v>
      </c>
      <c r="AG30" s="2165">
        <f>ROUND(AVERAGE(K30:K$40)/100,4)</f>
        <v>2.3099999999999999E-2</v>
      </c>
      <c r="AH30" s="2165">
        <f>ROUND(AVERAGE(L30:L$40)/100,4)</f>
        <v>1.2999999999999999E-2</v>
      </c>
    </row>
    <row r="31" spans="1:34">
      <c r="A31" s="2177" t="s">
        <v>116</v>
      </c>
      <c r="B31" s="2178">
        <f t="shared" si="245"/>
        <v>360.06949782209392</v>
      </c>
      <c r="C31" s="2178">
        <f t="shared" si="245"/>
        <v>289.84672674747821</v>
      </c>
      <c r="D31" s="2178">
        <f t="shared" si="246"/>
        <v>289.84672674747821</v>
      </c>
      <c r="E31" s="2178">
        <f t="shared" si="247"/>
        <v>501.06543001181495</v>
      </c>
      <c r="F31" s="2178">
        <f t="shared" si="247"/>
        <v>256.82882500744967</v>
      </c>
      <c r="G31" s="4296"/>
      <c r="H31" s="2190">
        <v>2</v>
      </c>
      <c r="I31" s="2190">
        <v>3.85</v>
      </c>
      <c r="J31" s="2190">
        <v>1.95</v>
      </c>
      <c r="K31" s="2190">
        <v>4.4800000000000004</v>
      </c>
      <c r="L31" s="2191">
        <v>1.41</v>
      </c>
      <c r="N31" s="2180">
        <f t="shared" si="248"/>
        <v>3.85E-2</v>
      </c>
      <c r="O31" s="2165">
        <f t="shared" si="243"/>
        <v>1.95E-2</v>
      </c>
      <c r="P31" s="2165">
        <f t="shared" si="243"/>
        <v>4.4800000000000006E-2</v>
      </c>
      <c r="Q31" s="2165">
        <f t="shared" si="243"/>
        <v>1.41E-2</v>
      </c>
      <c r="R31" s="2181"/>
      <c r="S31" s="2180"/>
      <c r="T31" s="2165"/>
      <c r="U31" s="2165"/>
      <c r="V31" s="2165"/>
      <c r="X31" s="2164">
        <f>ROUND(SUMPRODUCT(PRODUCT(1+N31:N$39)),4)</f>
        <v>1.1702999999999999</v>
      </c>
      <c r="Y31" s="2164">
        <f>ROUND(SUMPRODUCT(PRODUCT(1+O31:O$39)),4)</f>
        <v>1.1269</v>
      </c>
      <c r="Z31" s="2164">
        <f t="shared" si="0"/>
        <v>1.1269</v>
      </c>
      <c r="AA31" s="2164">
        <f>ROUND(SUMPRODUCT(PRODUCT(1+P31:P$39)),4)</f>
        <v>1.1858</v>
      </c>
      <c r="AB31" s="2164">
        <f>ROUND(SUMPRODUCT(PRODUCT(1+Q31:Q$39)),4)</f>
        <v>1.1152</v>
      </c>
      <c r="AD31" s="2165">
        <f>ROUND(AVERAGE(I31:I$40)/100,4)</f>
        <v>1.89E-2</v>
      </c>
      <c r="AE31" s="2165">
        <f>ROUND(AVERAGE(J31:J$40)/100,4)</f>
        <v>1.44E-2</v>
      </c>
      <c r="AF31" s="2165">
        <f t="shared" si="1"/>
        <v>1.44E-2</v>
      </c>
      <c r="AG31" s="2165">
        <f>ROUND(AVERAGE(K31:K$40)/100,4)</f>
        <v>2.06E-2</v>
      </c>
      <c r="AH31" s="2165">
        <f>ROUND(AVERAGE(L31:L$40)/100,4)</f>
        <v>1.23E-2</v>
      </c>
    </row>
    <row r="32" spans="1:34" ht="13.8" thickBot="1">
      <c r="A32" s="2177" t="s">
        <v>125</v>
      </c>
      <c r="B32" s="2178">
        <f t="shared" si="245"/>
        <v>346.720748986128</v>
      </c>
      <c r="C32" s="2178">
        <f t="shared" si="245"/>
        <v>284.30282172386285</v>
      </c>
      <c r="D32" s="2178">
        <f t="shared" si="246"/>
        <v>284.30282172386285</v>
      </c>
      <c r="E32" s="2178">
        <f t="shared" si="247"/>
        <v>479.58023546306947</v>
      </c>
      <c r="F32" s="2178">
        <f t="shared" si="247"/>
        <v>253.25788877571213</v>
      </c>
      <c r="G32" s="4297"/>
      <c r="H32" s="2179">
        <v>1</v>
      </c>
      <c r="I32" s="2179">
        <v>4.09</v>
      </c>
      <c r="J32" s="2179">
        <v>2.93</v>
      </c>
      <c r="K32" s="2179">
        <v>4.54</v>
      </c>
      <c r="L32" s="2185">
        <v>1.48</v>
      </c>
      <c r="N32" s="2180">
        <f t="shared" si="248"/>
        <v>4.0899999999999999E-2</v>
      </c>
      <c r="O32" s="2165">
        <f t="shared" si="243"/>
        <v>2.9300000000000003E-2</v>
      </c>
      <c r="P32" s="2165">
        <f t="shared" si="243"/>
        <v>4.5400000000000003E-2</v>
      </c>
      <c r="Q32" s="2165">
        <f t="shared" si="243"/>
        <v>1.4800000000000001E-2</v>
      </c>
      <c r="R32" s="2181"/>
      <c r="S32" s="2196">
        <f>B32/B33-1</f>
        <v>4.1203450408792808E-2</v>
      </c>
      <c r="T32" s="2197">
        <f>C32/C33-1</f>
        <v>2.6363977342465095E-2</v>
      </c>
      <c r="U32" s="2197">
        <f>E32/E33-1</f>
        <v>4.4837114298626357E-2</v>
      </c>
      <c r="V32" s="2197">
        <f>F32/F33-1</f>
        <v>1.7099954922538574E-2</v>
      </c>
      <c r="X32" s="2164">
        <f>ROUND(SUMPRODUCT(PRODUCT(1+N32:N$39)),4)</f>
        <v>1.1269</v>
      </c>
      <c r="Y32" s="2164">
        <f>ROUND(SUMPRODUCT(PRODUCT(1+O32:O$39)),4)</f>
        <v>1.1052999999999999</v>
      </c>
      <c r="Z32" s="2164">
        <f t="shared" si="0"/>
        <v>1.1052999999999999</v>
      </c>
      <c r="AA32" s="2164">
        <f>ROUND(SUMPRODUCT(PRODUCT(1+P32:P$39)),4)</f>
        <v>1.1349</v>
      </c>
      <c r="AB32" s="2164">
        <f>ROUND(SUMPRODUCT(PRODUCT(1+Q32:Q$39)),4)</f>
        <v>1.0996999999999999</v>
      </c>
      <c r="AD32" s="2165">
        <f>ROUND(AVERAGE(I32:I$40)/100,4)</f>
        <v>1.67E-2</v>
      </c>
      <c r="AE32" s="2165">
        <f>ROUND(AVERAGE(J32:J$40)/100,4)</f>
        <v>1.38E-2</v>
      </c>
      <c r="AF32" s="2165">
        <f t="shared" si="1"/>
        <v>1.38E-2</v>
      </c>
      <c r="AG32" s="2165">
        <f>ROUND(AVERAGE(K32:K$40)/100,4)</f>
        <v>1.7899999999999999E-2</v>
      </c>
      <c r="AH32" s="2165">
        <f>ROUND(AVERAGE(L32:L$40)/100,4)</f>
        <v>1.21E-2</v>
      </c>
    </row>
    <row r="33" spans="1:34" ht="13.8" thickBot="1">
      <c r="A33" s="2177" t="s">
        <v>124</v>
      </c>
      <c r="B33" s="2192">
        <v>333</v>
      </c>
      <c r="C33" s="2192">
        <v>277</v>
      </c>
      <c r="D33" s="2192">
        <f t="shared" si="246"/>
        <v>277</v>
      </c>
      <c r="E33" s="2192">
        <v>459</v>
      </c>
      <c r="F33" s="2193">
        <v>249</v>
      </c>
      <c r="G33" s="4295">
        <v>2015</v>
      </c>
      <c r="H33" s="2198">
        <v>4</v>
      </c>
      <c r="I33" s="2198">
        <v>1.63</v>
      </c>
      <c r="J33" s="2198">
        <v>1.1100000000000001</v>
      </c>
      <c r="K33" s="2198">
        <v>1.77</v>
      </c>
      <c r="L33" s="2199">
        <v>1.89</v>
      </c>
      <c r="N33" s="2200">
        <f t="shared" si="248"/>
        <v>1.6299999999999999E-2</v>
      </c>
      <c r="O33" s="2201">
        <f t="shared" si="243"/>
        <v>1.11E-2</v>
      </c>
      <c r="P33" s="2201">
        <f t="shared" si="243"/>
        <v>1.77E-2</v>
      </c>
      <c r="Q33" s="2201">
        <f t="shared" si="243"/>
        <v>1.89E-2</v>
      </c>
      <c r="R33" s="2181"/>
      <c r="X33" s="2164">
        <f>ROUND(SUMPRODUCT(PRODUCT(1+N33:N$39)),4)</f>
        <v>1.0826</v>
      </c>
      <c r="Y33" s="2164">
        <f>ROUND(SUMPRODUCT(PRODUCT(1+O33:O$39)),4)</f>
        <v>1.0738000000000001</v>
      </c>
      <c r="Z33" s="2164">
        <f t="shared" si="0"/>
        <v>1.0738000000000001</v>
      </c>
      <c r="AA33" s="2164">
        <f>ROUND(SUMPRODUCT(PRODUCT(1+P33:P$39)),4)</f>
        <v>1.0855999999999999</v>
      </c>
      <c r="AB33" s="2164">
        <f>ROUND(SUMPRODUCT(PRODUCT(1+Q33:Q$39)),4)</f>
        <v>1.0837000000000001</v>
      </c>
      <c r="AD33" s="2165">
        <f>ROUND(AVERAGE(I33:I$40)/100,4)</f>
        <v>1.37E-2</v>
      </c>
      <c r="AE33" s="2165">
        <f>ROUND(AVERAGE(J33:J$40)/100,4)</f>
        <v>1.1900000000000001E-2</v>
      </c>
      <c r="AF33" s="2165">
        <f t="shared" si="1"/>
        <v>1.1900000000000001E-2</v>
      </c>
      <c r="AG33" s="2165">
        <f>ROUND(AVERAGE(K33:K$40)/100,4)</f>
        <v>1.4500000000000001E-2</v>
      </c>
      <c r="AH33" s="2165">
        <f>ROUND(AVERAGE(L33:L$40)/100,4)</f>
        <v>1.18E-2</v>
      </c>
    </row>
    <row r="34" spans="1:34">
      <c r="A34" s="2177" t="s">
        <v>123</v>
      </c>
      <c r="B34" s="2178">
        <f t="shared" ref="B34:C36" si="249">B33/(1+N33)</f>
        <v>327.65915576109415</v>
      </c>
      <c r="C34" s="2178">
        <f t="shared" si="249"/>
        <v>273.95905449510434</v>
      </c>
      <c r="D34" s="2178">
        <f t="shared" si="246"/>
        <v>273.95905449510434</v>
      </c>
      <c r="E34" s="2178">
        <f t="shared" ref="E34:F36" si="250">E33/(1+P33)</f>
        <v>451.01699911565294</v>
      </c>
      <c r="F34" s="2178">
        <f t="shared" si="250"/>
        <v>244.38119540681129</v>
      </c>
      <c r="G34" s="4296"/>
      <c r="H34" s="2203">
        <v>3</v>
      </c>
      <c r="I34" s="2203">
        <v>1.65</v>
      </c>
      <c r="J34" s="2203">
        <v>0.92</v>
      </c>
      <c r="K34" s="2203">
        <v>1.88</v>
      </c>
      <c r="L34" s="2204">
        <v>1.26</v>
      </c>
      <c r="N34" s="2180">
        <f t="shared" si="248"/>
        <v>1.6500000000000001E-2</v>
      </c>
      <c r="O34" s="2205">
        <f t="shared" si="243"/>
        <v>9.1999999999999998E-3</v>
      </c>
      <c r="P34" s="2205">
        <f t="shared" si="243"/>
        <v>1.8799999999999997E-2</v>
      </c>
      <c r="Q34" s="2205">
        <f t="shared" si="243"/>
        <v>1.26E-2</v>
      </c>
      <c r="R34" s="2181"/>
      <c r="S34" s="2180"/>
      <c r="T34" s="2165"/>
      <c r="U34" s="2165"/>
      <c r="V34" s="2165"/>
      <c r="X34" s="2164">
        <f>ROUND(SUMPRODUCT(PRODUCT(1+N34:N$39)),4)</f>
        <v>1.0651999999999999</v>
      </c>
      <c r="Y34" s="2164">
        <f>ROUND(SUMPRODUCT(PRODUCT(1+O34:O$39)),4)</f>
        <v>1.0621</v>
      </c>
      <c r="Z34" s="2164">
        <f t="shared" si="0"/>
        <v>1.0621</v>
      </c>
      <c r="AA34" s="2164">
        <f>ROUND(SUMPRODUCT(PRODUCT(1+P34:P$39)),4)</f>
        <v>1.0668</v>
      </c>
      <c r="AB34" s="2164">
        <f>ROUND(SUMPRODUCT(PRODUCT(1+Q34:Q$39)),4)</f>
        <v>1.0636000000000001</v>
      </c>
      <c r="AD34" s="2165">
        <f>ROUND(AVERAGE(I34:I$40)/100,4)</f>
        <v>1.3299999999999999E-2</v>
      </c>
      <c r="AE34" s="2165">
        <f>ROUND(AVERAGE(J34:J$40)/100,4)</f>
        <v>1.2E-2</v>
      </c>
      <c r="AF34" s="2165">
        <f t="shared" si="1"/>
        <v>1.2E-2</v>
      </c>
      <c r="AG34" s="2165">
        <f>ROUND(AVERAGE(K34:K$40)/100,4)</f>
        <v>1.4E-2</v>
      </c>
      <c r="AH34" s="2165">
        <f>ROUND(AVERAGE(L34:L$40)/100,4)</f>
        <v>1.0800000000000001E-2</v>
      </c>
    </row>
    <row r="35" spans="1:34">
      <c r="A35" s="2177" t="s">
        <v>122</v>
      </c>
      <c r="B35" s="2178">
        <f t="shared" si="249"/>
        <v>322.34053690220776</v>
      </c>
      <c r="C35" s="2178">
        <f t="shared" si="249"/>
        <v>271.46160770422546</v>
      </c>
      <c r="D35" s="2178">
        <f t="shared" si="246"/>
        <v>271.46160770422546</v>
      </c>
      <c r="E35" s="2178">
        <f t="shared" si="250"/>
        <v>442.69434542172456</v>
      </c>
      <c r="F35" s="2178">
        <f t="shared" si="250"/>
        <v>241.34030753190925</v>
      </c>
      <c r="G35" s="4296"/>
      <c r="H35" s="2190">
        <v>2</v>
      </c>
      <c r="I35" s="2190">
        <v>0.77</v>
      </c>
      <c r="J35" s="2190">
        <v>0.69</v>
      </c>
      <c r="K35" s="2190">
        <v>0.8</v>
      </c>
      <c r="L35" s="2191">
        <v>0.88</v>
      </c>
      <c r="N35" s="2180">
        <f t="shared" si="248"/>
        <v>7.7000000000000002E-3</v>
      </c>
      <c r="O35" s="2205">
        <f t="shared" si="243"/>
        <v>6.8999999999999999E-3</v>
      </c>
      <c r="P35" s="2205">
        <f t="shared" si="243"/>
        <v>8.0000000000000002E-3</v>
      </c>
      <c r="Q35" s="2205">
        <f t="shared" si="243"/>
        <v>8.8000000000000005E-3</v>
      </c>
      <c r="R35" s="2181"/>
      <c r="S35" s="2180"/>
      <c r="T35" s="2165"/>
      <c r="U35" s="2165"/>
      <c r="V35" s="2165"/>
      <c r="X35" s="2164">
        <f>ROUND(SUMPRODUCT(PRODUCT(1+N35:N$39)),4)</f>
        <v>1.048</v>
      </c>
      <c r="Y35" s="2164">
        <f>ROUND(SUMPRODUCT(PRODUCT(1+O35:O$39)),4)</f>
        <v>1.0524</v>
      </c>
      <c r="Z35" s="2164">
        <f t="shared" si="0"/>
        <v>1.0524</v>
      </c>
      <c r="AA35" s="2164">
        <f>ROUND(SUMPRODUCT(PRODUCT(1+P35:P$39)),4)</f>
        <v>1.0470999999999999</v>
      </c>
      <c r="AB35" s="2164">
        <f>ROUND(SUMPRODUCT(PRODUCT(1+Q35:Q$39)),4)</f>
        <v>1.0504</v>
      </c>
      <c r="AD35" s="2165">
        <f>ROUND(AVERAGE(I35:I$40)/100,4)</f>
        <v>1.2800000000000001E-2</v>
      </c>
      <c r="AE35" s="2165">
        <f>ROUND(AVERAGE(J35:J$40)/100,4)</f>
        <v>1.2500000000000001E-2</v>
      </c>
      <c r="AF35" s="2165">
        <f t="shared" si="1"/>
        <v>1.2500000000000001E-2</v>
      </c>
      <c r="AG35" s="2165">
        <f>ROUND(AVERAGE(K35:K$40)/100,4)</f>
        <v>1.32E-2</v>
      </c>
      <c r="AH35" s="2165">
        <f>ROUND(AVERAGE(L35:L$40)/100,4)</f>
        <v>1.0500000000000001E-2</v>
      </c>
    </row>
    <row r="36" spans="1:34">
      <c r="A36" s="2177" t="s">
        <v>121</v>
      </c>
      <c r="B36" s="2178">
        <f t="shared" si="249"/>
        <v>319.87748030386797</v>
      </c>
      <c r="C36" s="2178">
        <f t="shared" si="249"/>
        <v>269.60135833173649</v>
      </c>
      <c r="D36" s="2178">
        <f t="shared" si="246"/>
        <v>269.60135833173649</v>
      </c>
      <c r="E36" s="2178">
        <f t="shared" si="250"/>
        <v>439.18089823583784</v>
      </c>
      <c r="F36" s="2178">
        <f t="shared" si="250"/>
        <v>239.23503918706311</v>
      </c>
      <c r="G36" s="4297"/>
      <c r="H36" s="2179">
        <v>1</v>
      </c>
      <c r="I36" s="2179">
        <v>0.51</v>
      </c>
      <c r="J36" s="2179">
        <v>0.54</v>
      </c>
      <c r="K36" s="2179">
        <v>0.48</v>
      </c>
      <c r="L36" s="2185">
        <v>0.93</v>
      </c>
      <c r="N36" s="2196">
        <f t="shared" si="248"/>
        <v>5.1000000000000004E-3</v>
      </c>
      <c r="O36" s="2197">
        <f t="shared" si="243"/>
        <v>5.4000000000000003E-3</v>
      </c>
      <c r="P36" s="2197">
        <f t="shared" si="243"/>
        <v>4.7999999999999996E-3</v>
      </c>
      <c r="Q36" s="2197">
        <f t="shared" si="243"/>
        <v>9.300000000000001E-3</v>
      </c>
      <c r="R36" s="2181"/>
      <c r="S36" s="2196">
        <f>B36/B37-1</f>
        <v>5.9040261127922822E-3</v>
      </c>
      <c r="T36" s="2197">
        <f>C36/C37-1</f>
        <v>5.9752176557332781E-3</v>
      </c>
      <c r="U36" s="2197">
        <f>E36/E37-1</f>
        <v>4.9906138119859556E-3</v>
      </c>
      <c r="V36" s="2197">
        <f>F36/F37-1</f>
        <v>9.4305450930933787E-3</v>
      </c>
      <c r="X36" s="2164">
        <f>ROUND(SUMPRODUCT(PRODUCT(1+N36:N$39)),4)</f>
        <v>1.0399</v>
      </c>
      <c r="Y36" s="2164">
        <f>ROUND(SUMPRODUCT(PRODUCT(1+O36:O$39)),4)</f>
        <v>1.0451999999999999</v>
      </c>
      <c r="Z36" s="2164">
        <f t="shared" si="0"/>
        <v>1.0451999999999999</v>
      </c>
      <c r="AA36" s="2164">
        <f>ROUND(SUMPRODUCT(PRODUCT(1+P36:P$39)),4)</f>
        <v>1.0387999999999999</v>
      </c>
      <c r="AB36" s="2164">
        <f>ROUND(SUMPRODUCT(PRODUCT(1+Q36:Q$39)),4)</f>
        <v>1.0411999999999999</v>
      </c>
      <c r="AD36" s="2165">
        <f>ROUND(AVERAGE(I36:I$40)/100,4)</f>
        <v>1.38E-2</v>
      </c>
      <c r="AE36" s="2165">
        <f>ROUND(AVERAGE(J36:J$40)/100,4)</f>
        <v>1.3599999999999999E-2</v>
      </c>
      <c r="AF36" s="2165">
        <f t="shared" si="1"/>
        <v>1.3599999999999999E-2</v>
      </c>
      <c r="AG36" s="2165">
        <f>ROUND(AVERAGE(K36:K$40)/100,4)</f>
        <v>1.4200000000000001E-2</v>
      </c>
      <c r="AH36" s="2165">
        <f>ROUND(AVERAGE(L36:L$40)/100,4)</f>
        <v>1.0800000000000001E-2</v>
      </c>
    </row>
    <row r="37" spans="1:34" ht="13.8" thickBot="1">
      <c r="A37" s="2177" t="s">
        <v>120</v>
      </c>
      <c r="B37" s="2206">
        <v>318</v>
      </c>
      <c r="C37" s="2206">
        <v>268</v>
      </c>
      <c r="D37" s="2206">
        <f t="shared" si="246"/>
        <v>268</v>
      </c>
      <c r="E37" s="2206">
        <v>437</v>
      </c>
      <c r="F37" s="2207">
        <v>237</v>
      </c>
      <c r="G37" s="4295">
        <v>2014</v>
      </c>
      <c r="H37" s="2198">
        <v>4</v>
      </c>
      <c r="I37" s="2198">
        <v>0.21</v>
      </c>
      <c r="J37" s="2198">
        <v>0.41</v>
      </c>
      <c r="K37" s="2198">
        <v>0.12</v>
      </c>
      <c r="L37" s="2199">
        <v>0.89</v>
      </c>
      <c r="N37" s="2180">
        <f t="shared" si="248"/>
        <v>2.0999999999999999E-3</v>
      </c>
      <c r="O37" s="2165">
        <f t="shared" si="243"/>
        <v>4.0999999999999995E-3</v>
      </c>
      <c r="P37" s="2165">
        <f t="shared" si="243"/>
        <v>1.1999999999999999E-3</v>
      </c>
      <c r="Q37" s="2165">
        <f t="shared" si="243"/>
        <v>8.8999999999999999E-3</v>
      </c>
      <c r="R37" s="2181"/>
      <c r="S37" s="2194"/>
      <c r="T37" s="2195"/>
      <c r="U37" s="2195"/>
      <c r="V37" s="2195"/>
      <c r="X37" s="2164">
        <f>ROUND(SUMPRODUCT(PRODUCT(1+N37:N$39)),4)</f>
        <v>1.0347</v>
      </c>
      <c r="Y37" s="2164">
        <f>ROUND(SUMPRODUCT(PRODUCT(1+O37:O$39)),4)</f>
        <v>1.0395000000000001</v>
      </c>
      <c r="Z37" s="2164">
        <f t="shared" si="0"/>
        <v>1.0395000000000001</v>
      </c>
      <c r="AA37" s="2164">
        <f>ROUND(SUMPRODUCT(PRODUCT(1+P37:P$39)),4)</f>
        <v>1.0338000000000001</v>
      </c>
      <c r="AB37" s="2164">
        <f>ROUND(SUMPRODUCT(PRODUCT(1+Q37:Q$39)),4)</f>
        <v>1.0316000000000001</v>
      </c>
      <c r="AD37" s="2165">
        <f>ROUND(AVERAGE(I37:I$40)/100,4)</f>
        <v>1.6E-2</v>
      </c>
      <c r="AE37" s="2165">
        <f>ROUND(AVERAGE(J37:J$40)/100,4)</f>
        <v>1.5599999999999999E-2</v>
      </c>
      <c r="AF37" s="2165">
        <f t="shared" si="1"/>
        <v>1.5599999999999999E-2</v>
      </c>
      <c r="AG37" s="2165">
        <f>ROUND(AVERAGE(K37:K$40)/100,4)</f>
        <v>1.66E-2</v>
      </c>
      <c r="AH37" s="2165">
        <f>ROUND(AVERAGE(L37:L$40)/100,4)</f>
        <v>1.12E-2</v>
      </c>
    </row>
    <row r="38" spans="1:34">
      <c r="A38" s="2177" t="s">
        <v>119</v>
      </c>
      <c r="B38" s="2178">
        <f t="shared" ref="B38:C40" si="251">B37/(1+N37)</f>
        <v>317.33359944117353</v>
      </c>
      <c r="C38" s="2178">
        <f t="shared" si="251"/>
        <v>266.90568668459315</v>
      </c>
      <c r="D38" s="2178">
        <f t="shared" si="246"/>
        <v>266.90568668459315</v>
      </c>
      <c r="E38" s="2178">
        <f t="shared" ref="E38:F40" si="252">E37/(1+P37)</f>
        <v>436.47622852576905</v>
      </c>
      <c r="F38" s="2178">
        <f t="shared" si="252"/>
        <v>234.90930716622066</v>
      </c>
      <c r="G38" s="4296"/>
      <c r="H38" s="2208">
        <v>3</v>
      </c>
      <c r="I38" s="2208">
        <v>0.83</v>
      </c>
      <c r="J38" s="2208">
        <v>1.47</v>
      </c>
      <c r="K38" s="2208">
        <v>0.65</v>
      </c>
      <c r="L38" s="2209">
        <v>0.72</v>
      </c>
      <c r="N38" s="2180">
        <f t="shared" si="248"/>
        <v>8.3000000000000001E-3</v>
      </c>
      <c r="O38" s="2165">
        <f t="shared" si="243"/>
        <v>1.47E-2</v>
      </c>
      <c r="P38" s="2165">
        <f t="shared" si="243"/>
        <v>6.5000000000000006E-3</v>
      </c>
      <c r="Q38" s="2165">
        <f t="shared" si="243"/>
        <v>7.1999999999999998E-3</v>
      </c>
      <c r="R38" s="2181"/>
      <c r="S38" s="2180"/>
      <c r="T38" s="2165"/>
      <c r="U38" s="2165"/>
      <c r="V38" s="2165"/>
      <c r="X38" s="2164">
        <f>ROUND(SUMPRODUCT(PRODUCT(1+N38:N$39)),4)</f>
        <v>1.0325</v>
      </c>
      <c r="Y38" s="2164">
        <f>ROUND(SUMPRODUCT(PRODUCT(1+O38:O$39)),4)</f>
        <v>1.0353000000000001</v>
      </c>
      <c r="Z38" s="2164">
        <f t="shared" ref="Z38:Z39" si="253">Y38</f>
        <v>1.0353000000000001</v>
      </c>
      <c r="AA38" s="2164">
        <f>ROUND(SUMPRODUCT(PRODUCT(1+P38:P$39)),4)</f>
        <v>1.0326</v>
      </c>
      <c r="AB38" s="2164">
        <f>ROUND(SUMPRODUCT(PRODUCT(1+Q38:Q$39)),4)</f>
        <v>1.0225</v>
      </c>
      <c r="AD38" s="2165">
        <f>ROUND(AVERAGE(I38:I$40)/100,4)</f>
        <v>2.07E-2</v>
      </c>
      <c r="AE38" s="2165">
        <f>ROUND(AVERAGE(J38:J$40)/100,4)</f>
        <v>1.95E-2</v>
      </c>
      <c r="AF38" s="2165">
        <f t="shared" si="1"/>
        <v>1.95E-2</v>
      </c>
      <c r="AG38" s="2165">
        <f>ROUND(AVERAGE(K38:K$40)/100,4)</f>
        <v>2.1700000000000001E-2</v>
      </c>
      <c r="AH38" s="2165">
        <f>ROUND(AVERAGE(L38:L$40)/100,4)</f>
        <v>1.2E-2</v>
      </c>
    </row>
    <row r="39" spans="1:34" ht="13.8" thickBot="1">
      <c r="A39" s="2177" t="s">
        <v>118</v>
      </c>
      <c r="B39" s="2178">
        <f t="shared" si="251"/>
        <v>314.72141172386546</v>
      </c>
      <c r="C39" s="2178">
        <f t="shared" si="251"/>
        <v>263.03901319069001</v>
      </c>
      <c r="D39" s="2178">
        <f t="shared" si="246"/>
        <v>263.03901319069001</v>
      </c>
      <c r="E39" s="2178">
        <f t="shared" si="252"/>
        <v>433.65745506782821</v>
      </c>
      <c r="F39" s="2178">
        <f t="shared" si="252"/>
        <v>233.23005080045735</v>
      </c>
      <c r="G39" s="4296"/>
      <c r="H39" s="2198">
        <v>2</v>
      </c>
      <c r="I39" s="2198">
        <v>2.4</v>
      </c>
      <c r="J39" s="2198">
        <v>2.0299999999999998</v>
      </c>
      <c r="K39" s="2198">
        <v>2.59</v>
      </c>
      <c r="L39" s="2199">
        <v>1.52</v>
      </c>
      <c r="N39" s="2180">
        <f t="shared" si="248"/>
        <v>2.4E-2</v>
      </c>
      <c r="O39" s="2165">
        <f t="shared" si="243"/>
        <v>2.0299999999999999E-2</v>
      </c>
      <c r="P39" s="2165">
        <f t="shared" si="243"/>
        <v>2.5899999999999999E-2</v>
      </c>
      <c r="Q39" s="2165">
        <f t="shared" si="243"/>
        <v>1.52E-2</v>
      </c>
      <c r="R39" s="2181"/>
      <c r="S39" s="2180"/>
      <c r="T39" s="2165"/>
      <c r="U39" s="2165"/>
      <c r="V39" s="2165"/>
      <c r="X39" s="2164">
        <f>1+N39</f>
        <v>1.024</v>
      </c>
      <c r="Y39" s="2164">
        <f>1+O39</f>
        <v>1.0203</v>
      </c>
      <c r="Z39" s="2164">
        <f t="shared" si="253"/>
        <v>1.0203</v>
      </c>
      <c r="AA39" s="2164">
        <f>1+P39</f>
        <v>1.0259</v>
      </c>
      <c r="AB39" s="2164">
        <f>1+Q39</f>
        <v>1.0152000000000001</v>
      </c>
      <c r="AD39" s="2165">
        <f>ROUND(AVERAGE(I39:I$40)/100,4)</f>
        <v>2.69E-2</v>
      </c>
      <c r="AE39" s="2165">
        <f>ROUND(AVERAGE(J39:J$40)/100,4)</f>
        <v>2.1899999999999999E-2</v>
      </c>
      <c r="AF39" s="2165">
        <f t="shared" ref="AF39" si="254">AE39</f>
        <v>2.1899999999999999E-2</v>
      </c>
      <c r="AG39" s="2165">
        <f>ROUND(AVERAGE(K39:K$40)/100,4)</f>
        <v>2.9399999999999999E-2</v>
      </c>
      <c r="AH39" s="2165">
        <f>ROUND(AVERAGE(L39:L$40)/100,4)</f>
        <v>1.44E-2</v>
      </c>
    </row>
    <row r="40" spans="1:34" s="2214" customFormat="1" ht="13.8" thickBot="1">
      <c r="A40" s="2210" t="s">
        <v>117</v>
      </c>
      <c r="B40" s="2211">
        <f t="shared" si="251"/>
        <v>307.34512863658733</v>
      </c>
      <c r="C40" s="2211">
        <f t="shared" si="251"/>
        <v>257.80556031626975</v>
      </c>
      <c r="D40" s="2211">
        <f t="shared" si="246"/>
        <v>257.80556031626975</v>
      </c>
      <c r="E40" s="2211">
        <f t="shared" si="252"/>
        <v>422.70928459677179</v>
      </c>
      <c r="F40" s="2211">
        <f t="shared" si="252"/>
        <v>229.73803270336617</v>
      </c>
      <c r="G40" s="4297"/>
      <c r="H40" s="2212">
        <v>1</v>
      </c>
      <c r="I40" s="2212">
        <v>2.97</v>
      </c>
      <c r="J40" s="2212">
        <v>2.34</v>
      </c>
      <c r="K40" s="2212">
        <v>3.28</v>
      </c>
      <c r="L40" s="2213">
        <v>1.36</v>
      </c>
      <c r="N40" s="2215">
        <f t="shared" si="248"/>
        <v>2.9700000000000001E-2</v>
      </c>
      <c r="O40" s="2216">
        <f t="shared" si="243"/>
        <v>2.3399999999999997E-2</v>
      </c>
      <c r="P40" s="2216">
        <f t="shared" si="243"/>
        <v>3.2799999999999996E-2</v>
      </c>
      <c r="Q40" s="2216">
        <f t="shared" si="243"/>
        <v>1.3600000000000001E-2</v>
      </c>
      <c r="R40" s="2217"/>
      <c r="S40" s="2218">
        <f>B40/B41-1</f>
        <v>2.7910129219355539E-2</v>
      </c>
      <c r="T40" s="2219">
        <f>C40/C41-1</f>
        <v>2.3037937762975247E-2</v>
      </c>
      <c r="U40" s="2219">
        <f>E40/E41-1</f>
        <v>3.3519033243940788E-2</v>
      </c>
      <c r="V40" s="2219">
        <f>F40/F41-1</f>
        <v>1.2061818076502862E-2</v>
      </c>
      <c r="W40" s="2220" t="s">
        <v>464</v>
      </c>
      <c r="X40" s="2221">
        <v>1</v>
      </c>
      <c r="Y40" s="2221">
        <v>1</v>
      </c>
      <c r="Z40" s="2221">
        <v>1</v>
      </c>
      <c r="AA40" s="2221">
        <v>1</v>
      </c>
      <c r="AB40" s="2221">
        <v>1</v>
      </c>
      <c r="AD40" s="2216">
        <f>I40/100</f>
        <v>2.9700000000000001E-2</v>
      </c>
      <c r="AE40" s="2216">
        <f>J40/100</f>
        <v>2.3399999999999997E-2</v>
      </c>
      <c r="AF40" s="2216">
        <f>AE40</f>
        <v>2.3399999999999997E-2</v>
      </c>
      <c r="AG40" s="2216">
        <f>K40/100</f>
        <v>3.2799999999999996E-2</v>
      </c>
      <c r="AH40" s="2216">
        <f>L40/100</f>
        <v>1.3600000000000001E-2</v>
      </c>
    </row>
    <row r="41" spans="1:34" ht="13.8" thickBot="1">
      <c r="A41" s="2177" t="s">
        <v>465</v>
      </c>
      <c r="B41" s="2192">
        <v>299</v>
      </c>
      <c r="C41" s="2192">
        <v>252</v>
      </c>
      <c r="D41" s="2192">
        <f t="shared" si="246"/>
        <v>252</v>
      </c>
      <c r="E41" s="2192">
        <v>409</v>
      </c>
      <c r="F41" s="2193">
        <v>227</v>
      </c>
      <c r="G41" s="4302">
        <v>2013</v>
      </c>
      <c r="H41" s="2222">
        <v>4</v>
      </c>
      <c r="I41" s="2222">
        <v>1.83</v>
      </c>
      <c r="J41" s="2222">
        <v>1.68</v>
      </c>
      <c r="K41" s="2222">
        <v>1.97</v>
      </c>
      <c r="L41" s="2223">
        <v>0.87</v>
      </c>
      <c r="N41" s="2200">
        <f t="shared" si="248"/>
        <v>1.83E-2</v>
      </c>
      <c r="O41" s="2201">
        <f t="shared" si="243"/>
        <v>1.6799999999999999E-2</v>
      </c>
      <c r="P41" s="2201">
        <f t="shared" si="243"/>
        <v>1.9699999999999999E-2</v>
      </c>
      <c r="Q41" s="2201">
        <f t="shared" si="243"/>
        <v>8.6999999999999994E-3</v>
      </c>
      <c r="R41" s="2181"/>
      <c r="S41" s="2194"/>
      <c r="T41" s="2195"/>
      <c r="U41" s="2195"/>
      <c r="V41" s="2195"/>
      <c r="X41" s="2195"/>
      <c r="Y41" s="2195"/>
      <c r="Z41" s="2195"/>
    </row>
    <row r="42" spans="1:34">
      <c r="A42" s="2177" t="s">
        <v>466</v>
      </c>
      <c r="B42" s="2178">
        <f t="shared" ref="B42:C44" si="255">B41/(1+N41)</f>
        <v>293.62663262299913</v>
      </c>
      <c r="C42" s="2178">
        <f t="shared" si="255"/>
        <v>247.83634933123525</v>
      </c>
      <c r="D42" s="2178">
        <f t="shared" si="246"/>
        <v>247.83634933123525</v>
      </c>
      <c r="E42" s="2178">
        <f t="shared" ref="E42:F44" si="256">E41/(1+P41)</f>
        <v>401.09836226341076</v>
      </c>
      <c r="F42" s="2178">
        <f t="shared" si="256"/>
        <v>225.04213343908003</v>
      </c>
      <c r="G42" s="4303"/>
      <c r="H42" s="2203">
        <v>3</v>
      </c>
      <c r="I42" s="2203">
        <v>1.86</v>
      </c>
      <c r="J42" s="2203">
        <v>1.72</v>
      </c>
      <c r="K42" s="2203">
        <v>1.98</v>
      </c>
      <c r="L42" s="2204">
        <v>0.88</v>
      </c>
      <c r="N42" s="2180">
        <f t="shared" si="248"/>
        <v>1.8600000000000002E-2</v>
      </c>
      <c r="O42" s="2205">
        <f t="shared" si="243"/>
        <v>1.72E-2</v>
      </c>
      <c r="P42" s="2205">
        <f t="shared" si="243"/>
        <v>1.9799999999999998E-2</v>
      </c>
      <c r="Q42" s="2205">
        <f t="shared" si="243"/>
        <v>8.8000000000000005E-3</v>
      </c>
      <c r="R42" s="2181"/>
      <c r="S42" s="2180"/>
      <c r="T42" s="2165"/>
      <c r="U42" s="2165"/>
      <c r="V42" s="2165"/>
    </row>
    <row r="43" spans="1:34">
      <c r="A43" s="2177" t="s">
        <v>467</v>
      </c>
      <c r="B43" s="2178">
        <f t="shared" si="255"/>
        <v>288.2649053828776</v>
      </c>
      <c r="C43" s="2178">
        <f t="shared" si="255"/>
        <v>243.64564425013293</v>
      </c>
      <c r="D43" s="2178">
        <f t="shared" si="246"/>
        <v>243.64564425013293</v>
      </c>
      <c r="E43" s="2178">
        <f t="shared" si="256"/>
        <v>393.31080825986544</v>
      </c>
      <c r="F43" s="2178">
        <f t="shared" si="256"/>
        <v>223.07903790551154</v>
      </c>
      <c r="G43" s="4303"/>
      <c r="H43" s="2190">
        <v>2</v>
      </c>
      <c r="I43" s="2190">
        <v>2.04</v>
      </c>
      <c r="J43" s="2190">
        <v>2.33</v>
      </c>
      <c r="K43" s="2190">
        <v>2.0699999999999998</v>
      </c>
      <c r="L43" s="2191">
        <v>0.69</v>
      </c>
      <c r="N43" s="2180">
        <f t="shared" si="248"/>
        <v>2.0400000000000001E-2</v>
      </c>
      <c r="O43" s="2205">
        <f t="shared" si="243"/>
        <v>2.3300000000000001E-2</v>
      </c>
      <c r="P43" s="2205">
        <f t="shared" si="243"/>
        <v>2.07E-2</v>
      </c>
      <c r="Q43" s="2205">
        <f t="shared" si="243"/>
        <v>6.8999999999999999E-3</v>
      </c>
      <c r="R43" s="2181"/>
      <c r="S43" s="2180"/>
      <c r="T43" s="2165"/>
      <c r="U43" s="2165"/>
      <c r="V43" s="2165"/>
      <c r="X43" s="2224"/>
      <c r="Y43" s="2225"/>
    </row>
    <row r="44" spans="1:34">
      <c r="A44" s="2177" t="s">
        <v>468</v>
      </c>
      <c r="B44" s="2178">
        <f t="shared" si="255"/>
        <v>282.50186729015837</v>
      </c>
      <c r="C44" s="2178">
        <f t="shared" si="255"/>
        <v>238.09796174155468</v>
      </c>
      <c r="D44" s="2178">
        <f t="shared" si="246"/>
        <v>238.09796174155468</v>
      </c>
      <c r="E44" s="2178">
        <f t="shared" si="256"/>
        <v>385.33438646014054</v>
      </c>
      <c r="F44" s="2178">
        <f t="shared" si="256"/>
        <v>221.55034055567739</v>
      </c>
      <c r="G44" s="4304"/>
      <c r="H44" s="2179">
        <v>1</v>
      </c>
      <c r="I44" s="2179">
        <v>1.67</v>
      </c>
      <c r="J44" s="2179">
        <v>1.31</v>
      </c>
      <c r="K44" s="2179">
        <v>1.85</v>
      </c>
      <c r="L44" s="2185">
        <v>0.96</v>
      </c>
      <c r="N44" s="2196">
        <f t="shared" si="248"/>
        <v>1.67E-2</v>
      </c>
      <c r="O44" s="2197">
        <f t="shared" si="248"/>
        <v>1.3100000000000001E-2</v>
      </c>
      <c r="P44" s="2197">
        <f t="shared" si="248"/>
        <v>1.8500000000000003E-2</v>
      </c>
      <c r="Q44" s="2197">
        <f t="shared" si="248"/>
        <v>9.5999999999999992E-3</v>
      </c>
      <c r="R44" s="2181"/>
      <c r="S44" s="2196">
        <f>B44/B45-1</f>
        <v>1.6193767230785472E-2</v>
      </c>
      <c r="T44" s="2197">
        <f>C44/C45-1</f>
        <v>1.7512657015190891E-2</v>
      </c>
      <c r="U44" s="2197">
        <f>E44/E45-1</f>
        <v>1.6713420739157048E-2</v>
      </c>
      <c r="V44" s="2197">
        <f>F44/F45-1</f>
        <v>7.0470025258062563E-3</v>
      </c>
      <c r="X44" s="2226"/>
      <c r="Y44" s="2165"/>
      <c r="Z44" s="2165"/>
    </row>
    <row r="45" spans="1:34" ht="13.8" thickBot="1">
      <c r="A45" s="2177" t="s">
        <v>469</v>
      </c>
      <c r="B45" s="2227">
        <v>278</v>
      </c>
      <c r="C45" s="2227">
        <v>234</v>
      </c>
      <c r="D45" s="2227">
        <f t="shared" si="246"/>
        <v>234</v>
      </c>
      <c r="E45" s="2227">
        <v>379</v>
      </c>
      <c r="F45" s="2228">
        <v>220</v>
      </c>
      <c r="G45" s="4295">
        <v>2012</v>
      </c>
      <c r="H45" s="2198">
        <v>4</v>
      </c>
      <c r="I45" s="2198">
        <v>0.91</v>
      </c>
      <c r="J45" s="2198">
        <v>0.68</v>
      </c>
      <c r="K45" s="2198">
        <v>0.98</v>
      </c>
      <c r="L45" s="2199">
        <v>0.9</v>
      </c>
      <c r="N45" s="2180">
        <f t="shared" si="248"/>
        <v>9.1000000000000004E-3</v>
      </c>
      <c r="O45" s="2165">
        <f t="shared" si="248"/>
        <v>6.8000000000000005E-3</v>
      </c>
      <c r="P45" s="2165">
        <f t="shared" si="248"/>
        <v>9.7999999999999997E-3</v>
      </c>
      <c r="Q45" s="2165">
        <f t="shared" si="248"/>
        <v>9.0000000000000011E-3</v>
      </c>
      <c r="R45" s="2181"/>
      <c r="S45" s="2194"/>
      <c r="T45" s="2195"/>
      <c r="U45" s="2195"/>
      <c r="V45" s="2195"/>
      <c r="X45" s="2195"/>
      <c r="Y45" s="2195"/>
      <c r="Z45" s="2195"/>
    </row>
    <row r="46" spans="1:34">
      <c r="A46" s="2177" t="s">
        <v>470</v>
      </c>
      <c r="B46" s="2178">
        <f>B45/(1+N45)</f>
        <v>275.49301357645425</v>
      </c>
      <c r="C46" s="2178">
        <f>C45/(1+O45)</f>
        <v>232.41954707985698</v>
      </c>
      <c r="D46" s="2178">
        <f t="shared" si="246"/>
        <v>232.41954707985698</v>
      </c>
      <c r="E46" s="2178">
        <f t="shared" ref="E46:F48" si="257">E45/(1+P45)</f>
        <v>375.32184591008121</v>
      </c>
      <c r="F46" s="2178">
        <f t="shared" si="257"/>
        <v>218.03766105054513</v>
      </c>
      <c r="G46" s="4296"/>
      <c r="H46" s="2203">
        <v>3</v>
      </c>
      <c r="I46" s="2203">
        <v>0.09</v>
      </c>
      <c r="J46" s="2203">
        <v>0.28999999999999998</v>
      </c>
      <c r="K46" s="2203">
        <v>-0.01</v>
      </c>
      <c r="L46" s="2204">
        <v>0.57999999999999996</v>
      </c>
      <c r="N46" s="2180">
        <f t="shared" si="248"/>
        <v>8.9999999999999998E-4</v>
      </c>
      <c r="O46" s="2165">
        <f t="shared" si="248"/>
        <v>2.8999999999999998E-3</v>
      </c>
      <c r="P46" s="2165">
        <f t="shared" si="248"/>
        <v>-1E-4</v>
      </c>
      <c r="Q46" s="2165">
        <f t="shared" si="248"/>
        <v>5.7999999999999996E-3</v>
      </c>
      <c r="R46" s="2181"/>
      <c r="S46" s="2180"/>
      <c r="T46" s="2165"/>
      <c r="U46" s="2165"/>
      <c r="V46" s="2165"/>
    </row>
    <row r="47" spans="1:34">
      <c r="A47" s="2177" t="s">
        <v>471</v>
      </c>
      <c r="B47" s="2178">
        <f>B46/(1+N46)</f>
        <v>275.24529281292263</v>
      </c>
      <c r="C47" s="2178">
        <f>C46/(1+O46)</f>
        <v>231.74747938962707</v>
      </c>
      <c r="D47" s="2178">
        <f t="shared" si="246"/>
        <v>231.74747938962707</v>
      </c>
      <c r="E47" s="2178">
        <f t="shared" si="257"/>
        <v>375.35938184826603</v>
      </c>
      <c r="F47" s="2178">
        <f t="shared" si="257"/>
        <v>216.78033510692495</v>
      </c>
      <c r="G47" s="4296"/>
      <c r="H47" s="2190">
        <v>2</v>
      </c>
      <c r="I47" s="2190">
        <v>0.02</v>
      </c>
      <c r="J47" s="2190">
        <v>0.12</v>
      </c>
      <c r="K47" s="2190">
        <v>-0.08</v>
      </c>
      <c r="L47" s="2191">
        <v>1.24</v>
      </c>
      <c r="N47" s="2180">
        <f t="shared" si="248"/>
        <v>2.0000000000000001E-4</v>
      </c>
      <c r="O47" s="2165">
        <f t="shared" si="248"/>
        <v>1.1999999999999999E-3</v>
      </c>
      <c r="P47" s="2165">
        <f t="shared" si="248"/>
        <v>-8.0000000000000004E-4</v>
      </c>
      <c r="Q47" s="2165">
        <f t="shared" si="248"/>
        <v>1.24E-2</v>
      </c>
      <c r="R47" s="2181"/>
      <c r="S47" s="2180"/>
      <c r="T47" s="2165"/>
      <c r="U47" s="2165"/>
      <c r="V47" s="2165"/>
    </row>
    <row r="48" spans="1:34" ht="13.8" thickBot="1">
      <c r="A48" s="2177" t="s">
        <v>472</v>
      </c>
      <c r="B48" s="2178">
        <f>B47/(1+N47)</f>
        <v>275.19025476197027</v>
      </c>
      <c r="C48" s="2229">
        <v>232</v>
      </c>
      <c r="D48" s="2229">
        <f t="shared" si="246"/>
        <v>232</v>
      </c>
      <c r="E48" s="2178">
        <f t="shared" si="257"/>
        <v>375.65990977608692</v>
      </c>
      <c r="F48" s="2178">
        <f t="shared" si="257"/>
        <v>214.12518283971252</v>
      </c>
      <c r="G48" s="4297"/>
      <c r="H48" s="2179">
        <v>1</v>
      </c>
      <c r="I48" s="2179">
        <v>0.02</v>
      </c>
      <c r="J48" s="2179">
        <v>0.13</v>
      </c>
      <c r="K48" s="2179">
        <v>-0.04</v>
      </c>
      <c r="L48" s="2185">
        <v>0.46</v>
      </c>
      <c r="N48" s="2180">
        <f t="shared" si="248"/>
        <v>2.0000000000000001E-4</v>
      </c>
      <c r="O48" s="2165">
        <f t="shared" si="248"/>
        <v>1.2999999999999999E-3</v>
      </c>
      <c r="P48" s="2165">
        <f t="shared" si="248"/>
        <v>-4.0000000000000002E-4</v>
      </c>
      <c r="Q48" s="2165">
        <f t="shared" si="248"/>
        <v>4.5999999999999999E-3</v>
      </c>
      <c r="R48" s="2181"/>
      <c r="S48" s="2196">
        <f>B48/B49-1</f>
        <v>6.9183549807361189E-4</v>
      </c>
      <c r="T48" s="2197">
        <f>C48/C49-1</f>
        <v>0</v>
      </c>
      <c r="U48" s="2197">
        <f>E48/E49-1</f>
        <v>-9.0449527636460303E-4</v>
      </c>
      <c r="V48" s="2197">
        <f>F48/F49-1</f>
        <v>5.2825485432512753E-3</v>
      </c>
      <c r="X48" s="2165"/>
      <c r="Y48" s="2165"/>
      <c r="Z48" s="2165"/>
    </row>
    <row r="49" spans="1:26" ht="13.8" thickBot="1">
      <c r="A49" s="2177" t="s">
        <v>473</v>
      </c>
      <c r="B49" s="2192">
        <v>275</v>
      </c>
      <c r="C49" s="2192">
        <v>232</v>
      </c>
      <c r="D49" s="2192">
        <f t="shared" si="246"/>
        <v>232</v>
      </c>
      <c r="E49" s="2192">
        <v>376</v>
      </c>
      <c r="F49" s="2193">
        <v>213</v>
      </c>
      <c r="G49" s="4295">
        <v>2011</v>
      </c>
      <c r="H49" s="2198">
        <v>4</v>
      </c>
      <c r="I49" s="2198">
        <v>-0.2</v>
      </c>
      <c r="J49" s="2198">
        <v>0.04</v>
      </c>
      <c r="K49" s="2198">
        <v>-0.34</v>
      </c>
      <c r="L49" s="2199">
        <v>0.46</v>
      </c>
      <c r="N49" s="2200">
        <f t="shared" si="248"/>
        <v>-2E-3</v>
      </c>
      <c r="O49" s="2201">
        <f t="shared" si="248"/>
        <v>4.0000000000000002E-4</v>
      </c>
      <c r="P49" s="2201">
        <f t="shared" si="248"/>
        <v>-3.4000000000000002E-3</v>
      </c>
      <c r="Q49" s="2201">
        <f t="shared" si="248"/>
        <v>4.5999999999999999E-3</v>
      </c>
      <c r="R49" s="2181"/>
      <c r="S49" s="2194"/>
      <c r="T49" s="2195"/>
      <c r="U49" s="2195"/>
      <c r="V49" s="2195"/>
      <c r="X49" s="2195"/>
      <c r="Y49" s="2195"/>
      <c r="Z49" s="2195"/>
    </row>
    <row r="50" spans="1:26">
      <c r="A50" s="2177" t="s">
        <v>474</v>
      </c>
      <c r="B50" s="2178">
        <f t="shared" ref="B50:C52" si="258">B49/(1+N49)</f>
        <v>275.55110220440883</v>
      </c>
      <c r="C50" s="2178">
        <f t="shared" si="258"/>
        <v>231.90723710515795</v>
      </c>
      <c r="D50" s="2178">
        <f t="shared" si="246"/>
        <v>231.90723710515795</v>
      </c>
      <c r="E50" s="2178">
        <f t="shared" ref="E50:F52" si="259">E49/(1+P49)</f>
        <v>377.28276138872161</v>
      </c>
      <c r="F50" s="2178">
        <f t="shared" si="259"/>
        <v>212.02468644236512</v>
      </c>
      <c r="G50" s="4296">
        <v>2011</v>
      </c>
      <c r="H50" s="2203">
        <v>3</v>
      </c>
      <c r="I50" s="2203">
        <v>0.13</v>
      </c>
      <c r="J50" s="2203">
        <v>0.75</v>
      </c>
      <c r="K50" s="2203">
        <v>-0.08</v>
      </c>
      <c r="L50" s="2204">
        <v>0.53</v>
      </c>
      <c r="N50" s="2180">
        <f t="shared" si="248"/>
        <v>1.2999999999999999E-3</v>
      </c>
      <c r="O50" s="2205">
        <f t="shared" si="248"/>
        <v>7.4999999999999997E-3</v>
      </c>
      <c r="P50" s="2205">
        <f t="shared" si="248"/>
        <v>-8.0000000000000004E-4</v>
      </c>
      <c r="Q50" s="2205">
        <f t="shared" si="248"/>
        <v>5.3E-3</v>
      </c>
      <c r="R50" s="2181"/>
      <c r="S50" s="2180"/>
      <c r="T50" s="2165"/>
      <c r="U50" s="2165"/>
      <c r="V50" s="2165"/>
    </row>
    <row r="51" spans="1:26">
      <c r="A51" s="2177" t="s">
        <v>475</v>
      </c>
      <c r="B51" s="2178">
        <f t="shared" si="258"/>
        <v>275.19335084830601</v>
      </c>
      <c r="C51" s="2178">
        <f t="shared" si="258"/>
        <v>230.18088050139744</v>
      </c>
      <c r="D51" s="2178">
        <f t="shared" si="246"/>
        <v>230.18088050139744</v>
      </c>
      <c r="E51" s="2178">
        <f t="shared" si="259"/>
        <v>377.58482925212331</v>
      </c>
      <c r="F51" s="2178">
        <f t="shared" si="259"/>
        <v>210.90687997847917</v>
      </c>
      <c r="G51" s="4296">
        <v>2011</v>
      </c>
      <c r="H51" s="2190">
        <v>2</v>
      </c>
      <c r="I51" s="2190">
        <v>-0.4</v>
      </c>
      <c r="J51" s="2190">
        <v>0.17</v>
      </c>
      <c r="K51" s="2190">
        <v>-0.57999999999999996</v>
      </c>
      <c r="L51" s="2191">
        <v>-0.2</v>
      </c>
      <c r="N51" s="2180">
        <f t="shared" si="248"/>
        <v>-4.0000000000000001E-3</v>
      </c>
      <c r="O51" s="2205">
        <f t="shared" si="248"/>
        <v>1.7000000000000001E-3</v>
      </c>
      <c r="P51" s="2205">
        <f t="shared" si="248"/>
        <v>-5.7999999999999996E-3</v>
      </c>
      <c r="Q51" s="2205">
        <f t="shared" si="248"/>
        <v>-2E-3</v>
      </c>
      <c r="R51" s="2181"/>
      <c r="S51" s="2180"/>
      <c r="T51" s="2165"/>
      <c r="U51" s="2165"/>
      <c r="V51" s="2165"/>
    </row>
    <row r="52" spans="1:26" ht="13.8" thickBot="1">
      <c r="A52" s="2177" t="s">
        <v>476</v>
      </c>
      <c r="B52" s="2178">
        <f t="shared" si="258"/>
        <v>276.29854502841971</v>
      </c>
      <c r="C52" s="2178">
        <f t="shared" si="258"/>
        <v>229.79023709833027</v>
      </c>
      <c r="D52" s="2178">
        <f t="shared" si="246"/>
        <v>229.79023709833027</v>
      </c>
      <c r="E52" s="2178">
        <f t="shared" si="259"/>
        <v>379.78759731655936</v>
      </c>
      <c r="F52" s="2178">
        <f t="shared" si="259"/>
        <v>211.32953905659235</v>
      </c>
      <c r="G52" s="4297">
        <v>2011</v>
      </c>
      <c r="H52" s="2179">
        <v>1</v>
      </c>
      <c r="I52" s="2179">
        <v>2.65</v>
      </c>
      <c r="J52" s="2179">
        <v>3.76</v>
      </c>
      <c r="K52" s="2179">
        <v>1.89</v>
      </c>
      <c r="L52" s="2185">
        <v>7.95</v>
      </c>
      <c r="N52" s="2196">
        <f t="shared" si="248"/>
        <v>2.6499999999999999E-2</v>
      </c>
      <c r="O52" s="2197">
        <f t="shared" si="248"/>
        <v>3.7599999999999995E-2</v>
      </c>
      <c r="P52" s="2197">
        <f t="shared" si="248"/>
        <v>1.89E-2</v>
      </c>
      <c r="Q52" s="2197">
        <f t="shared" si="248"/>
        <v>7.9500000000000001E-2</v>
      </c>
      <c r="R52" s="2181"/>
      <c r="S52" s="2196">
        <f>B52/B53-1</f>
        <v>2.713213765211786E-2</v>
      </c>
      <c r="T52" s="2197">
        <f>C52/C53-1</f>
        <v>3.9774828499231862E-2</v>
      </c>
      <c r="U52" s="2197">
        <f>E52/E53-1</f>
        <v>1.8197311840641772E-2</v>
      </c>
      <c r="V52" s="2197">
        <f>F52/F53-1</f>
        <v>7.8211933962205826E-2</v>
      </c>
      <c r="X52" s="2165"/>
      <c r="Y52" s="2165"/>
      <c r="Z52" s="2165"/>
    </row>
    <row r="53" spans="1:26" ht="13.8" thickBot="1">
      <c r="A53" s="2177" t="s">
        <v>477</v>
      </c>
      <c r="B53" s="2192">
        <v>269</v>
      </c>
      <c r="C53" s="2192">
        <v>221</v>
      </c>
      <c r="D53" s="2192">
        <f t="shared" si="246"/>
        <v>221</v>
      </c>
      <c r="E53" s="2192">
        <v>373</v>
      </c>
      <c r="F53" s="2193">
        <v>196</v>
      </c>
      <c r="G53" s="4295">
        <v>2010</v>
      </c>
      <c r="H53" s="2198">
        <v>4</v>
      </c>
      <c r="I53" s="2198">
        <v>5.72</v>
      </c>
      <c r="J53" s="2198">
        <v>6.57</v>
      </c>
      <c r="K53" s="2198">
        <v>5.72</v>
      </c>
      <c r="L53" s="2199">
        <v>2.72</v>
      </c>
      <c r="N53" s="2180">
        <f t="shared" si="248"/>
        <v>5.7200000000000001E-2</v>
      </c>
      <c r="O53" s="2165">
        <f t="shared" si="248"/>
        <v>6.5700000000000008E-2</v>
      </c>
      <c r="P53" s="2165">
        <f t="shared" si="248"/>
        <v>5.7200000000000001E-2</v>
      </c>
      <c r="Q53" s="2165">
        <f t="shared" si="248"/>
        <v>2.7200000000000002E-2</v>
      </c>
      <c r="R53" s="2181"/>
      <c r="S53" s="2194"/>
      <c r="T53" s="2195"/>
      <c r="U53" s="2195"/>
      <c r="V53" s="2195"/>
      <c r="X53" s="2195"/>
      <c r="Y53" s="2195"/>
      <c r="Z53" s="2195"/>
    </row>
    <row r="54" spans="1:26">
      <c r="A54" s="2177" t="s">
        <v>478</v>
      </c>
      <c r="B54" s="2178">
        <f t="shared" ref="B54:C56" si="260">B53/(1+N53)</f>
        <v>254.44570563753314</v>
      </c>
      <c r="C54" s="2178">
        <f t="shared" si="260"/>
        <v>207.37543398705074</v>
      </c>
      <c r="D54" s="2178">
        <f t="shared" si="246"/>
        <v>207.37543398705074</v>
      </c>
      <c r="E54" s="2178">
        <f t="shared" ref="E54:F56" si="261">E53/(1+P53)</f>
        <v>352.81876655315932</v>
      </c>
      <c r="F54" s="2178">
        <f t="shared" si="261"/>
        <v>190.809968847352</v>
      </c>
      <c r="G54" s="4296">
        <v>2010</v>
      </c>
      <c r="H54" s="2203">
        <v>3</v>
      </c>
      <c r="I54" s="2203">
        <v>4.7300000000000004</v>
      </c>
      <c r="J54" s="2203">
        <v>3.9</v>
      </c>
      <c r="K54" s="2203">
        <v>5.03</v>
      </c>
      <c r="L54" s="2204">
        <v>4.21</v>
      </c>
      <c r="N54" s="2180">
        <f t="shared" si="248"/>
        <v>4.7300000000000002E-2</v>
      </c>
      <c r="O54" s="2165">
        <f t="shared" si="248"/>
        <v>3.9E-2</v>
      </c>
      <c r="P54" s="2165">
        <f t="shared" si="248"/>
        <v>5.0300000000000004E-2</v>
      </c>
      <c r="Q54" s="2165">
        <f t="shared" si="248"/>
        <v>4.2099999999999999E-2</v>
      </c>
      <c r="R54" s="2181"/>
      <c r="S54" s="2180"/>
      <c r="T54" s="2165"/>
      <c r="U54" s="2165"/>
      <c r="V54" s="2165"/>
    </row>
    <row r="55" spans="1:26">
      <c r="A55" s="2177" t="s">
        <v>479</v>
      </c>
      <c r="B55" s="2178">
        <f t="shared" si="260"/>
        <v>242.95398227588385</v>
      </c>
      <c r="C55" s="2178">
        <f t="shared" si="260"/>
        <v>199.59137053614126</v>
      </c>
      <c r="D55" s="2178">
        <f t="shared" si="246"/>
        <v>199.59137053614126</v>
      </c>
      <c r="E55" s="2178">
        <f t="shared" si="261"/>
        <v>335.92189522342125</v>
      </c>
      <c r="F55" s="2178">
        <f t="shared" si="261"/>
        <v>183.10139991109489</v>
      </c>
      <c r="G55" s="4296">
        <v>2010</v>
      </c>
      <c r="H55" s="2190">
        <v>2</v>
      </c>
      <c r="I55" s="2190">
        <v>4.6900000000000004</v>
      </c>
      <c r="J55" s="2190">
        <v>3.55</v>
      </c>
      <c r="K55" s="2190">
        <v>5.07</v>
      </c>
      <c r="L55" s="2191">
        <v>4.2300000000000004</v>
      </c>
      <c r="N55" s="2180">
        <f t="shared" si="248"/>
        <v>4.6900000000000004E-2</v>
      </c>
      <c r="O55" s="2165">
        <f t="shared" si="248"/>
        <v>3.5499999999999997E-2</v>
      </c>
      <c r="P55" s="2165">
        <f t="shared" si="248"/>
        <v>5.0700000000000002E-2</v>
      </c>
      <c r="Q55" s="2165">
        <f t="shared" si="248"/>
        <v>4.2300000000000004E-2</v>
      </c>
      <c r="R55" s="2181"/>
      <c r="S55" s="2180"/>
      <c r="T55" s="2165"/>
      <c r="U55" s="2165"/>
      <c r="V55" s="2165"/>
    </row>
    <row r="56" spans="1:26" ht="13.8" thickBot="1">
      <c r="A56" s="2177" t="s">
        <v>480</v>
      </c>
      <c r="B56" s="2178">
        <f t="shared" si="260"/>
        <v>232.06990378821649</v>
      </c>
      <c r="C56" s="2178">
        <f t="shared" si="260"/>
        <v>192.74878854286936</v>
      </c>
      <c r="D56" s="2178">
        <f t="shared" si="246"/>
        <v>192.74878854286936</v>
      </c>
      <c r="E56" s="2178">
        <f t="shared" si="261"/>
        <v>319.71247284992984</v>
      </c>
      <c r="F56" s="2178">
        <f t="shared" si="261"/>
        <v>175.67053622862409</v>
      </c>
      <c r="G56" s="4297">
        <v>2010</v>
      </c>
      <c r="H56" s="2179">
        <v>1</v>
      </c>
      <c r="I56" s="2179">
        <v>5.4</v>
      </c>
      <c r="J56" s="2179">
        <v>3.2</v>
      </c>
      <c r="K56" s="2179">
        <v>6.16</v>
      </c>
      <c r="L56" s="2185">
        <v>4.51</v>
      </c>
      <c r="N56" s="2180">
        <f t="shared" si="248"/>
        <v>5.4000000000000006E-2</v>
      </c>
      <c r="O56" s="2165">
        <f t="shared" si="248"/>
        <v>3.2000000000000001E-2</v>
      </c>
      <c r="P56" s="2165">
        <f t="shared" si="248"/>
        <v>6.1600000000000002E-2</v>
      </c>
      <c r="Q56" s="2165">
        <f t="shared" si="248"/>
        <v>4.5100000000000001E-2</v>
      </c>
      <c r="R56" s="2181"/>
      <c r="S56" s="2196">
        <f>B56/B57-1</f>
        <v>5.4863199037347599E-2</v>
      </c>
      <c r="T56" s="2197">
        <f>C56/C57-1</f>
        <v>3.0742184721226584E-2</v>
      </c>
      <c r="U56" s="2197">
        <f>E56/E57-1</f>
        <v>6.2167683886810154E-2</v>
      </c>
      <c r="V56" s="2197">
        <f>F56/F57-1</f>
        <v>4.5657953741810031E-2</v>
      </c>
      <c r="X56" s="2165"/>
      <c r="Y56" s="2165"/>
      <c r="Z56" s="2165"/>
    </row>
    <row r="57" spans="1:26" ht="13.8" thickBot="1">
      <c r="A57" s="2177" t="s">
        <v>481</v>
      </c>
      <c r="B57" s="2192">
        <v>220</v>
      </c>
      <c r="C57" s="2192">
        <v>187</v>
      </c>
      <c r="D57" s="2192">
        <f t="shared" si="246"/>
        <v>187</v>
      </c>
      <c r="E57" s="2192">
        <v>301</v>
      </c>
      <c r="F57" s="2193">
        <v>168</v>
      </c>
      <c r="G57" s="4295">
        <v>2009</v>
      </c>
      <c r="H57" s="2198">
        <v>4</v>
      </c>
      <c r="I57" s="2198">
        <v>2.2999999999999998</v>
      </c>
      <c r="J57" s="2198">
        <v>1.04</v>
      </c>
      <c r="K57" s="2198">
        <v>2.84</v>
      </c>
      <c r="L57" s="2199">
        <v>0.67</v>
      </c>
      <c r="N57" s="2200">
        <f t="shared" si="248"/>
        <v>2.3E-2</v>
      </c>
      <c r="O57" s="2201">
        <f t="shared" si="248"/>
        <v>1.04E-2</v>
      </c>
      <c r="P57" s="2201">
        <f t="shared" si="248"/>
        <v>2.8399999999999998E-2</v>
      </c>
      <c r="Q57" s="2201">
        <f t="shared" si="248"/>
        <v>6.7000000000000002E-3</v>
      </c>
      <c r="R57" s="2181"/>
      <c r="S57" s="2194"/>
      <c r="T57" s="2195"/>
      <c r="U57" s="2195"/>
      <c r="V57" s="2195"/>
      <c r="X57" s="2195"/>
      <c r="Y57" s="2195"/>
      <c r="Z57" s="2195"/>
    </row>
    <row r="58" spans="1:26">
      <c r="A58" s="2177" t="s">
        <v>482</v>
      </c>
      <c r="B58" s="2178">
        <f t="shared" ref="B58:C60" si="262">B57/(1+N57)</f>
        <v>215.05376344086022</v>
      </c>
      <c r="C58" s="2178">
        <f t="shared" si="262"/>
        <v>185.0752177355503</v>
      </c>
      <c r="D58" s="2178">
        <f t="shared" si="246"/>
        <v>185.0752177355503</v>
      </c>
      <c r="E58" s="2178">
        <f t="shared" ref="E58:F60" si="263">E57/(1+P57)</f>
        <v>292.68767016725008</v>
      </c>
      <c r="F58" s="2178">
        <f t="shared" si="263"/>
        <v>166.88189132810174</v>
      </c>
      <c r="G58" s="4296">
        <v>2009</v>
      </c>
      <c r="H58" s="2203">
        <v>3</v>
      </c>
      <c r="I58" s="2203">
        <v>2.1</v>
      </c>
      <c r="J58" s="2203">
        <v>1.86</v>
      </c>
      <c r="K58" s="2203">
        <v>2.29</v>
      </c>
      <c r="L58" s="2204">
        <v>0.85</v>
      </c>
      <c r="N58" s="2180">
        <f t="shared" si="248"/>
        <v>2.1000000000000001E-2</v>
      </c>
      <c r="O58" s="2205">
        <f t="shared" si="248"/>
        <v>1.8600000000000002E-2</v>
      </c>
      <c r="P58" s="2205">
        <f t="shared" si="248"/>
        <v>2.29E-2</v>
      </c>
      <c r="Q58" s="2205">
        <f t="shared" si="248"/>
        <v>8.5000000000000006E-3</v>
      </c>
      <c r="R58" s="2181"/>
      <c r="S58" s="2180"/>
      <c r="T58" s="2165"/>
      <c r="U58" s="2165"/>
      <c r="V58" s="2165"/>
    </row>
    <row r="59" spans="1:26">
      <c r="A59" s="2177" t="s">
        <v>483</v>
      </c>
      <c r="B59" s="2178">
        <f t="shared" si="262"/>
        <v>210.630522469011</v>
      </c>
      <c r="C59" s="2178">
        <f t="shared" si="262"/>
        <v>181.69567812247232</v>
      </c>
      <c r="D59" s="2178">
        <f t="shared" si="246"/>
        <v>181.69567812247232</v>
      </c>
      <c r="E59" s="2178">
        <f t="shared" si="263"/>
        <v>286.13517466736738</v>
      </c>
      <c r="F59" s="2178">
        <f t="shared" si="263"/>
        <v>165.47535084591149</v>
      </c>
      <c r="G59" s="4296">
        <v>2009</v>
      </c>
      <c r="H59" s="2190">
        <v>2</v>
      </c>
      <c r="I59" s="2190">
        <v>0.86</v>
      </c>
      <c r="J59" s="2190">
        <v>-1.1299999999999999</v>
      </c>
      <c r="K59" s="2190">
        <v>1.79</v>
      </c>
      <c r="L59" s="2191">
        <v>-2.0699999999999998</v>
      </c>
      <c r="N59" s="2180">
        <f t="shared" si="248"/>
        <v>8.6E-3</v>
      </c>
      <c r="O59" s="2205">
        <f t="shared" si="248"/>
        <v>-1.1299999999999999E-2</v>
      </c>
      <c r="P59" s="2205">
        <f t="shared" si="248"/>
        <v>1.7899999999999999E-2</v>
      </c>
      <c r="Q59" s="2205">
        <f t="shared" si="248"/>
        <v>-2.07E-2</v>
      </c>
      <c r="R59" s="2181"/>
      <c r="S59" s="2180"/>
      <c r="T59" s="2165"/>
      <c r="U59" s="2165"/>
      <c r="V59" s="2165"/>
    </row>
    <row r="60" spans="1:26">
      <c r="A60" s="2177" t="s">
        <v>484</v>
      </c>
      <c r="B60" s="2178">
        <f t="shared" si="262"/>
        <v>208.83454537875372</v>
      </c>
      <c r="C60" s="2178">
        <f t="shared" si="262"/>
        <v>183.77230517090351</v>
      </c>
      <c r="D60" s="2178">
        <f t="shared" si="246"/>
        <v>183.77230517090351</v>
      </c>
      <c r="E60" s="2178">
        <f t="shared" si="263"/>
        <v>281.10342338870947</v>
      </c>
      <c r="F60" s="2178">
        <f t="shared" si="263"/>
        <v>168.97309388942256</v>
      </c>
      <c r="G60" s="4297">
        <v>2009</v>
      </c>
      <c r="H60" s="2179">
        <v>1</v>
      </c>
      <c r="I60" s="2179">
        <v>-2.64</v>
      </c>
      <c r="J60" s="2179">
        <v>-2.5299999999999998</v>
      </c>
      <c r="K60" s="2179">
        <v>-3.02</v>
      </c>
      <c r="L60" s="2185">
        <v>1.52</v>
      </c>
      <c r="N60" s="2196">
        <f t="shared" si="248"/>
        <v>-2.64E-2</v>
      </c>
      <c r="O60" s="2197">
        <f t="shared" si="248"/>
        <v>-2.53E-2</v>
      </c>
      <c r="P60" s="2197">
        <f t="shared" si="248"/>
        <v>-3.0200000000000001E-2</v>
      </c>
      <c r="Q60" s="2197">
        <f t="shared" si="248"/>
        <v>1.52E-2</v>
      </c>
      <c r="R60" s="2181"/>
      <c r="S60" s="2196">
        <f>B60/B61-1</f>
        <v>-2.4137638417038754E-2</v>
      </c>
      <c r="T60" s="2197">
        <f>C60/C61-1</f>
        <v>-2.248773845264096E-2</v>
      </c>
      <c r="U60" s="2197">
        <f>E60/E61-1</f>
        <v>-2.7323794502735366E-2</v>
      </c>
      <c r="V60" s="2197">
        <f>F60/F61-1</f>
        <v>1.7910204153148035E-2</v>
      </c>
      <c r="X60" s="2165"/>
      <c r="Y60" s="2165"/>
      <c r="Z60" s="2165"/>
    </row>
    <row r="61" spans="1:26" ht="13.8" thickBot="1">
      <c r="A61" s="2177" t="s">
        <v>485</v>
      </c>
      <c r="B61" s="2227">
        <v>214</v>
      </c>
      <c r="C61" s="2227">
        <v>188</v>
      </c>
      <c r="D61" s="2227">
        <f t="shared" si="246"/>
        <v>188</v>
      </c>
      <c r="E61" s="2227">
        <v>289</v>
      </c>
      <c r="F61" s="2228">
        <v>166</v>
      </c>
      <c r="G61" s="4295">
        <v>2008</v>
      </c>
      <c r="H61" s="2198">
        <v>4</v>
      </c>
      <c r="I61" s="2198">
        <v>1.73</v>
      </c>
      <c r="J61" s="2198">
        <v>0.03</v>
      </c>
      <c r="K61" s="2198">
        <v>2.59</v>
      </c>
      <c r="L61" s="2199">
        <v>-1.66</v>
      </c>
      <c r="N61" s="2180">
        <f t="shared" si="248"/>
        <v>1.7299999999999999E-2</v>
      </c>
      <c r="O61" s="2165">
        <f t="shared" si="248"/>
        <v>2.9999999999999997E-4</v>
      </c>
      <c r="P61" s="2165">
        <f t="shared" si="248"/>
        <v>2.5899999999999999E-2</v>
      </c>
      <c r="Q61" s="2165">
        <f t="shared" si="248"/>
        <v>-1.66E-2</v>
      </c>
      <c r="R61" s="2181"/>
      <c r="S61" s="2194"/>
      <c r="T61" s="2195"/>
      <c r="U61" s="2195"/>
      <c r="V61" s="2195"/>
      <c r="X61" s="2195"/>
      <c r="Y61" s="2195"/>
      <c r="Z61" s="2195"/>
    </row>
    <row r="62" spans="1:26">
      <c r="A62" s="2177" t="s">
        <v>486</v>
      </c>
      <c r="B62" s="2178">
        <f t="shared" ref="B62:C64" si="264">B61/(1+N61)</f>
        <v>210.36075887152265</v>
      </c>
      <c r="C62" s="2178">
        <f t="shared" si="264"/>
        <v>187.94361691492554</v>
      </c>
      <c r="D62" s="2178">
        <f t="shared" si="246"/>
        <v>187.94361691492554</v>
      </c>
      <c r="E62" s="2178">
        <f t="shared" ref="E62:F64" si="265">E61/(1+P61)</f>
        <v>281.70386977288234</v>
      </c>
      <c r="F62" s="2178">
        <f t="shared" si="265"/>
        <v>168.80211511083994</v>
      </c>
      <c r="G62" s="4296">
        <v>2008</v>
      </c>
      <c r="H62" s="2203">
        <v>3</v>
      </c>
      <c r="I62" s="2203">
        <v>1.96</v>
      </c>
      <c r="J62" s="2203">
        <v>2.36</v>
      </c>
      <c r="K62" s="2203">
        <v>1.82</v>
      </c>
      <c r="L62" s="2204">
        <v>2.2200000000000002</v>
      </c>
      <c r="N62" s="2180">
        <f t="shared" si="248"/>
        <v>1.9599999999999999E-2</v>
      </c>
      <c r="O62" s="2165">
        <f t="shared" si="248"/>
        <v>2.3599999999999999E-2</v>
      </c>
      <c r="P62" s="2165">
        <f t="shared" si="248"/>
        <v>1.8200000000000001E-2</v>
      </c>
      <c r="Q62" s="2165">
        <f t="shared" si="248"/>
        <v>2.2200000000000001E-2</v>
      </c>
      <c r="R62" s="2181"/>
      <c r="S62" s="2180"/>
      <c r="T62" s="2165"/>
      <c r="U62" s="2165"/>
      <c r="V62" s="2165"/>
    </row>
    <row r="63" spans="1:26">
      <c r="A63" s="2177" t="s">
        <v>487</v>
      </c>
      <c r="B63" s="2178">
        <f t="shared" si="264"/>
        <v>206.31694671589116</v>
      </c>
      <c r="C63" s="2178">
        <f t="shared" si="264"/>
        <v>183.61041121036101</v>
      </c>
      <c r="D63" s="2178">
        <f t="shared" si="246"/>
        <v>183.61041121036101</v>
      </c>
      <c r="E63" s="2178">
        <f t="shared" si="265"/>
        <v>276.66850301795557</v>
      </c>
      <c r="F63" s="2178">
        <f t="shared" si="265"/>
        <v>165.1360938278614</v>
      </c>
      <c r="G63" s="4296">
        <v>2008</v>
      </c>
      <c r="H63" s="2190">
        <v>2</v>
      </c>
      <c r="I63" s="2190">
        <v>4.93</v>
      </c>
      <c r="J63" s="2190">
        <v>7.38</v>
      </c>
      <c r="K63" s="2190">
        <v>3.98</v>
      </c>
      <c r="L63" s="2191">
        <v>6.86</v>
      </c>
      <c r="N63" s="2180">
        <f t="shared" si="248"/>
        <v>4.9299999999999997E-2</v>
      </c>
      <c r="O63" s="2165">
        <f t="shared" si="248"/>
        <v>7.3800000000000004E-2</v>
      </c>
      <c r="P63" s="2165">
        <f t="shared" si="248"/>
        <v>3.9800000000000002E-2</v>
      </c>
      <c r="Q63" s="2165">
        <f t="shared" si="248"/>
        <v>6.8600000000000008E-2</v>
      </c>
      <c r="R63" s="2181"/>
      <c r="S63" s="2180"/>
      <c r="T63" s="2165"/>
      <c r="U63" s="2165"/>
      <c r="V63" s="2165"/>
    </row>
    <row r="64" spans="1:26" s="2233" customFormat="1" ht="13.8" thickBot="1">
      <c r="A64" s="2177" t="s">
        <v>488</v>
      </c>
      <c r="B64" s="2230">
        <f t="shared" si="264"/>
        <v>196.62341248059772</v>
      </c>
      <c r="C64" s="2230">
        <f t="shared" si="264"/>
        <v>170.99125648199012</v>
      </c>
      <c r="D64" s="2230">
        <f t="shared" si="246"/>
        <v>170.99125648199012</v>
      </c>
      <c r="E64" s="2230">
        <f t="shared" si="265"/>
        <v>266.07857570490052</v>
      </c>
      <c r="F64" s="2230">
        <f t="shared" si="265"/>
        <v>154.53499328828505</v>
      </c>
      <c r="G64" s="4297">
        <v>2008</v>
      </c>
      <c r="H64" s="2231">
        <v>1</v>
      </c>
      <c r="I64" s="2231">
        <v>4.1399999999999997</v>
      </c>
      <c r="J64" s="2231">
        <v>3.45</v>
      </c>
      <c r="K64" s="2231">
        <v>4.95</v>
      </c>
      <c r="L64" s="2232">
        <v>4.82</v>
      </c>
      <c r="N64" s="2234">
        <f t="shared" si="248"/>
        <v>4.1399999999999999E-2</v>
      </c>
      <c r="O64" s="2235">
        <f t="shared" si="248"/>
        <v>3.4500000000000003E-2</v>
      </c>
      <c r="P64" s="2235">
        <f t="shared" si="248"/>
        <v>4.9500000000000002E-2</v>
      </c>
      <c r="Q64" s="2235">
        <f t="shared" si="248"/>
        <v>4.82E-2</v>
      </c>
      <c r="R64" s="2236"/>
      <c r="S64" s="2234">
        <f>B64/B65-1</f>
        <v>4.5869215322328349E-2</v>
      </c>
      <c r="T64" s="2235">
        <f>C64/C65-1</f>
        <v>3.6310645345394743E-2</v>
      </c>
      <c r="U64" s="2235">
        <f>E64/E65-1</f>
        <v>4.7553447657088688E-2</v>
      </c>
      <c r="V64" s="2235">
        <f>F64/F65-1</f>
        <v>4.4155360055980086E-2</v>
      </c>
      <c r="X64" s="2235"/>
      <c r="Y64" s="2235"/>
      <c r="Z64" s="2235"/>
    </row>
    <row r="65" spans="1:26" ht="13.8" thickBot="1">
      <c r="A65" s="2177" t="s">
        <v>489</v>
      </c>
      <c r="B65" s="2192">
        <v>188</v>
      </c>
      <c r="C65" s="2192">
        <v>165</v>
      </c>
      <c r="D65" s="2192">
        <f t="shared" si="246"/>
        <v>165</v>
      </c>
      <c r="E65" s="2192">
        <v>254</v>
      </c>
      <c r="F65" s="2193">
        <v>148</v>
      </c>
      <c r="G65" s="4295">
        <v>2007</v>
      </c>
      <c r="H65" s="2237">
        <v>4</v>
      </c>
      <c r="I65" s="2237">
        <v>5.51</v>
      </c>
      <c r="J65" s="2237">
        <v>4.8899999999999997</v>
      </c>
      <c r="K65" s="2237">
        <v>6.43</v>
      </c>
      <c r="L65" s="2238">
        <v>5.36</v>
      </c>
      <c r="N65" s="2239">
        <f t="shared" ref="N65:O68" si="266">B65/B66-1</f>
        <v>4.1339718365245526E-2</v>
      </c>
      <c r="O65" s="2240">
        <f t="shared" si="266"/>
        <v>4.0324492593776018E-2</v>
      </c>
      <c r="P65" s="2240">
        <f t="shared" ref="P65:Q68" si="267">E65/E66-1</f>
        <v>6.1625555347990968E-2</v>
      </c>
      <c r="Q65" s="2240">
        <f t="shared" si="267"/>
        <v>4.6757569250590603E-2</v>
      </c>
      <c r="R65" s="2181"/>
      <c r="S65" s="2194"/>
      <c r="T65" s="2195"/>
      <c r="U65" s="2195"/>
      <c r="V65" s="2195"/>
      <c r="X65" s="2195"/>
      <c r="Y65" s="2195"/>
      <c r="Z65" s="2195"/>
    </row>
    <row r="66" spans="1:26">
      <c r="A66" s="2177" t="s">
        <v>490</v>
      </c>
      <c r="B66" s="2178">
        <f t="shared" ref="B66:C68" si="268">B67+(B$65-B$69)*I66/SUM(I$65:I$68)</f>
        <v>180.5366651097618</v>
      </c>
      <c r="C66" s="2178">
        <f t="shared" si="268"/>
        <v>158.60435967302453</v>
      </c>
      <c r="D66" s="2178">
        <f t="shared" si="246"/>
        <v>158.60435967302453</v>
      </c>
      <c r="E66" s="2178">
        <f t="shared" ref="E66:F68" si="269">E67+(E$65-E$69)*K66/SUM(K$65:K$68)</f>
        <v>239.25573260785075</v>
      </c>
      <c r="F66" s="2178">
        <f t="shared" si="269"/>
        <v>141.38899430740037</v>
      </c>
      <c r="G66" s="4296">
        <v>2007</v>
      </c>
      <c r="H66" s="2203">
        <v>3</v>
      </c>
      <c r="I66" s="2203">
        <v>8.65</v>
      </c>
      <c r="J66" s="2203">
        <v>8.06</v>
      </c>
      <c r="K66" s="2203">
        <v>9.94</v>
      </c>
      <c r="L66" s="2204">
        <v>5.8</v>
      </c>
      <c r="N66" s="2239">
        <f t="shared" si="266"/>
        <v>6.940217571740015E-2</v>
      </c>
      <c r="O66" s="2240">
        <f t="shared" si="266"/>
        <v>7.1197482471153428E-2</v>
      </c>
      <c r="P66" s="2240">
        <f t="shared" si="267"/>
        <v>0.10529679922579582</v>
      </c>
      <c r="Q66" s="2240">
        <f t="shared" si="267"/>
        <v>5.3292245059512133E-2</v>
      </c>
      <c r="R66" s="2181"/>
      <c r="S66" s="2180"/>
      <c r="T66" s="2165"/>
      <c r="U66" s="2165"/>
      <c r="V66" s="2165"/>
      <c r="X66" s="2241"/>
      <c r="Y66" s="2241"/>
      <c r="Z66" s="2241"/>
    </row>
    <row r="67" spans="1:26">
      <c r="A67" s="2177" t="s">
        <v>491</v>
      </c>
      <c r="B67" s="2178">
        <f t="shared" si="268"/>
        <v>168.82017748715555</v>
      </c>
      <c r="C67" s="2178">
        <f t="shared" si="268"/>
        <v>148.06267029972753</v>
      </c>
      <c r="D67" s="2178">
        <f t="shared" si="246"/>
        <v>148.06267029972753</v>
      </c>
      <c r="E67" s="2178">
        <f t="shared" si="269"/>
        <v>216.46288379323747</v>
      </c>
      <c r="F67" s="2178">
        <f t="shared" si="269"/>
        <v>134.23529411764704</v>
      </c>
      <c r="G67" s="4296">
        <v>2007</v>
      </c>
      <c r="H67" s="2190">
        <v>2</v>
      </c>
      <c r="I67" s="2190">
        <v>3.67</v>
      </c>
      <c r="J67" s="2190">
        <v>2.3199999999999998</v>
      </c>
      <c r="K67" s="2190">
        <v>5.0199999999999996</v>
      </c>
      <c r="L67" s="2191">
        <v>6.71</v>
      </c>
      <c r="N67" s="2239">
        <f t="shared" si="266"/>
        <v>3.0339138143848032E-2</v>
      </c>
      <c r="O67" s="2240">
        <f t="shared" si="266"/>
        <v>2.0922341588790472E-2</v>
      </c>
      <c r="P67" s="2240">
        <f t="shared" si="267"/>
        <v>5.6164796592717003E-2</v>
      </c>
      <c r="Q67" s="2240">
        <f t="shared" si="267"/>
        <v>6.5704536723887319E-2</v>
      </c>
      <c r="R67" s="2181"/>
      <c r="S67" s="2180"/>
      <c r="T67" s="2165"/>
      <c r="U67" s="2165"/>
      <c r="V67" s="2165"/>
      <c r="X67" s="2241"/>
      <c r="Y67" s="2241"/>
      <c r="Z67" s="2241"/>
    </row>
    <row r="68" spans="1:26">
      <c r="A68" s="2177" t="s">
        <v>492</v>
      </c>
      <c r="B68" s="2178">
        <f t="shared" si="268"/>
        <v>163.84913591779542</v>
      </c>
      <c r="C68" s="2178">
        <f t="shared" si="268"/>
        <v>145.0283378746594</v>
      </c>
      <c r="D68" s="2178">
        <f t="shared" si="246"/>
        <v>145.0283378746594</v>
      </c>
      <c r="E68" s="2178">
        <f t="shared" si="269"/>
        <v>204.95180722891567</v>
      </c>
      <c r="F68" s="2178">
        <f t="shared" si="269"/>
        <v>125.95920303605313</v>
      </c>
      <c r="G68" s="4297">
        <v>2007</v>
      </c>
      <c r="H68" s="2179">
        <v>1</v>
      </c>
      <c r="I68" s="2179">
        <v>3.58</v>
      </c>
      <c r="J68" s="2179">
        <v>3.08</v>
      </c>
      <c r="K68" s="2179">
        <v>4.34</v>
      </c>
      <c r="L68" s="2185">
        <v>3.21</v>
      </c>
      <c r="N68" s="2242">
        <f t="shared" si="266"/>
        <v>3.0497710174814063E-2</v>
      </c>
      <c r="O68" s="2243">
        <f t="shared" si="266"/>
        <v>2.8569772160704998E-2</v>
      </c>
      <c r="P68" s="2243">
        <f t="shared" si="267"/>
        <v>5.1034908866234296E-2</v>
      </c>
      <c r="Q68" s="2243">
        <f t="shared" si="267"/>
        <v>3.245248390207478E-2</v>
      </c>
      <c r="R68" s="2181"/>
      <c r="S68" s="2196">
        <f>B68/B69-1</f>
        <v>3.0497710174814063E-2</v>
      </c>
      <c r="T68" s="2197">
        <f>C68/C69-1</f>
        <v>2.8569772160704998E-2</v>
      </c>
      <c r="U68" s="2197">
        <f>E68/E69-1</f>
        <v>5.1034908866234296E-2</v>
      </c>
      <c r="V68" s="2197">
        <f>F68/F69-1</f>
        <v>3.245248390207478E-2</v>
      </c>
      <c r="X68" s="2241"/>
      <c r="Y68" s="2241"/>
      <c r="Z68" s="2241"/>
    </row>
    <row r="69" spans="1:26" ht="13.8" thickBot="1">
      <c r="A69" s="2177" t="s">
        <v>493</v>
      </c>
      <c r="B69" s="2206">
        <v>159</v>
      </c>
      <c r="C69" s="2206">
        <v>141</v>
      </c>
      <c r="D69" s="2206">
        <f t="shared" si="246"/>
        <v>141</v>
      </c>
      <c r="E69" s="2206">
        <v>195</v>
      </c>
      <c r="F69" s="2207">
        <v>122</v>
      </c>
      <c r="G69" s="4295">
        <v>2006</v>
      </c>
      <c r="H69" s="2198">
        <v>4</v>
      </c>
      <c r="I69" s="2198">
        <v>3.79</v>
      </c>
      <c r="J69" s="2198">
        <v>2.21</v>
      </c>
      <c r="K69" s="2198">
        <v>5.65</v>
      </c>
      <c r="L69" s="2199">
        <v>5.41</v>
      </c>
      <c r="N69" s="2239">
        <f t="shared" ref="N69:O72" si="270">I69/SUM(I$69:I$72)*(B$69/B$73-1)</f>
        <v>7.245466462748526E-2</v>
      </c>
      <c r="O69" s="2240">
        <f t="shared" si="270"/>
        <v>2.3237230038062766E-2</v>
      </c>
      <c r="P69" s="2240">
        <f t="shared" ref="P69:Q72" si="271">K69/SUM(K$69:K$72)*(E$69/E$73-1)</f>
        <v>0.16146893866323722</v>
      </c>
      <c r="Q69" s="2240">
        <f t="shared" si="271"/>
        <v>5.0755230321793784E-2</v>
      </c>
      <c r="R69" s="2181"/>
      <c r="S69" s="2194"/>
      <c r="T69" s="2195"/>
      <c r="U69" s="2195"/>
      <c r="V69" s="2195"/>
      <c r="X69" s="2241"/>
      <c r="Y69" s="2241"/>
      <c r="Z69" s="2241"/>
    </row>
    <row r="70" spans="1:26">
      <c r="A70" s="2177" t="s">
        <v>494</v>
      </c>
      <c r="B70" s="2178">
        <f t="shared" ref="B70:C72" si="272">B71+(B$69-B$73)*I70/SUM(I$69:I$72)</f>
        <v>149.00125628140702</v>
      </c>
      <c r="C70" s="2178">
        <f t="shared" si="272"/>
        <v>137.95592286501378</v>
      </c>
      <c r="D70" s="2178">
        <f t="shared" si="246"/>
        <v>137.95592286501378</v>
      </c>
      <c r="E70" s="2178">
        <f t="shared" ref="E70:F72" si="273">E71+(E$69-E$73)*K70/SUM(K$69:K$72)</f>
        <v>169.97231450719823</v>
      </c>
      <c r="F70" s="2178">
        <f t="shared" si="273"/>
        <v>116.21390374331551</v>
      </c>
      <c r="G70" s="4296">
        <v>2006</v>
      </c>
      <c r="H70" s="2203">
        <v>3</v>
      </c>
      <c r="I70" s="2203">
        <v>0.92</v>
      </c>
      <c r="J70" s="2203">
        <v>1.08</v>
      </c>
      <c r="K70" s="2203">
        <v>0.73</v>
      </c>
      <c r="L70" s="2204">
        <v>1.08</v>
      </c>
      <c r="N70" s="2239">
        <f t="shared" si="270"/>
        <v>1.7587939698492462E-2</v>
      </c>
      <c r="O70" s="2240">
        <f t="shared" si="270"/>
        <v>1.1355750425840628E-2</v>
      </c>
      <c r="P70" s="2240">
        <f t="shared" si="271"/>
        <v>2.0862358446754544E-2</v>
      </c>
      <c r="Q70" s="2240">
        <f t="shared" si="271"/>
        <v>1.0132282578103011E-2</v>
      </c>
      <c r="R70" s="2181"/>
      <c r="S70" s="2180"/>
      <c r="T70" s="2165"/>
      <c r="U70" s="2165"/>
      <c r="V70" s="2165"/>
      <c r="X70" s="2241"/>
      <c r="Y70" s="2241"/>
      <c r="Z70" s="2241"/>
    </row>
    <row r="71" spans="1:26">
      <c r="A71" s="2177" t="s">
        <v>495</v>
      </c>
      <c r="B71" s="2178">
        <f t="shared" si="272"/>
        <v>146.57412060301507</v>
      </c>
      <c r="C71" s="2178">
        <f t="shared" si="272"/>
        <v>136.46831955922866</v>
      </c>
      <c r="D71" s="2178">
        <f t="shared" si="246"/>
        <v>136.46831955922866</v>
      </c>
      <c r="E71" s="2178">
        <f t="shared" si="273"/>
        <v>166.73864894795128</v>
      </c>
      <c r="F71" s="2178">
        <f t="shared" si="273"/>
        <v>115.05882352941177</v>
      </c>
      <c r="G71" s="4296">
        <v>2006</v>
      </c>
      <c r="H71" s="2190">
        <v>2</v>
      </c>
      <c r="I71" s="2190">
        <v>0.96</v>
      </c>
      <c r="J71" s="2190">
        <v>0.25</v>
      </c>
      <c r="K71" s="2190">
        <v>1.9</v>
      </c>
      <c r="L71" s="2191">
        <v>0.95</v>
      </c>
      <c r="N71" s="2239">
        <f t="shared" si="270"/>
        <v>1.8352632728861701E-2</v>
      </c>
      <c r="O71" s="2240">
        <f t="shared" si="270"/>
        <v>2.6286459319075526E-3</v>
      </c>
      <c r="P71" s="2240">
        <f t="shared" si="271"/>
        <v>5.4299289107991269E-2</v>
      </c>
      <c r="Q71" s="2240">
        <f t="shared" si="271"/>
        <v>8.9126559714794995E-3</v>
      </c>
      <c r="R71" s="2181"/>
      <c r="S71" s="2180"/>
      <c r="T71" s="2165"/>
      <c r="U71" s="2165"/>
      <c r="V71" s="2165"/>
      <c r="X71" s="2241"/>
      <c r="Y71" s="2241"/>
      <c r="Z71" s="2241"/>
    </row>
    <row r="72" spans="1:26">
      <c r="A72" s="2177" t="s">
        <v>496</v>
      </c>
      <c r="B72" s="2178">
        <f t="shared" si="272"/>
        <v>144.04145728643215</v>
      </c>
      <c r="C72" s="2178">
        <f t="shared" si="272"/>
        <v>136.12396694214877</v>
      </c>
      <c r="D72" s="2178">
        <f t="shared" si="246"/>
        <v>136.12396694214877</v>
      </c>
      <c r="E72" s="2178">
        <f t="shared" si="273"/>
        <v>158.32225913621264</v>
      </c>
      <c r="F72" s="2178">
        <f t="shared" si="273"/>
        <v>114.04278074866311</v>
      </c>
      <c r="G72" s="4297">
        <v>2006</v>
      </c>
      <c r="H72" s="2179">
        <v>1</v>
      </c>
      <c r="I72" s="2179">
        <v>2.29</v>
      </c>
      <c r="J72" s="2179">
        <v>3.72</v>
      </c>
      <c r="K72" s="2179">
        <v>0.75</v>
      </c>
      <c r="L72" s="2185">
        <v>0.04</v>
      </c>
      <c r="N72" s="2242">
        <f t="shared" si="270"/>
        <v>4.3778675988638847E-2</v>
      </c>
      <c r="O72" s="2243">
        <f t="shared" si="270"/>
        <v>3.9114251466784385E-2</v>
      </c>
      <c r="P72" s="2243">
        <f t="shared" si="271"/>
        <v>2.1433929911049188E-2</v>
      </c>
      <c r="Q72" s="2243">
        <f t="shared" si="271"/>
        <v>3.7526972511492629E-4</v>
      </c>
      <c r="R72" s="2181"/>
      <c r="S72" s="2196">
        <f>B72/B73-1</f>
        <v>4.3778675988638716E-2</v>
      </c>
      <c r="T72" s="2197">
        <f>C72/C73-1</f>
        <v>3.91142514667846E-2</v>
      </c>
      <c r="U72" s="2197">
        <f>E72/E73-1</f>
        <v>2.143392991104931E-2</v>
      </c>
      <c r="V72" s="2197">
        <f>F72/F73-1</f>
        <v>3.7526972511492396E-4</v>
      </c>
      <c r="X72" s="2241"/>
      <c r="Y72" s="2241"/>
      <c r="Z72" s="2241"/>
    </row>
    <row r="73" spans="1:26" ht="13.8" thickBot="1">
      <c r="A73" s="2177" t="s">
        <v>497</v>
      </c>
      <c r="B73" s="2206">
        <v>138</v>
      </c>
      <c r="C73" s="2206">
        <v>131</v>
      </c>
      <c r="D73" s="2206">
        <f t="shared" si="246"/>
        <v>131</v>
      </c>
      <c r="E73" s="2206">
        <v>155</v>
      </c>
      <c r="F73" s="2207">
        <v>114</v>
      </c>
      <c r="G73" s="4295">
        <v>2005</v>
      </c>
      <c r="H73" s="2198">
        <v>4</v>
      </c>
      <c r="I73" s="2198">
        <v>3.29</v>
      </c>
      <c r="J73" s="2198">
        <v>1.44</v>
      </c>
      <c r="K73" s="2198">
        <v>0.66</v>
      </c>
      <c r="L73" s="2199">
        <v>7.78</v>
      </c>
      <c r="N73" s="2239">
        <f t="shared" ref="N73:O76" si="274">I73/SUM(I$73:I$76)*(B$73/B$77-1)</f>
        <v>9.9404603216919935E-2</v>
      </c>
      <c r="O73" s="2240">
        <f t="shared" si="274"/>
        <v>4.7636550760861554E-2</v>
      </c>
      <c r="P73" s="2240">
        <f t="shared" ref="P73:Q76" si="275">K73/SUM(K$73:K$76)*(E$73/E$77-1)</f>
        <v>8.3756345177664976E-2</v>
      </c>
      <c r="Q73" s="2240">
        <f t="shared" si="275"/>
        <v>5.2148766661559584E-2</v>
      </c>
      <c r="R73" s="2181"/>
      <c r="S73" s="2194"/>
      <c r="T73" s="2195"/>
      <c r="U73" s="2195"/>
      <c r="V73" s="2195"/>
      <c r="X73" s="2241"/>
      <c r="Y73" s="2241"/>
      <c r="Z73" s="2241"/>
    </row>
    <row r="74" spans="1:26">
      <c r="A74" s="2177" t="s">
        <v>498</v>
      </c>
      <c r="B74" s="2178">
        <f t="shared" ref="B74:C76" si="276">B75+(B$73-B$77)*I74/SUM(I$73:I$76)</f>
        <v>125.9720430107527</v>
      </c>
      <c r="C74" s="2178">
        <f t="shared" si="276"/>
        <v>125.1883408071749</v>
      </c>
      <c r="D74" s="2178">
        <f t="shared" si="246"/>
        <v>125.1883408071749</v>
      </c>
      <c r="E74" s="2178">
        <f t="shared" ref="E74:F76" si="277">E75+(E$73-E$77)*K74/SUM(K$73:K$76)</f>
        <v>144.61421319796952</v>
      </c>
      <c r="F74" s="2178">
        <f t="shared" si="277"/>
        <v>108.42008196721311</v>
      </c>
      <c r="G74" s="4296">
        <v>2005</v>
      </c>
      <c r="H74" s="2203">
        <v>3</v>
      </c>
      <c r="I74" s="2203">
        <v>0.46</v>
      </c>
      <c r="J74" s="2203">
        <v>0.32</v>
      </c>
      <c r="K74" s="2203">
        <v>0.42</v>
      </c>
      <c r="L74" s="2204">
        <v>0.64</v>
      </c>
      <c r="N74" s="2239">
        <f t="shared" si="274"/>
        <v>1.3898515951301874E-2</v>
      </c>
      <c r="O74" s="2240">
        <f t="shared" si="274"/>
        <v>1.0585900169080346E-2</v>
      </c>
      <c r="P74" s="2240">
        <f t="shared" si="275"/>
        <v>5.3299492385786795E-2</v>
      </c>
      <c r="Q74" s="2240">
        <f t="shared" si="275"/>
        <v>4.2898728359123568E-3</v>
      </c>
      <c r="R74" s="2181"/>
      <c r="S74" s="2180"/>
      <c r="T74" s="2165"/>
      <c r="U74" s="2165"/>
      <c r="V74" s="2165"/>
      <c r="X74" s="2241"/>
      <c r="Y74" s="2241"/>
      <c r="Z74" s="2241"/>
    </row>
    <row r="75" spans="1:26">
      <c r="A75" s="2177" t="s">
        <v>499</v>
      </c>
      <c r="B75" s="2178">
        <f t="shared" si="276"/>
        <v>124.29032258064517</v>
      </c>
      <c r="C75" s="2178">
        <f t="shared" si="276"/>
        <v>123.8968609865471</v>
      </c>
      <c r="D75" s="2178">
        <f t="shared" si="246"/>
        <v>123.8968609865471</v>
      </c>
      <c r="E75" s="2178">
        <f t="shared" si="277"/>
        <v>138.00507614213197</v>
      </c>
      <c r="F75" s="2178">
        <f t="shared" si="277"/>
        <v>107.96106557377048</v>
      </c>
      <c r="G75" s="4296">
        <v>2005</v>
      </c>
      <c r="H75" s="2190">
        <v>2</v>
      </c>
      <c r="I75" s="2190">
        <v>0.47</v>
      </c>
      <c r="J75" s="2190">
        <v>0.1</v>
      </c>
      <c r="K75" s="2190">
        <v>0.52</v>
      </c>
      <c r="L75" s="2191">
        <v>0.79</v>
      </c>
      <c r="N75" s="2239">
        <f t="shared" si="274"/>
        <v>1.420065760241713E-2</v>
      </c>
      <c r="O75" s="2240">
        <f t="shared" si="274"/>
        <v>3.3080938028376083E-3</v>
      </c>
      <c r="P75" s="2240">
        <f t="shared" si="275"/>
        <v>6.598984771573603E-2</v>
      </c>
      <c r="Q75" s="2240">
        <f t="shared" si="275"/>
        <v>5.2953117818293153E-3</v>
      </c>
      <c r="R75" s="2181"/>
      <c r="S75" s="2180"/>
      <c r="T75" s="2165"/>
      <c r="U75" s="2165"/>
      <c r="V75" s="2165"/>
      <c r="X75" s="2241"/>
      <c r="Y75" s="2241"/>
      <c r="Z75" s="2241"/>
    </row>
    <row r="76" spans="1:26">
      <c r="A76" s="2177" t="s">
        <v>500</v>
      </c>
      <c r="B76" s="2178">
        <f t="shared" si="276"/>
        <v>122.57204301075269</v>
      </c>
      <c r="C76" s="2178">
        <f t="shared" si="276"/>
        <v>123.4932735426009</v>
      </c>
      <c r="D76" s="2178">
        <f t="shared" si="246"/>
        <v>123.4932735426009</v>
      </c>
      <c r="E76" s="2178">
        <f t="shared" si="277"/>
        <v>129.82233502538071</v>
      </c>
      <c r="F76" s="2178">
        <f t="shared" si="277"/>
        <v>107.39446721311475</v>
      </c>
      <c r="G76" s="4297">
        <v>2005</v>
      </c>
      <c r="H76" s="2179">
        <v>1</v>
      </c>
      <c r="I76" s="2179">
        <v>0.43</v>
      </c>
      <c r="J76" s="2179">
        <v>0.37</v>
      </c>
      <c r="K76" s="2179">
        <v>0.37</v>
      </c>
      <c r="L76" s="2185">
        <v>0.55000000000000004</v>
      </c>
      <c r="N76" s="2242">
        <f t="shared" si="274"/>
        <v>1.2992090997956099E-2</v>
      </c>
      <c r="O76" s="2243">
        <f t="shared" si="274"/>
        <v>1.2239947070499151E-2</v>
      </c>
      <c r="P76" s="2243">
        <f t="shared" si="275"/>
        <v>4.6954314720812178E-2</v>
      </c>
      <c r="Q76" s="2243">
        <f t="shared" si="275"/>
        <v>3.6866094683621815E-3</v>
      </c>
      <c r="R76" s="2181"/>
      <c r="S76" s="2196">
        <f>B76/B77-1</f>
        <v>1.2992090997956174E-2</v>
      </c>
      <c r="T76" s="2197">
        <f>C76/C77-1</f>
        <v>1.2239947070499246E-2</v>
      </c>
      <c r="U76" s="2197">
        <f>E76/E77-1</f>
        <v>4.695431472081224E-2</v>
      </c>
      <c r="V76" s="2197">
        <f>F76/F77-1</f>
        <v>3.6866094683620787E-3</v>
      </c>
      <c r="X76" s="2241"/>
      <c r="Y76" s="2241"/>
      <c r="Z76" s="2241"/>
    </row>
    <row r="77" spans="1:26" ht="13.8" thickBot="1">
      <c r="A77" s="2177" t="s">
        <v>501</v>
      </c>
      <c r="B77" s="2227">
        <v>121</v>
      </c>
      <c r="C77" s="2227">
        <v>122</v>
      </c>
      <c r="D77" s="2227">
        <f t="shared" si="246"/>
        <v>122</v>
      </c>
      <c r="E77" s="2227">
        <v>124</v>
      </c>
      <c r="F77" s="2228">
        <v>107</v>
      </c>
      <c r="G77" s="4295">
        <v>2004</v>
      </c>
      <c r="H77" s="2198">
        <v>4</v>
      </c>
      <c r="I77" s="2198">
        <v>0.33</v>
      </c>
      <c r="J77" s="2198">
        <v>0.5</v>
      </c>
      <c r="K77" s="2198">
        <v>0.5</v>
      </c>
      <c r="L77" s="2199">
        <v>0</v>
      </c>
      <c r="N77" s="2239">
        <f t="shared" ref="N77:O80" si="278">I77/SUM(I$77:I$80)*(B$77/B$81-1)</f>
        <v>1.3391770148526898E-2</v>
      </c>
      <c r="O77" s="2240">
        <f t="shared" si="278"/>
        <v>1.063264221158958E-2</v>
      </c>
      <c r="P77" s="2240">
        <f t="shared" ref="P77:Q80" si="279">K77/SUM(K$77:K$80)*(E$77/E$81-1)</f>
        <v>2.2244466688911134E-2</v>
      </c>
      <c r="Q77" s="2240">
        <f t="shared" si="279"/>
        <v>0</v>
      </c>
      <c r="R77" s="2181"/>
      <c r="S77" s="2194"/>
      <c r="T77" s="2195"/>
      <c r="U77" s="2195"/>
      <c r="V77" s="2195"/>
      <c r="X77" s="2241"/>
      <c r="Y77" s="2241"/>
      <c r="Z77" s="2241"/>
    </row>
    <row r="78" spans="1:26">
      <c r="A78" s="2177" t="s">
        <v>502</v>
      </c>
      <c r="B78" s="2178">
        <f t="shared" ref="B78:C80" si="280">B79+(B$77-B$81)*I78/SUM(I$77:I$80)</f>
        <v>119.51351351351352</v>
      </c>
      <c r="C78" s="2178">
        <f t="shared" si="280"/>
        <v>120.7878787878788</v>
      </c>
      <c r="D78" s="2178">
        <f t="shared" si="246"/>
        <v>120.7878787878788</v>
      </c>
      <c r="E78" s="2178">
        <f t="shared" ref="E78:F80" si="281">E79+(E$77-E$81)*K78/SUM(K$77:K$80)</f>
        <v>121.5975975975976</v>
      </c>
      <c r="F78" s="2178">
        <f t="shared" si="281"/>
        <v>107</v>
      </c>
      <c r="G78" s="4296">
        <v>2004</v>
      </c>
      <c r="H78" s="2203">
        <v>3</v>
      </c>
      <c r="I78" s="2203">
        <v>0.56000000000000005</v>
      </c>
      <c r="J78" s="2203">
        <v>0.8</v>
      </c>
      <c r="K78" s="2203">
        <v>0.83</v>
      </c>
      <c r="L78" s="2204">
        <v>0.06</v>
      </c>
      <c r="N78" s="2239">
        <f t="shared" si="278"/>
        <v>2.2725428130833527E-2</v>
      </c>
      <c r="O78" s="2240">
        <f t="shared" si="278"/>
        <v>1.7012227538543329E-2</v>
      </c>
      <c r="P78" s="2240">
        <f t="shared" si="279"/>
        <v>3.6925814703592477E-2</v>
      </c>
      <c r="Q78" s="2240">
        <f t="shared" si="279"/>
        <v>2.8846153846153744E-2</v>
      </c>
      <c r="R78" s="2181"/>
      <c r="S78" s="2180"/>
      <c r="T78" s="2165"/>
      <c r="U78" s="2165"/>
      <c r="V78" s="2165"/>
      <c r="X78" s="2241"/>
      <c r="Y78" s="2241"/>
      <c r="Z78" s="2241"/>
    </row>
    <row r="79" spans="1:26">
      <c r="A79" s="2177" t="s">
        <v>503</v>
      </c>
      <c r="B79" s="2178">
        <f t="shared" si="280"/>
        <v>116.99099099099099</v>
      </c>
      <c r="C79" s="2178">
        <f t="shared" si="280"/>
        <v>118.84848484848486</v>
      </c>
      <c r="D79" s="2178">
        <f t="shared" si="246"/>
        <v>118.84848484848486</v>
      </c>
      <c r="E79" s="2178">
        <f t="shared" si="281"/>
        <v>117.60960960960961</v>
      </c>
      <c r="F79" s="2178">
        <f t="shared" si="281"/>
        <v>104</v>
      </c>
      <c r="G79" s="4296">
        <v>2004</v>
      </c>
      <c r="H79" s="2190">
        <v>2</v>
      </c>
      <c r="I79" s="2190">
        <v>1</v>
      </c>
      <c r="J79" s="2190">
        <v>1.5</v>
      </c>
      <c r="K79" s="2190">
        <v>1.5</v>
      </c>
      <c r="L79" s="2191">
        <v>0</v>
      </c>
      <c r="N79" s="2239">
        <f t="shared" si="278"/>
        <v>4.0581121662202721E-2</v>
      </c>
      <c r="O79" s="2240">
        <f t="shared" si="278"/>
        <v>3.1897926634768738E-2</v>
      </c>
      <c r="P79" s="2240">
        <f t="shared" si="279"/>
        <v>6.6733400066733395E-2</v>
      </c>
      <c r="Q79" s="2240">
        <f t="shared" si="279"/>
        <v>0</v>
      </c>
      <c r="R79" s="2181"/>
      <c r="S79" s="2180"/>
      <c r="T79" s="2165"/>
      <c r="U79" s="2165"/>
      <c r="V79" s="2165"/>
      <c r="X79" s="2241"/>
      <c r="Y79" s="2241"/>
      <c r="Z79" s="2241"/>
    </row>
    <row r="80" spans="1:26" s="2233" customFormat="1" ht="13.8" thickBot="1">
      <c r="A80" s="2177" t="s">
        <v>504</v>
      </c>
      <c r="B80" s="2230">
        <f t="shared" si="280"/>
        <v>112.48648648648648</v>
      </c>
      <c r="C80" s="2230">
        <f t="shared" si="280"/>
        <v>115.21212121212122</v>
      </c>
      <c r="D80" s="2230">
        <f t="shared" si="246"/>
        <v>115.21212121212122</v>
      </c>
      <c r="E80" s="2230">
        <f t="shared" si="281"/>
        <v>110.4024024024024</v>
      </c>
      <c r="F80" s="2230">
        <f t="shared" si="281"/>
        <v>104</v>
      </c>
      <c r="G80" s="4297">
        <v>2004</v>
      </c>
      <c r="H80" s="2231">
        <v>1</v>
      </c>
      <c r="I80" s="2231">
        <v>0.33</v>
      </c>
      <c r="J80" s="2231">
        <v>0.5</v>
      </c>
      <c r="K80" s="2231">
        <v>0.5</v>
      </c>
      <c r="L80" s="2232">
        <v>0</v>
      </c>
      <c r="N80" s="2244">
        <f t="shared" si="278"/>
        <v>1.3391770148526898E-2</v>
      </c>
      <c r="O80" s="2245">
        <f t="shared" si="278"/>
        <v>1.063264221158958E-2</v>
      </c>
      <c r="P80" s="2245">
        <f t="shared" si="279"/>
        <v>2.2244466688911134E-2</v>
      </c>
      <c r="Q80" s="2245">
        <f t="shared" si="279"/>
        <v>0</v>
      </c>
      <c r="R80" s="2236"/>
      <c r="S80" s="2234">
        <f>B80/B81-1</f>
        <v>1.3391770148526883E-2</v>
      </c>
      <c r="T80" s="2235">
        <f>C80/C81-1</f>
        <v>1.063264221158966E-2</v>
      </c>
      <c r="U80" s="2235">
        <f>E80/E81-1</f>
        <v>2.2244466688911224E-2</v>
      </c>
      <c r="V80" s="2235">
        <f>F80/F81-1</f>
        <v>0</v>
      </c>
      <c r="X80" s="2246"/>
      <c r="Y80" s="2246"/>
      <c r="Z80" s="2246"/>
    </row>
    <row r="81" spans="1:26" ht="13.8" thickBot="1">
      <c r="A81" s="2177" t="s">
        <v>505</v>
      </c>
      <c r="B81" s="2247">
        <v>111</v>
      </c>
      <c r="C81" s="2247">
        <v>114</v>
      </c>
      <c r="D81" s="2247">
        <f t="shared" si="246"/>
        <v>114</v>
      </c>
      <c r="E81" s="2247">
        <v>108</v>
      </c>
      <c r="F81" s="2248">
        <v>104</v>
      </c>
      <c r="G81" s="4295">
        <v>2003</v>
      </c>
      <c r="H81" s="2237">
        <v>4</v>
      </c>
      <c r="I81" s="2249"/>
      <c r="J81" s="2249"/>
      <c r="K81" s="2249"/>
      <c r="L81" s="2249"/>
      <c r="N81" s="2250"/>
      <c r="O81" s="2249"/>
      <c r="P81" s="2249"/>
      <c r="Q81" s="2249"/>
      <c r="S81" s="2250"/>
      <c r="T81" s="2249"/>
      <c r="U81" s="2249"/>
      <c r="V81" s="2249"/>
      <c r="X81" s="2241"/>
      <c r="Y81" s="2241"/>
      <c r="Z81" s="2241"/>
    </row>
    <row r="82" spans="1:26">
      <c r="A82" s="2177" t="s">
        <v>506</v>
      </c>
      <c r="B82" s="2251">
        <f t="shared" ref="B82:C84" si="282">B83+(B$81-B$85)/4</f>
        <v>109.75</v>
      </c>
      <c r="C82" s="2251">
        <f t="shared" si="282"/>
        <v>112.25</v>
      </c>
      <c r="D82" s="2251">
        <f t="shared" si="246"/>
        <v>112.25</v>
      </c>
      <c r="E82" s="2251">
        <f t="shared" ref="E82:F84" si="283">E83+(E$81-E$85)/4</f>
        <v>107.25</v>
      </c>
      <c r="F82" s="2251">
        <f t="shared" si="283"/>
        <v>103.5</v>
      </c>
      <c r="G82" s="4296">
        <v>2003</v>
      </c>
      <c r="H82" s="2203">
        <v>3</v>
      </c>
      <c r="I82" s="2249"/>
      <c r="J82" s="2249"/>
      <c r="K82" s="2249"/>
      <c r="L82" s="2249"/>
      <c r="X82" s="2241"/>
      <c r="Y82" s="2241"/>
      <c r="Z82" s="2241"/>
    </row>
    <row r="83" spans="1:26">
      <c r="A83" s="2177" t="s">
        <v>507</v>
      </c>
      <c r="B83" s="2251">
        <f t="shared" si="282"/>
        <v>108.5</v>
      </c>
      <c r="C83" s="2251">
        <f t="shared" si="282"/>
        <v>110.5</v>
      </c>
      <c r="D83" s="2251">
        <f t="shared" si="246"/>
        <v>110.5</v>
      </c>
      <c r="E83" s="2251">
        <f t="shared" si="283"/>
        <v>106.5</v>
      </c>
      <c r="F83" s="2251">
        <f t="shared" si="283"/>
        <v>103</v>
      </c>
      <c r="G83" s="4296">
        <v>2003</v>
      </c>
      <c r="H83" s="2190">
        <v>2</v>
      </c>
      <c r="I83" s="2249"/>
      <c r="J83" s="2249"/>
      <c r="K83" s="2249"/>
      <c r="L83" s="2249"/>
      <c r="X83" s="2241"/>
      <c r="Y83" s="2241"/>
      <c r="Z83" s="2241"/>
    </row>
    <row r="84" spans="1:26" ht="13.8" thickBot="1">
      <c r="A84" s="2177" t="s">
        <v>508</v>
      </c>
      <c r="B84" s="2251">
        <f t="shared" si="282"/>
        <v>107.25</v>
      </c>
      <c r="C84" s="2251">
        <f t="shared" si="282"/>
        <v>108.75</v>
      </c>
      <c r="D84" s="2251">
        <f t="shared" si="246"/>
        <v>108.75</v>
      </c>
      <c r="E84" s="2251">
        <f t="shared" si="283"/>
        <v>105.75</v>
      </c>
      <c r="F84" s="2251">
        <f t="shared" si="283"/>
        <v>102.5</v>
      </c>
      <c r="G84" s="4297">
        <v>2003</v>
      </c>
      <c r="H84" s="2252">
        <v>1</v>
      </c>
      <c r="I84" s="2249"/>
      <c r="J84" s="2249"/>
      <c r="K84" s="2249"/>
      <c r="L84" s="2249"/>
      <c r="S84" s="2180"/>
      <c r="T84" s="2165"/>
      <c r="U84" s="2165"/>
      <c r="X84" s="2241"/>
      <c r="Y84" s="2241"/>
      <c r="Z84" s="2241"/>
    </row>
    <row r="85" spans="1:26" ht="13.8" thickBot="1">
      <c r="A85" s="2177" t="s">
        <v>509</v>
      </c>
      <c r="B85" s="2253">
        <v>106</v>
      </c>
      <c r="C85" s="2253">
        <v>107</v>
      </c>
      <c r="D85" s="2253">
        <f t="shared" si="246"/>
        <v>107</v>
      </c>
      <c r="E85" s="2253">
        <v>105</v>
      </c>
      <c r="F85" s="2254">
        <v>102</v>
      </c>
      <c r="G85" s="4295">
        <v>2002</v>
      </c>
      <c r="H85" s="2198">
        <v>4</v>
      </c>
      <c r="I85" s="2249"/>
      <c r="J85" s="2249"/>
      <c r="K85" s="2249"/>
      <c r="L85" s="2249"/>
      <c r="N85" s="2250"/>
      <c r="O85" s="2249"/>
      <c r="P85" s="2249"/>
      <c r="Q85" s="2249"/>
      <c r="S85" s="2250"/>
      <c r="T85" s="2249"/>
      <c r="U85" s="2249"/>
      <c r="V85" s="2249"/>
      <c r="X85" s="2241"/>
      <c r="Y85" s="2241"/>
      <c r="Z85" s="2241"/>
    </row>
    <row r="86" spans="1:26">
      <c r="A86" s="2177" t="s">
        <v>510</v>
      </c>
      <c r="B86" s="2251">
        <f t="shared" ref="B86:C88" si="284">B87+(B$85-B$89)/4</f>
        <v>105</v>
      </c>
      <c r="C86" s="2251">
        <f t="shared" si="284"/>
        <v>106</v>
      </c>
      <c r="D86" s="2251">
        <f t="shared" si="246"/>
        <v>106</v>
      </c>
      <c r="E86" s="2251">
        <f t="shared" ref="E86:F88" si="285">E87+(E$85-E$89)/4</f>
        <v>104.5</v>
      </c>
      <c r="F86" s="2251">
        <f t="shared" si="285"/>
        <v>101.5</v>
      </c>
      <c r="G86" s="4296">
        <v>2002</v>
      </c>
      <c r="H86" s="2203">
        <v>3</v>
      </c>
      <c r="I86" s="2249"/>
      <c r="J86" s="2249"/>
      <c r="K86" s="2249"/>
      <c r="L86" s="2249"/>
      <c r="X86" s="2241"/>
      <c r="Y86" s="2241"/>
      <c r="Z86" s="2241"/>
    </row>
    <row r="87" spans="1:26">
      <c r="A87" s="2177" t="s">
        <v>511</v>
      </c>
      <c r="B87" s="2251">
        <f t="shared" si="284"/>
        <v>104</v>
      </c>
      <c r="C87" s="2251">
        <f t="shared" si="284"/>
        <v>105</v>
      </c>
      <c r="D87" s="2251">
        <f t="shared" si="246"/>
        <v>105</v>
      </c>
      <c r="E87" s="2251">
        <f t="shared" si="285"/>
        <v>104</v>
      </c>
      <c r="F87" s="2251">
        <f t="shared" si="285"/>
        <v>101</v>
      </c>
      <c r="G87" s="4296">
        <v>2002</v>
      </c>
      <c r="H87" s="2190">
        <v>2</v>
      </c>
      <c r="I87" s="2249"/>
      <c r="J87" s="2249"/>
      <c r="K87" s="2249"/>
      <c r="L87" s="2249"/>
      <c r="X87" s="2241"/>
      <c r="Y87" s="2241"/>
      <c r="Z87" s="2241"/>
    </row>
    <row r="88" spans="1:26" s="2214" customFormat="1" ht="13.8" thickBot="1">
      <c r="A88" s="2210" t="s">
        <v>512</v>
      </c>
      <c r="B88" s="2217">
        <f t="shared" si="284"/>
        <v>103</v>
      </c>
      <c r="C88" s="2217">
        <f t="shared" si="284"/>
        <v>104</v>
      </c>
      <c r="D88" s="2217">
        <f t="shared" si="246"/>
        <v>104</v>
      </c>
      <c r="E88" s="2217">
        <f t="shared" si="285"/>
        <v>103.5</v>
      </c>
      <c r="F88" s="2217">
        <f t="shared" si="285"/>
        <v>100.5</v>
      </c>
      <c r="G88" s="4297">
        <v>2002</v>
      </c>
      <c r="H88" s="2255">
        <v>1</v>
      </c>
      <c r="I88" s="2256"/>
      <c r="J88" s="2256"/>
      <c r="K88" s="2256"/>
      <c r="L88" s="2256"/>
      <c r="N88" s="2257"/>
      <c r="S88" s="2257"/>
      <c r="X88" s="2258"/>
      <c r="Y88" s="2258"/>
      <c r="Z88" s="2258"/>
    </row>
    <row r="89" spans="1:26" ht="13.8" thickBot="1">
      <c r="B89" s="2259">
        <v>102</v>
      </c>
      <c r="C89" s="2260">
        <v>103</v>
      </c>
      <c r="D89" s="2260">
        <f t="shared" si="246"/>
        <v>103</v>
      </c>
      <c r="E89" s="2260">
        <v>103</v>
      </c>
      <c r="F89" s="2261">
        <v>100</v>
      </c>
      <c r="I89" s="2249"/>
      <c r="J89" s="2249"/>
      <c r="K89" s="2249"/>
      <c r="L89" s="2249"/>
      <c r="N89" s="2250"/>
      <c r="O89" s="2249"/>
      <c r="P89" s="2249"/>
      <c r="Q89" s="2249"/>
      <c r="S89" s="2250"/>
      <c r="T89" s="2249"/>
      <c r="U89" s="2249"/>
      <c r="V89" s="2249"/>
      <c r="X89" s="2195"/>
      <c r="Y89" s="2195"/>
      <c r="Z89" s="2195"/>
    </row>
    <row r="91" spans="1:26" s="2263" customFormat="1">
      <c r="A91" s="2262" t="s">
        <v>513</v>
      </c>
      <c r="G91" s="2264"/>
      <c r="N91" s="2264"/>
      <c r="S91" s="2264"/>
    </row>
    <row r="92" spans="1:26" s="2263" customFormat="1">
      <c r="A92" s="2263" t="s">
        <v>514</v>
      </c>
      <c r="G92" s="2264"/>
      <c r="N92" s="2264"/>
      <c r="S92" s="2264"/>
    </row>
    <row r="93" spans="1:26" s="2263" customFormat="1">
      <c r="A93" s="2263" t="s">
        <v>515</v>
      </c>
      <c r="G93" s="2264"/>
      <c r="I93" s="2265"/>
      <c r="J93" s="2265"/>
      <c r="K93" s="2265"/>
      <c r="L93" s="2265"/>
      <c r="N93" s="2266"/>
      <c r="O93" s="2265"/>
      <c r="P93" s="2265"/>
      <c r="Q93" s="2265"/>
      <c r="S93" s="2266"/>
      <c r="T93" s="2265"/>
      <c r="U93" s="2265"/>
      <c r="V93" s="2265"/>
    </row>
    <row r="94" spans="1:26" s="2263" customFormat="1">
      <c r="A94" s="2263" t="s">
        <v>516</v>
      </c>
      <c r="G94" s="2264"/>
      <c r="N94" s="2264"/>
      <c r="S94" s="2264"/>
    </row>
    <row r="101" spans="7:22" ht="13.8" thickBot="1"/>
    <row r="102" spans="7:22">
      <c r="G102" s="2164"/>
      <c r="S102" s="2267" t="s">
        <v>517</v>
      </c>
      <c r="T102" s="2268" t="s">
        <v>518</v>
      </c>
      <c r="U102" s="2268" t="s">
        <v>519</v>
      </c>
      <c r="V102" s="2268" t="s">
        <v>520</v>
      </c>
    </row>
    <row r="103" spans="7:22">
      <c r="G103" s="2164"/>
      <c r="N103" s="2194"/>
      <c r="O103" s="2195"/>
      <c r="P103" s="2195"/>
      <c r="Q103" s="2195"/>
      <c r="S103" s="2269">
        <v>2006</v>
      </c>
      <c r="T103" s="2270">
        <v>15.1</v>
      </c>
      <c r="U103" s="2270">
        <v>7.43</v>
      </c>
      <c r="V103" s="2270">
        <v>26.26</v>
      </c>
    </row>
    <row r="104" spans="7:22">
      <c r="G104" s="2164"/>
      <c r="N104" s="2194"/>
      <c r="O104" s="2195"/>
      <c r="P104" s="2195"/>
      <c r="Q104" s="2195"/>
      <c r="S104" s="2271">
        <v>2005</v>
      </c>
      <c r="T104" s="2272">
        <v>13.9</v>
      </c>
      <c r="U104" s="2272">
        <v>7.49</v>
      </c>
      <c r="V104" s="2272">
        <v>24.92</v>
      </c>
    </row>
    <row r="105" spans="7:22">
      <c r="G105" s="2164"/>
      <c r="N105" s="2194"/>
      <c r="O105" s="2195"/>
      <c r="P105" s="2195"/>
      <c r="Q105" s="2195"/>
      <c r="S105" s="2269">
        <v>2004</v>
      </c>
      <c r="T105" s="2270">
        <v>9.48</v>
      </c>
      <c r="U105" s="2270">
        <v>7.2</v>
      </c>
      <c r="V105" s="2270">
        <v>14.68</v>
      </c>
    </row>
    <row r="106" spans="7:22">
      <c r="G106" s="2164"/>
      <c r="N106" s="2194"/>
      <c r="O106" s="2195"/>
      <c r="P106" s="2195"/>
      <c r="Q106" s="2195"/>
      <c r="S106" s="2271">
        <v>2003</v>
      </c>
      <c r="T106" s="2272">
        <v>4.5</v>
      </c>
      <c r="U106" s="2272">
        <v>6.12</v>
      </c>
      <c r="V106" s="2272">
        <v>2.34</v>
      </c>
    </row>
    <row r="107" spans="7:22" ht="13.8" thickBot="1">
      <c r="G107" s="2164"/>
      <c r="N107" s="2194"/>
      <c r="O107" s="2195"/>
      <c r="P107" s="2195"/>
      <c r="Q107" s="2195"/>
      <c r="S107" s="2273">
        <v>2002</v>
      </c>
      <c r="T107" s="2274">
        <v>3.59</v>
      </c>
      <c r="U107" s="2274">
        <v>4.54</v>
      </c>
      <c r="V107" s="2274">
        <v>2.5499999999999998</v>
      </c>
    </row>
    <row r="108" spans="7:22">
      <c r="G108" s="2164"/>
      <c r="N108" s="2194"/>
      <c r="O108" s="2195"/>
      <c r="P108" s="2195"/>
      <c r="Q108" s="2195"/>
    </row>
    <row r="109" spans="7:22">
      <c r="G109" s="2164"/>
      <c r="N109" s="2194"/>
      <c r="O109" s="2195"/>
      <c r="P109" s="2195"/>
      <c r="Q109" s="2195"/>
    </row>
    <row r="110" spans="7:22">
      <c r="G110" s="2164"/>
      <c r="N110" s="2194"/>
      <c r="O110" s="2195"/>
      <c r="P110" s="2195"/>
      <c r="Q110" s="2195"/>
    </row>
    <row r="111" spans="7:22">
      <c r="G111" s="2164"/>
      <c r="N111" s="2194"/>
      <c r="O111" s="2195"/>
      <c r="P111" s="2195"/>
      <c r="Q111" s="2195"/>
    </row>
    <row r="112" spans="7:22">
      <c r="G112" s="2164"/>
      <c r="N112" s="2194"/>
      <c r="O112" s="2195"/>
      <c r="P112" s="2195"/>
      <c r="Q112" s="2195"/>
    </row>
    <row r="113" spans="7:19">
      <c r="G113" s="2164"/>
      <c r="N113" s="2194"/>
      <c r="O113" s="2195"/>
      <c r="P113" s="2195"/>
      <c r="Q113" s="2195"/>
    </row>
    <row r="114" spans="7:19">
      <c r="G114" s="2164"/>
      <c r="N114" s="2194"/>
      <c r="O114" s="2195"/>
      <c r="P114" s="2195"/>
      <c r="Q114" s="2195"/>
    </row>
    <row r="115" spans="7:19">
      <c r="G115" s="2164"/>
      <c r="N115" s="2194"/>
      <c r="O115" s="2195"/>
      <c r="P115" s="2195"/>
      <c r="Q115" s="2195"/>
    </row>
    <row r="116" spans="7:19">
      <c r="G116" s="2164"/>
      <c r="N116" s="2194"/>
      <c r="O116" s="2195"/>
      <c r="P116" s="2195"/>
      <c r="Q116" s="2195"/>
    </row>
    <row r="117" spans="7:19">
      <c r="G117" s="2164"/>
      <c r="N117" s="2194"/>
      <c r="O117" s="2195"/>
      <c r="P117" s="2195"/>
      <c r="Q117" s="2195"/>
    </row>
    <row r="118" spans="7:19">
      <c r="G118" s="2164"/>
      <c r="N118" s="2194"/>
      <c r="O118" s="2195"/>
      <c r="P118" s="2195"/>
      <c r="Q118" s="2195"/>
      <c r="S118" s="2164"/>
    </row>
    <row r="119" spans="7:19">
      <c r="G119" s="2164"/>
      <c r="N119" s="2194"/>
      <c r="O119" s="2195"/>
      <c r="P119" s="2195"/>
      <c r="Q119" s="2195"/>
      <c r="S119" s="2164"/>
    </row>
    <row r="120" spans="7:19">
      <c r="G120" s="2164"/>
      <c r="N120" s="2194"/>
      <c r="O120" s="2195"/>
      <c r="P120" s="2195"/>
      <c r="Q120" s="2195"/>
      <c r="S120" s="2164"/>
    </row>
    <row r="121" spans="7:19">
      <c r="G121" s="2164"/>
      <c r="N121" s="2194"/>
      <c r="O121" s="2195"/>
      <c r="P121" s="2195"/>
      <c r="Q121" s="2195"/>
      <c r="S121" s="2164"/>
    </row>
    <row r="122" spans="7:19">
      <c r="G122" s="2164"/>
      <c r="N122" s="2194"/>
      <c r="O122" s="2195"/>
      <c r="P122" s="2195"/>
      <c r="Q122" s="2195"/>
      <c r="S122" s="2164"/>
    </row>
    <row r="123" spans="7:19">
      <c r="G123" s="2164"/>
      <c r="N123" s="2194"/>
      <c r="O123" s="2195"/>
      <c r="P123" s="2195"/>
      <c r="Q123" s="2195"/>
      <c r="S123" s="216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29" customWidth="1"/>
    <col min="2" max="2" width="13.21875" style="1235" customWidth="1"/>
    <col min="3" max="3" width="15.6640625" style="1235" customWidth="1"/>
    <col min="4" max="4" width="9.33203125" style="1235" bestFit="1" customWidth="1"/>
    <col min="5" max="5" width="13.44140625" style="1235" customWidth="1"/>
    <col min="6" max="6" width="9" style="1235"/>
    <col min="7" max="7" width="9.33203125" style="1235" bestFit="1" customWidth="1"/>
    <col min="8" max="8" width="12.21875" style="1235" customWidth="1"/>
    <col min="9" max="9" width="9" style="1235"/>
    <col min="10" max="10" width="9.33203125" style="1235" bestFit="1" customWidth="1"/>
    <col min="11" max="11" width="4" style="1229" customWidth="1"/>
    <col min="12" max="12" width="5.109375" style="1235" customWidth="1"/>
    <col min="13" max="13" width="13.77734375" style="1235" customWidth="1"/>
    <col min="14" max="256" width="9" style="1235"/>
    <col min="257" max="257" width="4.88671875" style="1226" customWidth="1"/>
    <col min="258" max="258" width="13.21875" style="1226" customWidth="1"/>
    <col min="259" max="259" width="15.6640625" style="1226" customWidth="1"/>
    <col min="260" max="260" width="9.33203125" style="1226" bestFit="1" customWidth="1"/>
    <col min="261" max="261" width="13.44140625" style="1226" customWidth="1"/>
    <col min="262" max="262" width="9" style="1226"/>
    <col min="263" max="263" width="9.33203125" style="1226" bestFit="1" customWidth="1"/>
    <col min="264" max="265" width="9" style="1226"/>
    <col min="266" max="266" width="9.33203125" style="1226" bestFit="1" customWidth="1"/>
    <col min="267" max="267" width="4" style="1226" customWidth="1"/>
    <col min="268" max="268" width="5.109375" style="1226" customWidth="1"/>
    <col min="269" max="269" width="13.77734375" style="1226" customWidth="1"/>
    <col min="270" max="512" width="9" style="1226"/>
    <col min="513" max="513" width="4.88671875" style="1226" customWidth="1"/>
    <col min="514" max="514" width="13.21875" style="1226" customWidth="1"/>
    <col min="515" max="515" width="15.6640625" style="1226" customWidth="1"/>
    <col min="516" max="516" width="9.33203125" style="1226" bestFit="1" customWidth="1"/>
    <col min="517" max="517" width="13.44140625" style="1226" customWidth="1"/>
    <col min="518" max="518" width="9" style="1226"/>
    <col min="519" max="519" width="9.33203125" style="1226" bestFit="1" customWidth="1"/>
    <col min="520" max="521" width="9" style="1226"/>
    <col min="522" max="522" width="9.33203125" style="1226" bestFit="1" customWidth="1"/>
    <col min="523" max="523" width="4" style="1226" customWidth="1"/>
    <col min="524" max="524" width="5.109375" style="1226" customWidth="1"/>
    <col min="525" max="525" width="13.77734375" style="1226" customWidth="1"/>
    <col min="526" max="768" width="9" style="1226"/>
    <col min="769" max="769" width="4.88671875" style="1226" customWidth="1"/>
    <col min="770" max="770" width="13.21875" style="1226" customWidth="1"/>
    <col min="771" max="771" width="15.6640625" style="1226" customWidth="1"/>
    <col min="772" max="772" width="9.33203125" style="1226" bestFit="1" customWidth="1"/>
    <col min="773" max="773" width="13.44140625" style="1226" customWidth="1"/>
    <col min="774" max="774" width="9" style="1226"/>
    <col min="775" max="775" width="9.33203125" style="1226" bestFit="1" customWidth="1"/>
    <col min="776" max="777" width="9" style="1226"/>
    <col min="778" max="778" width="9.33203125" style="1226" bestFit="1" customWidth="1"/>
    <col min="779" max="779" width="4" style="1226" customWidth="1"/>
    <col min="780" max="780" width="5.109375" style="1226" customWidth="1"/>
    <col min="781" max="781" width="13.77734375" style="1226" customWidth="1"/>
    <col min="782" max="1024" width="9" style="1226"/>
    <col min="1025" max="1025" width="4.88671875" style="1226" customWidth="1"/>
    <col min="1026" max="1026" width="13.21875" style="1226" customWidth="1"/>
    <col min="1027" max="1027" width="15.6640625" style="1226" customWidth="1"/>
    <col min="1028" max="1028" width="9.33203125" style="1226" bestFit="1" customWidth="1"/>
    <col min="1029" max="1029" width="13.44140625" style="1226" customWidth="1"/>
    <col min="1030" max="1030" width="9" style="1226"/>
    <col min="1031" max="1031" width="9.33203125" style="1226" bestFit="1" customWidth="1"/>
    <col min="1032" max="1033" width="9" style="1226"/>
    <col min="1034" max="1034" width="9.33203125" style="1226" bestFit="1" customWidth="1"/>
    <col min="1035" max="1035" width="4" style="1226" customWidth="1"/>
    <col min="1036" max="1036" width="5.109375" style="1226" customWidth="1"/>
    <col min="1037" max="1037" width="13.77734375" style="1226" customWidth="1"/>
    <col min="1038" max="1280" width="9" style="1226"/>
    <col min="1281" max="1281" width="4.88671875" style="1226" customWidth="1"/>
    <col min="1282" max="1282" width="13.21875" style="1226" customWidth="1"/>
    <col min="1283" max="1283" width="15.6640625" style="1226" customWidth="1"/>
    <col min="1284" max="1284" width="9.33203125" style="1226" bestFit="1" customWidth="1"/>
    <col min="1285" max="1285" width="13.44140625" style="1226" customWidth="1"/>
    <col min="1286" max="1286" width="9" style="1226"/>
    <col min="1287" max="1287" width="9.33203125" style="1226" bestFit="1" customWidth="1"/>
    <col min="1288" max="1289" width="9" style="1226"/>
    <col min="1290" max="1290" width="9.33203125" style="1226" bestFit="1" customWidth="1"/>
    <col min="1291" max="1291" width="4" style="1226" customWidth="1"/>
    <col min="1292" max="1292" width="5.109375" style="1226" customWidth="1"/>
    <col min="1293" max="1293" width="13.77734375" style="1226" customWidth="1"/>
    <col min="1294" max="1536" width="9" style="1226"/>
    <col min="1537" max="1537" width="4.88671875" style="1226" customWidth="1"/>
    <col min="1538" max="1538" width="13.21875" style="1226" customWidth="1"/>
    <col min="1539" max="1539" width="15.6640625" style="1226" customWidth="1"/>
    <col min="1540" max="1540" width="9.33203125" style="1226" bestFit="1" customWidth="1"/>
    <col min="1541" max="1541" width="13.44140625" style="1226" customWidth="1"/>
    <col min="1542" max="1542" width="9" style="1226"/>
    <col min="1543" max="1543" width="9.33203125" style="1226" bestFit="1" customWidth="1"/>
    <col min="1544" max="1545" width="9" style="1226"/>
    <col min="1546" max="1546" width="9.33203125" style="1226" bestFit="1" customWidth="1"/>
    <col min="1547" max="1547" width="4" style="1226" customWidth="1"/>
    <col min="1548" max="1548" width="5.109375" style="1226" customWidth="1"/>
    <col min="1549" max="1549" width="13.77734375" style="1226" customWidth="1"/>
    <col min="1550" max="1792" width="9" style="1226"/>
    <col min="1793" max="1793" width="4.88671875" style="1226" customWidth="1"/>
    <col min="1794" max="1794" width="13.21875" style="1226" customWidth="1"/>
    <col min="1795" max="1795" width="15.6640625" style="1226" customWidth="1"/>
    <col min="1796" max="1796" width="9.33203125" style="1226" bestFit="1" customWidth="1"/>
    <col min="1797" max="1797" width="13.44140625" style="1226" customWidth="1"/>
    <col min="1798" max="1798" width="9" style="1226"/>
    <col min="1799" max="1799" width="9.33203125" style="1226" bestFit="1" customWidth="1"/>
    <col min="1800" max="1801" width="9" style="1226"/>
    <col min="1802" max="1802" width="9.33203125" style="1226" bestFit="1" customWidth="1"/>
    <col min="1803" max="1803" width="4" style="1226" customWidth="1"/>
    <col min="1804" max="1804" width="5.109375" style="1226" customWidth="1"/>
    <col min="1805" max="1805" width="13.77734375" style="1226" customWidth="1"/>
    <col min="1806" max="2048" width="9" style="1226"/>
    <col min="2049" max="2049" width="4.88671875" style="1226" customWidth="1"/>
    <col min="2050" max="2050" width="13.21875" style="1226" customWidth="1"/>
    <col min="2051" max="2051" width="15.6640625" style="1226" customWidth="1"/>
    <col min="2052" max="2052" width="9.33203125" style="1226" bestFit="1" customWidth="1"/>
    <col min="2053" max="2053" width="13.44140625" style="1226" customWidth="1"/>
    <col min="2054" max="2054" width="9" style="1226"/>
    <col min="2055" max="2055" width="9.33203125" style="1226" bestFit="1" customWidth="1"/>
    <col min="2056" max="2057" width="9" style="1226"/>
    <col min="2058" max="2058" width="9.33203125" style="1226" bestFit="1" customWidth="1"/>
    <col min="2059" max="2059" width="4" style="1226" customWidth="1"/>
    <col min="2060" max="2060" width="5.109375" style="1226" customWidth="1"/>
    <col min="2061" max="2061" width="13.77734375" style="1226" customWidth="1"/>
    <col min="2062" max="2304" width="9" style="1226"/>
    <col min="2305" max="2305" width="4.88671875" style="1226" customWidth="1"/>
    <col min="2306" max="2306" width="13.21875" style="1226" customWidth="1"/>
    <col min="2307" max="2307" width="15.6640625" style="1226" customWidth="1"/>
    <col min="2308" max="2308" width="9.33203125" style="1226" bestFit="1" customWidth="1"/>
    <col min="2309" max="2309" width="13.44140625" style="1226" customWidth="1"/>
    <col min="2310" max="2310" width="9" style="1226"/>
    <col min="2311" max="2311" width="9.33203125" style="1226" bestFit="1" customWidth="1"/>
    <col min="2312" max="2313" width="9" style="1226"/>
    <col min="2314" max="2314" width="9.33203125" style="1226" bestFit="1" customWidth="1"/>
    <col min="2315" max="2315" width="4" style="1226" customWidth="1"/>
    <col min="2316" max="2316" width="5.109375" style="1226" customWidth="1"/>
    <col min="2317" max="2317" width="13.77734375" style="1226" customWidth="1"/>
    <col min="2318" max="2560" width="9" style="1226"/>
    <col min="2561" max="2561" width="4.88671875" style="1226" customWidth="1"/>
    <col min="2562" max="2562" width="13.21875" style="1226" customWidth="1"/>
    <col min="2563" max="2563" width="15.6640625" style="1226" customWidth="1"/>
    <col min="2564" max="2564" width="9.33203125" style="1226" bestFit="1" customWidth="1"/>
    <col min="2565" max="2565" width="13.44140625" style="1226" customWidth="1"/>
    <col min="2566" max="2566" width="9" style="1226"/>
    <col min="2567" max="2567" width="9.33203125" style="1226" bestFit="1" customWidth="1"/>
    <col min="2568" max="2569" width="9" style="1226"/>
    <col min="2570" max="2570" width="9.33203125" style="1226" bestFit="1" customWidth="1"/>
    <col min="2571" max="2571" width="4" style="1226" customWidth="1"/>
    <col min="2572" max="2572" width="5.109375" style="1226" customWidth="1"/>
    <col min="2573" max="2573" width="13.77734375" style="1226" customWidth="1"/>
    <col min="2574" max="2816" width="9" style="1226"/>
    <col min="2817" max="2817" width="4.88671875" style="1226" customWidth="1"/>
    <col min="2818" max="2818" width="13.21875" style="1226" customWidth="1"/>
    <col min="2819" max="2819" width="15.6640625" style="1226" customWidth="1"/>
    <col min="2820" max="2820" width="9.33203125" style="1226" bestFit="1" customWidth="1"/>
    <col min="2821" max="2821" width="13.44140625" style="1226" customWidth="1"/>
    <col min="2822" max="2822" width="9" style="1226"/>
    <col min="2823" max="2823" width="9.33203125" style="1226" bestFit="1" customWidth="1"/>
    <col min="2824" max="2825" width="9" style="1226"/>
    <col min="2826" max="2826" width="9.33203125" style="1226" bestFit="1" customWidth="1"/>
    <col min="2827" max="2827" width="4" style="1226" customWidth="1"/>
    <col min="2828" max="2828" width="5.109375" style="1226" customWidth="1"/>
    <col min="2829" max="2829" width="13.77734375" style="1226" customWidth="1"/>
    <col min="2830" max="3072" width="9" style="1226"/>
    <col min="3073" max="3073" width="4.88671875" style="1226" customWidth="1"/>
    <col min="3074" max="3074" width="13.21875" style="1226" customWidth="1"/>
    <col min="3075" max="3075" width="15.6640625" style="1226" customWidth="1"/>
    <col min="3076" max="3076" width="9.33203125" style="1226" bestFit="1" customWidth="1"/>
    <col min="3077" max="3077" width="13.44140625" style="1226" customWidth="1"/>
    <col min="3078" max="3078" width="9" style="1226"/>
    <col min="3079" max="3079" width="9.33203125" style="1226" bestFit="1" customWidth="1"/>
    <col min="3080" max="3081" width="9" style="1226"/>
    <col min="3082" max="3082" width="9.33203125" style="1226" bestFit="1" customWidth="1"/>
    <col min="3083" max="3083" width="4" style="1226" customWidth="1"/>
    <col min="3084" max="3084" width="5.109375" style="1226" customWidth="1"/>
    <col min="3085" max="3085" width="13.77734375" style="1226" customWidth="1"/>
    <col min="3086" max="3328" width="9" style="1226"/>
    <col min="3329" max="3329" width="4.88671875" style="1226" customWidth="1"/>
    <col min="3330" max="3330" width="13.21875" style="1226" customWidth="1"/>
    <col min="3331" max="3331" width="15.6640625" style="1226" customWidth="1"/>
    <col min="3332" max="3332" width="9.33203125" style="1226" bestFit="1" customWidth="1"/>
    <col min="3333" max="3333" width="13.44140625" style="1226" customWidth="1"/>
    <col min="3334" max="3334" width="9" style="1226"/>
    <col min="3335" max="3335" width="9.33203125" style="1226" bestFit="1" customWidth="1"/>
    <col min="3336" max="3337" width="9" style="1226"/>
    <col min="3338" max="3338" width="9.33203125" style="1226" bestFit="1" customWidth="1"/>
    <col min="3339" max="3339" width="4" style="1226" customWidth="1"/>
    <col min="3340" max="3340" width="5.109375" style="1226" customWidth="1"/>
    <col min="3341" max="3341" width="13.77734375" style="1226" customWidth="1"/>
    <col min="3342" max="3584" width="9" style="1226"/>
    <col min="3585" max="3585" width="4.88671875" style="1226" customWidth="1"/>
    <col min="3586" max="3586" width="13.21875" style="1226" customWidth="1"/>
    <col min="3587" max="3587" width="15.6640625" style="1226" customWidth="1"/>
    <col min="3588" max="3588" width="9.33203125" style="1226" bestFit="1" customWidth="1"/>
    <col min="3589" max="3589" width="13.44140625" style="1226" customWidth="1"/>
    <col min="3590" max="3590" width="9" style="1226"/>
    <col min="3591" max="3591" width="9.33203125" style="1226" bestFit="1" customWidth="1"/>
    <col min="3592" max="3593" width="9" style="1226"/>
    <col min="3594" max="3594" width="9.33203125" style="1226" bestFit="1" customWidth="1"/>
    <col min="3595" max="3595" width="4" style="1226" customWidth="1"/>
    <col min="3596" max="3596" width="5.109375" style="1226" customWidth="1"/>
    <col min="3597" max="3597" width="13.77734375" style="1226" customWidth="1"/>
    <col min="3598" max="3840" width="9" style="1226"/>
    <col min="3841" max="3841" width="4.88671875" style="1226" customWidth="1"/>
    <col min="3842" max="3842" width="13.21875" style="1226" customWidth="1"/>
    <col min="3843" max="3843" width="15.6640625" style="1226" customWidth="1"/>
    <col min="3844" max="3844" width="9.33203125" style="1226" bestFit="1" customWidth="1"/>
    <col min="3845" max="3845" width="13.44140625" style="1226" customWidth="1"/>
    <col min="3846" max="3846" width="9" style="1226"/>
    <col min="3847" max="3847" width="9.33203125" style="1226" bestFit="1" customWidth="1"/>
    <col min="3848" max="3849" width="9" style="1226"/>
    <col min="3850" max="3850" width="9.33203125" style="1226" bestFit="1" customWidth="1"/>
    <col min="3851" max="3851" width="4" style="1226" customWidth="1"/>
    <col min="3852" max="3852" width="5.109375" style="1226" customWidth="1"/>
    <col min="3853" max="3853" width="13.77734375" style="1226" customWidth="1"/>
    <col min="3854" max="4096" width="9" style="1226"/>
    <col min="4097" max="4097" width="4.88671875" style="1226" customWidth="1"/>
    <col min="4098" max="4098" width="13.21875" style="1226" customWidth="1"/>
    <col min="4099" max="4099" width="15.6640625" style="1226" customWidth="1"/>
    <col min="4100" max="4100" width="9.33203125" style="1226" bestFit="1" customWidth="1"/>
    <col min="4101" max="4101" width="13.44140625" style="1226" customWidth="1"/>
    <col min="4102" max="4102" width="9" style="1226"/>
    <col min="4103" max="4103" width="9.33203125" style="1226" bestFit="1" customWidth="1"/>
    <col min="4104" max="4105" width="9" style="1226"/>
    <col min="4106" max="4106" width="9.33203125" style="1226" bestFit="1" customWidth="1"/>
    <col min="4107" max="4107" width="4" style="1226" customWidth="1"/>
    <col min="4108" max="4108" width="5.109375" style="1226" customWidth="1"/>
    <col min="4109" max="4109" width="13.77734375" style="1226" customWidth="1"/>
    <col min="4110" max="4352" width="9" style="1226"/>
    <col min="4353" max="4353" width="4.88671875" style="1226" customWidth="1"/>
    <col min="4354" max="4354" width="13.21875" style="1226" customWidth="1"/>
    <col min="4355" max="4355" width="15.6640625" style="1226" customWidth="1"/>
    <col min="4356" max="4356" width="9.33203125" style="1226" bestFit="1" customWidth="1"/>
    <col min="4357" max="4357" width="13.44140625" style="1226" customWidth="1"/>
    <col min="4358" max="4358" width="9" style="1226"/>
    <col min="4359" max="4359" width="9.33203125" style="1226" bestFit="1" customWidth="1"/>
    <col min="4360" max="4361" width="9" style="1226"/>
    <col min="4362" max="4362" width="9.33203125" style="1226" bestFit="1" customWidth="1"/>
    <col min="4363" max="4363" width="4" style="1226" customWidth="1"/>
    <col min="4364" max="4364" width="5.109375" style="1226" customWidth="1"/>
    <col min="4365" max="4365" width="13.77734375" style="1226" customWidth="1"/>
    <col min="4366" max="4608" width="9" style="1226"/>
    <col min="4609" max="4609" width="4.88671875" style="1226" customWidth="1"/>
    <col min="4610" max="4610" width="13.21875" style="1226" customWidth="1"/>
    <col min="4611" max="4611" width="15.6640625" style="1226" customWidth="1"/>
    <col min="4612" max="4612" width="9.33203125" style="1226" bestFit="1" customWidth="1"/>
    <col min="4613" max="4613" width="13.44140625" style="1226" customWidth="1"/>
    <col min="4614" max="4614" width="9" style="1226"/>
    <col min="4615" max="4615" width="9.33203125" style="1226" bestFit="1" customWidth="1"/>
    <col min="4616" max="4617" width="9" style="1226"/>
    <col min="4618" max="4618" width="9.33203125" style="1226" bestFit="1" customWidth="1"/>
    <col min="4619" max="4619" width="4" style="1226" customWidth="1"/>
    <col min="4620" max="4620" width="5.109375" style="1226" customWidth="1"/>
    <col min="4621" max="4621" width="13.77734375" style="1226" customWidth="1"/>
    <col min="4622" max="4864" width="9" style="1226"/>
    <col min="4865" max="4865" width="4.88671875" style="1226" customWidth="1"/>
    <col min="4866" max="4866" width="13.21875" style="1226" customWidth="1"/>
    <col min="4867" max="4867" width="15.6640625" style="1226" customWidth="1"/>
    <col min="4868" max="4868" width="9.33203125" style="1226" bestFit="1" customWidth="1"/>
    <col min="4869" max="4869" width="13.44140625" style="1226" customWidth="1"/>
    <col min="4870" max="4870" width="9" style="1226"/>
    <col min="4871" max="4871" width="9.33203125" style="1226" bestFit="1" customWidth="1"/>
    <col min="4872" max="4873" width="9" style="1226"/>
    <col min="4874" max="4874" width="9.33203125" style="1226" bestFit="1" customWidth="1"/>
    <col min="4875" max="4875" width="4" style="1226" customWidth="1"/>
    <col min="4876" max="4876" width="5.109375" style="1226" customWidth="1"/>
    <col min="4877" max="4877" width="13.77734375" style="1226" customWidth="1"/>
    <col min="4878" max="5120" width="9" style="1226"/>
    <col min="5121" max="5121" width="4.88671875" style="1226" customWidth="1"/>
    <col min="5122" max="5122" width="13.21875" style="1226" customWidth="1"/>
    <col min="5123" max="5123" width="15.6640625" style="1226" customWidth="1"/>
    <col min="5124" max="5124" width="9.33203125" style="1226" bestFit="1" customWidth="1"/>
    <col min="5125" max="5125" width="13.44140625" style="1226" customWidth="1"/>
    <col min="5126" max="5126" width="9" style="1226"/>
    <col min="5127" max="5127" width="9.33203125" style="1226" bestFit="1" customWidth="1"/>
    <col min="5128" max="5129" width="9" style="1226"/>
    <col min="5130" max="5130" width="9.33203125" style="1226" bestFit="1" customWidth="1"/>
    <col min="5131" max="5131" width="4" style="1226" customWidth="1"/>
    <col min="5132" max="5132" width="5.109375" style="1226" customWidth="1"/>
    <col min="5133" max="5133" width="13.77734375" style="1226" customWidth="1"/>
    <col min="5134" max="5376" width="9" style="1226"/>
    <col min="5377" max="5377" width="4.88671875" style="1226" customWidth="1"/>
    <col min="5378" max="5378" width="13.21875" style="1226" customWidth="1"/>
    <col min="5379" max="5379" width="15.6640625" style="1226" customWidth="1"/>
    <col min="5380" max="5380" width="9.33203125" style="1226" bestFit="1" customWidth="1"/>
    <col min="5381" max="5381" width="13.44140625" style="1226" customWidth="1"/>
    <col min="5382" max="5382" width="9" style="1226"/>
    <col min="5383" max="5383" width="9.33203125" style="1226" bestFit="1" customWidth="1"/>
    <col min="5384" max="5385" width="9" style="1226"/>
    <col min="5386" max="5386" width="9.33203125" style="1226" bestFit="1" customWidth="1"/>
    <col min="5387" max="5387" width="4" style="1226" customWidth="1"/>
    <col min="5388" max="5388" width="5.109375" style="1226" customWidth="1"/>
    <col min="5389" max="5389" width="13.77734375" style="1226" customWidth="1"/>
    <col min="5390" max="5632" width="9" style="1226"/>
    <col min="5633" max="5633" width="4.88671875" style="1226" customWidth="1"/>
    <col min="5634" max="5634" width="13.21875" style="1226" customWidth="1"/>
    <col min="5635" max="5635" width="15.6640625" style="1226" customWidth="1"/>
    <col min="5636" max="5636" width="9.33203125" style="1226" bestFit="1" customWidth="1"/>
    <col min="5637" max="5637" width="13.44140625" style="1226" customWidth="1"/>
    <col min="5638" max="5638" width="9" style="1226"/>
    <col min="5639" max="5639" width="9.33203125" style="1226" bestFit="1" customWidth="1"/>
    <col min="5640" max="5641" width="9" style="1226"/>
    <col min="5642" max="5642" width="9.33203125" style="1226" bestFit="1" customWidth="1"/>
    <col min="5643" max="5643" width="4" style="1226" customWidth="1"/>
    <col min="5644" max="5644" width="5.109375" style="1226" customWidth="1"/>
    <col min="5645" max="5645" width="13.77734375" style="1226" customWidth="1"/>
    <col min="5646" max="5888" width="9" style="1226"/>
    <col min="5889" max="5889" width="4.88671875" style="1226" customWidth="1"/>
    <col min="5890" max="5890" width="13.21875" style="1226" customWidth="1"/>
    <col min="5891" max="5891" width="15.6640625" style="1226" customWidth="1"/>
    <col min="5892" max="5892" width="9.33203125" style="1226" bestFit="1" customWidth="1"/>
    <col min="5893" max="5893" width="13.44140625" style="1226" customWidth="1"/>
    <col min="5894" max="5894" width="9" style="1226"/>
    <col min="5895" max="5895" width="9.33203125" style="1226" bestFit="1" customWidth="1"/>
    <col min="5896" max="5897" width="9" style="1226"/>
    <col min="5898" max="5898" width="9.33203125" style="1226" bestFit="1" customWidth="1"/>
    <col min="5899" max="5899" width="4" style="1226" customWidth="1"/>
    <col min="5900" max="5900" width="5.109375" style="1226" customWidth="1"/>
    <col min="5901" max="5901" width="13.77734375" style="1226" customWidth="1"/>
    <col min="5902" max="6144" width="9" style="1226"/>
    <col min="6145" max="6145" width="4.88671875" style="1226" customWidth="1"/>
    <col min="6146" max="6146" width="13.21875" style="1226" customWidth="1"/>
    <col min="6147" max="6147" width="15.6640625" style="1226" customWidth="1"/>
    <col min="6148" max="6148" width="9.33203125" style="1226" bestFit="1" customWidth="1"/>
    <col min="6149" max="6149" width="13.44140625" style="1226" customWidth="1"/>
    <col min="6150" max="6150" width="9" style="1226"/>
    <col min="6151" max="6151" width="9.33203125" style="1226" bestFit="1" customWidth="1"/>
    <col min="6152" max="6153" width="9" style="1226"/>
    <col min="6154" max="6154" width="9.33203125" style="1226" bestFit="1" customWidth="1"/>
    <col min="6155" max="6155" width="4" style="1226" customWidth="1"/>
    <col min="6156" max="6156" width="5.109375" style="1226" customWidth="1"/>
    <col min="6157" max="6157" width="13.77734375" style="1226" customWidth="1"/>
    <col min="6158" max="6400" width="9" style="1226"/>
    <col min="6401" max="6401" width="4.88671875" style="1226" customWidth="1"/>
    <col min="6402" max="6402" width="13.21875" style="1226" customWidth="1"/>
    <col min="6403" max="6403" width="15.6640625" style="1226" customWidth="1"/>
    <col min="6404" max="6404" width="9.33203125" style="1226" bestFit="1" customWidth="1"/>
    <col min="6405" max="6405" width="13.44140625" style="1226" customWidth="1"/>
    <col min="6406" max="6406" width="9" style="1226"/>
    <col min="6407" max="6407" width="9.33203125" style="1226" bestFit="1" customWidth="1"/>
    <col min="6408" max="6409" width="9" style="1226"/>
    <col min="6410" max="6410" width="9.33203125" style="1226" bestFit="1" customWidth="1"/>
    <col min="6411" max="6411" width="4" style="1226" customWidth="1"/>
    <col min="6412" max="6412" width="5.109375" style="1226" customWidth="1"/>
    <col min="6413" max="6413" width="13.77734375" style="1226" customWidth="1"/>
    <col min="6414" max="6656" width="9" style="1226"/>
    <col min="6657" max="6657" width="4.88671875" style="1226" customWidth="1"/>
    <col min="6658" max="6658" width="13.21875" style="1226" customWidth="1"/>
    <col min="6659" max="6659" width="15.6640625" style="1226" customWidth="1"/>
    <col min="6660" max="6660" width="9.33203125" style="1226" bestFit="1" customWidth="1"/>
    <col min="6661" max="6661" width="13.44140625" style="1226" customWidth="1"/>
    <col min="6662" max="6662" width="9" style="1226"/>
    <col min="6663" max="6663" width="9.33203125" style="1226" bestFit="1" customWidth="1"/>
    <col min="6664" max="6665" width="9" style="1226"/>
    <col min="6666" max="6666" width="9.33203125" style="1226" bestFit="1" customWidth="1"/>
    <col min="6667" max="6667" width="4" style="1226" customWidth="1"/>
    <col min="6668" max="6668" width="5.109375" style="1226" customWidth="1"/>
    <col min="6669" max="6669" width="13.77734375" style="1226" customWidth="1"/>
    <col min="6670" max="6912" width="9" style="1226"/>
    <col min="6913" max="6913" width="4.88671875" style="1226" customWidth="1"/>
    <col min="6914" max="6914" width="13.21875" style="1226" customWidth="1"/>
    <col min="6915" max="6915" width="15.6640625" style="1226" customWidth="1"/>
    <col min="6916" max="6916" width="9.33203125" style="1226" bestFit="1" customWidth="1"/>
    <col min="6917" max="6917" width="13.44140625" style="1226" customWidth="1"/>
    <col min="6918" max="6918" width="9" style="1226"/>
    <col min="6919" max="6919" width="9.33203125" style="1226" bestFit="1" customWidth="1"/>
    <col min="6920" max="6921" width="9" style="1226"/>
    <col min="6922" max="6922" width="9.33203125" style="1226" bestFit="1" customWidth="1"/>
    <col min="6923" max="6923" width="4" style="1226" customWidth="1"/>
    <col min="6924" max="6924" width="5.109375" style="1226" customWidth="1"/>
    <col min="6925" max="6925" width="13.77734375" style="1226" customWidth="1"/>
    <col min="6926" max="7168" width="9" style="1226"/>
    <col min="7169" max="7169" width="4.88671875" style="1226" customWidth="1"/>
    <col min="7170" max="7170" width="13.21875" style="1226" customWidth="1"/>
    <col min="7171" max="7171" width="15.6640625" style="1226" customWidth="1"/>
    <col min="7172" max="7172" width="9.33203125" style="1226" bestFit="1" customWidth="1"/>
    <col min="7173" max="7173" width="13.44140625" style="1226" customWidth="1"/>
    <col min="7174" max="7174" width="9" style="1226"/>
    <col min="7175" max="7175" width="9.33203125" style="1226" bestFit="1" customWidth="1"/>
    <col min="7176" max="7177" width="9" style="1226"/>
    <col min="7178" max="7178" width="9.33203125" style="1226" bestFit="1" customWidth="1"/>
    <col min="7179" max="7179" width="4" style="1226" customWidth="1"/>
    <col min="7180" max="7180" width="5.109375" style="1226" customWidth="1"/>
    <col min="7181" max="7181" width="13.77734375" style="1226" customWidth="1"/>
    <col min="7182" max="7424" width="9" style="1226"/>
    <col min="7425" max="7425" width="4.88671875" style="1226" customWidth="1"/>
    <col min="7426" max="7426" width="13.21875" style="1226" customWidth="1"/>
    <col min="7427" max="7427" width="15.6640625" style="1226" customWidth="1"/>
    <col min="7428" max="7428" width="9.33203125" style="1226" bestFit="1" customWidth="1"/>
    <col min="7429" max="7429" width="13.44140625" style="1226" customWidth="1"/>
    <col min="7430" max="7430" width="9" style="1226"/>
    <col min="7431" max="7431" width="9.33203125" style="1226" bestFit="1" customWidth="1"/>
    <col min="7432" max="7433" width="9" style="1226"/>
    <col min="7434" max="7434" width="9.33203125" style="1226" bestFit="1" customWidth="1"/>
    <col min="7435" max="7435" width="4" style="1226" customWidth="1"/>
    <col min="7436" max="7436" width="5.109375" style="1226" customWidth="1"/>
    <col min="7437" max="7437" width="13.77734375" style="1226" customWidth="1"/>
    <col min="7438" max="7680" width="9" style="1226"/>
    <col min="7681" max="7681" width="4.88671875" style="1226" customWidth="1"/>
    <col min="7682" max="7682" width="13.21875" style="1226" customWidth="1"/>
    <col min="7683" max="7683" width="15.6640625" style="1226" customWidth="1"/>
    <col min="7684" max="7684" width="9.33203125" style="1226" bestFit="1" customWidth="1"/>
    <col min="7685" max="7685" width="13.44140625" style="1226" customWidth="1"/>
    <col min="7686" max="7686" width="9" style="1226"/>
    <col min="7687" max="7687" width="9.33203125" style="1226" bestFit="1" customWidth="1"/>
    <col min="7688" max="7689" width="9" style="1226"/>
    <col min="7690" max="7690" width="9.33203125" style="1226" bestFit="1" customWidth="1"/>
    <col min="7691" max="7691" width="4" style="1226" customWidth="1"/>
    <col min="7692" max="7692" width="5.109375" style="1226" customWidth="1"/>
    <col min="7693" max="7693" width="13.77734375" style="1226" customWidth="1"/>
    <col min="7694" max="7936" width="9" style="1226"/>
    <col min="7937" max="7937" width="4.88671875" style="1226" customWidth="1"/>
    <col min="7938" max="7938" width="13.21875" style="1226" customWidth="1"/>
    <col min="7939" max="7939" width="15.6640625" style="1226" customWidth="1"/>
    <col min="7940" max="7940" width="9.33203125" style="1226" bestFit="1" customWidth="1"/>
    <col min="7941" max="7941" width="13.44140625" style="1226" customWidth="1"/>
    <col min="7942" max="7942" width="9" style="1226"/>
    <col min="7943" max="7943" width="9.33203125" style="1226" bestFit="1" customWidth="1"/>
    <col min="7944" max="7945" width="9" style="1226"/>
    <col min="7946" max="7946" width="9.33203125" style="1226" bestFit="1" customWidth="1"/>
    <col min="7947" max="7947" width="4" style="1226" customWidth="1"/>
    <col min="7948" max="7948" width="5.109375" style="1226" customWidth="1"/>
    <col min="7949" max="7949" width="13.77734375" style="1226" customWidth="1"/>
    <col min="7950" max="8192" width="9" style="1226"/>
    <col min="8193" max="8193" width="4.88671875" style="1226" customWidth="1"/>
    <col min="8194" max="8194" width="13.21875" style="1226" customWidth="1"/>
    <col min="8195" max="8195" width="15.6640625" style="1226" customWidth="1"/>
    <col min="8196" max="8196" width="9.33203125" style="1226" bestFit="1" customWidth="1"/>
    <col min="8197" max="8197" width="13.44140625" style="1226" customWidth="1"/>
    <col min="8198" max="8198" width="9" style="1226"/>
    <col min="8199" max="8199" width="9.33203125" style="1226" bestFit="1" customWidth="1"/>
    <col min="8200" max="8201" width="9" style="1226"/>
    <col min="8202" max="8202" width="9.33203125" style="1226" bestFit="1" customWidth="1"/>
    <col min="8203" max="8203" width="4" style="1226" customWidth="1"/>
    <col min="8204" max="8204" width="5.109375" style="1226" customWidth="1"/>
    <col min="8205" max="8205" width="13.77734375" style="1226" customWidth="1"/>
    <col min="8206" max="8448" width="9" style="1226"/>
    <col min="8449" max="8449" width="4.88671875" style="1226" customWidth="1"/>
    <col min="8450" max="8450" width="13.21875" style="1226" customWidth="1"/>
    <col min="8451" max="8451" width="15.6640625" style="1226" customWidth="1"/>
    <col min="8452" max="8452" width="9.33203125" style="1226" bestFit="1" customWidth="1"/>
    <col min="8453" max="8453" width="13.44140625" style="1226" customWidth="1"/>
    <col min="8454" max="8454" width="9" style="1226"/>
    <col min="8455" max="8455" width="9.33203125" style="1226" bestFit="1" customWidth="1"/>
    <col min="8456" max="8457" width="9" style="1226"/>
    <col min="8458" max="8458" width="9.33203125" style="1226" bestFit="1" customWidth="1"/>
    <col min="8459" max="8459" width="4" style="1226" customWidth="1"/>
    <col min="8460" max="8460" width="5.109375" style="1226" customWidth="1"/>
    <col min="8461" max="8461" width="13.77734375" style="1226" customWidth="1"/>
    <col min="8462" max="8704" width="9" style="1226"/>
    <col min="8705" max="8705" width="4.88671875" style="1226" customWidth="1"/>
    <col min="8706" max="8706" width="13.21875" style="1226" customWidth="1"/>
    <col min="8707" max="8707" width="15.6640625" style="1226" customWidth="1"/>
    <col min="8708" max="8708" width="9.33203125" style="1226" bestFit="1" customWidth="1"/>
    <col min="8709" max="8709" width="13.44140625" style="1226" customWidth="1"/>
    <col min="8710" max="8710" width="9" style="1226"/>
    <col min="8711" max="8711" width="9.33203125" style="1226" bestFit="1" customWidth="1"/>
    <col min="8712" max="8713" width="9" style="1226"/>
    <col min="8714" max="8714" width="9.33203125" style="1226" bestFit="1" customWidth="1"/>
    <col min="8715" max="8715" width="4" style="1226" customWidth="1"/>
    <col min="8716" max="8716" width="5.109375" style="1226" customWidth="1"/>
    <col min="8717" max="8717" width="13.77734375" style="1226" customWidth="1"/>
    <col min="8718" max="8960" width="9" style="1226"/>
    <col min="8961" max="8961" width="4.88671875" style="1226" customWidth="1"/>
    <col min="8962" max="8962" width="13.21875" style="1226" customWidth="1"/>
    <col min="8963" max="8963" width="15.6640625" style="1226" customWidth="1"/>
    <col min="8964" max="8964" width="9.33203125" style="1226" bestFit="1" customWidth="1"/>
    <col min="8965" max="8965" width="13.44140625" style="1226" customWidth="1"/>
    <col min="8966" max="8966" width="9" style="1226"/>
    <col min="8967" max="8967" width="9.33203125" style="1226" bestFit="1" customWidth="1"/>
    <col min="8968" max="8969" width="9" style="1226"/>
    <col min="8970" max="8970" width="9.33203125" style="1226" bestFit="1" customWidth="1"/>
    <col min="8971" max="8971" width="4" style="1226" customWidth="1"/>
    <col min="8972" max="8972" width="5.109375" style="1226" customWidth="1"/>
    <col min="8973" max="8973" width="13.77734375" style="1226" customWidth="1"/>
    <col min="8974" max="9216" width="9" style="1226"/>
    <col min="9217" max="9217" width="4.88671875" style="1226" customWidth="1"/>
    <col min="9218" max="9218" width="13.21875" style="1226" customWidth="1"/>
    <col min="9219" max="9219" width="15.6640625" style="1226" customWidth="1"/>
    <col min="9220" max="9220" width="9.33203125" style="1226" bestFit="1" customWidth="1"/>
    <col min="9221" max="9221" width="13.44140625" style="1226" customWidth="1"/>
    <col min="9222" max="9222" width="9" style="1226"/>
    <col min="9223" max="9223" width="9.33203125" style="1226" bestFit="1" customWidth="1"/>
    <col min="9224" max="9225" width="9" style="1226"/>
    <col min="9226" max="9226" width="9.33203125" style="1226" bestFit="1" customWidth="1"/>
    <col min="9227" max="9227" width="4" style="1226" customWidth="1"/>
    <col min="9228" max="9228" width="5.109375" style="1226" customWidth="1"/>
    <col min="9229" max="9229" width="13.77734375" style="1226" customWidth="1"/>
    <col min="9230" max="9472" width="9" style="1226"/>
    <col min="9473" max="9473" width="4.88671875" style="1226" customWidth="1"/>
    <col min="9474" max="9474" width="13.21875" style="1226" customWidth="1"/>
    <col min="9475" max="9475" width="15.6640625" style="1226" customWidth="1"/>
    <col min="9476" max="9476" width="9.33203125" style="1226" bestFit="1" customWidth="1"/>
    <col min="9477" max="9477" width="13.44140625" style="1226" customWidth="1"/>
    <col min="9478" max="9478" width="9" style="1226"/>
    <col min="9479" max="9479" width="9.33203125" style="1226" bestFit="1" customWidth="1"/>
    <col min="9480" max="9481" width="9" style="1226"/>
    <col min="9482" max="9482" width="9.33203125" style="1226" bestFit="1" customWidth="1"/>
    <col min="9483" max="9483" width="4" style="1226" customWidth="1"/>
    <col min="9484" max="9484" width="5.109375" style="1226" customWidth="1"/>
    <col min="9485" max="9485" width="13.77734375" style="1226" customWidth="1"/>
    <col min="9486" max="9728" width="9" style="1226"/>
    <col min="9729" max="9729" width="4.88671875" style="1226" customWidth="1"/>
    <col min="9730" max="9730" width="13.21875" style="1226" customWidth="1"/>
    <col min="9731" max="9731" width="15.6640625" style="1226" customWidth="1"/>
    <col min="9732" max="9732" width="9.33203125" style="1226" bestFit="1" customWidth="1"/>
    <col min="9733" max="9733" width="13.44140625" style="1226" customWidth="1"/>
    <col min="9734" max="9734" width="9" style="1226"/>
    <col min="9735" max="9735" width="9.33203125" style="1226" bestFit="1" customWidth="1"/>
    <col min="9736" max="9737" width="9" style="1226"/>
    <col min="9738" max="9738" width="9.33203125" style="1226" bestFit="1" customWidth="1"/>
    <col min="9739" max="9739" width="4" style="1226" customWidth="1"/>
    <col min="9740" max="9740" width="5.109375" style="1226" customWidth="1"/>
    <col min="9741" max="9741" width="13.77734375" style="1226" customWidth="1"/>
    <col min="9742" max="9984" width="9" style="1226"/>
    <col min="9985" max="9985" width="4.88671875" style="1226" customWidth="1"/>
    <col min="9986" max="9986" width="13.21875" style="1226" customWidth="1"/>
    <col min="9987" max="9987" width="15.6640625" style="1226" customWidth="1"/>
    <col min="9988" max="9988" width="9.33203125" style="1226" bestFit="1" customWidth="1"/>
    <col min="9989" max="9989" width="13.44140625" style="1226" customWidth="1"/>
    <col min="9990" max="9990" width="9" style="1226"/>
    <col min="9991" max="9991" width="9.33203125" style="1226" bestFit="1" customWidth="1"/>
    <col min="9992" max="9993" width="9" style="1226"/>
    <col min="9994" max="9994" width="9.33203125" style="1226" bestFit="1" customWidth="1"/>
    <col min="9995" max="9995" width="4" style="1226" customWidth="1"/>
    <col min="9996" max="9996" width="5.109375" style="1226" customWidth="1"/>
    <col min="9997" max="9997" width="13.77734375" style="1226" customWidth="1"/>
    <col min="9998" max="10240" width="9" style="1226"/>
    <col min="10241" max="10241" width="4.88671875" style="1226" customWidth="1"/>
    <col min="10242" max="10242" width="13.21875" style="1226" customWidth="1"/>
    <col min="10243" max="10243" width="15.6640625" style="1226" customWidth="1"/>
    <col min="10244" max="10244" width="9.33203125" style="1226" bestFit="1" customWidth="1"/>
    <col min="10245" max="10245" width="13.44140625" style="1226" customWidth="1"/>
    <col min="10246" max="10246" width="9" style="1226"/>
    <col min="10247" max="10247" width="9.33203125" style="1226" bestFit="1" customWidth="1"/>
    <col min="10248" max="10249" width="9" style="1226"/>
    <col min="10250" max="10250" width="9.33203125" style="1226" bestFit="1" customWidth="1"/>
    <col min="10251" max="10251" width="4" style="1226" customWidth="1"/>
    <col min="10252" max="10252" width="5.109375" style="1226" customWidth="1"/>
    <col min="10253" max="10253" width="13.77734375" style="1226" customWidth="1"/>
    <col min="10254" max="10496" width="9" style="1226"/>
    <col min="10497" max="10497" width="4.88671875" style="1226" customWidth="1"/>
    <col min="10498" max="10498" width="13.21875" style="1226" customWidth="1"/>
    <col min="10499" max="10499" width="15.6640625" style="1226" customWidth="1"/>
    <col min="10500" max="10500" width="9.33203125" style="1226" bestFit="1" customWidth="1"/>
    <col min="10501" max="10501" width="13.44140625" style="1226" customWidth="1"/>
    <col min="10502" max="10502" width="9" style="1226"/>
    <col min="10503" max="10503" width="9.33203125" style="1226" bestFit="1" customWidth="1"/>
    <col min="10504" max="10505" width="9" style="1226"/>
    <col min="10506" max="10506" width="9.33203125" style="1226" bestFit="1" customWidth="1"/>
    <col min="10507" max="10507" width="4" style="1226" customWidth="1"/>
    <col min="10508" max="10508" width="5.109375" style="1226" customWidth="1"/>
    <col min="10509" max="10509" width="13.77734375" style="1226" customWidth="1"/>
    <col min="10510" max="10752" width="9" style="1226"/>
    <col min="10753" max="10753" width="4.88671875" style="1226" customWidth="1"/>
    <col min="10754" max="10754" width="13.21875" style="1226" customWidth="1"/>
    <col min="10755" max="10755" width="15.6640625" style="1226" customWidth="1"/>
    <col min="10756" max="10756" width="9.33203125" style="1226" bestFit="1" customWidth="1"/>
    <col min="10757" max="10757" width="13.44140625" style="1226" customWidth="1"/>
    <col min="10758" max="10758" width="9" style="1226"/>
    <col min="10759" max="10759" width="9.33203125" style="1226" bestFit="1" customWidth="1"/>
    <col min="10760" max="10761" width="9" style="1226"/>
    <col min="10762" max="10762" width="9.33203125" style="1226" bestFit="1" customWidth="1"/>
    <col min="10763" max="10763" width="4" style="1226" customWidth="1"/>
    <col min="10764" max="10764" width="5.109375" style="1226" customWidth="1"/>
    <col min="10765" max="10765" width="13.77734375" style="1226" customWidth="1"/>
    <col min="10766" max="11008" width="9" style="1226"/>
    <col min="11009" max="11009" width="4.88671875" style="1226" customWidth="1"/>
    <col min="11010" max="11010" width="13.21875" style="1226" customWidth="1"/>
    <col min="11011" max="11011" width="15.6640625" style="1226" customWidth="1"/>
    <col min="11012" max="11012" width="9.33203125" style="1226" bestFit="1" customWidth="1"/>
    <col min="11013" max="11013" width="13.44140625" style="1226" customWidth="1"/>
    <col min="11014" max="11014" width="9" style="1226"/>
    <col min="11015" max="11015" width="9.33203125" style="1226" bestFit="1" customWidth="1"/>
    <col min="11016" max="11017" width="9" style="1226"/>
    <col min="11018" max="11018" width="9.33203125" style="1226" bestFit="1" customWidth="1"/>
    <col min="11019" max="11019" width="4" style="1226" customWidth="1"/>
    <col min="11020" max="11020" width="5.109375" style="1226" customWidth="1"/>
    <col min="11021" max="11021" width="13.77734375" style="1226" customWidth="1"/>
    <col min="11022" max="11264" width="9" style="1226"/>
    <col min="11265" max="11265" width="4.88671875" style="1226" customWidth="1"/>
    <col min="11266" max="11266" width="13.21875" style="1226" customWidth="1"/>
    <col min="11267" max="11267" width="15.6640625" style="1226" customWidth="1"/>
    <col min="11268" max="11268" width="9.33203125" style="1226" bestFit="1" customWidth="1"/>
    <col min="11269" max="11269" width="13.44140625" style="1226" customWidth="1"/>
    <col min="11270" max="11270" width="9" style="1226"/>
    <col min="11271" max="11271" width="9.33203125" style="1226" bestFit="1" customWidth="1"/>
    <col min="11272" max="11273" width="9" style="1226"/>
    <col min="11274" max="11274" width="9.33203125" style="1226" bestFit="1" customWidth="1"/>
    <col min="11275" max="11275" width="4" style="1226" customWidth="1"/>
    <col min="11276" max="11276" width="5.109375" style="1226" customWidth="1"/>
    <col min="11277" max="11277" width="13.77734375" style="1226" customWidth="1"/>
    <col min="11278" max="11520" width="9" style="1226"/>
    <col min="11521" max="11521" width="4.88671875" style="1226" customWidth="1"/>
    <col min="11522" max="11522" width="13.21875" style="1226" customWidth="1"/>
    <col min="11523" max="11523" width="15.6640625" style="1226" customWidth="1"/>
    <col min="11524" max="11524" width="9.33203125" style="1226" bestFit="1" customWidth="1"/>
    <col min="11525" max="11525" width="13.44140625" style="1226" customWidth="1"/>
    <col min="11526" max="11526" width="9" style="1226"/>
    <col min="11527" max="11527" width="9.33203125" style="1226" bestFit="1" customWidth="1"/>
    <col min="11528" max="11529" width="9" style="1226"/>
    <col min="11530" max="11530" width="9.33203125" style="1226" bestFit="1" customWidth="1"/>
    <col min="11531" max="11531" width="4" style="1226" customWidth="1"/>
    <col min="11532" max="11532" width="5.109375" style="1226" customWidth="1"/>
    <col min="11533" max="11533" width="13.77734375" style="1226" customWidth="1"/>
    <col min="11534" max="11776" width="9" style="1226"/>
    <col min="11777" max="11777" width="4.88671875" style="1226" customWidth="1"/>
    <col min="11778" max="11778" width="13.21875" style="1226" customWidth="1"/>
    <col min="11779" max="11779" width="15.6640625" style="1226" customWidth="1"/>
    <col min="11780" max="11780" width="9.33203125" style="1226" bestFit="1" customWidth="1"/>
    <col min="11781" max="11781" width="13.44140625" style="1226" customWidth="1"/>
    <col min="11782" max="11782" width="9" style="1226"/>
    <col min="11783" max="11783" width="9.33203125" style="1226" bestFit="1" customWidth="1"/>
    <col min="11784" max="11785" width="9" style="1226"/>
    <col min="11786" max="11786" width="9.33203125" style="1226" bestFit="1" customWidth="1"/>
    <col min="11787" max="11787" width="4" style="1226" customWidth="1"/>
    <col min="11788" max="11788" width="5.109375" style="1226" customWidth="1"/>
    <col min="11789" max="11789" width="13.77734375" style="1226" customWidth="1"/>
    <col min="11790" max="12032" width="9" style="1226"/>
    <col min="12033" max="12033" width="4.88671875" style="1226" customWidth="1"/>
    <col min="12034" max="12034" width="13.21875" style="1226" customWidth="1"/>
    <col min="12035" max="12035" width="15.6640625" style="1226" customWidth="1"/>
    <col min="12036" max="12036" width="9.33203125" style="1226" bestFit="1" customWidth="1"/>
    <col min="12037" max="12037" width="13.44140625" style="1226" customWidth="1"/>
    <col min="12038" max="12038" width="9" style="1226"/>
    <col min="12039" max="12039" width="9.33203125" style="1226" bestFit="1" customWidth="1"/>
    <col min="12040" max="12041" width="9" style="1226"/>
    <col min="12042" max="12042" width="9.33203125" style="1226" bestFit="1" customWidth="1"/>
    <col min="12043" max="12043" width="4" style="1226" customWidth="1"/>
    <col min="12044" max="12044" width="5.109375" style="1226" customWidth="1"/>
    <col min="12045" max="12045" width="13.77734375" style="1226" customWidth="1"/>
    <col min="12046" max="12288" width="9" style="1226"/>
    <col min="12289" max="12289" width="4.88671875" style="1226" customWidth="1"/>
    <col min="12290" max="12290" width="13.21875" style="1226" customWidth="1"/>
    <col min="12291" max="12291" width="15.6640625" style="1226" customWidth="1"/>
    <col min="12292" max="12292" width="9.33203125" style="1226" bestFit="1" customWidth="1"/>
    <col min="12293" max="12293" width="13.44140625" style="1226" customWidth="1"/>
    <col min="12294" max="12294" width="9" style="1226"/>
    <col min="12295" max="12295" width="9.33203125" style="1226" bestFit="1" customWidth="1"/>
    <col min="12296" max="12297" width="9" style="1226"/>
    <col min="12298" max="12298" width="9.33203125" style="1226" bestFit="1" customWidth="1"/>
    <col min="12299" max="12299" width="4" style="1226" customWidth="1"/>
    <col min="12300" max="12300" width="5.109375" style="1226" customWidth="1"/>
    <col min="12301" max="12301" width="13.77734375" style="1226" customWidth="1"/>
    <col min="12302" max="12544" width="9" style="1226"/>
    <col min="12545" max="12545" width="4.88671875" style="1226" customWidth="1"/>
    <col min="12546" max="12546" width="13.21875" style="1226" customWidth="1"/>
    <col min="12547" max="12547" width="15.6640625" style="1226" customWidth="1"/>
    <col min="12548" max="12548" width="9.33203125" style="1226" bestFit="1" customWidth="1"/>
    <col min="12549" max="12549" width="13.44140625" style="1226" customWidth="1"/>
    <col min="12550" max="12550" width="9" style="1226"/>
    <col min="12551" max="12551" width="9.33203125" style="1226" bestFit="1" customWidth="1"/>
    <col min="12552" max="12553" width="9" style="1226"/>
    <col min="12554" max="12554" width="9.33203125" style="1226" bestFit="1" customWidth="1"/>
    <col min="12555" max="12555" width="4" style="1226" customWidth="1"/>
    <col min="12556" max="12556" width="5.109375" style="1226" customWidth="1"/>
    <col min="12557" max="12557" width="13.77734375" style="1226" customWidth="1"/>
    <col min="12558" max="12800" width="9" style="1226"/>
    <col min="12801" max="12801" width="4.88671875" style="1226" customWidth="1"/>
    <col min="12802" max="12802" width="13.21875" style="1226" customWidth="1"/>
    <col min="12803" max="12803" width="15.6640625" style="1226" customWidth="1"/>
    <col min="12804" max="12804" width="9.33203125" style="1226" bestFit="1" customWidth="1"/>
    <col min="12805" max="12805" width="13.44140625" style="1226" customWidth="1"/>
    <col min="12806" max="12806" width="9" style="1226"/>
    <col min="12807" max="12807" width="9.33203125" style="1226" bestFit="1" customWidth="1"/>
    <col min="12808" max="12809" width="9" style="1226"/>
    <col min="12810" max="12810" width="9.33203125" style="1226" bestFit="1" customWidth="1"/>
    <col min="12811" max="12811" width="4" style="1226" customWidth="1"/>
    <col min="12812" max="12812" width="5.109375" style="1226" customWidth="1"/>
    <col min="12813" max="12813" width="13.77734375" style="1226" customWidth="1"/>
    <col min="12814" max="13056" width="9" style="1226"/>
    <col min="13057" max="13057" width="4.88671875" style="1226" customWidth="1"/>
    <col min="13058" max="13058" width="13.21875" style="1226" customWidth="1"/>
    <col min="13059" max="13059" width="15.6640625" style="1226" customWidth="1"/>
    <col min="13060" max="13060" width="9.33203125" style="1226" bestFit="1" customWidth="1"/>
    <col min="13061" max="13061" width="13.44140625" style="1226" customWidth="1"/>
    <col min="13062" max="13062" width="9" style="1226"/>
    <col min="13063" max="13063" width="9.33203125" style="1226" bestFit="1" customWidth="1"/>
    <col min="13064" max="13065" width="9" style="1226"/>
    <col min="13066" max="13066" width="9.33203125" style="1226" bestFit="1" customWidth="1"/>
    <col min="13067" max="13067" width="4" style="1226" customWidth="1"/>
    <col min="13068" max="13068" width="5.109375" style="1226" customWidth="1"/>
    <col min="13069" max="13069" width="13.77734375" style="1226" customWidth="1"/>
    <col min="13070" max="13312" width="9" style="1226"/>
    <col min="13313" max="13313" width="4.88671875" style="1226" customWidth="1"/>
    <col min="13314" max="13314" width="13.21875" style="1226" customWidth="1"/>
    <col min="13315" max="13315" width="15.6640625" style="1226" customWidth="1"/>
    <col min="13316" max="13316" width="9.33203125" style="1226" bestFit="1" customWidth="1"/>
    <col min="13317" max="13317" width="13.44140625" style="1226" customWidth="1"/>
    <col min="13318" max="13318" width="9" style="1226"/>
    <col min="13319" max="13319" width="9.33203125" style="1226" bestFit="1" customWidth="1"/>
    <col min="13320" max="13321" width="9" style="1226"/>
    <col min="13322" max="13322" width="9.33203125" style="1226" bestFit="1" customWidth="1"/>
    <col min="13323" max="13323" width="4" style="1226" customWidth="1"/>
    <col min="13324" max="13324" width="5.109375" style="1226" customWidth="1"/>
    <col min="13325" max="13325" width="13.77734375" style="1226" customWidth="1"/>
    <col min="13326" max="13568" width="9" style="1226"/>
    <col min="13569" max="13569" width="4.88671875" style="1226" customWidth="1"/>
    <col min="13570" max="13570" width="13.21875" style="1226" customWidth="1"/>
    <col min="13571" max="13571" width="15.6640625" style="1226" customWidth="1"/>
    <col min="13572" max="13572" width="9.33203125" style="1226" bestFit="1" customWidth="1"/>
    <col min="13573" max="13573" width="13.44140625" style="1226" customWidth="1"/>
    <col min="13574" max="13574" width="9" style="1226"/>
    <col min="13575" max="13575" width="9.33203125" style="1226" bestFit="1" customWidth="1"/>
    <col min="13576" max="13577" width="9" style="1226"/>
    <col min="13578" max="13578" width="9.33203125" style="1226" bestFit="1" customWidth="1"/>
    <col min="13579" max="13579" width="4" style="1226" customWidth="1"/>
    <col min="13580" max="13580" width="5.109375" style="1226" customWidth="1"/>
    <col min="13581" max="13581" width="13.77734375" style="1226" customWidth="1"/>
    <col min="13582" max="13824" width="9" style="1226"/>
    <col min="13825" max="13825" width="4.88671875" style="1226" customWidth="1"/>
    <col min="13826" max="13826" width="13.21875" style="1226" customWidth="1"/>
    <col min="13827" max="13827" width="15.6640625" style="1226" customWidth="1"/>
    <col min="13828" max="13828" width="9.33203125" style="1226" bestFit="1" customWidth="1"/>
    <col min="13829" max="13829" width="13.44140625" style="1226" customWidth="1"/>
    <col min="13830" max="13830" width="9" style="1226"/>
    <col min="13831" max="13831" width="9.33203125" style="1226" bestFit="1" customWidth="1"/>
    <col min="13832" max="13833" width="9" style="1226"/>
    <col min="13834" max="13834" width="9.33203125" style="1226" bestFit="1" customWidth="1"/>
    <col min="13835" max="13835" width="4" style="1226" customWidth="1"/>
    <col min="13836" max="13836" width="5.109375" style="1226" customWidth="1"/>
    <col min="13837" max="13837" width="13.77734375" style="1226" customWidth="1"/>
    <col min="13838" max="14080" width="9" style="1226"/>
    <col min="14081" max="14081" width="4.88671875" style="1226" customWidth="1"/>
    <col min="14082" max="14082" width="13.21875" style="1226" customWidth="1"/>
    <col min="14083" max="14083" width="15.6640625" style="1226" customWidth="1"/>
    <col min="14084" max="14084" width="9.33203125" style="1226" bestFit="1" customWidth="1"/>
    <col min="14085" max="14085" width="13.44140625" style="1226" customWidth="1"/>
    <col min="14086" max="14086" width="9" style="1226"/>
    <col min="14087" max="14087" width="9.33203125" style="1226" bestFit="1" customWidth="1"/>
    <col min="14088" max="14089" width="9" style="1226"/>
    <col min="14090" max="14090" width="9.33203125" style="1226" bestFit="1" customWidth="1"/>
    <col min="14091" max="14091" width="4" style="1226" customWidth="1"/>
    <col min="14092" max="14092" width="5.109375" style="1226" customWidth="1"/>
    <col min="14093" max="14093" width="13.77734375" style="1226" customWidth="1"/>
    <col min="14094" max="14336" width="9" style="1226"/>
    <col min="14337" max="14337" width="4.88671875" style="1226" customWidth="1"/>
    <col min="14338" max="14338" width="13.21875" style="1226" customWidth="1"/>
    <col min="14339" max="14339" width="15.6640625" style="1226" customWidth="1"/>
    <col min="14340" max="14340" width="9.33203125" style="1226" bestFit="1" customWidth="1"/>
    <col min="14341" max="14341" width="13.44140625" style="1226" customWidth="1"/>
    <col min="14342" max="14342" width="9" style="1226"/>
    <col min="14343" max="14343" width="9.33203125" style="1226" bestFit="1" customWidth="1"/>
    <col min="14344" max="14345" width="9" style="1226"/>
    <col min="14346" max="14346" width="9.33203125" style="1226" bestFit="1" customWidth="1"/>
    <col min="14347" max="14347" width="4" style="1226" customWidth="1"/>
    <col min="14348" max="14348" width="5.109375" style="1226" customWidth="1"/>
    <col min="14349" max="14349" width="13.77734375" style="1226" customWidth="1"/>
    <col min="14350" max="14592" width="9" style="1226"/>
    <col min="14593" max="14593" width="4.88671875" style="1226" customWidth="1"/>
    <col min="14594" max="14594" width="13.21875" style="1226" customWidth="1"/>
    <col min="14595" max="14595" width="15.6640625" style="1226" customWidth="1"/>
    <col min="14596" max="14596" width="9.33203125" style="1226" bestFit="1" customWidth="1"/>
    <col min="14597" max="14597" width="13.44140625" style="1226" customWidth="1"/>
    <col min="14598" max="14598" width="9" style="1226"/>
    <col min="14599" max="14599" width="9.33203125" style="1226" bestFit="1" customWidth="1"/>
    <col min="14600" max="14601" width="9" style="1226"/>
    <col min="14602" max="14602" width="9.33203125" style="1226" bestFit="1" customWidth="1"/>
    <col min="14603" max="14603" width="4" style="1226" customWidth="1"/>
    <col min="14604" max="14604" width="5.109375" style="1226" customWidth="1"/>
    <col min="14605" max="14605" width="13.77734375" style="1226" customWidth="1"/>
    <col min="14606" max="14848" width="9" style="1226"/>
    <col min="14849" max="14849" width="4.88671875" style="1226" customWidth="1"/>
    <col min="14850" max="14850" width="13.21875" style="1226" customWidth="1"/>
    <col min="14851" max="14851" width="15.6640625" style="1226" customWidth="1"/>
    <col min="14852" max="14852" width="9.33203125" style="1226" bestFit="1" customWidth="1"/>
    <col min="14853" max="14853" width="13.44140625" style="1226" customWidth="1"/>
    <col min="14854" max="14854" width="9" style="1226"/>
    <col min="14855" max="14855" width="9.33203125" style="1226" bestFit="1" customWidth="1"/>
    <col min="14856" max="14857" width="9" style="1226"/>
    <col min="14858" max="14858" width="9.33203125" style="1226" bestFit="1" customWidth="1"/>
    <col min="14859" max="14859" width="4" style="1226" customWidth="1"/>
    <col min="14860" max="14860" width="5.109375" style="1226" customWidth="1"/>
    <col min="14861" max="14861" width="13.77734375" style="1226" customWidth="1"/>
    <col min="14862" max="15104" width="9" style="1226"/>
    <col min="15105" max="15105" width="4.88671875" style="1226" customWidth="1"/>
    <col min="15106" max="15106" width="13.21875" style="1226" customWidth="1"/>
    <col min="15107" max="15107" width="15.6640625" style="1226" customWidth="1"/>
    <col min="15108" max="15108" width="9.33203125" style="1226" bestFit="1" customWidth="1"/>
    <col min="15109" max="15109" width="13.44140625" style="1226" customWidth="1"/>
    <col min="15110" max="15110" width="9" style="1226"/>
    <col min="15111" max="15111" width="9.33203125" style="1226" bestFit="1" customWidth="1"/>
    <col min="15112" max="15113" width="9" style="1226"/>
    <col min="15114" max="15114" width="9.33203125" style="1226" bestFit="1" customWidth="1"/>
    <col min="15115" max="15115" width="4" style="1226" customWidth="1"/>
    <col min="15116" max="15116" width="5.109375" style="1226" customWidth="1"/>
    <col min="15117" max="15117" width="13.77734375" style="1226" customWidth="1"/>
    <col min="15118" max="15360" width="9" style="1226"/>
    <col min="15361" max="15361" width="4.88671875" style="1226" customWidth="1"/>
    <col min="15362" max="15362" width="13.21875" style="1226" customWidth="1"/>
    <col min="15363" max="15363" width="15.6640625" style="1226" customWidth="1"/>
    <col min="15364" max="15364" width="9.33203125" style="1226" bestFit="1" customWidth="1"/>
    <col min="15365" max="15365" width="13.44140625" style="1226" customWidth="1"/>
    <col min="15366" max="15366" width="9" style="1226"/>
    <col min="15367" max="15367" width="9.33203125" style="1226" bestFit="1" customWidth="1"/>
    <col min="15368" max="15369" width="9" style="1226"/>
    <col min="15370" max="15370" width="9.33203125" style="1226" bestFit="1" customWidth="1"/>
    <col min="15371" max="15371" width="4" style="1226" customWidth="1"/>
    <col min="15372" max="15372" width="5.109375" style="1226" customWidth="1"/>
    <col min="15373" max="15373" width="13.77734375" style="1226" customWidth="1"/>
    <col min="15374" max="15616" width="9" style="1226"/>
    <col min="15617" max="15617" width="4.88671875" style="1226" customWidth="1"/>
    <col min="15618" max="15618" width="13.21875" style="1226" customWidth="1"/>
    <col min="15619" max="15619" width="15.6640625" style="1226" customWidth="1"/>
    <col min="15620" max="15620" width="9.33203125" style="1226" bestFit="1" customWidth="1"/>
    <col min="15621" max="15621" width="13.44140625" style="1226" customWidth="1"/>
    <col min="15622" max="15622" width="9" style="1226"/>
    <col min="15623" max="15623" width="9.33203125" style="1226" bestFit="1" customWidth="1"/>
    <col min="15624" max="15625" width="9" style="1226"/>
    <col min="15626" max="15626" width="9.33203125" style="1226" bestFit="1" customWidth="1"/>
    <col min="15627" max="15627" width="4" style="1226" customWidth="1"/>
    <col min="15628" max="15628" width="5.109375" style="1226" customWidth="1"/>
    <col min="15629" max="15629" width="13.77734375" style="1226" customWidth="1"/>
    <col min="15630" max="15872" width="9" style="1226"/>
    <col min="15873" max="15873" width="4.88671875" style="1226" customWidth="1"/>
    <col min="15874" max="15874" width="13.21875" style="1226" customWidth="1"/>
    <col min="15875" max="15875" width="15.6640625" style="1226" customWidth="1"/>
    <col min="15876" max="15876" width="9.33203125" style="1226" bestFit="1" customWidth="1"/>
    <col min="15877" max="15877" width="13.44140625" style="1226" customWidth="1"/>
    <col min="15878" max="15878" width="9" style="1226"/>
    <col min="15879" max="15879" width="9.33203125" style="1226" bestFit="1" customWidth="1"/>
    <col min="15880" max="15881" width="9" style="1226"/>
    <col min="15882" max="15882" width="9.33203125" style="1226" bestFit="1" customWidth="1"/>
    <col min="15883" max="15883" width="4" style="1226" customWidth="1"/>
    <col min="15884" max="15884" width="5.109375" style="1226" customWidth="1"/>
    <col min="15885" max="15885" width="13.77734375" style="1226" customWidth="1"/>
    <col min="15886" max="16128" width="9" style="1226"/>
    <col min="16129" max="16129" width="4.88671875" style="1226" customWidth="1"/>
    <col min="16130" max="16130" width="13.21875" style="1226" customWidth="1"/>
    <col min="16131" max="16131" width="15.6640625" style="1226" customWidth="1"/>
    <col min="16132" max="16132" width="9.33203125" style="1226" bestFit="1" customWidth="1"/>
    <col min="16133" max="16133" width="13.44140625" style="1226" customWidth="1"/>
    <col min="16134" max="16134" width="9" style="1226"/>
    <col min="16135" max="16135" width="9.33203125" style="1226" bestFit="1" customWidth="1"/>
    <col min="16136" max="16137" width="9" style="1226"/>
    <col min="16138" max="16138" width="9.33203125" style="1226" bestFit="1" customWidth="1"/>
    <col min="16139" max="16139" width="4" style="1226" customWidth="1"/>
    <col min="16140" max="16140" width="5.109375" style="1226" customWidth="1"/>
    <col min="16141" max="16141" width="13.77734375" style="1226" customWidth="1"/>
    <col min="16142" max="16384" width="9" style="1226"/>
  </cols>
  <sheetData>
    <row r="1" spans="1:257" s="1288" customFormat="1" ht="15" thickBot="1">
      <c r="A1" s="1282"/>
      <c r="B1" s="1289" t="s">
        <v>602</v>
      </c>
      <c r="C1" s="1283">
        <f>项目基本情况!D3</f>
        <v>37917</v>
      </c>
      <c r="D1" s="1289" t="s">
        <v>603</v>
      </c>
      <c r="E1" s="1284">
        <f>'数据-取费表'!B22</f>
        <v>2</v>
      </c>
      <c r="F1" s="1289" t="s">
        <v>604</v>
      </c>
      <c r="G1" s="1285">
        <f ca="1">INDIRECT("d"&amp;$K$1)/100</f>
        <v>5.4900000000000004E-2</v>
      </c>
      <c r="H1" s="1289" t="s">
        <v>634</v>
      </c>
      <c r="I1" s="1285">
        <f ca="1">F4/100</f>
        <v>1.9799999999999998E-2</v>
      </c>
      <c r="J1" s="1290">
        <f>IF(C1&gt;C13,0,MATCH(C1,C$13:C$113,-1))+IF(SUMIF(C13:C113,C1,D13:D113)=0,13,12)</f>
        <v>55</v>
      </c>
      <c r="K1" s="1290">
        <f>MATCH(E1,C3:C7,1)+IF(SUMIF(C3:C7,E1,D3:D7)=0,2,1)</f>
        <v>5</v>
      </c>
      <c r="L1" s="1290">
        <f>IF(C1&gt;M13,0,MATCH(C1,M$13:M$100,-1))+IF(SUMIF(M13:M100,C1,N13:N100)=0,13,12)</f>
        <v>39</v>
      </c>
      <c r="M1" s="1282"/>
      <c r="N1" s="1282"/>
      <c r="O1" s="1282"/>
      <c r="P1" s="1282"/>
      <c r="Q1" s="1282"/>
      <c r="R1" s="1282"/>
      <c r="S1" s="1282"/>
      <c r="T1" s="1282"/>
      <c r="U1" s="1282"/>
      <c r="V1" s="1282"/>
      <c r="W1" s="1282"/>
      <c r="X1" s="1282"/>
      <c r="Y1" s="1282"/>
      <c r="Z1" s="1282"/>
      <c r="AA1" s="1286"/>
      <c r="AB1" s="1286"/>
      <c r="AC1" s="1286"/>
      <c r="AD1" s="1286"/>
      <c r="AE1" s="1286"/>
      <c r="AF1" s="1286"/>
      <c r="AG1" s="1286"/>
      <c r="AH1" s="1286"/>
      <c r="AI1" s="1286"/>
      <c r="AJ1" s="1286"/>
      <c r="AK1" s="1286"/>
      <c r="AL1" s="1286"/>
      <c r="AM1" s="1286"/>
      <c r="AN1" s="1286"/>
      <c r="AO1" s="1286"/>
      <c r="AP1" s="1286"/>
      <c r="AQ1" s="1286"/>
      <c r="AR1" s="1286"/>
      <c r="AS1" s="1286"/>
      <c r="AT1" s="1286"/>
      <c r="AU1" s="1286"/>
      <c r="AV1" s="1286"/>
      <c r="AW1" s="1286"/>
      <c r="AX1" s="1286"/>
      <c r="AY1" s="1286"/>
      <c r="AZ1" s="1286"/>
      <c r="BA1" s="1286"/>
      <c r="BB1" s="1286"/>
      <c r="BC1" s="1286"/>
      <c r="BD1" s="1286"/>
      <c r="BE1" s="1286"/>
      <c r="BF1" s="1286"/>
      <c r="BG1" s="1286"/>
      <c r="BH1" s="1286"/>
      <c r="BI1" s="1286"/>
      <c r="BJ1" s="1286"/>
      <c r="BK1" s="1286"/>
      <c r="BL1" s="1286"/>
      <c r="BM1" s="1286"/>
      <c r="BN1" s="1286"/>
      <c r="BO1" s="1286"/>
      <c r="BP1" s="1286"/>
      <c r="BQ1" s="1286"/>
      <c r="BR1" s="1286"/>
      <c r="BS1" s="1286"/>
      <c r="BT1" s="1286"/>
      <c r="BU1" s="1286"/>
      <c r="BV1" s="1286"/>
      <c r="BW1" s="1286"/>
      <c r="BX1" s="1286"/>
      <c r="BY1" s="1286"/>
      <c r="BZ1" s="1286"/>
      <c r="CA1" s="1286"/>
      <c r="CB1" s="1286"/>
      <c r="CC1" s="1286"/>
      <c r="CD1" s="1286"/>
      <c r="CE1" s="1286"/>
      <c r="CF1" s="1286"/>
      <c r="CG1" s="1286"/>
      <c r="CH1" s="1286"/>
      <c r="CI1" s="1286"/>
      <c r="CJ1" s="1286"/>
      <c r="CK1" s="1286"/>
      <c r="CL1" s="1286"/>
      <c r="CM1" s="1286"/>
      <c r="CN1" s="1286"/>
      <c r="CO1" s="1286"/>
      <c r="CP1" s="1286"/>
      <c r="CQ1" s="1286"/>
      <c r="CR1" s="1286"/>
      <c r="CS1" s="1286"/>
      <c r="CT1" s="1286"/>
      <c r="CU1" s="1286"/>
      <c r="CV1" s="1286"/>
      <c r="CW1" s="1286"/>
      <c r="CX1" s="1286"/>
      <c r="CY1" s="1286"/>
      <c r="CZ1" s="1286"/>
      <c r="DA1" s="1286"/>
      <c r="DB1" s="1286"/>
      <c r="DC1" s="1286"/>
      <c r="DD1" s="1286"/>
      <c r="DE1" s="1286"/>
      <c r="DF1" s="1286"/>
      <c r="DG1" s="1286"/>
      <c r="DH1" s="1286"/>
      <c r="DI1" s="1286"/>
      <c r="DJ1" s="1286"/>
      <c r="DK1" s="1286"/>
      <c r="DL1" s="1286"/>
      <c r="DM1" s="1286"/>
      <c r="DN1" s="1286"/>
      <c r="DO1" s="1286"/>
      <c r="DP1" s="1286"/>
      <c r="DQ1" s="1286"/>
      <c r="DR1" s="1286"/>
      <c r="DS1" s="1286"/>
      <c r="DT1" s="1286"/>
      <c r="DU1" s="1286"/>
      <c r="DV1" s="1286"/>
      <c r="DW1" s="1286"/>
      <c r="DX1" s="1286"/>
      <c r="DY1" s="1286"/>
      <c r="DZ1" s="1286"/>
      <c r="EA1" s="1286"/>
      <c r="EB1" s="1286"/>
      <c r="EC1" s="1286"/>
      <c r="ED1" s="1286"/>
      <c r="EE1" s="1286"/>
      <c r="EF1" s="1286"/>
      <c r="EG1" s="1286"/>
      <c r="EH1" s="1286"/>
      <c r="EI1" s="1286"/>
      <c r="EJ1" s="1286"/>
      <c r="EK1" s="1286"/>
      <c r="EL1" s="1286"/>
      <c r="EM1" s="1286"/>
      <c r="EN1" s="1286"/>
      <c r="EO1" s="1286"/>
      <c r="EP1" s="1286"/>
      <c r="EQ1" s="1286"/>
      <c r="ER1" s="1286"/>
      <c r="ES1" s="1286"/>
      <c r="ET1" s="1286"/>
      <c r="EU1" s="1286"/>
      <c r="EV1" s="1286"/>
      <c r="EW1" s="1286"/>
      <c r="EX1" s="1286"/>
      <c r="EY1" s="1286"/>
      <c r="EZ1" s="1286"/>
      <c r="FA1" s="1286"/>
      <c r="FB1" s="1286"/>
      <c r="FC1" s="1286"/>
      <c r="FD1" s="1286"/>
      <c r="FE1" s="1286"/>
      <c r="FF1" s="1286"/>
      <c r="FG1" s="1286"/>
      <c r="FH1" s="1286"/>
      <c r="FI1" s="1286"/>
      <c r="FJ1" s="1286"/>
      <c r="FK1" s="1286"/>
      <c r="FL1" s="1286"/>
      <c r="FM1" s="1286"/>
      <c r="FN1" s="1286"/>
      <c r="FO1" s="1286"/>
      <c r="FP1" s="1286"/>
      <c r="FQ1" s="1286"/>
      <c r="FR1" s="1286"/>
      <c r="FS1" s="1286"/>
      <c r="FT1" s="1286"/>
      <c r="FU1" s="1286"/>
      <c r="FV1" s="1286"/>
      <c r="FW1" s="1286"/>
      <c r="FX1" s="1286"/>
      <c r="FY1" s="1286"/>
      <c r="FZ1" s="1286"/>
      <c r="GA1" s="1286"/>
      <c r="GB1" s="1286"/>
      <c r="GC1" s="1286"/>
      <c r="GD1" s="1286"/>
      <c r="GE1" s="1286"/>
      <c r="GF1" s="1286"/>
      <c r="GG1" s="1286"/>
      <c r="GH1" s="1286"/>
      <c r="GI1" s="1286"/>
      <c r="GJ1" s="1286"/>
      <c r="GK1" s="1286"/>
      <c r="GL1" s="1286"/>
      <c r="GM1" s="1286"/>
      <c r="GN1" s="1286"/>
      <c r="GO1" s="1286"/>
      <c r="GP1" s="1286"/>
      <c r="GQ1" s="1286"/>
      <c r="GR1" s="1286"/>
      <c r="GS1" s="1286"/>
      <c r="GT1" s="1286"/>
      <c r="GU1" s="1286"/>
      <c r="GV1" s="1286"/>
      <c r="GW1" s="1286"/>
      <c r="GX1" s="1286"/>
      <c r="GY1" s="1286"/>
      <c r="GZ1" s="1286"/>
      <c r="HA1" s="1286"/>
      <c r="HB1" s="1286"/>
      <c r="HC1" s="1286"/>
      <c r="HD1" s="1286"/>
      <c r="HE1" s="1286"/>
      <c r="HF1" s="1286"/>
      <c r="HG1" s="1286"/>
      <c r="HH1" s="1286"/>
      <c r="HI1" s="1286"/>
      <c r="HJ1" s="1286"/>
      <c r="HK1" s="1286"/>
      <c r="HL1" s="1286"/>
      <c r="HM1" s="1286"/>
      <c r="HN1" s="1286"/>
      <c r="HO1" s="1286"/>
      <c r="HP1" s="1286"/>
      <c r="HQ1" s="1286"/>
      <c r="HR1" s="1286"/>
      <c r="HS1" s="1286"/>
      <c r="HT1" s="1286"/>
      <c r="HU1" s="1286"/>
      <c r="HV1" s="1286"/>
      <c r="HW1" s="1286"/>
      <c r="HX1" s="1286"/>
      <c r="HY1" s="1286"/>
      <c r="HZ1" s="1286"/>
      <c r="IA1" s="1286"/>
      <c r="IB1" s="1286"/>
      <c r="IC1" s="1286"/>
      <c r="ID1" s="1286"/>
      <c r="IE1" s="1286"/>
      <c r="IF1" s="1286"/>
      <c r="IG1" s="1286"/>
      <c r="IH1" s="1286"/>
      <c r="II1" s="1286"/>
      <c r="IJ1" s="1286"/>
      <c r="IK1" s="1286"/>
      <c r="IL1" s="1286"/>
      <c r="IM1" s="1286"/>
      <c r="IN1" s="1286"/>
      <c r="IO1" s="1286"/>
      <c r="IP1" s="1286"/>
      <c r="IQ1" s="1286"/>
      <c r="IR1" s="1286"/>
      <c r="IS1" s="1286"/>
      <c r="IT1" s="1286"/>
      <c r="IU1" s="1286"/>
      <c r="IV1" s="1286"/>
      <c r="IW1" s="1287"/>
    </row>
    <row r="2" spans="1:257" ht="15.6" thickTop="1" thickBot="1">
      <c r="A2" s="1227"/>
      <c r="B2" s="1227"/>
      <c r="C2" s="1227"/>
      <c r="D2" s="1227" t="s">
        <v>605</v>
      </c>
      <c r="E2" s="1227"/>
      <c r="F2" s="1227" t="s">
        <v>606</v>
      </c>
      <c r="G2" s="1228"/>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c r="BR2" s="1227"/>
      <c r="BS2" s="1227"/>
      <c r="BT2" s="1227"/>
      <c r="BU2" s="1227"/>
      <c r="BV2" s="1227"/>
      <c r="BW2" s="1227"/>
      <c r="BX2" s="1227"/>
      <c r="BY2" s="1227"/>
      <c r="BZ2" s="1227"/>
      <c r="CA2" s="1227"/>
      <c r="CB2" s="1227"/>
      <c r="CC2" s="1227"/>
      <c r="CD2" s="1227"/>
      <c r="CE2" s="1227"/>
      <c r="CF2" s="1227"/>
      <c r="CG2" s="1227"/>
      <c r="CH2" s="1227"/>
      <c r="CI2" s="1227"/>
      <c r="CJ2" s="1227"/>
      <c r="CK2" s="1227"/>
      <c r="CL2" s="1227"/>
      <c r="CM2" s="1227"/>
      <c r="CN2" s="1227"/>
      <c r="CO2" s="1227"/>
      <c r="CP2" s="1227"/>
      <c r="CQ2" s="1227"/>
      <c r="CR2" s="1227"/>
      <c r="CS2" s="1227"/>
      <c r="CT2" s="1227"/>
      <c r="CU2" s="1227"/>
      <c r="CV2" s="1227"/>
      <c r="CW2" s="1227"/>
      <c r="CX2" s="1227"/>
      <c r="CY2" s="1227"/>
      <c r="CZ2" s="1227"/>
      <c r="DA2" s="1227"/>
      <c r="DB2" s="1227"/>
      <c r="DC2" s="1227"/>
      <c r="DD2" s="1227"/>
      <c r="DE2" s="1227"/>
      <c r="DF2" s="1227"/>
      <c r="DG2" s="1227"/>
      <c r="DH2" s="1227"/>
      <c r="DI2" s="1227"/>
      <c r="DJ2" s="1227"/>
      <c r="DK2" s="1227"/>
      <c r="DL2" s="1227"/>
      <c r="DM2" s="1227"/>
      <c r="DN2" s="1227"/>
      <c r="DO2" s="1227"/>
      <c r="DP2" s="1227"/>
      <c r="DQ2" s="1227"/>
      <c r="DR2" s="1227"/>
      <c r="DS2" s="1227"/>
      <c r="DT2" s="1227"/>
      <c r="DU2" s="1227"/>
      <c r="DV2" s="1227"/>
      <c r="DW2" s="1227"/>
      <c r="DX2" s="1227"/>
      <c r="DY2" s="1227"/>
      <c r="DZ2" s="1227"/>
      <c r="EA2" s="1227"/>
      <c r="EB2" s="1227"/>
      <c r="EC2" s="1227"/>
      <c r="ED2" s="1227"/>
      <c r="EE2" s="1227"/>
      <c r="EF2" s="1227"/>
      <c r="EG2" s="1227"/>
      <c r="EH2" s="1227"/>
      <c r="EI2" s="1227"/>
      <c r="EJ2" s="1227"/>
      <c r="EK2" s="1227"/>
      <c r="EL2" s="1227"/>
      <c r="EM2" s="1227"/>
      <c r="EN2" s="1227"/>
      <c r="EO2" s="1227"/>
      <c r="EP2" s="1227"/>
      <c r="EQ2" s="1227"/>
      <c r="ER2" s="1227"/>
      <c r="ES2" s="1227"/>
      <c r="ET2" s="1227"/>
      <c r="EU2" s="1227"/>
      <c r="EV2" s="1227"/>
      <c r="EW2" s="1227"/>
      <c r="EX2" s="1227"/>
      <c r="EY2" s="1227"/>
      <c r="EZ2" s="1227"/>
      <c r="FA2" s="1227"/>
      <c r="FB2" s="1227"/>
      <c r="FC2" s="1227"/>
      <c r="FD2" s="1227"/>
      <c r="FE2" s="1227"/>
      <c r="FF2" s="1227"/>
      <c r="FG2" s="1227"/>
      <c r="FH2" s="1227"/>
      <c r="FI2" s="1227"/>
      <c r="FJ2" s="1227"/>
      <c r="FK2" s="1227"/>
      <c r="FL2" s="1227"/>
      <c r="FM2" s="1227"/>
      <c r="FN2" s="1227"/>
      <c r="FO2" s="1227"/>
      <c r="FP2" s="1227"/>
      <c r="FQ2" s="1227"/>
      <c r="FR2" s="1227"/>
      <c r="FS2" s="1227"/>
      <c r="FT2" s="1227"/>
      <c r="FU2" s="1227"/>
      <c r="FV2" s="1227"/>
      <c r="FW2" s="1227"/>
      <c r="FX2" s="1227"/>
      <c r="FY2" s="1227"/>
      <c r="FZ2" s="1227"/>
      <c r="GA2" s="1227"/>
      <c r="GB2" s="1227"/>
      <c r="GC2" s="1227"/>
      <c r="GD2" s="1227"/>
      <c r="GE2" s="1227"/>
      <c r="GF2" s="1227"/>
      <c r="GG2" s="1227"/>
      <c r="GH2" s="1227"/>
      <c r="GI2" s="1227"/>
      <c r="GJ2" s="1227"/>
      <c r="GK2" s="1227"/>
      <c r="GL2" s="1227"/>
      <c r="GM2" s="1227"/>
      <c r="GN2" s="1227"/>
      <c r="GO2" s="1227"/>
      <c r="GP2" s="1227"/>
      <c r="GQ2" s="1227"/>
      <c r="GR2" s="1227"/>
      <c r="GS2" s="1227"/>
      <c r="GT2" s="1227"/>
      <c r="GU2" s="1227"/>
      <c r="GV2" s="1227"/>
      <c r="GW2" s="1227"/>
      <c r="GX2" s="1227"/>
      <c r="GY2" s="1227"/>
      <c r="GZ2" s="1227"/>
      <c r="HA2" s="1227"/>
      <c r="HB2" s="1227"/>
      <c r="HC2" s="1227"/>
      <c r="HD2" s="1227"/>
      <c r="HE2" s="1227"/>
      <c r="HF2" s="1227"/>
      <c r="HG2" s="1227"/>
      <c r="HH2" s="1227"/>
      <c r="HI2" s="1227"/>
      <c r="HJ2" s="1227"/>
      <c r="HK2" s="1227"/>
      <c r="HL2" s="1227"/>
      <c r="HM2" s="1227"/>
      <c r="HN2" s="1227"/>
      <c r="HO2" s="1227"/>
      <c r="HP2" s="1227"/>
      <c r="HQ2" s="1227"/>
      <c r="HR2" s="1227"/>
      <c r="HS2" s="1227"/>
      <c r="HT2" s="1227"/>
      <c r="HU2" s="1227"/>
      <c r="HV2" s="1227"/>
      <c r="HW2" s="1227"/>
      <c r="HX2" s="1227"/>
      <c r="HY2" s="1227"/>
      <c r="HZ2" s="1227"/>
      <c r="IA2" s="1227"/>
      <c r="IB2" s="1227"/>
      <c r="IC2" s="1227"/>
      <c r="ID2" s="1227"/>
      <c r="IE2" s="1227"/>
      <c r="IF2" s="1227"/>
      <c r="IG2" s="1227"/>
      <c r="IH2" s="1227"/>
      <c r="II2" s="1227"/>
      <c r="IJ2" s="1227"/>
      <c r="IK2" s="1227"/>
      <c r="IL2" s="1227"/>
      <c r="IM2" s="1227"/>
      <c r="IN2" s="1227"/>
      <c r="IO2" s="1227"/>
      <c r="IP2" s="1227"/>
      <c r="IQ2" s="1227"/>
      <c r="IR2" s="1227"/>
      <c r="IS2" s="1227"/>
      <c r="IT2" s="1227"/>
      <c r="IU2" s="1227"/>
      <c r="IV2" s="1227"/>
      <c r="IW2" s="1227"/>
    </row>
    <row r="3" spans="1:257">
      <c r="B3" s="1230" t="s">
        <v>607</v>
      </c>
      <c r="C3" s="1231">
        <v>0</v>
      </c>
      <c r="D3" s="1232">
        <f ca="1">INDIRECT("d"&amp;$J$1)</f>
        <v>5.04</v>
      </c>
      <c r="E3" s="1233">
        <v>0.5</v>
      </c>
      <c r="F3" s="1234">
        <f ca="1">INDIRECT("p"&amp;$L$1)</f>
        <v>1.89</v>
      </c>
      <c r="G3" s="1229"/>
      <c r="H3" s="1229"/>
      <c r="I3" s="1229"/>
      <c r="J3" s="1229"/>
      <c r="L3" s="1229"/>
      <c r="M3" s="1229"/>
      <c r="N3" s="1229"/>
      <c r="O3" s="1229"/>
      <c r="P3" s="1229"/>
      <c r="Q3" s="1229"/>
      <c r="R3" s="1229"/>
      <c r="S3" s="1229"/>
      <c r="T3" s="1229"/>
      <c r="U3" s="1229"/>
      <c r="V3" s="1229"/>
      <c r="W3" s="1229"/>
      <c r="X3" s="1229"/>
      <c r="Y3" s="1229"/>
      <c r="Z3" s="1229"/>
    </row>
    <row r="4" spans="1:257">
      <c r="B4" s="1236" t="s">
        <v>608</v>
      </c>
      <c r="C4" s="1237">
        <v>0.5</v>
      </c>
      <c r="D4" s="1238">
        <f ca="1">INDIRECT("e"&amp;$J$1)</f>
        <v>5.31</v>
      </c>
      <c r="E4" s="1239">
        <v>1</v>
      </c>
      <c r="F4" s="1240">
        <f ca="1">INDIRECT("q"&amp;$L$1)</f>
        <v>1.98</v>
      </c>
      <c r="G4" s="1229"/>
      <c r="H4" s="1229"/>
      <c r="I4" s="1229"/>
      <c r="J4" s="1229"/>
      <c r="L4" s="1229"/>
      <c r="M4" s="1229"/>
      <c r="N4" s="1229"/>
      <c r="O4" s="1229"/>
      <c r="P4" s="1229"/>
      <c r="Q4" s="1229"/>
      <c r="R4" s="1229"/>
      <c r="S4" s="1229"/>
      <c r="T4" s="1229"/>
      <c r="U4" s="1229"/>
      <c r="V4" s="1229"/>
      <c r="W4" s="1229"/>
      <c r="X4" s="1229"/>
      <c r="Y4" s="1229"/>
      <c r="Z4" s="1229"/>
    </row>
    <row r="5" spans="1:257">
      <c r="B5" s="1236" t="s">
        <v>609</v>
      </c>
      <c r="C5" s="1237">
        <v>1</v>
      </c>
      <c r="D5" s="1238">
        <f ca="1">INDIRECT("f"&amp;$J$1)</f>
        <v>5.49</v>
      </c>
      <c r="E5" s="1239">
        <v>2</v>
      </c>
      <c r="F5" s="1240">
        <f ca="1">INDIRECT("r"&amp;$L$1)</f>
        <v>2.25</v>
      </c>
      <c r="G5" s="1229"/>
      <c r="H5" s="1229"/>
      <c r="I5" s="1229"/>
      <c r="J5" s="1229"/>
      <c r="L5" s="1229"/>
      <c r="M5" s="1229"/>
      <c r="N5" s="1229"/>
      <c r="O5" s="1229"/>
      <c r="P5" s="1229"/>
      <c r="Q5" s="1229"/>
      <c r="R5" s="1229"/>
      <c r="S5" s="1229"/>
      <c r="T5" s="1229"/>
      <c r="U5" s="1229"/>
      <c r="V5" s="1229"/>
      <c r="W5" s="1229"/>
      <c r="X5" s="1229"/>
      <c r="Y5" s="1229"/>
      <c r="Z5" s="1229"/>
    </row>
    <row r="6" spans="1:257">
      <c r="B6" s="1236" t="s">
        <v>610</v>
      </c>
      <c r="C6" s="1237">
        <v>3</v>
      </c>
      <c r="D6" s="1238">
        <f ca="1">INDIRECT("g"&amp;$J$1)</f>
        <v>5.58</v>
      </c>
      <c r="E6" s="1239">
        <v>3</v>
      </c>
      <c r="F6" s="1240">
        <f ca="1">INDIRECT("s"&amp;$L$1)</f>
        <v>2.52</v>
      </c>
      <c r="G6" s="1229"/>
      <c r="H6" s="1229"/>
      <c r="I6" s="1229"/>
      <c r="J6" s="1229"/>
      <c r="L6" s="1229"/>
      <c r="M6" s="1229"/>
      <c r="N6" s="1229"/>
      <c r="O6" s="1229"/>
      <c r="P6" s="1229"/>
      <c r="Q6" s="1229"/>
      <c r="R6" s="1229"/>
      <c r="S6" s="1229"/>
      <c r="T6" s="1229"/>
      <c r="U6" s="1229"/>
      <c r="V6" s="1229"/>
      <c r="W6" s="1229"/>
      <c r="X6" s="1229"/>
      <c r="Y6" s="1229"/>
      <c r="Z6" s="1229"/>
    </row>
    <row r="7" spans="1:257" ht="15" thickBot="1">
      <c r="B7" s="1241" t="s">
        <v>611</v>
      </c>
      <c r="C7" s="1242">
        <v>5</v>
      </c>
      <c r="D7" s="1243">
        <f ca="1">INDIRECT("h"&amp;$J$1)</f>
        <v>5.76</v>
      </c>
      <c r="E7" s="1244">
        <v>5</v>
      </c>
      <c r="F7" s="1245">
        <f ca="1">INDIRECT("t"&amp;$L$1)</f>
        <v>2.79</v>
      </c>
      <c r="G7" s="1229"/>
      <c r="H7" s="1229"/>
      <c r="I7" s="1229"/>
      <c r="J7" s="1229"/>
      <c r="L7" s="1229"/>
      <c r="M7" s="1229"/>
      <c r="N7" s="1229"/>
      <c r="O7" s="1229"/>
      <c r="P7" s="1229"/>
      <c r="Q7" s="1229"/>
      <c r="R7" s="1229"/>
      <c r="S7" s="1229"/>
      <c r="T7" s="1229"/>
      <c r="U7" s="1229"/>
      <c r="V7" s="1229"/>
      <c r="W7" s="1229"/>
      <c r="X7" s="1229"/>
      <c r="Y7" s="1229"/>
      <c r="Z7" s="1229"/>
    </row>
    <row r="8" spans="1:257">
      <c r="A8" s="1246"/>
      <c r="B8" s="1247"/>
      <c r="C8" s="1248"/>
      <c r="D8" s="1229"/>
      <c r="E8" s="1229"/>
      <c r="F8" s="1229"/>
      <c r="G8" s="1229"/>
      <c r="H8" s="1229"/>
      <c r="I8" s="1229"/>
      <c r="J8" s="1229"/>
      <c r="L8" s="1229"/>
      <c r="M8" s="1229"/>
      <c r="N8" s="1229"/>
      <c r="O8" s="1229"/>
      <c r="P8" s="1229"/>
      <c r="Q8" s="1229"/>
      <c r="R8" s="1229"/>
      <c r="S8" s="1229"/>
      <c r="T8" s="1229"/>
      <c r="U8" s="1229"/>
      <c r="V8" s="1229"/>
      <c r="W8" s="1229"/>
      <c r="X8" s="1229"/>
      <c r="Y8" s="1229"/>
      <c r="Z8" s="1229"/>
    </row>
    <row r="9" spans="1:257" ht="20.399999999999999">
      <c r="A9" s="1249"/>
      <c r="B9" s="1250" t="s">
        <v>612</v>
      </c>
      <c r="C9" s="1251"/>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3"/>
      <c r="CI9" s="1253"/>
      <c r="CJ9" s="1253"/>
      <c r="CK9" s="1253"/>
      <c r="CL9" s="1253"/>
      <c r="CM9" s="1253"/>
      <c r="CN9" s="1253"/>
      <c r="CO9" s="1253"/>
      <c r="CP9" s="1253"/>
      <c r="CQ9" s="1253"/>
      <c r="CR9" s="1253"/>
      <c r="CS9" s="1253"/>
      <c r="CT9" s="1253"/>
      <c r="CU9" s="1253"/>
      <c r="CV9" s="1253"/>
      <c r="CW9" s="1253"/>
      <c r="CX9" s="1253"/>
      <c r="CY9" s="1253"/>
      <c r="CZ9" s="1253"/>
      <c r="DA9" s="1253"/>
      <c r="DB9" s="1253"/>
      <c r="DC9" s="1253"/>
      <c r="DD9" s="1253"/>
      <c r="DE9" s="1253"/>
      <c r="DF9" s="1253"/>
      <c r="DG9" s="1253"/>
      <c r="DH9" s="1253"/>
      <c r="DI9" s="1253"/>
      <c r="DJ9" s="1253"/>
      <c r="DK9" s="1253"/>
      <c r="DL9" s="1253"/>
      <c r="DM9" s="1253"/>
      <c r="DN9" s="1253"/>
      <c r="DO9" s="1253"/>
      <c r="DP9" s="1253"/>
      <c r="DQ9" s="1253"/>
      <c r="DR9" s="1253"/>
      <c r="DS9" s="1253"/>
      <c r="DT9" s="1253"/>
      <c r="DU9" s="1253"/>
      <c r="DV9" s="1253"/>
      <c r="DW9" s="1253"/>
      <c r="DX9" s="1253"/>
      <c r="DY9" s="1253"/>
      <c r="DZ9" s="1253"/>
      <c r="EA9" s="1253"/>
      <c r="EB9" s="1253"/>
      <c r="EC9" s="1253"/>
      <c r="ED9" s="1253"/>
      <c r="EE9" s="1253"/>
      <c r="EF9" s="1253"/>
      <c r="EG9" s="1253"/>
      <c r="EH9" s="1253"/>
      <c r="EI9" s="1253"/>
      <c r="EJ9" s="1253"/>
      <c r="EK9" s="1253"/>
      <c r="EL9" s="1253"/>
      <c r="EM9" s="1253"/>
      <c r="EN9" s="1253"/>
      <c r="EO9" s="1253"/>
      <c r="EP9" s="1253"/>
      <c r="EQ9" s="1253"/>
      <c r="ER9" s="1253"/>
      <c r="ES9" s="1253"/>
      <c r="ET9" s="1253"/>
      <c r="EU9" s="1253"/>
      <c r="EV9" s="1253"/>
      <c r="EW9" s="1253"/>
      <c r="EX9" s="1253"/>
      <c r="EY9" s="1253"/>
      <c r="EZ9" s="1253"/>
      <c r="FA9" s="1253"/>
      <c r="FB9" s="1253"/>
      <c r="FC9" s="1253"/>
      <c r="FD9" s="1253"/>
      <c r="FE9" s="1253"/>
      <c r="FF9" s="1253"/>
      <c r="FG9" s="1253"/>
      <c r="FH9" s="1253"/>
      <c r="FI9" s="1253"/>
      <c r="FJ9" s="1253"/>
      <c r="FK9" s="1253"/>
      <c r="FL9" s="1253"/>
      <c r="FM9" s="1253"/>
      <c r="FN9" s="1253"/>
      <c r="FO9" s="1253"/>
      <c r="FP9" s="1253"/>
      <c r="FQ9" s="1253"/>
      <c r="FR9" s="1253"/>
      <c r="FS9" s="1253"/>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c r="GX9" s="1253"/>
      <c r="GY9" s="1253"/>
      <c r="GZ9" s="1253"/>
      <c r="HA9" s="1253"/>
      <c r="HB9" s="1253"/>
      <c r="HC9" s="1253"/>
      <c r="HD9" s="1253"/>
      <c r="HE9" s="1253"/>
      <c r="HF9" s="1253"/>
      <c r="HG9" s="1253"/>
      <c r="HH9" s="1253"/>
      <c r="HI9" s="1253"/>
      <c r="HJ9" s="1253"/>
      <c r="HK9" s="1253"/>
      <c r="HL9" s="1253"/>
      <c r="HM9" s="1253"/>
      <c r="HN9" s="1253"/>
      <c r="HO9" s="1253"/>
      <c r="HP9" s="1253"/>
      <c r="HQ9" s="1253"/>
      <c r="HR9" s="1253"/>
      <c r="HS9" s="1253"/>
      <c r="HT9" s="1253"/>
      <c r="HU9" s="1253"/>
      <c r="HV9" s="1253"/>
      <c r="HW9" s="1253"/>
      <c r="HX9" s="1253"/>
      <c r="HY9" s="1253"/>
      <c r="HZ9" s="1253"/>
      <c r="IA9" s="1253"/>
      <c r="IB9" s="1253"/>
      <c r="IC9" s="1253"/>
      <c r="ID9" s="1253"/>
      <c r="IE9" s="1253"/>
      <c r="IF9" s="1253"/>
      <c r="IG9" s="1253"/>
      <c r="IH9" s="1253"/>
      <c r="II9" s="1253"/>
      <c r="IJ9" s="1253"/>
      <c r="IK9" s="1253"/>
      <c r="IL9" s="1253"/>
      <c r="IM9" s="1253"/>
      <c r="IN9" s="1253"/>
      <c r="IO9" s="1253"/>
      <c r="IP9" s="1253"/>
      <c r="IQ9" s="1253"/>
      <c r="IR9" s="1253"/>
      <c r="IS9" s="1253"/>
      <c r="IT9" s="1253"/>
      <c r="IU9" s="1253"/>
      <c r="IV9" s="1253"/>
      <c r="IW9" s="1254"/>
    </row>
    <row r="10" spans="1:257" ht="22.2">
      <c r="A10" s="1255"/>
      <c r="B10" s="1256" t="s">
        <v>613</v>
      </c>
      <c r="C10" s="1255"/>
      <c r="D10" s="1255"/>
      <c r="E10" s="1255"/>
      <c r="F10" s="1255"/>
      <c r="G10" s="1255"/>
      <c r="H10" s="1255"/>
      <c r="I10" s="1229"/>
      <c r="J10" s="1229"/>
      <c r="K10" s="1255"/>
      <c r="L10" s="1256" t="s">
        <v>614</v>
      </c>
      <c r="M10" s="1255"/>
      <c r="N10" s="1255"/>
      <c r="O10" s="1255"/>
      <c r="P10" s="1255"/>
      <c r="Q10" s="1255"/>
      <c r="R10" s="1255"/>
      <c r="S10" s="1255"/>
      <c r="T10" s="1255"/>
      <c r="U10" s="1255"/>
      <c r="V10" s="1255"/>
      <c r="W10" s="1255"/>
      <c r="X10" s="1255"/>
      <c r="Y10" s="1255"/>
      <c r="Z10" s="1255"/>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c r="BX10" s="1257"/>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c r="DE10" s="1257"/>
      <c r="DF10" s="1257"/>
      <c r="DG10" s="1257"/>
      <c r="DH10" s="1257"/>
      <c r="DI10" s="1257"/>
      <c r="DJ10" s="1257"/>
      <c r="DK10" s="1257"/>
      <c r="DL10" s="1257"/>
      <c r="DM10" s="1257"/>
      <c r="DN10" s="1257"/>
      <c r="DO10" s="1257"/>
      <c r="DP10" s="1257"/>
      <c r="DQ10" s="1257"/>
      <c r="DR10" s="1257"/>
      <c r="DS10" s="1257"/>
      <c r="DT10" s="1257"/>
      <c r="DU10" s="1257"/>
      <c r="DV10" s="1257"/>
      <c r="DW10" s="1257"/>
      <c r="DX10" s="1257"/>
      <c r="DY10" s="1257"/>
      <c r="DZ10" s="1257"/>
      <c r="EA10" s="1257"/>
      <c r="EB10" s="1257"/>
      <c r="EC10" s="1257"/>
      <c r="ED10" s="1257"/>
      <c r="EE10" s="1257"/>
      <c r="EF10" s="1257"/>
      <c r="EG10" s="1257"/>
      <c r="EH10" s="1257"/>
      <c r="EI10" s="1257"/>
      <c r="EJ10" s="1257"/>
      <c r="EK10" s="1257"/>
      <c r="EL10" s="1257"/>
      <c r="EM10" s="1257"/>
      <c r="EN10" s="1257"/>
      <c r="EO10" s="1257"/>
      <c r="EP10" s="1257"/>
      <c r="EQ10" s="1257"/>
      <c r="ER10" s="1257"/>
      <c r="ES10" s="1257"/>
      <c r="ET10" s="1257"/>
      <c r="EU10" s="1257"/>
      <c r="EV10" s="1257"/>
      <c r="EW10" s="1257"/>
      <c r="EX10" s="1257"/>
      <c r="EY10" s="1257"/>
      <c r="EZ10" s="1257"/>
      <c r="FA10" s="1257"/>
      <c r="FB10" s="1257"/>
      <c r="FC10" s="1257"/>
      <c r="FD10" s="1257"/>
      <c r="FE10" s="1257"/>
      <c r="FF10" s="1257"/>
      <c r="FG10" s="1257"/>
      <c r="FH10" s="1257"/>
      <c r="FI10" s="1257"/>
      <c r="FJ10" s="1257"/>
      <c r="FK10" s="1257"/>
      <c r="FL10" s="1257"/>
      <c r="FM10" s="1257"/>
      <c r="FN10" s="1257"/>
      <c r="FO10" s="1257"/>
      <c r="FP10" s="1257"/>
      <c r="FQ10" s="1257"/>
      <c r="FR10" s="1257"/>
      <c r="FS10" s="1257"/>
      <c r="FT10" s="1257"/>
      <c r="FU10" s="1257"/>
      <c r="FV10" s="1257"/>
      <c r="FW10" s="1257"/>
      <c r="FX10" s="1257"/>
      <c r="FY10" s="1257"/>
      <c r="FZ10" s="1257"/>
      <c r="GA10" s="1257"/>
      <c r="GB10" s="1257"/>
      <c r="GC10" s="1257"/>
      <c r="GD10" s="1257"/>
      <c r="GE10" s="1257"/>
      <c r="GF10" s="1257"/>
      <c r="GG10" s="1257"/>
      <c r="GH10" s="1257"/>
      <c r="GI10" s="1257"/>
      <c r="GJ10" s="1257"/>
      <c r="GK10" s="1257"/>
      <c r="GL10" s="1257"/>
      <c r="GM10" s="1257"/>
      <c r="GN10" s="1257"/>
      <c r="GO10" s="1257"/>
      <c r="GP10" s="1257"/>
      <c r="GQ10" s="1257"/>
      <c r="GR10" s="1257"/>
      <c r="GS10" s="1257"/>
      <c r="GT10" s="1257"/>
      <c r="GU10" s="1257"/>
      <c r="GV10" s="1257"/>
      <c r="GW10" s="1257"/>
      <c r="GX10" s="1257"/>
      <c r="GY10" s="1257"/>
      <c r="GZ10" s="1257"/>
      <c r="HA10" s="1257"/>
      <c r="HB10" s="1257"/>
      <c r="HC10" s="1257"/>
      <c r="HD10" s="1257"/>
      <c r="HE10" s="1257"/>
      <c r="HF10" s="1257"/>
      <c r="HG10" s="1257"/>
      <c r="HH10" s="1257"/>
      <c r="HI10" s="1257"/>
      <c r="HJ10" s="1257"/>
      <c r="HK10" s="1257"/>
      <c r="HL10" s="1257"/>
      <c r="HM10" s="1257"/>
      <c r="HN10" s="1257"/>
      <c r="HO10" s="1257"/>
      <c r="HP10" s="1257"/>
      <c r="HQ10" s="1257"/>
      <c r="HR10" s="1257"/>
      <c r="HS10" s="1257"/>
      <c r="HT10" s="1257"/>
      <c r="HU10" s="1257"/>
      <c r="HV10" s="1257"/>
      <c r="HW10" s="1257"/>
      <c r="HX10" s="1257"/>
      <c r="HY10" s="1257"/>
      <c r="HZ10" s="1257"/>
      <c r="IA10" s="1257"/>
      <c r="IB10" s="1257"/>
      <c r="IC10" s="1257"/>
      <c r="ID10" s="1257"/>
      <c r="IE10" s="1257"/>
      <c r="IF10" s="1257"/>
      <c r="IG10" s="1257"/>
      <c r="IH10" s="1257"/>
      <c r="II10" s="1257"/>
      <c r="IJ10" s="1257"/>
      <c r="IK10" s="1257"/>
      <c r="IL10" s="1257"/>
      <c r="IM10" s="1257"/>
      <c r="IN10" s="1257"/>
      <c r="IO10" s="1257"/>
      <c r="IP10" s="1257"/>
      <c r="IQ10" s="1257"/>
      <c r="IR10" s="1257"/>
      <c r="IS10" s="1257"/>
      <c r="IT10" s="1257"/>
      <c r="IU10" s="1257"/>
      <c r="IV10" s="1257"/>
    </row>
    <row r="11" spans="1:257">
      <c r="A11" s="1258"/>
      <c r="B11" s="1259" t="s">
        <v>615</v>
      </c>
      <c r="C11" s="1260" t="s">
        <v>616</v>
      </c>
      <c r="D11" s="1261" t="s">
        <v>617</v>
      </c>
      <c r="E11" s="1262"/>
      <c r="F11" s="1261" t="s">
        <v>618</v>
      </c>
      <c r="G11" s="1263"/>
      <c r="H11" s="1262"/>
      <c r="I11" s="1261" t="s">
        <v>619</v>
      </c>
      <c r="J11" s="1262"/>
      <c r="K11" s="1258"/>
      <c r="L11" s="1259" t="s">
        <v>615</v>
      </c>
      <c r="M11" s="1260" t="s">
        <v>616</v>
      </c>
      <c r="N11" s="1259" t="s">
        <v>620</v>
      </c>
      <c r="O11" s="1261" t="s">
        <v>621</v>
      </c>
      <c r="P11" s="1263"/>
      <c r="Q11" s="1263"/>
      <c r="R11" s="1263"/>
      <c r="S11" s="1263"/>
      <c r="T11" s="1262"/>
      <c r="U11" s="1261" t="s">
        <v>622</v>
      </c>
      <c r="V11" s="1263"/>
      <c r="W11" s="1262"/>
      <c r="X11" s="1259" t="s">
        <v>623</v>
      </c>
      <c r="Y11" s="1259" t="s">
        <v>624</v>
      </c>
      <c r="Z11" s="1259" t="s">
        <v>625</v>
      </c>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264"/>
      <c r="AV11" s="1264"/>
      <c r="AW11" s="1264"/>
      <c r="AX11" s="1264"/>
      <c r="AY11" s="1264"/>
      <c r="AZ11" s="1264"/>
      <c r="BA11" s="1264"/>
      <c r="BB11" s="1264"/>
      <c r="BC11" s="1264"/>
      <c r="BD11" s="1264"/>
      <c r="BE11" s="1264"/>
      <c r="BF11" s="1264"/>
      <c r="BG11" s="1264"/>
      <c r="BH11" s="1264"/>
      <c r="BI11" s="1264"/>
      <c r="BJ11" s="1264"/>
      <c r="BK11" s="1264"/>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4"/>
      <c r="CK11" s="1264"/>
      <c r="CL11" s="1264"/>
      <c r="CM11" s="1264"/>
      <c r="CN11" s="1264"/>
      <c r="CO11" s="1264"/>
      <c r="CP11" s="1264"/>
      <c r="CQ11" s="1264"/>
      <c r="CR11" s="1264"/>
      <c r="CS11" s="1264"/>
      <c r="CT11" s="1264"/>
      <c r="CU11" s="1264"/>
      <c r="CV11" s="1264"/>
      <c r="CW11" s="1264"/>
      <c r="CX11" s="1264"/>
      <c r="CY11" s="1264"/>
      <c r="CZ11" s="1264"/>
      <c r="DA11" s="1264"/>
      <c r="DB11" s="1264"/>
      <c r="DC11" s="1264"/>
      <c r="DD11" s="1264"/>
      <c r="DE11" s="1264"/>
      <c r="DF11" s="1264"/>
      <c r="DG11" s="1264"/>
      <c r="DH11" s="1264"/>
      <c r="DI11" s="1264"/>
      <c r="DJ11" s="1264"/>
      <c r="DK11" s="1264"/>
      <c r="DL11" s="1264"/>
      <c r="DM11" s="1264"/>
      <c r="DN11" s="1264"/>
      <c r="DO11" s="1264"/>
      <c r="DP11" s="1264"/>
      <c r="DQ11" s="1264"/>
      <c r="DR11" s="1264"/>
      <c r="DS11" s="1264"/>
      <c r="DT11" s="1264"/>
      <c r="DU11" s="1264"/>
      <c r="DV11" s="1264"/>
      <c r="DW11" s="1264"/>
      <c r="DX11" s="1264"/>
      <c r="DY11" s="1264"/>
      <c r="DZ11" s="1264"/>
      <c r="EA11" s="1264"/>
      <c r="EB11" s="1264"/>
      <c r="EC11" s="1264"/>
      <c r="ED11" s="1264"/>
      <c r="EE11" s="1264"/>
      <c r="EF11" s="1264"/>
      <c r="EG11" s="1264"/>
      <c r="EH11" s="1264"/>
      <c r="EI11" s="1264"/>
      <c r="EJ11" s="1264"/>
      <c r="EK11" s="1264"/>
      <c r="EL11" s="1264"/>
      <c r="EM11" s="1264"/>
      <c r="EN11" s="1264"/>
      <c r="EO11" s="1264"/>
      <c r="EP11" s="1264"/>
      <c r="EQ11" s="1264"/>
      <c r="ER11" s="1264"/>
      <c r="ES11" s="1264"/>
      <c r="ET11" s="1264"/>
      <c r="EU11" s="1264"/>
      <c r="EV11" s="1264"/>
      <c r="EW11" s="1264"/>
      <c r="EX11" s="1264"/>
      <c r="EY11" s="1264"/>
      <c r="EZ11" s="1264"/>
      <c r="FA11" s="1264"/>
      <c r="FB11" s="1264"/>
      <c r="FC11" s="1264"/>
      <c r="FD11" s="1264"/>
      <c r="FE11" s="1264"/>
      <c r="FF11" s="1264"/>
      <c r="FG11" s="1264"/>
      <c r="FH11" s="1264"/>
      <c r="FI11" s="1264"/>
      <c r="FJ11" s="1264"/>
      <c r="FK11" s="1264"/>
      <c r="FL11" s="1264"/>
      <c r="FM11" s="1264"/>
      <c r="FN11" s="1264"/>
      <c r="FO11" s="1264"/>
      <c r="FP11" s="1264"/>
      <c r="FQ11" s="1264"/>
      <c r="FR11" s="1264"/>
      <c r="FS11" s="1264"/>
      <c r="FT11" s="1264"/>
      <c r="FU11" s="1264"/>
      <c r="FV11" s="1264"/>
      <c r="FW11" s="1264"/>
      <c r="FX11" s="1264"/>
      <c r="FY11" s="1264"/>
      <c r="FZ11" s="1264"/>
      <c r="GA11" s="1264"/>
      <c r="GB11" s="1264"/>
      <c r="GC11" s="1264"/>
      <c r="GD11" s="1264"/>
      <c r="GE11" s="1264"/>
      <c r="GF11" s="1264"/>
      <c r="GG11" s="1264"/>
      <c r="GH11" s="1264"/>
      <c r="GI11" s="1264"/>
      <c r="GJ11" s="1264"/>
      <c r="GK11" s="1264"/>
      <c r="GL11" s="1264"/>
      <c r="GM11" s="1264"/>
      <c r="GN11" s="1264"/>
      <c r="GO11" s="1264"/>
      <c r="GP11" s="1264"/>
      <c r="GQ11" s="1264"/>
      <c r="GR11" s="1264"/>
      <c r="GS11" s="1264"/>
      <c r="GT11" s="1264"/>
      <c r="GU11" s="1264"/>
      <c r="GV11" s="1264"/>
      <c r="GW11" s="1264"/>
      <c r="GX11" s="1264"/>
      <c r="GY11" s="1264"/>
      <c r="GZ11" s="1264"/>
      <c r="HA11" s="1264"/>
      <c r="HB11" s="1264"/>
      <c r="HC11" s="1264"/>
      <c r="HD11" s="1264"/>
      <c r="HE11" s="1264"/>
      <c r="HF11" s="1264"/>
      <c r="HG11" s="1264"/>
      <c r="HH11" s="1264"/>
      <c r="HI11" s="1264"/>
      <c r="HJ11" s="1264"/>
      <c r="HK11" s="1264"/>
      <c r="HL11" s="1264"/>
      <c r="HM11" s="1264"/>
      <c r="HN11" s="1264"/>
      <c r="HO11" s="1264"/>
      <c r="HP11" s="1264"/>
      <c r="HQ11" s="1264"/>
      <c r="HR11" s="1264"/>
      <c r="HS11" s="1264"/>
      <c r="HT11" s="1264"/>
      <c r="HU11" s="1264"/>
      <c r="HV11" s="1264"/>
      <c r="HW11" s="1264"/>
      <c r="HX11" s="1264"/>
      <c r="HY11" s="1264"/>
      <c r="HZ11" s="1264"/>
      <c r="IA11" s="1264"/>
      <c r="IB11" s="1264"/>
      <c r="IC11" s="1264"/>
      <c r="ID11" s="1264"/>
      <c r="IE11" s="1264"/>
      <c r="IF11" s="1264"/>
      <c r="IG11" s="1264"/>
      <c r="IH11" s="1264"/>
      <c r="II11" s="1264"/>
      <c r="IJ11" s="1264"/>
      <c r="IK11" s="1264"/>
      <c r="IL11" s="1264"/>
      <c r="IM11" s="1264"/>
      <c r="IN11" s="1264"/>
      <c r="IO11" s="1264"/>
      <c r="IP11" s="1264"/>
      <c r="IQ11" s="1264"/>
      <c r="IR11" s="1264"/>
      <c r="IS11" s="1264"/>
      <c r="IT11" s="1264"/>
      <c r="IU11" s="1264"/>
      <c r="IV11" s="1264"/>
    </row>
    <row r="12" spans="1:257">
      <c r="A12" s="1265"/>
      <c r="B12" s="1266"/>
      <c r="C12" s="1267"/>
      <c r="D12" s="1268" t="s">
        <v>626</v>
      </c>
      <c r="E12" s="1268" t="s">
        <v>627</v>
      </c>
      <c r="F12" s="1268" t="s">
        <v>628</v>
      </c>
      <c r="G12" s="1268" t="s">
        <v>629</v>
      </c>
      <c r="H12" s="1268" t="s">
        <v>611</v>
      </c>
      <c r="I12" s="1269" t="s">
        <v>630</v>
      </c>
      <c r="J12" s="1269" t="s">
        <v>630</v>
      </c>
      <c r="K12" s="1265"/>
      <c r="L12" s="1266"/>
      <c r="M12" s="1267"/>
      <c r="N12" s="1266"/>
      <c r="O12" s="1269" t="s">
        <v>631</v>
      </c>
      <c r="P12" s="1269">
        <v>0.5</v>
      </c>
      <c r="Q12" s="1269">
        <v>1</v>
      </c>
      <c r="R12" s="1269">
        <v>2</v>
      </c>
      <c r="S12" s="1269">
        <v>3</v>
      </c>
      <c r="T12" s="1269">
        <v>5</v>
      </c>
      <c r="U12" s="1269">
        <v>1</v>
      </c>
      <c r="V12" s="1269">
        <v>3</v>
      </c>
      <c r="W12" s="1269">
        <v>5</v>
      </c>
      <c r="X12" s="1266"/>
      <c r="Y12" s="1266"/>
      <c r="Z12" s="1266"/>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c r="CB12" s="1270"/>
      <c r="CC12" s="1270"/>
      <c r="CD12" s="1270"/>
      <c r="CE12" s="1270"/>
      <c r="CF12" s="1270"/>
      <c r="CG12" s="1270"/>
      <c r="CH12" s="1270"/>
      <c r="CI12" s="1270"/>
      <c r="CJ12" s="1270"/>
      <c r="CK12" s="1270"/>
      <c r="CL12" s="1270"/>
      <c r="CM12" s="1270"/>
      <c r="CN12" s="1270"/>
      <c r="CO12" s="1270"/>
      <c r="CP12" s="1270"/>
      <c r="CQ12" s="1270"/>
      <c r="CR12" s="1270"/>
      <c r="CS12" s="1270"/>
      <c r="CT12" s="1270"/>
      <c r="CU12" s="1270"/>
      <c r="CV12" s="1270"/>
      <c r="CW12" s="1270"/>
      <c r="CX12" s="1270"/>
      <c r="CY12" s="1270"/>
      <c r="CZ12" s="1270"/>
      <c r="DA12" s="1270"/>
      <c r="DB12" s="1270"/>
      <c r="DC12" s="1270"/>
      <c r="DD12" s="1270"/>
      <c r="DE12" s="1270"/>
      <c r="DF12" s="1270"/>
      <c r="DG12" s="1270"/>
      <c r="DH12" s="1270"/>
      <c r="DI12" s="1270"/>
      <c r="DJ12" s="1270"/>
      <c r="DK12" s="1270"/>
      <c r="DL12" s="1270"/>
      <c r="DM12" s="1270"/>
      <c r="DN12" s="1270"/>
      <c r="DO12" s="1270"/>
      <c r="DP12" s="1270"/>
      <c r="DQ12" s="1270"/>
      <c r="DR12" s="1270"/>
      <c r="DS12" s="1270"/>
      <c r="DT12" s="1270"/>
      <c r="DU12" s="1270"/>
      <c r="DV12" s="1270"/>
      <c r="DW12" s="1270"/>
      <c r="DX12" s="1270"/>
      <c r="DY12" s="1270"/>
      <c r="DZ12" s="1270"/>
      <c r="EA12" s="1270"/>
      <c r="EB12" s="1270"/>
      <c r="EC12" s="1270"/>
      <c r="ED12" s="1270"/>
      <c r="EE12" s="1270"/>
      <c r="EF12" s="1270"/>
      <c r="EG12" s="1270"/>
      <c r="EH12" s="1270"/>
      <c r="EI12" s="1270"/>
      <c r="EJ12" s="1270"/>
      <c r="EK12" s="1270"/>
      <c r="EL12" s="1270"/>
      <c r="EM12" s="1270"/>
      <c r="EN12" s="1270"/>
      <c r="EO12" s="1270"/>
      <c r="EP12" s="1270"/>
      <c r="EQ12" s="1270"/>
      <c r="ER12" s="1270"/>
      <c r="ES12" s="1270"/>
      <c r="ET12" s="1270"/>
      <c r="EU12" s="1270"/>
      <c r="EV12" s="1270"/>
      <c r="EW12" s="1270"/>
      <c r="EX12" s="1270"/>
      <c r="EY12" s="1270"/>
      <c r="EZ12" s="1270"/>
      <c r="FA12" s="1270"/>
      <c r="FB12" s="1270"/>
      <c r="FC12" s="1270"/>
      <c r="FD12" s="1270"/>
      <c r="FE12" s="1270"/>
      <c r="FF12" s="1270"/>
      <c r="FG12" s="1270"/>
      <c r="FH12" s="1270"/>
      <c r="FI12" s="1270"/>
      <c r="FJ12" s="1270"/>
      <c r="FK12" s="1270"/>
      <c r="FL12" s="1270"/>
      <c r="FM12" s="1270"/>
      <c r="FN12" s="1270"/>
      <c r="FO12" s="1270"/>
      <c r="FP12" s="1270"/>
      <c r="FQ12" s="1270"/>
      <c r="FR12" s="1270"/>
      <c r="FS12" s="1270"/>
      <c r="FT12" s="1270"/>
      <c r="FU12" s="1270"/>
      <c r="FV12" s="1270"/>
      <c r="FW12" s="1270"/>
      <c r="FX12" s="1270"/>
      <c r="FY12" s="1270"/>
      <c r="FZ12" s="1270"/>
      <c r="GA12" s="1270"/>
      <c r="GB12" s="1270"/>
      <c r="GC12" s="1270"/>
      <c r="GD12" s="1270"/>
      <c r="GE12" s="1270"/>
      <c r="GF12" s="1270"/>
      <c r="GG12" s="1270"/>
      <c r="GH12" s="1270"/>
      <c r="GI12" s="1270"/>
      <c r="GJ12" s="1270"/>
      <c r="GK12" s="1270"/>
      <c r="GL12" s="1270"/>
      <c r="GM12" s="1270"/>
      <c r="GN12" s="1270"/>
      <c r="GO12" s="1270"/>
      <c r="GP12" s="1270"/>
      <c r="GQ12" s="1270"/>
      <c r="GR12" s="1270"/>
      <c r="GS12" s="1270"/>
      <c r="GT12" s="1270"/>
      <c r="GU12" s="1270"/>
      <c r="GV12" s="1270"/>
      <c r="GW12" s="1270"/>
      <c r="GX12" s="1270"/>
      <c r="GY12" s="1270"/>
      <c r="GZ12" s="1270"/>
      <c r="HA12" s="1270"/>
      <c r="HB12" s="1270"/>
      <c r="HC12" s="1270"/>
      <c r="HD12" s="1270"/>
      <c r="HE12" s="1270"/>
      <c r="HF12" s="1270"/>
      <c r="HG12" s="1270"/>
      <c r="HH12" s="1270"/>
      <c r="HI12" s="1270"/>
      <c r="HJ12" s="1270"/>
      <c r="HK12" s="1270"/>
      <c r="HL12" s="1270"/>
      <c r="HM12" s="1270"/>
      <c r="HN12" s="1270"/>
      <c r="HO12" s="1270"/>
      <c r="HP12" s="1270"/>
      <c r="HQ12" s="1270"/>
      <c r="HR12" s="1270"/>
      <c r="HS12" s="1270"/>
      <c r="HT12" s="1270"/>
      <c r="HU12" s="1270"/>
      <c r="HV12" s="1270"/>
      <c r="HW12" s="1270"/>
      <c r="HX12" s="1270"/>
      <c r="HY12" s="1270"/>
      <c r="HZ12" s="1270"/>
      <c r="IA12" s="1270"/>
      <c r="IB12" s="1270"/>
      <c r="IC12" s="1270"/>
      <c r="ID12" s="1270"/>
      <c r="IE12" s="1270"/>
      <c r="IF12" s="1270"/>
      <c r="IG12" s="1270"/>
      <c r="IH12" s="1270"/>
      <c r="II12" s="1270"/>
      <c r="IJ12" s="1270"/>
      <c r="IK12" s="1270"/>
      <c r="IL12" s="1270"/>
      <c r="IM12" s="1270"/>
      <c r="IN12" s="1270"/>
      <c r="IO12" s="1270"/>
      <c r="IP12" s="1270"/>
      <c r="IQ12" s="1270"/>
      <c r="IR12" s="1270"/>
      <c r="IS12" s="1270"/>
      <c r="IT12" s="1270"/>
      <c r="IU12" s="1270"/>
      <c r="IV12" s="1270"/>
    </row>
    <row r="13" spans="1:257" ht="31.2">
      <c r="A13" s="1271"/>
      <c r="B13" s="1272" t="s">
        <v>632</v>
      </c>
      <c r="C13" s="2792">
        <v>45495</v>
      </c>
      <c r="D13" s="2793">
        <v>3.35</v>
      </c>
      <c r="E13" s="2793">
        <f>D13</f>
        <v>3.35</v>
      </c>
      <c r="F13" s="2793">
        <f>D13</f>
        <v>3.35</v>
      </c>
      <c r="G13" s="2793">
        <f>D13</f>
        <v>3.35</v>
      </c>
      <c r="H13" s="2793">
        <v>3.85</v>
      </c>
      <c r="I13" s="1273"/>
      <c r="J13" s="1273"/>
      <c r="K13" s="1271"/>
      <c r="L13" s="1272" t="s">
        <v>632</v>
      </c>
      <c r="M13" s="1274">
        <v>42301</v>
      </c>
      <c r="N13" s="1273">
        <v>0.35</v>
      </c>
      <c r="O13" s="1273">
        <v>1.1000000000000001</v>
      </c>
      <c r="P13" s="1273">
        <v>1.3</v>
      </c>
      <c r="Q13" s="1273">
        <v>1.5</v>
      </c>
      <c r="R13" s="1273">
        <v>2.1</v>
      </c>
      <c r="S13" s="1273">
        <v>2.75</v>
      </c>
      <c r="T13" s="1273"/>
      <c r="U13" s="1273"/>
      <c r="V13" s="1273"/>
      <c r="W13" s="1273"/>
      <c r="X13" s="1273"/>
      <c r="Y13" s="1273"/>
      <c r="Z13" s="1273"/>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1275"/>
      <c r="AV13" s="1275"/>
      <c r="AW13" s="1275"/>
      <c r="AX13" s="1275"/>
      <c r="AY13" s="1275"/>
      <c r="AZ13" s="1275"/>
      <c r="BA13" s="1275"/>
      <c r="BB13" s="1275"/>
      <c r="BC13" s="1275"/>
      <c r="BD13" s="1275"/>
      <c r="BE13" s="1275"/>
      <c r="BF13" s="1275"/>
      <c r="BG13" s="1275"/>
      <c r="BH13" s="1275"/>
      <c r="BI13" s="1275"/>
      <c r="BJ13" s="1275"/>
      <c r="BK13" s="1275"/>
      <c r="BL13" s="1275"/>
      <c r="BM13" s="1275"/>
      <c r="BN13" s="1275"/>
      <c r="BO13" s="1275"/>
      <c r="BP13" s="1275"/>
      <c r="BQ13" s="1275"/>
      <c r="BR13" s="1275"/>
      <c r="BS13" s="1275"/>
      <c r="BT13" s="1275"/>
      <c r="BU13" s="1275"/>
      <c r="BV13" s="1275"/>
      <c r="BW13" s="1275"/>
      <c r="BX13" s="1275"/>
      <c r="BY13" s="1275"/>
      <c r="BZ13" s="1275"/>
      <c r="CA13" s="1275"/>
      <c r="CB13" s="1275"/>
      <c r="CC13" s="1275"/>
      <c r="CD13" s="1275"/>
      <c r="CE13" s="1275"/>
      <c r="CF13" s="1275"/>
      <c r="CG13" s="1275"/>
      <c r="CH13" s="1275"/>
      <c r="CI13" s="1275"/>
      <c r="CJ13" s="1275"/>
      <c r="CK13" s="1275"/>
      <c r="CL13" s="1275"/>
      <c r="CM13" s="1275"/>
      <c r="CN13" s="1275"/>
      <c r="CO13" s="1275"/>
      <c r="CP13" s="1275"/>
      <c r="CQ13" s="1275"/>
      <c r="CR13" s="1275"/>
      <c r="CS13" s="1275"/>
      <c r="CT13" s="1275"/>
      <c r="CU13" s="1275"/>
      <c r="CV13" s="1275"/>
      <c r="CW13" s="1275"/>
      <c r="CX13" s="1275"/>
      <c r="CY13" s="1275"/>
      <c r="CZ13" s="1275"/>
      <c r="DA13" s="1275"/>
      <c r="DB13" s="1275"/>
      <c r="DC13" s="1275"/>
      <c r="DD13" s="1275"/>
      <c r="DE13" s="1275"/>
      <c r="DF13" s="1275"/>
      <c r="DG13" s="1275"/>
      <c r="DH13" s="1275"/>
      <c r="DI13" s="1275"/>
      <c r="DJ13" s="1275"/>
      <c r="DK13" s="1275"/>
      <c r="DL13" s="1275"/>
      <c r="DM13" s="1275"/>
      <c r="DN13" s="1275"/>
      <c r="DO13" s="1275"/>
      <c r="DP13" s="1275"/>
      <c r="DQ13" s="1275"/>
      <c r="DR13" s="1275"/>
      <c r="DS13" s="1275"/>
      <c r="DT13" s="1275"/>
      <c r="DU13" s="1275"/>
      <c r="DV13" s="1275"/>
      <c r="DW13" s="1275"/>
      <c r="DX13" s="1275"/>
      <c r="DY13" s="1275"/>
      <c r="DZ13" s="1275"/>
      <c r="EA13" s="1275"/>
      <c r="EB13" s="1275"/>
      <c r="EC13" s="1275"/>
      <c r="ED13" s="1275"/>
      <c r="EE13" s="1275"/>
      <c r="EF13" s="1275"/>
      <c r="EG13" s="1275"/>
      <c r="EH13" s="1275"/>
      <c r="EI13" s="1275"/>
      <c r="EJ13" s="1275"/>
      <c r="EK13" s="1275"/>
      <c r="EL13" s="1275"/>
      <c r="EM13" s="1275"/>
      <c r="EN13" s="1275"/>
      <c r="EO13" s="1275"/>
      <c r="EP13" s="1275"/>
      <c r="EQ13" s="1275"/>
      <c r="ER13" s="1275"/>
      <c r="ES13" s="1275"/>
      <c r="ET13" s="1275"/>
      <c r="EU13" s="1275"/>
      <c r="EV13" s="1275"/>
      <c r="EW13" s="1275"/>
      <c r="EX13" s="1275"/>
      <c r="EY13" s="1275"/>
      <c r="EZ13" s="1275"/>
      <c r="FA13" s="1275"/>
      <c r="FB13" s="1275"/>
      <c r="FC13" s="1275"/>
      <c r="FD13" s="1275"/>
      <c r="FE13" s="1275"/>
      <c r="FF13" s="1275"/>
      <c r="FG13" s="1275"/>
      <c r="FH13" s="1275"/>
      <c r="FI13" s="1275"/>
      <c r="FJ13" s="1275"/>
      <c r="FK13" s="1275"/>
      <c r="FL13" s="1275"/>
      <c r="FM13" s="1275"/>
      <c r="FN13" s="1275"/>
      <c r="FO13" s="1275"/>
      <c r="FP13" s="1275"/>
      <c r="FQ13" s="1275"/>
      <c r="FR13" s="1275"/>
      <c r="FS13" s="1275"/>
      <c r="FT13" s="1275"/>
      <c r="FU13" s="1275"/>
      <c r="FV13" s="1275"/>
      <c r="FW13" s="1275"/>
      <c r="FX13" s="1275"/>
      <c r="FY13" s="1275"/>
      <c r="FZ13" s="1275"/>
      <c r="GA13" s="1275"/>
      <c r="GB13" s="1275"/>
      <c r="GC13" s="1275"/>
      <c r="GD13" s="1275"/>
      <c r="GE13" s="1275"/>
      <c r="GF13" s="1275"/>
      <c r="GG13" s="1275"/>
      <c r="GH13" s="1275"/>
      <c r="GI13" s="1275"/>
      <c r="GJ13" s="1275"/>
      <c r="GK13" s="1275"/>
      <c r="GL13" s="1275"/>
      <c r="GM13" s="1275"/>
      <c r="GN13" s="1275"/>
      <c r="GO13" s="1275"/>
      <c r="GP13" s="1275"/>
      <c r="GQ13" s="1275"/>
      <c r="GR13" s="1275"/>
      <c r="GS13" s="1275"/>
      <c r="GT13" s="1275"/>
      <c r="GU13" s="1275"/>
      <c r="GV13" s="1275"/>
      <c r="GW13" s="1275"/>
      <c r="GX13" s="1275"/>
      <c r="GY13" s="1275"/>
      <c r="GZ13" s="1275"/>
      <c r="HA13" s="1275"/>
      <c r="HB13" s="1275"/>
      <c r="HC13" s="1275"/>
      <c r="HD13" s="1275"/>
      <c r="HE13" s="1275"/>
      <c r="HF13" s="1275"/>
      <c r="HG13" s="1275"/>
      <c r="HH13" s="1275"/>
      <c r="HI13" s="1275"/>
      <c r="HJ13" s="1275"/>
      <c r="HK13" s="1275"/>
      <c r="HL13" s="1275"/>
      <c r="HM13" s="1275"/>
      <c r="HN13" s="1275"/>
      <c r="HO13" s="1275"/>
      <c r="HP13" s="1275"/>
      <c r="HQ13" s="1275"/>
      <c r="HR13" s="1275"/>
      <c r="HS13" s="1275"/>
      <c r="HT13" s="1275"/>
      <c r="HU13" s="1275"/>
      <c r="HV13" s="1275"/>
      <c r="HW13" s="1275"/>
      <c r="HX13" s="1275"/>
      <c r="HY13" s="1275"/>
      <c r="HZ13" s="1275"/>
      <c r="IA13" s="1275"/>
      <c r="IB13" s="1275"/>
      <c r="IC13" s="1275"/>
      <c r="ID13" s="1275"/>
      <c r="IE13" s="1275"/>
      <c r="IF13" s="1275"/>
      <c r="IG13" s="1275"/>
      <c r="IH13" s="1275"/>
      <c r="II13" s="1275"/>
      <c r="IJ13" s="1275"/>
      <c r="IK13" s="1275"/>
      <c r="IL13" s="1275"/>
      <c r="IM13" s="1275"/>
      <c r="IN13" s="1275"/>
      <c r="IO13" s="1275"/>
      <c r="IP13" s="1275"/>
      <c r="IQ13" s="1275"/>
      <c r="IR13" s="1275"/>
      <c r="IS13" s="1275"/>
      <c r="IT13" s="1275"/>
      <c r="IU13" s="1275"/>
      <c r="IV13" s="1275"/>
      <c r="IW13" s="1276"/>
    </row>
    <row r="14" spans="1:257" ht="15.6">
      <c r="A14" s="1271"/>
      <c r="B14" s="2787"/>
      <c r="C14" s="2789">
        <v>45342</v>
      </c>
      <c r="D14" s="2788">
        <v>3.45</v>
      </c>
      <c r="E14" s="2788">
        <f>D14</f>
        <v>3.45</v>
      </c>
      <c r="F14" s="2788">
        <f>D14</f>
        <v>3.45</v>
      </c>
      <c r="G14" s="2788">
        <f>D14</f>
        <v>3.45</v>
      </c>
      <c r="H14" s="2788">
        <v>3.95</v>
      </c>
      <c r="I14" s="2793"/>
      <c r="J14" s="2793"/>
      <c r="K14" s="1271"/>
      <c r="L14" s="1277"/>
      <c r="M14" s="1278">
        <v>42242</v>
      </c>
      <c r="N14" s="1277">
        <v>0.35</v>
      </c>
      <c r="O14" s="1277">
        <v>1.35</v>
      </c>
      <c r="P14" s="1277">
        <v>1.55</v>
      </c>
      <c r="Q14" s="1277">
        <v>1.75</v>
      </c>
      <c r="R14" s="1277">
        <v>2.35</v>
      </c>
      <c r="S14" s="1277">
        <v>3</v>
      </c>
      <c r="T14" s="1277"/>
      <c r="U14" s="1277"/>
      <c r="V14" s="1277"/>
      <c r="W14" s="1277"/>
      <c r="X14" s="1277"/>
      <c r="Y14" s="1277"/>
      <c r="Z14" s="1277"/>
    </row>
    <row r="15" spans="1:257" ht="15.6">
      <c r="A15" s="1271"/>
      <c r="B15" s="2787"/>
      <c r="C15" s="2789">
        <v>45159</v>
      </c>
      <c r="D15" s="2788">
        <v>3.45</v>
      </c>
      <c r="E15" s="2788">
        <f>D15</f>
        <v>3.45</v>
      </c>
      <c r="F15" s="2788">
        <f>D15</f>
        <v>3.45</v>
      </c>
      <c r="G15" s="2788">
        <f>D15</f>
        <v>3.45</v>
      </c>
      <c r="H15" s="2788">
        <v>4.2</v>
      </c>
      <c r="I15" s="2793"/>
      <c r="J15" s="2793"/>
      <c r="K15" s="1271"/>
      <c r="L15" s="1277"/>
      <c r="M15" s="1278">
        <v>42183</v>
      </c>
      <c r="N15" s="1277">
        <v>0.35</v>
      </c>
      <c r="O15" s="1277">
        <v>1.6</v>
      </c>
      <c r="P15" s="1277">
        <v>1.8</v>
      </c>
      <c r="Q15" s="1277">
        <v>2</v>
      </c>
      <c r="R15" s="1277">
        <v>2.6</v>
      </c>
      <c r="S15" s="1277">
        <v>3.25</v>
      </c>
      <c r="T15" s="1277"/>
      <c r="U15" s="1277"/>
      <c r="V15" s="1277"/>
      <c r="W15" s="1277"/>
      <c r="X15" s="1277"/>
      <c r="Y15" s="1277"/>
      <c r="Z15" s="1277"/>
    </row>
    <row r="16" spans="1:257" ht="15.6">
      <c r="A16" s="1271"/>
      <c r="B16" s="2787"/>
      <c r="C16" s="2789">
        <v>45097</v>
      </c>
      <c r="D16" s="2788">
        <v>3.55</v>
      </c>
      <c r="E16" s="2788">
        <f>D16</f>
        <v>3.55</v>
      </c>
      <c r="F16" s="2788">
        <f>D16</f>
        <v>3.55</v>
      </c>
      <c r="G16" s="2788">
        <f>D16</f>
        <v>3.55</v>
      </c>
      <c r="H16" s="2788">
        <v>4.2</v>
      </c>
      <c r="I16" s="2793"/>
      <c r="J16" s="2793"/>
      <c r="K16" s="1271"/>
      <c r="L16" s="1277"/>
      <c r="M16" s="1278">
        <v>42135</v>
      </c>
      <c r="N16" s="1277">
        <v>0.35</v>
      </c>
      <c r="O16" s="1277">
        <v>1.85</v>
      </c>
      <c r="P16" s="1277">
        <v>2.0499999999999998</v>
      </c>
      <c r="Q16" s="1277">
        <v>2.25</v>
      </c>
      <c r="R16" s="1277">
        <v>2.85</v>
      </c>
      <c r="S16" s="1277">
        <v>3.5</v>
      </c>
      <c r="T16" s="1277"/>
      <c r="U16" s="1277"/>
      <c r="V16" s="1277"/>
      <c r="W16" s="1277"/>
      <c r="X16" s="1277"/>
      <c r="Y16" s="1277"/>
      <c r="Z16" s="1277"/>
    </row>
    <row r="17" spans="1:256" ht="15.6">
      <c r="A17" s="1271"/>
      <c r="B17" s="2787"/>
      <c r="C17" s="2789">
        <v>44795</v>
      </c>
      <c r="D17" s="2788">
        <v>3.65</v>
      </c>
      <c r="E17" s="2788">
        <v>3.65</v>
      </c>
      <c r="F17" s="2788">
        <v>3.65</v>
      </c>
      <c r="G17" s="2788">
        <v>3.65</v>
      </c>
      <c r="H17" s="2788">
        <v>4.3</v>
      </c>
      <c r="I17" s="2793"/>
      <c r="J17" s="2793"/>
      <c r="L17" s="1277"/>
      <c r="M17" s="1278">
        <v>42064</v>
      </c>
      <c r="N17" s="1277">
        <v>0.35</v>
      </c>
      <c r="O17" s="1277">
        <v>2.1</v>
      </c>
      <c r="P17" s="1277">
        <v>2.2999999999999998</v>
      </c>
      <c r="Q17" s="1277">
        <v>2.5</v>
      </c>
      <c r="R17" s="1277">
        <v>3.1</v>
      </c>
      <c r="S17" s="1277">
        <v>3.75</v>
      </c>
      <c r="T17" s="1277">
        <v>4.5</v>
      </c>
      <c r="U17" s="1277">
        <v>2.35</v>
      </c>
      <c r="V17" s="1277">
        <v>2.5499999999999998</v>
      </c>
      <c r="W17" s="1277">
        <v>2.75</v>
      </c>
      <c r="X17" s="1277"/>
      <c r="Y17" s="1277">
        <v>0.8</v>
      </c>
      <c r="Z17" s="1277">
        <v>1.35</v>
      </c>
    </row>
    <row r="18" spans="1:256" ht="16.8">
      <c r="A18" s="1271"/>
      <c r="B18" s="2787"/>
      <c r="C18" s="2789">
        <v>44701</v>
      </c>
      <c r="D18" s="2788">
        <v>3.7</v>
      </c>
      <c r="E18" s="2788">
        <f>D18</f>
        <v>3.7</v>
      </c>
      <c r="F18" s="2788">
        <f>D18</f>
        <v>3.7</v>
      </c>
      <c r="G18" s="2788">
        <f>D18</f>
        <v>3.7</v>
      </c>
      <c r="H18" s="2788">
        <v>4.45</v>
      </c>
      <c r="I18" s="2793"/>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5.6">
      <c r="A19" s="1271"/>
      <c r="B19" s="2787"/>
      <c r="C19" s="2789">
        <v>44581</v>
      </c>
      <c r="D19" s="2788">
        <v>3.7</v>
      </c>
      <c r="E19" s="2788">
        <f>D19</f>
        <v>3.7</v>
      </c>
      <c r="F19" s="2788">
        <f>D19</f>
        <v>3.7</v>
      </c>
      <c r="G19" s="2788">
        <f>D19</f>
        <v>3.7</v>
      </c>
      <c r="H19" s="2788">
        <v>4.5999999999999996</v>
      </c>
      <c r="I19" s="2793"/>
      <c r="J19" s="2793"/>
      <c r="K19" s="1229"/>
      <c r="L19" s="1277"/>
      <c r="M19" s="1278">
        <v>41096</v>
      </c>
      <c r="N19" s="1277">
        <v>0.35</v>
      </c>
      <c r="O19" s="1277">
        <v>2.6</v>
      </c>
      <c r="P19" s="1277">
        <v>2.8</v>
      </c>
      <c r="Q19" s="1277">
        <v>3</v>
      </c>
      <c r="R19" s="1277">
        <v>3.75</v>
      </c>
      <c r="S19" s="1277">
        <v>4.25</v>
      </c>
      <c r="T19" s="1277">
        <v>4.75</v>
      </c>
      <c r="U19" s="1277">
        <v>2.85</v>
      </c>
      <c r="V19" s="1277">
        <v>2.9</v>
      </c>
      <c r="W19" s="1277">
        <v>3</v>
      </c>
      <c r="X19" s="1277">
        <v>1.1499999999999999</v>
      </c>
      <c r="Y19" s="1277">
        <v>0.8</v>
      </c>
      <c r="Z19" s="1277">
        <v>1.35</v>
      </c>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70"/>
      <c r="BT19" s="1270"/>
      <c r="BU19" s="1270"/>
      <c r="BV19" s="1270"/>
      <c r="BW19" s="1270"/>
      <c r="BX19" s="1270"/>
      <c r="BY19" s="1270"/>
      <c r="BZ19" s="1270"/>
      <c r="CA19" s="1270"/>
      <c r="CB19" s="1270"/>
      <c r="CC19" s="1270"/>
      <c r="CD19" s="1270"/>
      <c r="CE19" s="1270"/>
      <c r="CF19" s="1270"/>
      <c r="CG19" s="1270"/>
      <c r="CH19" s="1270"/>
      <c r="CI19" s="1270"/>
      <c r="CJ19" s="1270"/>
      <c r="CK19" s="1270"/>
      <c r="CL19" s="1270"/>
      <c r="CM19" s="1270"/>
      <c r="CN19" s="1270"/>
      <c r="CO19" s="1270"/>
      <c r="CP19" s="1270"/>
      <c r="CQ19" s="1270"/>
      <c r="CR19" s="1270"/>
      <c r="CS19" s="1270"/>
      <c r="CT19" s="1270"/>
      <c r="CU19" s="1270"/>
      <c r="CV19" s="1270"/>
      <c r="CW19" s="1270"/>
      <c r="CX19" s="1270"/>
      <c r="CY19" s="1270"/>
      <c r="CZ19" s="1270"/>
      <c r="DA19" s="1270"/>
      <c r="DB19" s="1270"/>
      <c r="DC19" s="1270"/>
      <c r="DD19" s="1270"/>
      <c r="DE19" s="1270"/>
      <c r="DF19" s="1270"/>
      <c r="DG19" s="1270"/>
      <c r="DH19" s="1270"/>
      <c r="DI19" s="1270"/>
      <c r="DJ19" s="1270"/>
      <c r="DK19" s="1270"/>
      <c r="DL19" s="1270"/>
      <c r="DM19" s="1270"/>
      <c r="DN19" s="1270"/>
      <c r="DO19" s="1270"/>
      <c r="DP19" s="1270"/>
      <c r="DQ19" s="1270"/>
      <c r="DR19" s="1270"/>
      <c r="DS19" s="1270"/>
      <c r="DT19" s="1270"/>
      <c r="DU19" s="1270"/>
      <c r="DV19" s="1270"/>
      <c r="DW19" s="1270"/>
      <c r="DX19" s="1270"/>
      <c r="DY19" s="1270"/>
      <c r="DZ19" s="1270"/>
      <c r="EA19" s="1270"/>
      <c r="EB19" s="1270"/>
      <c r="EC19" s="1270"/>
      <c r="ED19" s="1270"/>
      <c r="EE19" s="1270"/>
      <c r="EF19" s="1270"/>
      <c r="EG19" s="1270"/>
      <c r="EH19" s="1270"/>
      <c r="EI19" s="1270"/>
      <c r="EJ19" s="1270"/>
      <c r="EK19" s="1270"/>
      <c r="EL19" s="1270"/>
      <c r="EM19" s="1270"/>
      <c r="EN19" s="1270"/>
      <c r="EO19" s="1270"/>
      <c r="EP19" s="1270"/>
      <c r="EQ19" s="1270"/>
      <c r="ER19" s="1270"/>
      <c r="ES19" s="1270"/>
      <c r="ET19" s="1270"/>
      <c r="EU19" s="1270"/>
      <c r="EV19" s="1270"/>
      <c r="EW19" s="1270"/>
      <c r="EX19" s="1270"/>
      <c r="EY19" s="1270"/>
      <c r="EZ19" s="1270"/>
      <c r="FA19" s="1270"/>
      <c r="FB19" s="1270"/>
      <c r="FC19" s="1270"/>
      <c r="FD19" s="1270"/>
      <c r="FE19" s="1270"/>
      <c r="FF19" s="1270"/>
      <c r="FG19" s="1270"/>
      <c r="FH19" s="1270"/>
      <c r="FI19" s="1270"/>
      <c r="FJ19" s="1270"/>
      <c r="FK19" s="1270"/>
      <c r="FL19" s="1270"/>
      <c r="FM19" s="1270"/>
      <c r="FN19" s="1270"/>
      <c r="FO19" s="1270"/>
      <c r="FP19" s="1270"/>
      <c r="FQ19" s="1270"/>
      <c r="FR19" s="1270"/>
      <c r="FS19" s="1270"/>
      <c r="FT19" s="1270"/>
      <c r="FU19" s="1270"/>
      <c r="FV19" s="1270"/>
      <c r="FW19" s="1270"/>
      <c r="FX19" s="1270"/>
      <c r="FY19" s="1270"/>
      <c r="FZ19" s="1270"/>
      <c r="GA19" s="1270"/>
      <c r="GB19" s="1270"/>
      <c r="GC19" s="1270"/>
      <c r="GD19" s="1270"/>
      <c r="GE19" s="1270"/>
      <c r="GF19" s="1270"/>
      <c r="GG19" s="1270"/>
      <c r="GH19" s="1270"/>
      <c r="GI19" s="1270"/>
      <c r="GJ19" s="1270"/>
      <c r="GK19" s="1270"/>
      <c r="GL19" s="1270"/>
      <c r="GM19" s="1270"/>
      <c r="GN19" s="1270"/>
      <c r="GO19" s="1270"/>
      <c r="GP19" s="1270"/>
      <c r="GQ19" s="1270"/>
      <c r="GR19" s="1270"/>
      <c r="GS19" s="1270"/>
      <c r="GT19" s="1270"/>
      <c r="GU19" s="1270"/>
      <c r="GV19" s="1270"/>
      <c r="GW19" s="1270"/>
      <c r="GX19" s="1270"/>
      <c r="GY19" s="1270"/>
      <c r="GZ19" s="1270"/>
      <c r="HA19" s="1270"/>
      <c r="HB19" s="1270"/>
      <c r="HC19" s="1270"/>
      <c r="HD19" s="1270"/>
      <c r="HE19" s="1270"/>
      <c r="HF19" s="1270"/>
      <c r="HG19" s="1270"/>
      <c r="HH19" s="1270"/>
      <c r="HI19" s="1270"/>
      <c r="HJ19" s="1270"/>
      <c r="HK19" s="1270"/>
      <c r="HL19" s="1270"/>
      <c r="HM19" s="1270"/>
      <c r="HN19" s="1270"/>
      <c r="HO19" s="1270"/>
      <c r="HP19" s="1270"/>
      <c r="HQ19" s="1270"/>
      <c r="HR19" s="1270"/>
      <c r="HS19" s="1270"/>
      <c r="HT19" s="1270"/>
      <c r="HU19" s="1270"/>
      <c r="HV19" s="1270"/>
      <c r="HW19" s="1270"/>
      <c r="HX19" s="1270"/>
      <c r="HY19" s="1270"/>
      <c r="HZ19" s="1270"/>
      <c r="IA19" s="1270"/>
      <c r="IB19" s="1270"/>
      <c r="IC19" s="1270"/>
      <c r="ID19" s="1270"/>
      <c r="IE19" s="1270"/>
      <c r="IF19" s="1270"/>
      <c r="IG19" s="1270"/>
      <c r="IH19" s="1270"/>
      <c r="II19" s="1270"/>
      <c r="IJ19" s="1270"/>
      <c r="IK19" s="1270"/>
      <c r="IL19" s="1270"/>
      <c r="IM19" s="1270"/>
      <c r="IN19" s="1270"/>
      <c r="IO19" s="1270"/>
      <c r="IP19" s="1270"/>
      <c r="IQ19" s="1270"/>
      <c r="IR19" s="1270"/>
      <c r="IS19" s="1270"/>
      <c r="IT19" s="1270"/>
      <c r="IU19" s="1270"/>
      <c r="IV19" s="1270"/>
    </row>
    <row r="20" spans="1:256" ht="15.6">
      <c r="A20" s="1271"/>
      <c r="B20" s="2788"/>
      <c r="C20" s="2789">
        <v>44550</v>
      </c>
      <c r="D20" s="2788">
        <v>3.8</v>
      </c>
      <c r="E20" s="2788">
        <f>D20</f>
        <v>3.8</v>
      </c>
      <c r="F20" s="2788">
        <f>D20</f>
        <v>3.8</v>
      </c>
      <c r="G20" s="2788">
        <f>D20</f>
        <v>3.8</v>
      </c>
      <c r="H20" s="2788">
        <v>4.6500000000000004</v>
      </c>
      <c r="I20" s="2788"/>
      <c r="J20" s="2793"/>
      <c r="L20" s="1277"/>
      <c r="M20" s="1278">
        <v>41068</v>
      </c>
      <c r="N20" s="1277">
        <v>0.4</v>
      </c>
      <c r="O20" s="1277">
        <v>2.85</v>
      </c>
      <c r="P20" s="1277">
        <v>3.05</v>
      </c>
      <c r="Q20" s="1277">
        <v>3.25</v>
      </c>
      <c r="R20" s="1277">
        <v>4.0999999999999996</v>
      </c>
      <c r="S20" s="1277">
        <v>4.6500000000000004</v>
      </c>
      <c r="T20" s="1277">
        <v>5.0999999999999996</v>
      </c>
      <c r="U20" s="1277">
        <v>3.1</v>
      </c>
      <c r="V20" s="1277">
        <v>3.15</v>
      </c>
      <c r="W20" s="1277">
        <v>3.25</v>
      </c>
      <c r="X20" s="1277">
        <v>1.31</v>
      </c>
      <c r="Y20" s="1277">
        <v>0.94</v>
      </c>
      <c r="Z20" s="1277">
        <v>1.49</v>
      </c>
    </row>
    <row r="21" spans="1:256" ht="15.6">
      <c r="A21" s="1271"/>
      <c r="B21" s="2788"/>
      <c r="C21" s="2789">
        <v>43941</v>
      </c>
      <c r="D21" s="2788">
        <v>3.85</v>
      </c>
      <c r="E21" s="2788">
        <v>3.85</v>
      </c>
      <c r="F21" s="2788">
        <v>3.85</v>
      </c>
      <c r="G21" s="2788">
        <v>3.85</v>
      </c>
      <c r="H21" s="2788">
        <v>4.6500000000000004</v>
      </c>
      <c r="I21" s="2788"/>
      <c r="J21" s="2788"/>
      <c r="L21" s="1277"/>
      <c r="M21" s="1278">
        <v>40731</v>
      </c>
      <c r="N21" s="1277">
        <v>0.5</v>
      </c>
      <c r="O21" s="1277">
        <v>3.1</v>
      </c>
      <c r="P21" s="1277">
        <v>3.3</v>
      </c>
      <c r="Q21" s="1277">
        <v>3.5</v>
      </c>
      <c r="R21" s="1277">
        <v>4.4000000000000004</v>
      </c>
      <c r="S21" s="1277">
        <v>5</v>
      </c>
      <c r="T21" s="1277">
        <v>5.5</v>
      </c>
      <c r="U21" s="1277">
        <v>3.1</v>
      </c>
      <c r="V21" s="1277">
        <v>3.3</v>
      </c>
      <c r="W21" s="1277">
        <v>3.5</v>
      </c>
      <c r="X21" s="1277">
        <v>1.31</v>
      </c>
      <c r="Y21" s="1277">
        <v>0.95</v>
      </c>
      <c r="Z21" s="1277">
        <v>1.49</v>
      </c>
    </row>
    <row r="22" spans="1:256" ht="15.6">
      <c r="A22" s="1271"/>
      <c r="B22" s="2788"/>
      <c r="C22" s="2789">
        <v>43881</v>
      </c>
      <c r="D22" s="2788">
        <v>4.05</v>
      </c>
      <c r="E22" s="2788">
        <v>4.05</v>
      </c>
      <c r="F22" s="2788">
        <v>4.05</v>
      </c>
      <c r="G22" s="2788">
        <v>4.05</v>
      </c>
      <c r="H22" s="2788">
        <v>4.75</v>
      </c>
      <c r="I22" s="2788"/>
      <c r="J22" s="2788"/>
      <c r="K22" s="1265"/>
      <c r="L22" s="1277"/>
      <c r="M22" s="1278">
        <v>40639</v>
      </c>
      <c r="N22" s="1277">
        <v>0.5</v>
      </c>
      <c r="O22" s="1277">
        <v>2.85</v>
      </c>
      <c r="P22" s="1277">
        <v>3.05</v>
      </c>
      <c r="Q22" s="1277">
        <v>3.25</v>
      </c>
      <c r="R22" s="1277">
        <v>4.1500000000000004</v>
      </c>
      <c r="S22" s="1277">
        <v>4.75</v>
      </c>
      <c r="T22" s="1277">
        <v>5.25</v>
      </c>
      <c r="U22" s="1277">
        <v>2.85</v>
      </c>
      <c r="V22" s="1277">
        <v>3.05</v>
      </c>
      <c r="W22" s="1277">
        <v>3.25</v>
      </c>
      <c r="X22" s="1277">
        <v>1.31</v>
      </c>
      <c r="Y22" s="1277">
        <v>0.95</v>
      </c>
      <c r="Z22" s="1277">
        <v>1.49</v>
      </c>
    </row>
    <row r="23" spans="1:256" ht="15.6">
      <c r="A23" s="2794"/>
      <c r="B23" s="2788"/>
      <c r="C23" s="2789">
        <v>43789</v>
      </c>
      <c r="D23" s="2788">
        <v>4.1500000000000004</v>
      </c>
      <c r="E23" s="2788">
        <v>4.1500000000000004</v>
      </c>
      <c r="F23" s="2788">
        <v>4.1500000000000004</v>
      </c>
      <c r="G23" s="2788">
        <v>4.1500000000000004</v>
      </c>
      <c r="H23" s="2788">
        <v>4.8</v>
      </c>
      <c r="I23" s="2788"/>
      <c r="J23" s="2788"/>
      <c r="L23" s="1277"/>
      <c r="M23" s="1278">
        <v>40583</v>
      </c>
      <c r="N23" s="1277">
        <v>0.4</v>
      </c>
      <c r="O23" s="1277">
        <v>2.6</v>
      </c>
      <c r="P23" s="1277">
        <v>2.8</v>
      </c>
      <c r="Q23" s="1277">
        <v>3</v>
      </c>
      <c r="R23" s="1277">
        <v>3.9</v>
      </c>
      <c r="S23" s="1277">
        <v>4.5</v>
      </c>
      <c r="T23" s="1277">
        <v>5</v>
      </c>
      <c r="U23" s="1277">
        <v>2.6</v>
      </c>
      <c r="V23" s="1277">
        <v>2.8</v>
      </c>
      <c r="W23" s="1277">
        <v>3</v>
      </c>
      <c r="X23" s="1277">
        <v>1.21</v>
      </c>
      <c r="Y23" s="1277">
        <v>0.85</v>
      </c>
      <c r="Z23" s="1277">
        <v>1.39</v>
      </c>
    </row>
    <row r="24" spans="1:256">
      <c r="B24" s="2788"/>
      <c r="C24" s="2789">
        <v>43728</v>
      </c>
      <c r="D24" s="2788">
        <v>4.2</v>
      </c>
      <c r="E24" s="2788">
        <v>4.2</v>
      </c>
      <c r="F24" s="2788">
        <v>4.2</v>
      </c>
      <c r="G24" s="2788">
        <v>4.2</v>
      </c>
      <c r="H24" s="2788">
        <v>4.8499999999999996</v>
      </c>
      <c r="I24" s="2788"/>
      <c r="J24" s="2788"/>
      <c r="L24" s="1277"/>
      <c r="M24" s="1278">
        <v>40538</v>
      </c>
      <c r="N24" s="1277">
        <v>0.36</v>
      </c>
      <c r="O24" s="1277">
        <v>2.25</v>
      </c>
      <c r="P24" s="1277">
        <v>2.5</v>
      </c>
      <c r="Q24" s="1277">
        <v>2.75</v>
      </c>
      <c r="R24" s="1277">
        <v>3.55</v>
      </c>
      <c r="S24" s="1277">
        <v>4.1500000000000004</v>
      </c>
      <c r="T24" s="1277">
        <v>4.55</v>
      </c>
      <c r="U24" s="1277">
        <v>2.16</v>
      </c>
      <c r="V24" s="1277">
        <v>2.5</v>
      </c>
      <c r="W24" s="1277">
        <v>2.85</v>
      </c>
      <c r="X24" s="1277">
        <v>1.17</v>
      </c>
      <c r="Y24" s="1277">
        <v>0.81</v>
      </c>
      <c r="Z24" s="1277">
        <v>1.35</v>
      </c>
    </row>
    <row r="25" spans="1:256" ht="15.6">
      <c r="B25" s="2787" t="s">
        <v>2311</v>
      </c>
      <c r="C25" s="2790">
        <v>43697</v>
      </c>
      <c r="D25" s="2791">
        <v>4.25</v>
      </c>
      <c r="E25" s="2791">
        <v>4.25</v>
      </c>
      <c r="F25" s="2791">
        <v>4.25</v>
      </c>
      <c r="G25" s="2791">
        <v>4.25</v>
      </c>
      <c r="H25" s="2791">
        <v>4.8499999999999996</v>
      </c>
      <c r="I25" s="2791"/>
      <c r="J25" s="2791"/>
      <c r="L25" s="1277"/>
      <c r="M25" s="1278">
        <v>40471</v>
      </c>
      <c r="N25" s="1277">
        <v>0.36</v>
      </c>
      <c r="O25" s="1277">
        <v>1.91</v>
      </c>
      <c r="P25" s="1277">
        <v>2.2000000000000002</v>
      </c>
      <c r="Q25" s="1277">
        <v>2.5</v>
      </c>
      <c r="R25" s="1277">
        <v>3.25</v>
      </c>
      <c r="S25" s="1277">
        <v>3.85</v>
      </c>
      <c r="T25" s="1277">
        <v>4.2</v>
      </c>
      <c r="U25" s="1277">
        <v>1.91</v>
      </c>
      <c r="V25" s="1277">
        <v>2.2000000000000002</v>
      </c>
      <c r="W25" s="1277">
        <v>2.5</v>
      </c>
      <c r="X25" s="1277">
        <v>1.17</v>
      </c>
      <c r="Y25" s="1277">
        <v>0.81</v>
      </c>
      <c r="Z25" s="1277">
        <v>1.35</v>
      </c>
    </row>
    <row r="26" spans="1:256" ht="15.6">
      <c r="B26" s="2795"/>
      <c r="C26" s="2796">
        <v>42301</v>
      </c>
      <c r="D26" s="2797">
        <v>4.3499999999999996</v>
      </c>
      <c r="E26" s="2797">
        <v>4.3499999999999996</v>
      </c>
      <c r="F26" s="2797">
        <v>4.75</v>
      </c>
      <c r="G26" s="2797">
        <v>4.75</v>
      </c>
      <c r="H26" s="2797">
        <v>4.9000000000000004</v>
      </c>
      <c r="I26" s="2797"/>
      <c r="J26" s="2797"/>
      <c r="L26" s="1277"/>
      <c r="M26" s="1278">
        <v>39805</v>
      </c>
      <c r="N26" s="1277">
        <v>0.36</v>
      </c>
      <c r="O26" s="1277">
        <v>1.71</v>
      </c>
      <c r="P26" s="1277">
        <v>1.98</v>
      </c>
      <c r="Q26" s="1277">
        <v>2.25</v>
      </c>
      <c r="R26" s="1277">
        <v>2.79</v>
      </c>
      <c r="S26" s="1277">
        <v>3.33</v>
      </c>
      <c r="T26" s="1277">
        <v>3.6</v>
      </c>
      <c r="U26" s="1277">
        <v>1.71</v>
      </c>
      <c r="V26" s="1277">
        <v>1.98</v>
      </c>
      <c r="W26" s="1277">
        <v>2.25</v>
      </c>
      <c r="X26" s="1277">
        <v>1.17</v>
      </c>
      <c r="Y26" s="1277">
        <v>0.81</v>
      </c>
      <c r="Z26" s="1277">
        <v>1.35</v>
      </c>
    </row>
    <row r="27" spans="1:256">
      <c r="B27" s="1277"/>
      <c r="C27" s="1278">
        <v>42242</v>
      </c>
      <c r="D27" s="1277">
        <v>4.5999999999999996</v>
      </c>
      <c r="E27" s="1277">
        <v>4.5999999999999996</v>
      </c>
      <c r="F27" s="1277">
        <v>5</v>
      </c>
      <c r="G27" s="1277">
        <v>5</v>
      </c>
      <c r="H27" s="1277">
        <v>5.15</v>
      </c>
      <c r="I27" s="1277">
        <v>2.75</v>
      </c>
      <c r="J27" s="1277">
        <v>3.25</v>
      </c>
      <c r="L27" s="1277"/>
      <c r="M27" s="1278">
        <v>39779</v>
      </c>
      <c r="N27" s="1277">
        <v>0.36</v>
      </c>
      <c r="O27" s="1277">
        <v>1.98</v>
      </c>
      <c r="P27" s="1277">
        <v>2.25</v>
      </c>
      <c r="Q27" s="1277">
        <v>2.52</v>
      </c>
      <c r="R27" s="1277">
        <v>3.06</v>
      </c>
      <c r="S27" s="1277">
        <v>3.6</v>
      </c>
      <c r="T27" s="1277">
        <v>3.87</v>
      </c>
      <c r="U27" s="1277">
        <v>1.98</v>
      </c>
      <c r="V27" s="1277">
        <v>2.25</v>
      </c>
      <c r="W27" s="1277">
        <v>2.52</v>
      </c>
      <c r="X27" s="1277">
        <v>1.17</v>
      </c>
      <c r="Y27" s="1277">
        <v>0.81</v>
      </c>
      <c r="Z27" s="1277">
        <v>1.35</v>
      </c>
    </row>
    <row r="28" spans="1:256">
      <c r="B28" s="1277"/>
      <c r="C28" s="1278">
        <v>42183</v>
      </c>
      <c r="D28" s="1277">
        <v>4.8499999999999996</v>
      </c>
      <c r="E28" s="1277">
        <v>4.8499999999999996</v>
      </c>
      <c r="F28" s="1277">
        <v>5.25</v>
      </c>
      <c r="G28" s="1277">
        <v>5.25</v>
      </c>
      <c r="H28" s="1277">
        <v>5.4</v>
      </c>
      <c r="I28" s="1277">
        <v>3</v>
      </c>
      <c r="J28" s="1277">
        <v>3.5</v>
      </c>
      <c r="L28" s="1277"/>
      <c r="M28" s="1278">
        <v>39751</v>
      </c>
      <c r="N28" s="1277">
        <v>0.72</v>
      </c>
      <c r="O28" s="1277">
        <v>2.88</v>
      </c>
      <c r="P28" s="1277">
        <v>3.24</v>
      </c>
      <c r="Q28" s="1277">
        <v>3.6</v>
      </c>
      <c r="R28" s="1277">
        <v>4.1399999999999997</v>
      </c>
      <c r="S28" s="1277">
        <v>4.7699999999999996</v>
      </c>
      <c r="T28" s="1277">
        <v>5.13</v>
      </c>
      <c r="U28" s="1277">
        <v>2.88</v>
      </c>
      <c r="V28" s="1277">
        <v>3.24</v>
      </c>
      <c r="W28" s="1277">
        <v>3.6</v>
      </c>
      <c r="X28" s="1277">
        <v>1.53</v>
      </c>
      <c r="Y28" s="1277">
        <v>1.17</v>
      </c>
      <c r="Z28" s="1277">
        <v>1.71</v>
      </c>
    </row>
    <row r="29" spans="1:256">
      <c r="B29" s="1277"/>
      <c r="C29" s="1278">
        <v>42135</v>
      </c>
      <c r="D29" s="1277">
        <v>5.0999999999999996</v>
      </c>
      <c r="E29" s="1277">
        <v>5.0999999999999996</v>
      </c>
      <c r="F29" s="1277">
        <v>5.5</v>
      </c>
      <c r="G29" s="1277">
        <v>5.5</v>
      </c>
      <c r="H29" s="1277">
        <v>5.65</v>
      </c>
      <c r="I29" s="1277">
        <v>3.25</v>
      </c>
      <c r="J29" s="1277">
        <v>3.75</v>
      </c>
      <c r="L29" s="1277"/>
      <c r="M29" s="1279">
        <v>39736</v>
      </c>
      <c r="N29" s="1277">
        <v>0.72</v>
      </c>
      <c r="O29" s="1277">
        <v>3.15</v>
      </c>
      <c r="P29" s="1277">
        <v>3.51</v>
      </c>
      <c r="Q29" s="1277">
        <v>3.87</v>
      </c>
      <c r="R29" s="1277">
        <v>4.41</v>
      </c>
      <c r="S29" s="1277">
        <v>5.13</v>
      </c>
      <c r="T29" s="1277">
        <v>5.58</v>
      </c>
      <c r="U29" s="1277">
        <v>3.15</v>
      </c>
      <c r="V29" s="1277">
        <v>3.51</v>
      </c>
      <c r="W29" s="1277">
        <v>3.87</v>
      </c>
      <c r="X29" s="1277">
        <v>1.53</v>
      </c>
      <c r="Y29" s="1277">
        <v>1.17</v>
      </c>
      <c r="Z29" s="1277">
        <v>1.71</v>
      </c>
    </row>
    <row r="30" spans="1:256">
      <c r="B30" s="1277"/>
      <c r="C30" s="1278">
        <v>42064</v>
      </c>
      <c r="D30" s="1277">
        <v>5.35</v>
      </c>
      <c r="E30" s="1277">
        <v>5.35</v>
      </c>
      <c r="F30" s="1277">
        <v>5.75</v>
      </c>
      <c r="G30" s="1277">
        <v>5.75</v>
      </c>
      <c r="H30" s="1277">
        <v>5.9</v>
      </c>
      <c r="I30" s="1277"/>
      <c r="J30" s="1277"/>
      <c r="L30" s="1277"/>
      <c r="M30" s="1278">
        <v>39730</v>
      </c>
      <c r="N30" s="1277">
        <v>0.72</v>
      </c>
      <c r="O30" s="1277">
        <v>3.15</v>
      </c>
      <c r="P30" s="1277">
        <v>3.51</v>
      </c>
      <c r="Q30" s="1277">
        <v>3.87</v>
      </c>
      <c r="R30" s="1277">
        <v>4.41</v>
      </c>
      <c r="S30" s="1277">
        <v>5.13</v>
      </c>
      <c r="T30" s="1277">
        <v>5.58</v>
      </c>
      <c r="U30" s="1277">
        <v>3.15</v>
      </c>
      <c r="V30" s="1277">
        <v>3.51</v>
      </c>
      <c r="W30" s="1277">
        <v>3.87</v>
      </c>
      <c r="X30" s="1277">
        <v>1.53</v>
      </c>
      <c r="Y30" s="1277">
        <v>1.17</v>
      </c>
      <c r="Z30" s="1277">
        <v>1.71</v>
      </c>
    </row>
    <row r="31" spans="1:256">
      <c r="B31" s="1277"/>
      <c r="C31" s="1278">
        <v>41965</v>
      </c>
      <c r="D31" s="1277">
        <v>5.6</v>
      </c>
      <c r="E31" s="1277">
        <v>5.6</v>
      </c>
      <c r="F31" s="1277">
        <v>6</v>
      </c>
      <c r="G31" s="1277">
        <v>6</v>
      </c>
      <c r="H31" s="1277">
        <v>6.15</v>
      </c>
      <c r="I31" s="1277"/>
      <c r="J31" s="1277"/>
      <c r="L31" s="1277"/>
      <c r="M31" s="1278">
        <v>39437</v>
      </c>
      <c r="N31" s="1277">
        <v>0.72</v>
      </c>
      <c r="O31" s="1277">
        <v>3.33</v>
      </c>
      <c r="P31" s="1277">
        <v>3.78</v>
      </c>
      <c r="Q31" s="1277">
        <v>4.1399999999999997</v>
      </c>
      <c r="R31" s="1277">
        <v>4.68</v>
      </c>
      <c r="S31" s="1277">
        <v>5.4</v>
      </c>
      <c r="T31" s="1277">
        <v>5.85</v>
      </c>
      <c r="U31" s="1277">
        <v>3.33</v>
      </c>
      <c r="V31" s="1277">
        <v>3.78</v>
      </c>
      <c r="W31" s="1277">
        <v>4.1399999999999997</v>
      </c>
      <c r="X31" s="1277">
        <v>1.53</v>
      </c>
      <c r="Y31" s="1277">
        <v>1.17</v>
      </c>
      <c r="Z31" s="1277">
        <v>1.71</v>
      </c>
    </row>
    <row r="32" spans="1:256">
      <c r="B32" s="1277"/>
      <c r="C32" s="1278">
        <v>41096</v>
      </c>
      <c r="D32" s="1277">
        <v>5.6</v>
      </c>
      <c r="E32" s="1277">
        <v>6</v>
      </c>
      <c r="F32" s="1277">
        <v>6.15</v>
      </c>
      <c r="G32" s="1277">
        <v>6.4</v>
      </c>
      <c r="H32" s="1277">
        <v>6.55</v>
      </c>
      <c r="I32" s="1277">
        <v>4</v>
      </c>
      <c r="J32" s="1277">
        <v>4.5</v>
      </c>
      <c r="L32" s="1277"/>
      <c r="M32" s="1278">
        <v>39340</v>
      </c>
      <c r="N32" s="1277">
        <v>0.81</v>
      </c>
      <c r="O32" s="1277">
        <v>2.88</v>
      </c>
      <c r="P32" s="1277">
        <v>3.42</v>
      </c>
      <c r="Q32" s="1277">
        <v>3.87</v>
      </c>
      <c r="R32" s="1277">
        <v>4.5</v>
      </c>
      <c r="S32" s="1277">
        <v>5.22</v>
      </c>
      <c r="T32" s="1277">
        <v>5.76</v>
      </c>
      <c r="U32" s="1277">
        <v>2.88</v>
      </c>
      <c r="V32" s="1277">
        <v>3.42</v>
      </c>
      <c r="W32" s="1277">
        <v>3.87</v>
      </c>
      <c r="X32" s="1277">
        <v>1.53</v>
      </c>
      <c r="Y32" s="1277">
        <v>1.17</v>
      </c>
      <c r="Z32" s="1277">
        <v>1.71</v>
      </c>
    </row>
    <row r="33" spans="2:26">
      <c r="B33" s="1277"/>
      <c r="C33" s="1278">
        <v>41068</v>
      </c>
      <c r="D33" s="1277">
        <v>5.85</v>
      </c>
      <c r="E33" s="1277">
        <v>6.31</v>
      </c>
      <c r="F33" s="1277">
        <v>6.4</v>
      </c>
      <c r="G33" s="1277">
        <v>6.65</v>
      </c>
      <c r="H33" s="1277">
        <v>6.8</v>
      </c>
      <c r="I33" s="1277">
        <v>4.2</v>
      </c>
      <c r="J33" s="1277">
        <v>4.7</v>
      </c>
      <c r="L33" s="1277"/>
      <c r="M33" s="1278">
        <v>39316</v>
      </c>
      <c r="N33" s="1277">
        <v>0.81</v>
      </c>
      <c r="O33" s="1277">
        <v>2.61</v>
      </c>
      <c r="P33" s="1277">
        <v>3.15</v>
      </c>
      <c r="Q33" s="1277">
        <v>3.6</v>
      </c>
      <c r="R33" s="1277">
        <v>4.2300000000000004</v>
      </c>
      <c r="S33" s="1277">
        <v>4.95</v>
      </c>
      <c r="T33" s="1277">
        <v>5.49</v>
      </c>
      <c r="U33" s="1277">
        <v>2.61</v>
      </c>
      <c r="V33" s="1277">
        <v>3.15</v>
      </c>
      <c r="W33" s="1277">
        <v>3.6</v>
      </c>
      <c r="X33" s="1277">
        <v>1.53</v>
      </c>
      <c r="Y33" s="1277">
        <v>1.17</v>
      </c>
      <c r="Z33" s="1277">
        <v>1.71</v>
      </c>
    </row>
    <row r="34" spans="2:26">
      <c r="B34" s="1277"/>
      <c r="C34" s="1278">
        <v>40731</v>
      </c>
      <c r="D34" s="1277">
        <v>6.1</v>
      </c>
      <c r="E34" s="1277">
        <v>6.56</v>
      </c>
      <c r="F34" s="1277">
        <v>6.65</v>
      </c>
      <c r="G34" s="1277">
        <v>6.9</v>
      </c>
      <c r="H34" s="1277">
        <v>7.05</v>
      </c>
      <c r="I34" s="1277">
        <v>4.45</v>
      </c>
      <c r="J34" s="1277">
        <v>4.9000000000000004</v>
      </c>
      <c r="L34" s="1277"/>
      <c r="M34" s="1278">
        <v>39284</v>
      </c>
      <c r="N34" s="1277">
        <v>0.81</v>
      </c>
      <c r="O34" s="1277">
        <v>2.34</v>
      </c>
      <c r="P34" s="1277">
        <v>2.88</v>
      </c>
      <c r="Q34" s="1277">
        <v>3.33</v>
      </c>
      <c r="R34" s="1277">
        <v>3.96</v>
      </c>
      <c r="S34" s="1277">
        <v>4.68</v>
      </c>
      <c r="T34" s="1277">
        <v>5.22</v>
      </c>
      <c r="U34" s="1277">
        <v>2.34</v>
      </c>
      <c r="V34" s="1277">
        <v>2.88</v>
      </c>
      <c r="W34" s="1277">
        <v>3.33</v>
      </c>
      <c r="X34" s="1277">
        <v>1.53</v>
      </c>
      <c r="Y34" s="1277">
        <v>1.17</v>
      </c>
      <c r="Z34" s="1277">
        <v>1.71</v>
      </c>
    </row>
    <row r="35" spans="2:26">
      <c r="B35" s="1277"/>
      <c r="C35" s="1278">
        <v>40639</v>
      </c>
      <c r="D35" s="1277">
        <v>5.85</v>
      </c>
      <c r="E35" s="1277">
        <v>6.31</v>
      </c>
      <c r="F35" s="1277">
        <v>6.4</v>
      </c>
      <c r="G35" s="1277">
        <v>6.65</v>
      </c>
      <c r="H35" s="1277">
        <v>6.8</v>
      </c>
      <c r="I35" s="1277">
        <v>4.2</v>
      </c>
      <c r="J35" s="1277">
        <v>4.7</v>
      </c>
      <c r="L35" s="1277"/>
      <c r="M35" s="1278">
        <v>39221</v>
      </c>
      <c r="N35" s="1277">
        <v>0.72</v>
      </c>
      <c r="O35" s="1277">
        <v>2.0699999999999998</v>
      </c>
      <c r="P35" s="1277">
        <v>2.61</v>
      </c>
      <c r="Q35" s="1277">
        <v>3.06</v>
      </c>
      <c r="R35" s="1277">
        <v>3.69</v>
      </c>
      <c r="S35" s="1277">
        <v>4.41</v>
      </c>
      <c r="T35" s="1277">
        <v>4.95</v>
      </c>
      <c r="U35" s="1277">
        <v>2.0699999999999998</v>
      </c>
      <c r="V35" s="1277">
        <v>2.61</v>
      </c>
      <c r="W35" s="1277">
        <v>3.06</v>
      </c>
      <c r="X35" s="1277">
        <v>1.44</v>
      </c>
      <c r="Y35" s="1277">
        <v>1.08</v>
      </c>
      <c r="Z35" s="1277">
        <v>1.62</v>
      </c>
    </row>
    <row r="36" spans="2:26">
      <c r="B36" s="1277"/>
      <c r="C36" s="1278">
        <v>40583</v>
      </c>
      <c r="D36" s="1277">
        <v>5.6</v>
      </c>
      <c r="E36" s="1277">
        <v>6.06</v>
      </c>
      <c r="F36" s="1277">
        <v>6.1</v>
      </c>
      <c r="G36" s="1277">
        <v>6.45</v>
      </c>
      <c r="H36" s="1277">
        <v>6.6</v>
      </c>
      <c r="I36" s="1277">
        <v>4</v>
      </c>
      <c r="J36" s="1277">
        <v>4.5</v>
      </c>
      <c r="L36" s="1277"/>
      <c r="M36" s="1278">
        <v>39159</v>
      </c>
      <c r="N36" s="1277">
        <v>0.72</v>
      </c>
      <c r="O36" s="1277">
        <v>1.98</v>
      </c>
      <c r="P36" s="1277">
        <v>2.4300000000000002</v>
      </c>
      <c r="Q36" s="1277">
        <v>2.79</v>
      </c>
      <c r="R36" s="1277">
        <v>3.33</v>
      </c>
      <c r="S36" s="1277">
        <v>3.96</v>
      </c>
      <c r="T36" s="1277">
        <v>4.41</v>
      </c>
      <c r="U36" s="1277">
        <v>1.98</v>
      </c>
      <c r="V36" s="1277">
        <v>2.4300000000000002</v>
      </c>
      <c r="W36" s="1277">
        <v>2.79</v>
      </c>
      <c r="X36" s="1277">
        <v>1.44</v>
      </c>
      <c r="Y36" s="1277">
        <v>1.08</v>
      </c>
      <c r="Z36" s="1277">
        <v>1.62</v>
      </c>
    </row>
    <row r="37" spans="2:26">
      <c r="B37" s="1277"/>
      <c r="C37" s="1278">
        <v>40538</v>
      </c>
      <c r="D37" s="1277">
        <v>5.35</v>
      </c>
      <c r="E37" s="1277">
        <v>5.81</v>
      </c>
      <c r="F37" s="1277">
        <v>5.85</v>
      </c>
      <c r="G37" s="1277">
        <v>6.22</v>
      </c>
      <c r="H37" s="1277">
        <v>6.4</v>
      </c>
      <c r="I37" s="1277">
        <v>3.75</v>
      </c>
      <c r="J37" s="1277">
        <v>4.3</v>
      </c>
      <c r="L37" s="1277"/>
      <c r="M37" s="1278">
        <v>38948</v>
      </c>
      <c r="N37" s="1277">
        <v>0.72</v>
      </c>
      <c r="O37" s="1277">
        <v>1.8</v>
      </c>
      <c r="P37" s="1277">
        <v>2.25</v>
      </c>
      <c r="Q37" s="1277">
        <v>2.52</v>
      </c>
      <c r="R37" s="1277">
        <v>3.06</v>
      </c>
      <c r="S37" s="1277">
        <v>3.69</v>
      </c>
      <c r="T37" s="1277">
        <v>4.1399999999999997</v>
      </c>
      <c r="U37" s="1277">
        <v>1.8</v>
      </c>
      <c r="V37" s="1277">
        <v>2.25</v>
      </c>
      <c r="W37" s="1277">
        <v>2.52</v>
      </c>
      <c r="X37" s="1277">
        <v>1.44</v>
      </c>
      <c r="Y37" s="1277">
        <v>1.08</v>
      </c>
      <c r="Z37" s="1277">
        <v>1.62</v>
      </c>
    </row>
    <row r="38" spans="2:26">
      <c r="B38" s="1277"/>
      <c r="C38" s="1278">
        <v>40471</v>
      </c>
      <c r="D38" s="1277">
        <v>5.0999999999999996</v>
      </c>
      <c r="E38" s="1277">
        <v>5.56</v>
      </c>
      <c r="F38" s="1277">
        <v>5.6</v>
      </c>
      <c r="G38" s="1277">
        <v>5.96</v>
      </c>
      <c r="H38" s="1277">
        <v>6.14</v>
      </c>
      <c r="I38" s="1277">
        <v>3.5</v>
      </c>
      <c r="J38" s="1277">
        <v>4.05</v>
      </c>
      <c r="L38" s="1277"/>
      <c r="M38" s="1278">
        <v>38289</v>
      </c>
      <c r="N38" s="1277">
        <v>0.72</v>
      </c>
      <c r="O38" s="1277">
        <v>1.71</v>
      </c>
      <c r="P38" s="1277">
        <v>2.0699999999999998</v>
      </c>
      <c r="Q38" s="1277">
        <v>2.25</v>
      </c>
      <c r="R38" s="1277">
        <v>2.7</v>
      </c>
      <c r="S38" s="1277">
        <v>3.24</v>
      </c>
      <c r="T38" s="1277">
        <v>3.6</v>
      </c>
      <c r="U38" s="1277">
        <v>1.71</v>
      </c>
      <c r="V38" s="1277">
        <v>2.0699999999999998</v>
      </c>
      <c r="W38" s="1277">
        <v>2.25</v>
      </c>
      <c r="X38" s="1277">
        <v>1.44</v>
      </c>
      <c r="Y38" s="1277">
        <v>1.08</v>
      </c>
      <c r="Z38" s="1277">
        <v>1.62</v>
      </c>
    </row>
    <row r="39" spans="2:26">
      <c r="B39" s="1277"/>
      <c r="C39" s="1278">
        <v>39805</v>
      </c>
      <c r="D39" s="1277">
        <v>4.8600000000000003</v>
      </c>
      <c r="E39" s="1277">
        <v>5.31</v>
      </c>
      <c r="F39" s="1277">
        <v>5.4</v>
      </c>
      <c r="G39" s="1277">
        <v>5.76</v>
      </c>
      <c r="H39" s="1277">
        <v>5.94</v>
      </c>
      <c r="I39" s="1277">
        <v>3.33</v>
      </c>
      <c r="J39" s="1277">
        <v>3.87</v>
      </c>
      <c r="L39" s="1277"/>
      <c r="M39" s="1278">
        <v>37308</v>
      </c>
      <c r="N39" s="1277">
        <v>0.72</v>
      </c>
      <c r="O39" s="1277">
        <v>1.71</v>
      </c>
      <c r="P39" s="1277">
        <v>1.89</v>
      </c>
      <c r="Q39" s="1277">
        <v>1.98</v>
      </c>
      <c r="R39" s="1277">
        <v>2.25</v>
      </c>
      <c r="S39" s="1277">
        <v>2.52</v>
      </c>
      <c r="T39" s="1277">
        <v>2.79</v>
      </c>
      <c r="U39" s="1277">
        <v>1.71</v>
      </c>
      <c r="V39" s="1277">
        <v>1.89</v>
      </c>
      <c r="W39" s="1277">
        <v>1.98</v>
      </c>
      <c r="X39" s="1277">
        <v>1.44</v>
      </c>
      <c r="Y39" s="1277">
        <v>1.08</v>
      </c>
      <c r="Z39" s="1277">
        <v>1.62</v>
      </c>
    </row>
    <row r="40" spans="2:26">
      <c r="B40" s="1277"/>
      <c r="C40" s="1278">
        <v>39779</v>
      </c>
      <c r="D40" s="1277">
        <v>5.04</v>
      </c>
      <c r="E40" s="1277">
        <v>5.58</v>
      </c>
      <c r="F40" s="1277">
        <v>5.67</v>
      </c>
      <c r="G40" s="1277">
        <v>5.94</v>
      </c>
      <c r="H40" s="1277">
        <v>6.12</v>
      </c>
      <c r="I40" s="1277">
        <v>3.51</v>
      </c>
      <c r="J40" s="1277">
        <v>4.05</v>
      </c>
      <c r="L40" s="1277"/>
      <c r="M40" s="1278">
        <v>36321</v>
      </c>
      <c r="N40" s="1277">
        <v>0.99</v>
      </c>
      <c r="O40" s="1277">
        <v>1.98</v>
      </c>
      <c r="P40" s="1277">
        <v>2.16</v>
      </c>
      <c r="Q40" s="1277">
        <v>2.25</v>
      </c>
      <c r="R40" s="1277">
        <v>2.4300000000000002</v>
      </c>
      <c r="S40" s="1277">
        <v>2.7</v>
      </c>
      <c r="T40" s="1277">
        <v>2.88</v>
      </c>
      <c r="U40" s="1277">
        <v>1.98</v>
      </c>
      <c r="V40" s="1277">
        <v>2.16</v>
      </c>
      <c r="W40" s="1277">
        <v>2.25</v>
      </c>
      <c r="X40" s="1277">
        <v>1.71</v>
      </c>
      <c r="Y40" s="1277">
        <v>1.35</v>
      </c>
      <c r="Z40" s="1277">
        <v>1.89</v>
      </c>
    </row>
    <row r="41" spans="2:26">
      <c r="B41" s="1277"/>
      <c r="C41" s="1278">
        <v>39751</v>
      </c>
      <c r="D41" s="1277">
        <v>6.03</v>
      </c>
      <c r="E41" s="1277">
        <v>6.66</v>
      </c>
      <c r="F41" s="1277">
        <v>6.75</v>
      </c>
      <c r="G41" s="1277">
        <v>7.02</v>
      </c>
      <c r="H41" s="1277">
        <v>7.2</v>
      </c>
      <c r="I41" s="1277">
        <v>4.05</v>
      </c>
      <c r="J41" s="1277">
        <v>4.59</v>
      </c>
      <c r="L41" s="1277"/>
      <c r="M41" s="1278">
        <v>36136</v>
      </c>
      <c r="N41" s="1277">
        <v>1.44</v>
      </c>
      <c r="O41" s="1277">
        <v>2.79</v>
      </c>
      <c r="P41" s="1277">
        <v>3.33</v>
      </c>
      <c r="Q41" s="1277">
        <v>3.78</v>
      </c>
      <c r="R41" s="1277">
        <v>3.96</v>
      </c>
      <c r="S41" s="1277">
        <v>4.1399999999999997</v>
      </c>
      <c r="T41" s="1277">
        <v>4.5</v>
      </c>
      <c r="U41" s="1277">
        <v>3.33</v>
      </c>
      <c r="V41" s="1277">
        <v>3.78</v>
      </c>
      <c r="W41" s="1277">
        <v>4.1399999999999997</v>
      </c>
      <c r="X41" s="1277">
        <v>2.16</v>
      </c>
      <c r="Y41" s="1277">
        <v>1.8</v>
      </c>
      <c r="Z41" s="1277">
        <v>2.34</v>
      </c>
    </row>
    <row r="42" spans="2:26">
      <c r="B42" s="1277"/>
      <c r="C42" s="1279">
        <v>39748</v>
      </c>
      <c r="D42" s="1277">
        <v>6.12</v>
      </c>
      <c r="E42" s="1277">
        <v>6.93</v>
      </c>
      <c r="F42" s="1277">
        <v>7.02</v>
      </c>
      <c r="G42" s="1277">
        <v>7.29</v>
      </c>
      <c r="H42" s="1277">
        <v>7.47</v>
      </c>
      <c r="I42" s="1277">
        <v>4.05</v>
      </c>
      <c r="J42" s="1277">
        <v>4.59</v>
      </c>
      <c r="L42" s="1277"/>
      <c r="M42" s="1278">
        <v>35977</v>
      </c>
      <c r="N42" s="1277">
        <v>1.44</v>
      </c>
      <c r="O42" s="1277">
        <v>2.79</v>
      </c>
      <c r="P42" s="1277">
        <v>3.96</v>
      </c>
      <c r="Q42" s="1277">
        <v>4.7699999999999996</v>
      </c>
      <c r="R42" s="1277">
        <v>4.8600000000000003</v>
      </c>
      <c r="S42" s="1277">
        <v>4.95</v>
      </c>
      <c r="T42" s="1277">
        <v>5.22</v>
      </c>
      <c r="U42" s="1277">
        <v>3.96</v>
      </c>
      <c r="V42" s="1277">
        <v>4.7699999999999996</v>
      </c>
      <c r="W42" s="1277">
        <v>4.95</v>
      </c>
      <c r="X42" s="1277" t="s">
        <v>633</v>
      </c>
      <c r="Y42" s="1277" t="s">
        <v>633</v>
      </c>
      <c r="Z42" s="1277" t="s">
        <v>633</v>
      </c>
    </row>
    <row r="43" spans="2:26">
      <c r="B43" s="1277"/>
      <c r="C43" s="1278">
        <v>39730</v>
      </c>
      <c r="D43" s="1277">
        <v>6.12</v>
      </c>
      <c r="E43" s="1277">
        <v>6.93</v>
      </c>
      <c r="F43" s="1277">
        <v>7.02</v>
      </c>
      <c r="G43" s="1277">
        <v>7.29</v>
      </c>
      <c r="H43" s="1277">
        <v>7.47</v>
      </c>
      <c r="I43" s="1277">
        <v>4.32</v>
      </c>
      <c r="J43" s="1277">
        <v>4.8600000000000003</v>
      </c>
      <c r="L43" s="1277"/>
      <c r="M43" s="1278">
        <v>35879</v>
      </c>
      <c r="N43" s="1277">
        <v>1.71</v>
      </c>
      <c r="O43" s="1277">
        <v>2.88</v>
      </c>
      <c r="P43" s="1277">
        <v>4.1399999999999997</v>
      </c>
      <c r="Q43" s="1277">
        <v>5.22</v>
      </c>
      <c r="R43" s="1277">
        <v>5.58</v>
      </c>
      <c r="S43" s="1277">
        <v>6.21</v>
      </c>
      <c r="T43" s="1277">
        <v>6.66</v>
      </c>
      <c r="U43" s="1277">
        <v>4.1399999999999997</v>
      </c>
      <c r="V43" s="1277">
        <v>5.22</v>
      </c>
      <c r="W43" s="1277">
        <v>6.21</v>
      </c>
      <c r="X43" s="1277" t="s">
        <v>633</v>
      </c>
      <c r="Y43" s="1277" t="s">
        <v>633</v>
      </c>
      <c r="Z43" s="1277" t="s">
        <v>633</v>
      </c>
    </row>
    <row r="44" spans="2:26">
      <c r="B44" s="1277"/>
      <c r="C44" s="1278">
        <v>39707</v>
      </c>
      <c r="D44" s="1277">
        <v>6.21</v>
      </c>
      <c r="E44" s="1277">
        <v>7.2</v>
      </c>
      <c r="F44" s="1277">
        <v>7.29</v>
      </c>
      <c r="G44" s="1277">
        <v>7.56</v>
      </c>
      <c r="H44" s="1277">
        <v>7.74</v>
      </c>
      <c r="I44" s="1277">
        <v>4.59</v>
      </c>
      <c r="J44" s="1277">
        <v>5.13</v>
      </c>
      <c r="L44" s="1277"/>
      <c r="M44" s="1278">
        <v>35726</v>
      </c>
      <c r="N44" s="1277">
        <v>1.71</v>
      </c>
      <c r="O44" s="1277">
        <v>2.88</v>
      </c>
      <c r="P44" s="1277">
        <v>4.1399999999999997</v>
      </c>
      <c r="Q44" s="1277">
        <v>5.67</v>
      </c>
      <c r="R44" s="1277">
        <v>5.94</v>
      </c>
      <c r="S44" s="1277">
        <v>6.21</v>
      </c>
      <c r="T44" s="1277">
        <v>6.66</v>
      </c>
      <c r="U44" s="1277">
        <v>4.1399999999999997</v>
      </c>
      <c r="V44" s="1277">
        <v>5.67</v>
      </c>
      <c r="W44" s="1277">
        <v>6.21</v>
      </c>
      <c r="X44" s="1277" t="s">
        <v>633</v>
      </c>
      <c r="Y44" s="1277" t="s">
        <v>633</v>
      </c>
      <c r="Z44" s="1277" t="s">
        <v>633</v>
      </c>
    </row>
    <row r="45" spans="2:26">
      <c r="B45" s="1277"/>
      <c r="C45" s="1278">
        <v>39437</v>
      </c>
      <c r="D45" s="1277">
        <v>6.57</v>
      </c>
      <c r="E45" s="1277">
        <v>7.47</v>
      </c>
      <c r="F45" s="1277">
        <v>7.56</v>
      </c>
      <c r="G45" s="1277">
        <v>7.74</v>
      </c>
      <c r="H45" s="1277">
        <v>7.83</v>
      </c>
      <c r="I45" s="1277">
        <v>4.7699999999999996</v>
      </c>
      <c r="J45" s="1277">
        <v>5.22</v>
      </c>
      <c r="L45" s="1277"/>
      <c r="M45" s="1278">
        <v>35300</v>
      </c>
      <c r="N45" s="1277">
        <v>1.98</v>
      </c>
      <c r="O45" s="1277">
        <v>3.33</v>
      </c>
      <c r="P45" s="1277">
        <v>5.4</v>
      </c>
      <c r="Q45" s="1277">
        <v>7.47</v>
      </c>
      <c r="R45" s="1277">
        <v>7.92</v>
      </c>
      <c r="S45" s="1277">
        <v>8.2799999999999994</v>
      </c>
      <c r="T45" s="1277">
        <v>9</v>
      </c>
      <c r="U45" s="1277">
        <v>5.4</v>
      </c>
      <c r="V45" s="1277">
        <v>7.47</v>
      </c>
      <c r="W45" s="1277">
        <v>8.2799999999999994</v>
      </c>
      <c r="X45" s="1277" t="s">
        <v>633</v>
      </c>
      <c r="Y45" s="1277" t="s">
        <v>633</v>
      </c>
      <c r="Z45" s="1277" t="s">
        <v>633</v>
      </c>
    </row>
    <row r="46" spans="2:26">
      <c r="B46" s="1277"/>
      <c r="C46" s="1278">
        <v>39340</v>
      </c>
      <c r="D46" s="1277">
        <v>6.48</v>
      </c>
      <c r="E46" s="1277">
        <v>7.29</v>
      </c>
      <c r="F46" s="1277">
        <v>7.47</v>
      </c>
      <c r="G46" s="1277">
        <v>7.65</v>
      </c>
      <c r="H46" s="1277">
        <v>7.83</v>
      </c>
      <c r="I46" s="1277">
        <v>4.7699999999999996</v>
      </c>
      <c r="J46" s="1277">
        <v>5.22</v>
      </c>
      <c r="L46" s="1277"/>
      <c r="M46" s="1278">
        <v>35186</v>
      </c>
      <c r="N46" s="1277">
        <v>2.97</v>
      </c>
      <c r="O46" s="1277">
        <v>4.8600000000000003</v>
      </c>
      <c r="P46" s="1277">
        <v>7.2</v>
      </c>
      <c r="Q46" s="1277">
        <v>9.18</v>
      </c>
      <c r="R46" s="1277">
        <v>9.9</v>
      </c>
      <c r="S46" s="1277">
        <v>10.8</v>
      </c>
      <c r="T46" s="1277">
        <v>12.06</v>
      </c>
      <c r="U46" s="1277">
        <v>7.2</v>
      </c>
      <c r="V46" s="1277">
        <v>9.18</v>
      </c>
      <c r="W46" s="1277">
        <v>10.8</v>
      </c>
      <c r="X46" s="1277" t="s">
        <v>633</v>
      </c>
      <c r="Y46" s="1277" t="s">
        <v>633</v>
      </c>
      <c r="Z46" s="1277" t="s">
        <v>633</v>
      </c>
    </row>
    <row r="47" spans="2:26">
      <c r="B47" s="1277"/>
      <c r="C47" s="1278">
        <v>39316</v>
      </c>
      <c r="D47" s="1277">
        <v>6.21</v>
      </c>
      <c r="E47" s="1277">
        <v>7.02</v>
      </c>
      <c r="F47" s="1277">
        <v>7.2</v>
      </c>
      <c r="G47" s="1277">
        <v>7.38</v>
      </c>
      <c r="H47" s="1277">
        <v>7.56</v>
      </c>
      <c r="I47" s="1277">
        <v>4.59</v>
      </c>
      <c r="J47" s="1277">
        <v>5.04</v>
      </c>
      <c r="L47" s="1277"/>
      <c r="M47" s="1278">
        <v>34161</v>
      </c>
      <c r="N47" s="1277">
        <v>3.15</v>
      </c>
      <c r="O47" s="1277">
        <v>6.66</v>
      </c>
      <c r="P47" s="1277">
        <v>9</v>
      </c>
      <c r="Q47" s="1277">
        <v>10.98</v>
      </c>
      <c r="R47" s="1277">
        <v>11.7</v>
      </c>
      <c r="S47" s="1277">
        <v>12.24</v>
      </c>
      <c r="T47" s="1277">
        <v>13.86</v>
      </c>
      <c r="U47" s="1277">
        <v>9</v>
      </c>
      <c r="V47" s="1277">
        <v>10.98</v>
      </c>
      <c r="W47" s="1277">
        <v>12.24</v>
      </c>
      <c r="X47" s="1277" t="s">
        <v>633</v>
      </c>
      <c r="Y47" s="1277" t="s">
        <v>633</v>
      </c>
      <c r="Z47" s="1277" t="s">
        <v>633</v>
      </c>
    </row>
    <row r="48" spans="2:26">
      <c r="B48" s="1277"/>
      <c r="C48" s="1278">
        <v>39284</v>
      </c>
      <c r="D48" s="1277">
        <v>6.03</v>
      </c>
      <c r="E48" s="1277">
        <v>6.84</v>
      </c>
      <c r="F48" s="1277">
        <v>7.02</v>
      </c>
      <c r="G48" s="1277">
        <v>7.2</v>
      </c>
      <c r="H48" s="1277">
        <v>7.38</v>
      </c>
      <c r="I48" s="1277">
        <v>4.5</v>
      </c>
      <c r="J48" s="1277">
        <v>4.95</v>
      </c>
      <c r="L48" s="1277"/>
      <c r="M48" s="1278">
        <v>34104</v>
      </c>
      <c r="N48" s="1277">
        <v>2.16</v>
      </c>
      <c r="O48" s="1277">
        <v>4.8600000000000003</v>
      </c>
      <c r="P48" s="1277">
        <v>7.2</v>
      </c>
      <c r="Q48" s="1277">
        <v>9.18</v>
      </c>
      <c r="R48" s="1277">
        <v>9.9</v>
      </c>
      <c r="S48" s="1277">
        <v>10.8</v>
      </c>
      <c r="T48" s="1277">
        <v>12.06</v>
      </c>
      <c r="U48" s="1277">
        <v>7.2</v>
      </c>
      <c r="V48" s="1277">
        <v>9.18</v>
      </c>
      <c r="W48" s="1277">
        <v>10.8</v>
      </c>
      <c r="X48" s="1277" t="s">
        <v>633</v>
      </c>
      <c r="Y48" s="1277" t="s">
        <v>633</v>
      </c>
      <c r="Z48" s="1277" t="s">
        <v>633</v>
      </c>
    </row>
    <row r="49" spans="2:26">
      <c r="B49" s="1277"/>
      <c r="C49" s="1278">
        <v>39221</v>
      </c>
      <c r="D49" s="1277">
        <v>5.85</v>
      </c>
      <c r="E49" s="1277">
        <v>6.57</v>
      </c>
      <c r="F49" s="1277">
        <v>6.75</v>
      </c>
      <c r="G49" s="1277">
        <v>6.93</v>
      </c>
      <c r="H49" s="1277">
        <v>7.2</v>
      </c>
      <c r="I49" s="1277">
        <v>4.41</v>
      </c>
      <c r="J49" s="1277">
        <v>4.8600000000000003</v>
      </c>
      <c r="L49" s="1277"/>
      <c r="M49" s="1278">
        <v>33349</v>
      </c>
      <c r="N49" s="1277">
        <v>1.8</v>
      </c>
      <c r="O49" s="1277">
        <v>3.24</v>
      </c>
      <c r="P49" s="1277">
        <v>5.4</v>
      </c>
      <c r="Q49" s="1277">
        <v>7.56</v>
      </c>
      <c r="R49" s="1277">
        <v>7.92</v>
      </c>
      <c r="S49" s="1277">
        <v>8.2799999999999994</v>
      </c>
      <c r="T49" s="1277">
        <v>9</v>
      </c>
      <c r="U49" s="1277">
        <v>6.12</v>
      </c>
      <c r="V49" s="1277">
        <v>6.84</v>
      </c>
      <c r="W49" s="1277">
        <v>7.56</v>
      </c>
      <c r="X49" s="1277" t="s">
        <v>633</v>
      </c>
      <c r="Y49" s="1277" t="s">
        <v>633</v>
      </c>
      <c r="Z49" s="1277" t="s">
        <v>633</v>
      </c>
    </row>
    <row r="50" spans="2:26">
      <c r="B50" s="1277"/>
      <c r="C50" s="1278">
        <v>39159</v>
      </c>
      <c r="D50" s="1277">
        <v>5.67</v>
      </c>
      <c r="E50" s="1277">
        <v>6.39</v>
      </c>
      <c r="F50" s="1277">
        <v>6.57</v>
      </c>
      <c r="G50" s="1277">
        <v>6.75</v>
      </c>
      <c r="H50" s="1277">
        <v>7.11</v>
      </c>
      <c r="I50" s="1277">
        <v>4.32</v>
      </c>
      <c r="J50" s="1277">
        <v>4.7699999999999996</v>
      </c>
      <c r="L50" s="1277"/>
      <c r="M50" s="1278">
        <v>33106</v>
      </c>
      <c r="N50" s="1277">
        <v>2.16</v>
      </c>
      <c r="O50" s="1277">
        <v>4.32</v>
      </c>
      <c r="P50" s="1277">
        <v>6.48</v>
      </c>
      <c r="Q50" s="1277">
        <v>8.64</v>
      </c>
      <c r="R50" s="1277">
        <v>9.36</v>
      </c>
      <c r="S50" s="1277">
        <v>10.08</v>
      </c>
      <c r="T50" s="1277">
        <v>11.52</v>
      </c>
      <c r="U50" s="1277">
        <v>7.2</v>
      </c>
      <c r="V50" s="1277">
        <v>8.64</v>
      </c>
      <c r="W50" s="1277">
        <v>10.08</v>
      </c>
      <c r="X50" s="1277" t="s">
        <v>633</v>
      </c>
      <c r="Y50" s="1277" t="s">
        <v>633</v>
      </c>
      <c r="Z50" s="1277" t="s">
        <v>633</v>
      </c>
    </row>
    <row r="51" spans="2:26">
      <c r="B51" s="1277"/>
      <c r="C51" s="1278">
        <v>38948</v>
      </c>
      <c r="D51" s="1277">
        <v>5.58</v>
      </c>
      <c r="E51" s="1277">
        <v>6.12</v>
      </c>
      <c r="F51" s="1277">
        <v>6.3</v>
      </c>
      <c r="G51" s="1277">
        <v>6.48</v>
      </c>
      <c r="H51" s="1277">
        <v>6.84</v>
      </c>
      <c r="I51" s="1277">
        <v>4.1399999999999997</v>
      </c>
      <c r="J51" s="1277">
        <v>4.59</v>
      </c>
      <c r="L51" s="1277"/>
      <c r="M51" s="1278">
        <v>32978</v>
      </c>
      <c r="N51" s="1277">
        <v>2.88</v>
      </c>
      <c r="O51" s="1277">
        <v>6.3</v>
      </c>
      <c r="P51" s="1277">
        <v>7.74</v>
      </c>
      <c r="Q51" s="1277">
        <v>10.08</v>
      </c>
      <c r="R51" s="1277">
        <v>10.98</v>
      </c>
      <c r="S51" s="1277">
        <v>11.88</v>
      </c>
      <c r="T51" s="1277">
        <v>13.68</v>
      </c>
      <c r="U51" s="1277" t="s">
        <v>633</v>
      </c>
      <c r="V51" s="1277" t="s">
        <v>633</v>
      </c>
      <c r="W51" s="1277" t="s">
        <v>633</v>
      </c>
      <c r="X51" s="1277" t="s">
        <v>633</v>
      </c>
      <c r="Y51" s="1277" t="s">
        <v>633</v>
      </c>
      <c r="Z51" s="1277" t="s">
        <v>633</v>
      </c>
    </row>
    <row r="52" spans="2:26">
      <c r="B52" s="1277"/>
      <c r="C52" s="1278">
        <v>38835</v>
      </c>
      <c r="D52" s="1277">
        <v>5.4</v>
      </c>
      <c r="E52" s="1277">
        <v>5.85</v>
      </c>
      <c r="F52" s="1277">
        <v>6.03</v>
      </c>
      <c r="G52" s="1277">
        <v>6.12</v>
      </c>
      <c r="H52" s="1277">
        <v>6.39</v>
      </c>
      <c r="I52" s="1277">
        <v>4.1399999999999997</v>
      </c>
      <c r="J52" s="1277">
        <v>4.59</v>
      </c>
      <c r="L52" s="1277"/>
      <c r="M52" s="1278"/>
      <c r="N52" s="1277"/>
      <c r="O52" s="1277"/>
      <c r="P52" s="1277"/>
      <c r="Q52" s="1277"/>
      <c r="R52" s="1277"/>
      <c r="S52" s="1277"/>
      <c r="T52" s="1277"/>
      <c r="U52" s="1277"/>
      <c r="V52" s="1277"/>
      <c r="W52" s="1277"/>
      <c r="X52" s="1277"/>
      <c r="Y52" s="1277"/>
      <c r="Z52" s="1277"/>
    </row>
    <row r="53" spans="2:26">
      <c r="B53" s="1277"/>
      <c r="C53" s="1278">
        <v>38428</v>
      </c>
      <c r="D53" s="1277">
        <v>5.22</v>
      </c>
      <c r="E53" s="1277">
        <v>5.58</v>
      </c>
      <c r="F53" s="1277">
        <v>5.76</v>
      </c>
      <c r="G53" s="1277">
        <v>5.85</v>
      </c>
      <c r="H53" s="1277">
        <v>6.12</v>
      </c>
      <c r="I53" s="1277">
        <v>3.96</v>
      </c>
      <c r="J53" s="1277">
        <v>4.41</v>
      </c>
      <c r="L53" s="1277"/>
      <c r="M53" s="1278"/>
      <c r="N53" s="1277"/>
      <c r="O53" s="1277"/>
      <c r="P53" s="1277"/>
      <c r="Q53" s="1277"/>
      <c r="R53" s="1277"/>
      <c r="S53" s="1277"/>
      <c r="T53" s="1277"/>
      <c r="U53" s="1277"/>
      <c r="V53" s="1277"/>
      <c r="W53" s="1277"/>
      <c r="X53" s="1277"/>
      <c r="Y53" s="1277"/>
      <c r="Z53" s="1277"/>
    </row>
    <row r="54" spans="2:26">
      <c r="B54" s="1277"/>
      <c r="C54" s="1278">
        <v>38289</v>
      </c>
      <c r="D54" s="1277">
        <v>5.22</v>
      </c>
      <c r="E54" s="1277">
        <v>5.58</v>
      </c>
      <c r="F54" s="1277">
        <v>5.76</v>
      </c>
      <c r="G54" s="1277">
        <v>5.85</v>
      </c>
      <c r="H54" s="1277">
        <v>6.12</v>
      </c>
      <c r="I54" s="1277">
        <v>3.78</v>
      </c>
      <c r="J54" s="1277">
        <v>4.2300000000000004</v>
      </c>
      <c r="L54" s="1277"/>
      <c r="M54" s="1278"/>
      <c r="N54" s="1277"/>
      <c r="O54" s="1277"/>
      <c r="P54" s="1277"/>
      <c r="Q54" s="1277"/>
      <c r="R54" s="1277"/>
      <c r="S54" s="1277"/>
      <c r="T54" s="1277"/>
      <c r="U54" s="1277"/>
      <c r="V54" s="1277"/>
      <c r="W54" s="1277"/>
      <c r="X54" s="1277"/>
      <c r="Y54" s="1277"/>
      <c r="Z54" s="1277"/>
    </row>
    <row r="55" spans="2:26">
      <c r="B55" s="1277"/>
      <c r="C55" s="1278">
        <v>37308</v>
      </c>
      <c r="D55" s="1277">
        <v>5.04</v>
      </c>
      <c r="E55" s="1277">
        <v>5.31</v>
      </c>
      <c r="F55" s="1277">
        <v>5.49</v>
      </c>
      <c r="G55" s="1277">
        <v>5.58</v>
      </c>
      <c r="H55" s="1277">
        <v>5.76</v>
      </c>
      <c r="I55" s="1277">
        <v>3.6</v>
      </c>
      <c r="J55" s="1277">
        <v>4.05</v>
      </c>
      <c r="L55" s="1277"/>
      <c r="M55" s="1278"/>
      <c r="N55" s="1277"/>
      <c r="O55" s="1277"/>
      <c r="P55" s="1277"/>
      <c r="Q55" s="1277"/>
      <c r="R55" s="1277"/>
      <c r="S55" s="1277"/>
      <c r="T55" s="1277"/>
      <c r="U55" s="1277"/>
      <c r="V55" s="1277"/>
      <c r="W55" s="1277"/>
      <c r="X55" s="1277"/>
      <c r="Y55" s="1277"/>
      <c r="Z55" s="1277"/>
    </row>
    <row r="56" spans="2:26">
      <c r="B56" s="1277"/>
      <c r="C56" s="1278">
        <v>36321</v>
      </c>
      <c r="D56" s="1277">
        <v>5.58</v>
      </c>
      <c r="E56" s="1277">
        <v>5.85</v>
      </c>
      <c r="F56" s="1277">
        <v>5.94</v>
      </c>
      <c r="G56" s="1277">
        <v>6.03</v>
      </c>
      <c r="H56" s="1277">
        <v>6.21</v>
      </c>
      <c r="I56" s="1277">
        <v>4.1399999999999997</v>
      </c>
      <c r="J56" s="1277">
        <v>4.59</v>
      </c>
      <c r="L56" s="1277"/>
      <c r="M56" s="1278"/>
      <c r="N56" s="1277"/>
      <c r="O56" s="1277"/>
      <c r="P56" s="1277"/>
      <c r="Q56" s="1277"/>
      <c r="R56" s="1277"/>
      <c r="S56" s="1277"/>
      <c r="T56" s="1277"/>
      <c r="U56" s="1277"/>
      <c r="V56" s="1277"/>
      <c r="W56" s="1277"/>
      <c r="X56" s="1277"/>
      <c r="Y56" s="1277"/>
      <c r="Z56" s="1277"/>
    </row>
    <row r="57" spans="2:26">
      <c r="B57" s="1277"/>
      <c r="C57" s="1278">
        <v>36136</v>
      </c>
      <c r="D57" s="1277">
        <v>6.12</v>
      </c>
      <c r="E57" s="1277">
        <v>6.39</v>
      </c>
      <c r="F57" s="1277">
        <v>6.66</v>
      </c>
      <c r="G57" s="1277">
        <v>7.2</v>
      </c>
      <c r="H57" s="1277">
        <v>7.56</v>
      </c>
      <c r="I57" s="1277">
        <v>0</v>
      </c>
      <c r="J57" s="1277">
        <v>0</v>
      </c>
      <c r="L57" s="1277"/>
      <c r="M57" s="1278"/>
      <c r="N57" s="1277"/>
      <c r="O57" s="1277"/>
      <c r="P57" s="1277"/>
      <c r="Q57" s="1277"/>
      <c r="R57" s="1277"/>
      <c r="S57" s="1277"/>
      <c r="T57" s="1277"/>
      <c r="U57" s="1277"/>
      <c r="V57" s="1277"/>
      <c r="W57" s="1277"/>
      <c r="X57" s="1277"/>
      <c r="Y57" s="1277"/>
      <c r="Z57" s="1277"/>
    </row>
    <row r="58" spans="2:26">
      <c r="B58" s="1277"/>
      <c r="C58" s="1278">
        <v>35977</v>
      </c>
      <c r="D58" s="1277">
        <v>6.57</v>
      </c>
      <c r="E58" s="1277">
        <v>6.93</v>
      </c>
      <c r="F58" s="1277">
        <v>7.11</v>
      </c>
      <c r="G58" s="1277">
        <v>7.65</v>
      </c>
      <c r="H58" s="1277">
        <v>8.01</v>
      </c>
      <c r="I58" s="1277">
        <v>0</v>
      </c>
      <c r="J58" s="1277">
        <v>0</v>
      </c>
    </row>
    <row r="59" spans="2:26">
      <c r="B59" s="1277"/>
      <c r="C59" s="1278">
        <v>35879</v>
      </c>
      <c r="D59" s="1277">
        <v>7.02</v>
      </c>
      <c r="E59" s="1277">
        <v>7.92</v>
      </c>
      <c r="F59" s="1277">
        <v>9</v>
      </c>
      <c r="G59" s="1277">
        <v>9.7200000000000006</v>
      </c>
      <c r="H59" s="1277">
        <v>10.35</v>
      </c>
      <c r="I59" s="1277">
        <v>0</v>
      </c>
      <c r="J59" s="1277">
        <v>0</v>
      </c>
    </row>
    <row r="60" spans="2:26">
      <c r="B60" s="1277"/>
      <c r="C60" s="1278">
        <v>35726</v>
      </c>
      <c r="D60" s="1277">
        <v>7.65</v>
      </c>
      <c r="E60" s="1277">
        <v>8.64</v>
      </c>
      <c r="F60" s="1277">
        <v>9.36</v>
      </c>
      <c r="G60" s="1277">
        <v>9.9</v>
      </c>
      <c r="H60" s="1277">
        <v>10.53</v>
      </c>
      <c r="I60" s="1277">
        <v>0</v>
      </c>
      <c r="J60" s="1277">
        <v>0</v>
      </c>
    </row>
    <row r="61" spans="2:26">
      <c r="B61" s="1277"/>
      <c r="C61" s="1278">
        <v>35300</v>
      </c>
      <c r="D61" s="1277">
        <v>9.18</v>
      </c>
      <c r="E61" s="1277">
        <v>10.08</v>
      </c>
      <c r="F61" s="1277">
        <v>10.98</v>
      </c>
      <c r="G61" s="1277">
        <v>11.7</v>
      </c>
      <c r="H61" s="1277">
        <v>12.42</v>
      </c>
      <c r="I61" s="1277">
        <v>0</v>
      </c>
      <c r="J61" s="1277">
        <v>0</v>
      </c>
    </row>
    <row r="62" spans="2:26">
      <c r="B62" s="1277"/>
      <c r="C62" s="1278">
        <v>35186</v>
      </c>
      <c r="D62" s="1277">
        <v>9.7200000000000006</v>
      </c>
      <c r="E62" s="1277">
        <v>10.98</v>
      </c>
      <c r="F62" s="1277">
        <v>13.14</v>
      </c>
      <c r="G62" s="1277">
        <v>14.94</v>
      </c>
      <c r="H62" s="1277">
        <v>15.12</v>
      </c>
      <c r="I62" s="1277">
        <v>0</v>
      </c>
      <c r="J62" s="1277">
        <v>0</v>
      </c>
    </row>
    <row r="63" spans="2:26">
      <c r="B63" s="1277"/>
      <c r="C63" s="1278">
        <v>34881</v>
      </c>
      <c r="D63" s="1277">
        <v>10.08</v>
      </c>
      <c r="E63" s="1277">
        <v>12.06</v>
      </c>
      <c r="F63" s="1277">
        <v>13.5</v>
      </c>
      <c r="G63" s="1277">
        <v>15.12</v>
      </c>
      <c r="H63" s="1277">
        <v>15.3</v>
      </c>
      <c r="I63" s="1277">
        <v>0</v>
      </c>
      <c r="J63" s="1277">
        <v>0</v>
      </c>
    </row>
    <row r="64" spans="2:26">
      <c r="B64" s="1277"/>
      <c r="C64" s="1278">
        <v>34700</v>
      </c>
      <c r="D64" s="1277">
        <v>9</v>
      </c>
      <c r="E64" s="1277">
        <v>10.98</v>
      </c>
      <c r="F64" s="1277">
        <v>12.96</v>
      </c>
      <c r="G64" s="1277">
        <v>14.58</v>
      </c>
      <c r="H64" s="1277">
        <v>14.76</v>
      </c>
      <c r="I64" s="1277">
        <v>0</v>
      </c>
      <c r="J64" s="1277">
        <v>0</v>
      </c>
    </row>
    <row r="65" spans="2:10">
      <c r="B65" s="1277"/>
      <c r="C65" s="1278">
        <v>34161</v>
      </c>
      <c r="D65" s="1277">
        <v>9</v>
      </c>
      <c r="E65" s="1277">
        <v>10.98</v>
      </c>
      <c r="F65" s="1277">
        <v>12.24</v>
      </c>
      <c r="G65" s="1277">
        <v>13.86</v>
      </c>
      <c r="H65" s="1277">
        <v>14.04</v>
      </c>
      <c r="I65" s="1277">
        <v>0</v>
      </c>
      <c r="J65" s="1277">
        <v>0</v>
      </c>
    </row>
    <row r="66" spans="2:10">
      <c r="B66" s="1277"/>
      <c r="C66" s="1278">
        <v>34104</v>
      </c>
      <c r="D66" s="1277">
        <v>8.82</v>
      </c>
      <c r="E66" s="1277">
        <v>9.36</v>
      </c>
      <c r="F66" s="1277">
        <v>10.8</v>
      </c>
      <c r="G66" s="1277">
        <v>12.06</v>
      </c>
      <c r="H66" s="1277">
        <v>12.24</v>
      </c>
      <c r="I66" s="1277">
        <v>0</v>
      </c>
      <c r="J66" s="1277">
        <v>0</v>
      </c>
    </row>
    <row r="67" spans="2:10">
      <c r="B67" s="1277"/>
      <c r="C67" s="1278">
        <v>33349</v>
      </c>
      <c r="D67" s="1277">
        <v>8.1</v>
      </c>
      <c r="E67" s="1277">
        <v>8.64</v>
      </c>
      <c r="F67" s="1277">
        <v>9</v>
      </c>
      <c r="G67" s="1277">
        <v>9.5399999999999991</v>
      </c>
      <c r="H67" s="1277">
        <v>9.7200000000000006</v>
      </c>
      <c r="I67" s="1277">
        <v>0</v>
      </c>
      <c r="J67" s="1277">
        <v>0</v>
      </c>
    </row>
    <row r="68" spans="2:10">
      <c r="B68" s="1277"/>
      <c r="C68" s="1278">
        <v>33318</v>
      </c>
      <c r="D68" s="1277">
        <v>9</v>
      </c>
      <c r="E68" s="1277">
        <v>10.08</v>
      </c>
      <c r="F68" s="1277">
        <v>10.8</v>
      </c>
      <c r="G68" s="1277">
        <v>11.52</v>
      </c>
      <c r="H68" s="1277">
        <v>11.88</v>
      </c>
      <c r="I68" s="1277" t="s">
        <v>633</v>
      </c>
      <c r="J68" s="1277" t="s">
        <v>633</v>
      </c>
    </row>
    <row r="69" spans="2:10">
      <c r="B69" s="1277"/>
      <c r="C69" s="1278">
        <v>33106</v>
      </c>
      <c r="D69" s="1277">
        <v>8.64</v>
      </c>
      <c r="E69" s="1277">
        <v>9.36</v>
      </c>
      <c r="F69" s="1277">
        <v>10.08</v>
      </c>
      <c r="G69" s="1277">
        <v>10.8</v>
      </c>
      <c r="H69" s="1277">
        <v>11.16</v>
      </c>
      <c r="I69" s="1277">
        <v>0</v>
      </c>
      <c r="J69" s="1277">
        <v>0</v>
      </c>
    </row>
    <row r="70" spans="2:10">
      <c r="B70" s="1277"/>
      <c r="C70" s="1278">
        <v>32540</v>
      </c>
      <c r="D70" s="1277">
        <v>11.34</v>
      </c>
      <c r="E70" s="1277">
        <v>11.34</v>
      </c>
      <c r="F70" s="1277">
        <v>12.78</v>
      </c>
      <c r="G70" s="1277">
        <v>14.4</v>
      </c>
      <c r="H70" s="1277">
        <v>19.260000000000002</v>
      </c>
      <c r="I70" s="1277">
        <v>0</v>
      </c>
      <c r="J70" s="1277">
        <v>0</v>
      </c>
    </row>
    <row r="71" spans="2:10">
      <c r="B71" s="1277"/>
      <c r="C71" s="1278"/>
      <c r="D71" s="1277"/>
      <c r="E71" s="1277"/>
      <c r="F71" s="1277"/>
      <c r="G71" s="1277"/>
      <c r="H71" s="1277"/>
      <c r="I71" s="1277"/>
      <c r="J71" s="1277"/>
    </row>
    <row r="72" spans="2:10">
      <c r="B72" s="1280"/>
      <c r="C72" s="1281"/>
      <c r="D72" s="1280"/>
      <c r="E72" s="1280"/>
      <c r="F72" s="1280"/>
      <c r="G72" s="1280"/>
      <c r="H72" s="1280"/>
      <c r="I72" s="1280"/>
      <c r="J72" s="1280"/>
    </row>
    <row r="73" spans="2:10">
      <c r="B73" s="1280"/>
      <c r="C73" s="1281"/>
      <c r="D73" s="1280"/>
      <c r="E73" s="1280"/>
      <c r="F73" s="1280"/>
      <c r="G73" s="1280"/>
      <c r="H73" s="1280"/>
      <c r="I73" s="1280"/>
      <c r="J73" s="1280"/>
    </row>
    <row r="74" spans="2:10">
      <c r="B74" s="1280"/>
      <c r="C74" s="1281"/>
      <c r="D74" s="1280"/>
      <c r="E74" s="1280"/>
      <c r="F74" s="1280"/>
      <c r="G74" s="1280"/>
      <c r="H74" s="1280"/>
      <c r="I74" s="1280"/>
      <c r="J74" s="1280"/>
    </row>
    <row r="75" spans="2:10">
      <c r="B75" s="1229"/>
      <c r="C75" s="1229"/>
      <c r="D75" s="1229"/>
      <c r="E75" s="1229"/>
      <c r="F75" s="1229"/>
      <c r="G75" s="1229"/>
      <c r="H75" s="1229"/>
      <c r="I75" s="1229"/>
      <c r="J75" s="1229"/>
    </row>
    <row r="76" spans="2:10">
      <c r="B76" s="1229"/>
      <c r="C76" s="1229"/>
      <c r="D76" s="1229"/>
      <c r="E76" s="1229"/>
      <c r="F76" s="1229"/>
      <c r="G76" s="1229"/>
      <c r="H76" s="1229"/>
      <c r="I76" s="1229"/>
      <c r="J76" s="122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4" customWidth="1"/>
    <col min="2" max="9" width="12.109375" style="1464" customWidth="1"/>
    <col min="10" max="16384" width="9" style="1464"/>
  </cols>
  <sheetData>
    <row r="1" spans="1:9" ht="18" thickBot="1">
      <c r="A1" s="3968" t="str">
        <f>IF(项目基本情况!B9="房地产市场价值","估价结果一览表","结果表-2")</f>
        <v>估价结果一览表</v>
      </c>
      <c r="B1" s="3968"/>
      <c r="C1" s="3968"/>
      <c r="D1" s="3968"/>
      <c r="E1" s="3968"/>
      <c r="F1" s="3968"/>
      <c r="G1" s="3968"/>
      <c r="H1" s="3968"/>
      <c r="I1" s="3968"/>
    </row>
    <row r="2" spans="1:9" ht="30" customHeight="1" thickTop="1">
      <c r="A2" s="3969" t="s">
        <v>928</v>
      </c>
      <c r="B2" s="3969" t="s">
        <v>929</v>
      </c>
      <c r="C2" s="3969" t="s">
        <v>930</v>
      </c>
      <c r="D2" s="3969" t="str">
        <f>结果表!D116</f>
        <v>出让国有建设用地使用权价值</v>
      </c>
      <c r="E2" s="3969"/>
      <c r="F2" s="3969" t="str">
        <f>结果表!F116</f>
        <v>在建建筑物价值</v>
      </c>
      <c r="G2" s="3969"/>
      <c r="H2" s="3969" t="str">
        <f>IF(项目基本情况!B9="房地产市场价值","房地产市场价值","房地产价值")</f>
        <v>房地产市场价值</v>
      </c>
      <c r="I2" s="3969"/>
    </row>
    <row r="3" spans="1:9" ht="15.6">
      <c r="A3" s="3964"/>
      <c r="B3" s="3964"/>
      <c r="C3" s="3964"/>
      <c r="D3" s="844" t="s">
        <v>925</v>
      </c>
      <c r="E3" s="844" t="s">
        <v>931</v>
      </c>
      <c r="F3" s="844" t="s">
        <v>925</v>
      </c>
      <c r="G3" s="844" t="s">
        <v>926</v>
      </c>
      <c r="H3" s="844" t="s">
        <v>925</v>
      </c>
      <c r="I3" s="844" t="s">
        <v>926</v>
      </c>
    </row>
    <row r="4" spans="1:9" ht="15">
      <c r="A4" s="1492" t="str">
        <f>项目基本情况!S2</f>
        <v>北京市房地产</v>
      </c>
      <c r="B4" s="844">
        <f>项目基本情况!C17</f>
        <v>88.78</v>
      </c>
      <c r="C4" s="844">
        <f>项目基本情况!C18</f>
        <v>0</v>
      </c>
      <c r="D4" s="844" t="e">
        <f ca="1">结果表!D118</f>
        <v>#REF!</v>
      </c>
      <c r="E4" s="844" t="e">
        <f ca="1">结果表!E118</f>
        <v>#REF!</v>
      </c>
      <c r="F4" s="844" t="e">
        <f ca="1">结果表!F118</f>
        <v>#REF!</v>
      </c>
      <c r="G4" s="844" t="e">
        <f ca="1">结果表!G118</f>
        <v>#REF!</v>
      </c>
      <c r="H4" s="844" t="e">
        <f ca="1">结果表!H118</f>
        <v>#REF!</v>
      </c>
      <c r="I4" s="844" t="e">
        <f ca="1">结果表!I118</f>
        <v>#REF!</v>
      </c>
    </row>
    <row r="5" spans="1:9" ht="30" customHeight="1">
      <c r="A5" s="3964" t="s">
        <v>927</v>
      </c>
      <c r="B5" s="3964"/>
      <c r="C5" s="3964"/>
      <c r="D5" s="3964" t="e">
        <f ca="1">结果表!D119</f>
        <v>#REF!</v>
      </c>
      <c r="E5" s="3964"/>
      <c r="F5" s="3964" t="e">
        <f ca="1">结果表!F119</f>
        <v>#REF!</v>
      </c>
      <c r="G5" s="3964"/>
      <c r="H5" s="3964" t="e">
        <f ca="1">结果表!H119</f>
        <v>#REF!</v>
      </c>
      <c r="I5" s="3964"/>
    </row>
    <row r="6" spans="1:9" ht="15.6">
      <c r="A6" s="3963" t="str">
        <f>结果表!A120</f>
        <v/>
      </c>
      <c r="B6" s="3963"/>
      <c r="C6" s="3963"/>
      <c r="D6" s="3963">
        <f>结果表!D120</f>
        <v>0</v>
      </c>
      <c r="E6" s="3963"/>
      <c r="F6" s="3963"/>
      <c r="G6" s="3963"/>
      <c r="H6" s="3963"/>
      <c r="I6" s="3963"/>
    </row>
    <row r="7" spans="1:9" ht="15">
      <c r="A7" s="3964" t="s">
        <v>927</v>
      </c>
      <c r="B7" s="3964"/>
      <c r="C7" s="3964"/>
      <c r="D7" s="3965" t="str">
        <f>结果表!D121</f>
        <v>零元整</v>
      </c>
      <c r="E7" s="3966"/>
      <c r="F7" s="3966"/>
      <c r="G7" s="3966"/>
      <c r="H7" s="3966"/>
      <c r="I7" s="3967"/>
    </row>
    <row r="8" spans="1:9" ht="15.6">
      <c r="A8" s="3963" t="str">
        <f>结果表!A122</f>
        <v/>
      </c>
      <c r="B8" s="3963"/>
      <c r="C8" s="3963"/>
      <c r="D8" s="3963" t="e">
        <f ca="1">结果表!D122</f>
        <v>#REF!</v>
      </c>
      <c r="E8" s="3963"/>
      <c r="F8" s="3963"/>
      <c r="G8" s="3963"/>
      <c r="H8" s="3963"/>
      <c r="I8" s="3963"/>
    </row>
    <row r="9" spans="1:9" ht="15">
      <c r="A9" s="3964" t="s">
        <v>927</v>
      </c>
      <c r="B9" s="3964"/>
      <c r="C9" s="3964"/>
      <c r="D9" s="3964" t="e">
        <f ca="1">结果表!D123</f>
        <v>#REF!</v>
      </c>
      <c r="E9" s="3964"/>
      <c r="F9" s="3964"/>
      <c r="G9" s="3964"/>
      <c r="H9" s="3964"/>
      <c r="I9" s="3964"/>
    </row>
    <row r="10" spans="1:9" ht="15.6">
      <c r="A10" s="3963" t="str">
        <f>结果表!A124</f>
        <v/>
      </c>
      <c r="B10" s="3963"/>
      <c r="C10" s="3963"/>
      <c r="D10" s="3963" t="str">
        <f>结果表!D124</f>
        <v>——</v>
      </c>
      <c r="E10" s="3963"/>
      <c r="F10" s="3963"/>
      <c r="G10" s="3963"/>
      <c r="H10" s="3963"/>
      <c r="I10" s="3963"/>
    </row>
    <row r="11" spans="1:9" ht="15">
      <c r="A11" s="3964" t="s">
        <v>927</v>
      </c>
      <c r="B11" s="3964"/>
      <c r="C11" s="3964"/>
      <c r="D11" s="3964" t="e">
        <f>结果表!D125</f>
        <v>#VALUE!</v>
      </c>
      <c r="E11" s="3964"/>
      <c r="F11" s="3964"/>
      <c r="G11" s="3964"/>
      <c r="H11" s="3964"/>
      <c r="I11" s="3964"/>
    </row>
    <row r="12" spans="1:9" ht="15.6">
      <c r="A12" s="3963" t="str">
        <f>结果表!A126</f>
        <v/>
      </c>
      <c r="B12" s="3963"/>
      <c r="C12" s="3963"/>
      <c r="D12" s="3963" t="str">
        <f>结果表!D126</f>
        <v>——</v>
      </c>
      <c r="E12" s="3963"/>
      <c r="F12" s="3963"/>
      <c r="G12" s="3963"/>
      <c r="H12" s="3963"/>
      <c r="I12" s="3963"/>
    </row>
    <row r="13" spans="1:9" ht="15.6" thickBot="1">
      <c r="A13" s="3961" t="s">
        <v>927</v>
      </c>
      <c r="B13" s="3961"/>
      <c r="C13" s="3961"/>
      <c r="D13" s="3961" t="e">
        <f>结果表!D127</f>
        <v>#VALUE!</v>
      </c>
      <c r="E13" s="3961"/>
      <c r="F13" s="3961"/>
      <c r="G13" s="3961"/>
      <c r="H13" s="3961"/>
      <c r="I13" s="3961"/>
    </row>
    <row r="14" spans="1:9" ht="14.4" thickTop="1">
      <c r="A14" s="3962" t="s">
        <v>932</v>
      </c>
      <c r="B14" s="3962"/>
      <c r="C14" s="3962"/>
      <c r="D14" s="3962"/>
      <c r="E14" s="3962"/>
      <c r="F14" s="3962"/>
      <c r="G14" s="3962"/>
      <c r="H14" s="3962"/>
      <c r="I14" s="3962"/>
    </row>
    <row r="16" spans="1:9" ht="17.399999999999999">
      <c r="A16" s="1493" t="s">
        <v>915</v>
      </c>
      <c r="B16" s="1476"/>
      <c r="C16" s="1476"/>
      <c r="D16" s="1476"/>
      <c r="E16" s="1476"/>
      <c r="F16" s="1476"/>
      <c r="G16" s="1476"/>
      <c r="H16" s="1476"/>
      <c r="I16" s="1476"/>
    </row>
    <row r="17" spans="1:9">
      <c r="A17" s="1476"/>
      <c r="B17" s="1476"/>
      <c r="C17" s="1476"/>
      <c r="D17" s="1476"/>
      <c r="E17" s="1476"/>
      <c r="F17" s="1476"/>
      <c r="G17" s="1476"/>
      <c r="H17" s="1476"/>
      <c r="I17" s="1476"/>
    </row>
    <row r="18" spans="1:9">
      <c r="A18" s="1476"/>
      <c r="B18" s="1476"/>
      <c r="C18" s="1476"/>
      <c r="D18" s="1476"/>
      <c r="E18" s="1476"/>
      <c r="F18" s="1476"/>
      <c r="G18" s="1476"/>
      <c r="H18" s="1476"/>
      <c r="I18" s="1476"/>
    </row>
    <row r="19" spans="1:9">
      <c r="A19" s="1476"/>
      <c r="B19" s="1476"/>
      <c r="C19" s="1476"/>
      <c r="D19" s="1476"/>
      <c r="E19" s="1476"/>
      <c r="F19" s="1476"/>
      <c r="G19" s="1476"/>
      <c r="H19" s="1476"/>
      <c r="I19" s="1476"/>
    </row>
    <row r="20" spans="1:9">
      <c r="A20" s="1476"/>
      <c r="B20" s="1476"/>
      <c r="C20" s="1476"/>
      <c r="D20" s="1476"/>
      <c r="E20" s="1476"/>
      <c r="F20" s="1476"/>
      <c r="G20" s="1476"/>
      <c r="H20" s="1476"/>
      <c r="I20" s="1476"/>
    </row>
    <row r="21" spans="1:9">
      <c r="A21" s="1476"/>
      <c r="B21" s="1476"/>
      <c r="C21" s="1476"/>
      <c r="D21" s="1476"/>
      <c r="E21" s="1476"/>
      <c r="F21" s="1476"/>
      <c r="G21" s="1476"/>
      <c r="H21" s="1476"/>
      <c r="I21" s="1476"/>
    </row>
    <row r="22" spans="1:9">
      <c r="A22" s="1476"/>
      <c r="B22" s="1476"/>
      <c r="C22" s="1476"/>
      <c r="D22" s="1476"/>
      <c r="E22" s="1476"/>
      <c r="F22" s="1476"/>
      <c r="G22" s="1476"/>
      <c r="H22" s="1476"/>
      <c r="I22" s="14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4" customWidth="1"/>
    <col min="2" max="3" width="22.33203125" style="1464" customWidth="1"/>
    <col min="4" max="4" width="23" style="1464" customWidth="1"/>
    <col min="5" max="16384" width="9" style="1464"/>
  </cols>
  <sheetData>
    <row r="1" spans="1:4" ht="17.399999999999999">
      <c r="A1" s="3976" t="s">
        <v>949</v>
      </c>
      <c r="B1" s="3976"/>
      <c r="C1" s="3976"/>
      <c r="D1" s="3976"/>
    </row>
    <row r="2" spans="1:4" ht="17.399999999999999">
      <c r="A2" s="3977" t="s">
        <v>933</v>
      </c>
      <c r="B2" s="3977"/>
      <c r="C2" s="3977"/>
      <c r="D2" s="3977"/>
    </row>
    <row r="3" spans="1:4" ht="17.399999999999999">
      <c r="A3" s="1496" t="s">
        <v>934</v>
      </c>
      <c r="B3" s="1496" t="s">
        <v>935</v>
      </c>
      <c r="C3" s="1496" t="s">
        <v>936</v>
      </c>
      <c r="D3" s="1496" t="s">
        <v>937</v>
      </c>
    </row>
    <row r="4" spans="1:4" ht="56.25" customHeight="1">
      <c r="A4" s="1497">
        <f>项目基本情况!B4</f>
        <v>0</v>
      </c>
      <c r="B4" s="1498">
        <f>项目基本情况!C4</f>
        <v>0</v>
      </c>
      <c r="C4" s="1499"/>
      <c r="D4" s="1500" t="s">
        <v>938</v>
      </c>
    </row>
    <row r="5" spans="1:4" ht="56.25" customHeight="1">
      <c r="A5" s="1497">
        <f>项目基本情况!D4</f>
        <v>0</v>
      </c>
      <c r="B5" s="1498">
        <f>项目基本情况!E4</f>
        <v>0</v>
      </c>
      <c r="C5" s="1501"/>
      <c r="D5" s="1500" t="s">
        <v>938</v>
      </c>
    </row>
    <row r="6" spans="1:4" ht="17.399999999999999">
      <c r="A6" s="3977" t="s">
        <v>939</v>
      </c>
      <c r="B6" s="3977"/>
      <c r="C6" s="3977"/>
      <c r="D6" s="3977"/>
    </row>
    <row r="7" spans="1:4" ht="17.399999999999999">
      <c r="A7" s="1496" t="s">
        <v>934</v>
      </c>
      <c r="B7" s="1498" t="s">
        <v>940</v>
      </c>
      <c r="C7" s="1496" t="s">
        <v>936</v>
      </c>
      <c r="D7" s="1496" t="s">
        <v>937</v>
      </c>
    </row>
    <row r="8" spans="1:4" ht="56.25" customHeight="1">
      <c r="A8" s="1502" t="s">
        <v>390</v>
      </c>
      <c r="B8" s="1502" t="s">
        <v>0</v>
      </c>
      <c r="C8" s="1499"/>
      <c r="D8" s="1500" t="s">
        <v>938</v>
      </c>
    </row>
    <row r="9" spans="1:4">
      <c r="A9" s="667"/>
      <c r="B9" s="667"/>
      <c r="C9" s="667"/>
      <c r="D9" s="667"/>
    </row>
    <row r="10" spans="1:4" ht="17.399999999999999">
      <c r="A10" s="1503" t="s">
        <v>941</v>
      </c>
      <c r="B10" s="667"/>
      <c r="C10" s="667"/>
      <c r="D10" s="667"/>
    </row>
    <row r="11" spans="1:4" ht="30" customHeight="1">
      <c r="A11" s="3978" t="s">
        <v>942</v>
      </c>
      <c r="B11" s="3970"/>
      <c r="C11" s="3970"/>
      <c r="D11" s="3970"/>
    </row>
    <row r="12" spans="1:4" ht="15.6">
      <c r="A12" s="39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75"/>
      <c r="C12" s="3975"/>
      <c r="D12" s="3975"/>
    </row>
    <row r="13" spans="1:4" ht="30" customHeight="1">
      <c r="A13" s="3970" t="str">
        <f>IF(项目基本情况!B8="抵押","3.抵押双方在办理抵押登记手续时，应使用本公司出具的正式《房地产评估报告》，特提醒报告使用者注意。","——")</f>
        <v>——</v>
      </c>
      <c r="B13" s="3975"/>
      <c r="C13" s="3975"/>
      <c r="D13" s="3975"/>
    </row>
    <row r="14" spans="1:4" ht="15.75" customHeight="1">
      <c r="A14" s="3970" t="str">
        <f>IF(项目基本情况!B8="抵押","4.本次评估估价师所知悉的法定优先受偿款情况说明如下：","——")</f>
        <v>——</v>
      </c>
      <c r="B14" s="3975"/>
      <c r="C14" s="3975"/>
      <c r="D14" s="3975"/>
    </row>
    <row r="15" spans="1:4" ht="42" customHeight="1">
      <c r="A15" s="3970" t="str">
        <f>IF(项目基本情况!B8="抵押","（1）"&amp;CONCATENATE(项目基本情况!L20,项目基本情况!L21,项目基本情况!L22),"——")</f>
        <v>——</v>
      </c>
      <c r="B15" s="3970"/>
      <c r="C15" s="3970"/>
      <c r="D15" s="3970"/>
    </row>
    <row r="16" spans="1:4" ht="30" customHeight="1">
      <c r="A16" s="3972" t="s">
        <v>943</v>
      </c>
      <c r="B16" s="3972"/>
      <c r="C16" s="3972"/>
      <c r="D16" s="3972"/>
    </row>
    <row r="17" spans="1:4" ht="144" customHeight="1">
      <c r="A17" s="3972" t="s">
        <v>944</v>
      </c>
      <c r="B17" s="3972"/>
      <c r="C17" s="3972"/>
      <c r="D17" s="3972"/>
    </row>
    <row r="18" spans="1:4" ht="15.75" customHeight="1">
      <c r="A18" s="3970" t="str">
        <f>IF(项目基本情况!B8="抵押",结果表!K120,"——")</f>
        <v>——</v>
      </c>
      <c r="B18" s="3970"/>
      <c r="C18" s="3970"/>
      <c r="D18" s="3970"/>
    </row>
    <row r="19" spans="1:4" ht="46.5" customHeight="1">
      <c r="A19" s="39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70"/>
      <c r="C19" s="3970"/>
      <c r="D19" s="3970"/>
    </row>
    <row r="20" spans="1:4" ht="57.75" customHeight="1">
      <c r="A20" s="39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70"/>
      <c r="C20" s="3970"/>
      <c r="D20" s="3970"/>
    </row>
    <row r="21" spans="1:4" ht="57.75" customHeight="1">
      <c r="A21" s="39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73"/>
      <c r="C21" s="3973"/>
      <c r="D21" s="3973"/>
    </row>
    <row r="22" spans="1:4" ht="18.75" customHeight="1">
      <c r="A22" s="3974" t="s">
        <v>945</v>
      </c>
      <c r="B22" s="3974"/>
      <c r="C22" s="3974"/>
      <c r="D22" s="3974"/>
    </row>
    <row r="23" spans="1:4">
      <c r="A23" s="1504"/>
      <c r="B23" s="1476"/>
      <c r="C23" s="1476"/>
      <c r="D23" s="1476"/>
    </row>
    <row r="24" spans="1:4">
      <c r="A24" s="1504"/>
      <c r="B24" s="1476"/>
      <c r="C24" s="1476"/>
      <c r="D24" s="1476"/>
    </row>
    <row r="25" spans="1:4" ht="17.399999999999999">
      <c r="A25" s="1505" t="s">
        <v>946</v>
      </c>
    </row>
    <row r="26" spans="1:4" ht="17.399999999999999">
      <c r="A26" s="1474"/>
    </row>
    <row r="27" spans="1:4" ht="17.399999999999999">
      <c r="A27" s="1474" t="s">
        <v>947</v>
      </c>
    </row>
    <row r="30" spans="1:4" ht="17.399999999999999">
      <c r="D30" s="1505" t="s">
        <v>948</v>
      </c>
    </row>
    <row r="31" spans="1:4" ht="13.5" customHeight="1">
      <c r="C31" s="3971">
        <v>42551</v>
      </c>
      <c r="D31" s="39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2" customWidth="1"/>
    <col min="3" max="10" width="12.44140625" style="1462" customWidth="1"/>
    <col min="11" max="16384" width="9" style="1462"/>
  </cols>
  <sheetData>
    <row r="1" spans="1:10" ht="17.399999999999999">
      <c r="A1" s="1495" t="s">
        <v>391</v>
      </c>
      <c r="B1" s="1506"/>
      <c r="C1" s="1506"/>
      <c r="D1" s="1506"/>
      <c r="E1" s="1506"/>
      <c r="F1" s="1506"/>
      <c r="G1" s="1506"/>
      <c r="H1" s="1506"/>
      <c r="I1" s="1506"/>
      <c r="J1" s="1506"/>
    </row>
    <row r="2" spans="1:10" ht="17.399999999999999">
      <c r="A2" s="1507"/>
      <c r="B2" s="1506"/>
      <c r="C2" s="1506"/>
      <c r="D2" s="1506"/>
      <c r="E2" s="1506"/>
      <c r="F2" s="1506"/>
      <c r="G2" s="1506"/>
      <c r="H2" s="1506"/>
      <c r="I2" s="1506"/>
      <c r="J2" s="1506"/>
    </row>
    <row r="3" spans="1:10">
      <c r="A3" s="1506"/>
      <c r="B3" s="1506"/>
      <c r="C3" s="1506"/>
      <c r="D3" s="1506"/>
      <c r="E3" s="1506"/>
      <c r="F3" s="1506"/>
      <c r="G3" s="1506"/>
      <c r="H3" s="1506"/>
      <c r="I3" s="1506"/>
      <c r="J3" s="1506"/>
    </row>
    <row r="4" spans="1:10">
      <c r="A4" s="1506"/>
      <c r="B4" s="1506"/>
      <c r="C4" s="1506"/>
      <c r="D4" s="1506"/>
      <c r="E4" s="1506"/>
      <c r="F4" s="1506"/>
      <c r="G4" s="1506"/>
      <c r="H4" s="1506"/>
      <c r="I4" s="1506"/>
      <c r="J4" s="1506"/>
    </row>
    <row r="5" spans="1:10">
      <c r="A5" s="1506"/>
      <c r="B5" s="1506"/>
      <c r="C5" s="1506"/>
      <c r="D5" s="1506"/>
      <c r="E5" s="1506"/>
      <c r="F5" s="1506"/>
      <c r="G5" s="1506"/>
      <c r="H5" s="1506"/>
      <c r="I5" s="1506"/>
      <c r="J5" s="1506"/>
    </row>
    <row r="6" spans="1:10">
      <c r="A6" s="1506"/>
      <c r="B6" s="1506"/>
      <c r="C6" s="1506"/>
      <c r="D6" s="1506"/>
      <c r="E6" s="1506"/>
      <c r="F6" s="1506"/>
      <c r="G6" s="1506"/>
      <c r="H6" s="1506"/>
      <c r="I6" s="1506"/>
      <c r="J6" s="1506"/>
    </row>
    <row r="7" spans="1:10">
      <c r="A7" s="1506"/>
      <c r="B7" s="1506"/>
      <c r="C7" s="1506"/>
      <c r="D7" s="1506"/>
      <c r="E7" s="1506"/>
      <c r="F7" s="1506"/>
      <c r="G7" s="1506"/>
      <c r="H7" s="1506"/>
      <c r="I7" s="1506"/>
      <c r="J7" s="1506"/>
    </row>
    <row r="8" spans="1:10">
      <c r="A8" s="1506"/>
      <c r="B8" s="1506"/>
      <c r="C8" s="1506"/>
      <c r="D8" s="1506"/>
      <c r="E8" s="1506"/>
      <c r="F8" s="1506"/>
      <c r="G8" s="1506"/>
      <c r="H8" s="1506"/>
      <c r="I8" s="1506"/>
      <c r="J8" s="1506"/>
    </row>
    <row r="9" spans="1:10">
      <c r="A9" s="1506"/>
      <c r="B9" s="1506"/>
      <c r="C9" s="1506"/>
      <c r="D9" s="1506"/>
      <c r="E9" s="1506"/>
      <c r="F9" s="1506"/>
      <c r="G9" s="1506"/>
      <c r="H9" s="1506"/>
      <c r="I9" s="1506"/>
      <c r="J9" s="1506"/>
    </row>
    <row r="10" spans="1:10">
      <c r="A10" s="1506"/>
      <c r="B10" s="1506"/>
      <c r="C10" s="1506"/>
      <c r="D10" s="1506"/>
      <c r="E10" s="1506"/>
      <c r="F10" s="1506"/>
      <c r="G10" s="1506"/>
      <c r="H10" s="1506"/>
      <c r="I10" s="1506"/>
      <c r="J10" s="1506"/>
    </row>
    <row r="11" spans="1:10">
      <c r="A11" s="1506"/>
      <c r="B11" s="1506"/>
      <c r="C11" s="1506"/>
      <c r="D11" s="1506"/>
      <c r="E11" s="1506"/>
      <c r="F11" s="1506"/>
      <c r="G11" s="1506"/>
      <c r="H11" s="1506"/>
      <c r="I11" s="1506"/>
      <c r="J11" s="1506"/>
    </row>
    <row r="12" spans="1:10">
      <c r="A12" s="1506"/>
      <c r="B12" s="1506"/>
      <c r="C12" s="1506"/>
      <c r="D12" s="1506"/>
      <c r="E12" s="1506"/>
      <c r="F12" s="1506"/>
      <c r="G12" s="1506"/>
      <c r="H12" s="1506"/>
      <c r="I12" s="1506"/>
      <c r="J12" s="1506"/>
    </row>
    <row r="13" spans="1:10">
      <c r="A13" s="1506"/>
      <c r="B13" s="1506"/>
      <c r="C13" s="1506"/>
      <c r="D13" s="1506"/>
      <c r="E13" s="1506"/>
      <c r="F13" s="1506"/>
      <c r="G13" s="1506"/>
      <c r="H13" s="1506"/>
      <c r="I13" s="1506"/>
      <c r="J13" s="1506"/>
    </row>
    <row r="14" spans="1:10">
      <c r="A14" s="1506"/>
      <c r="B14" s="1506"/>
      <c r="C14" s="1506"/>
      <c r="D14" s="1506"/>
      <c r="E14" s="1506"/>
      <c r="F14" s="1506"/>
      <c r="G14" s="1506"/>
      <c r="H14" s="1506"/>
      <c r="I14" s="1506"/>
      <c r="J14" s="1506"/>
    </row>
    <row r="15" spans="1:10">
      <c r="A15" s="1506"/>
      <c r="B15" s="1506"/>
      <c r="C15" s="1506"/>
      <c r="D15" s="1506"/>
      <c r="E15" s="1506"/>
      <c r="F15" s="1506"/>
      <c r="G15" s="1506"/>
      <c r="H15" s="1506"/>
      <c r="I15" s="1506"/>
      <c r="J15" s="1506"/>
    </row>
    <row r="16" spans="1:10">
      <c r="A16" s="1506"/>
      <c r="B16" s="1506"/>
      <c r="C16" s="1506"/>
      <c r="D16" s="1506"/>
      <c r="E16" s="1506"/>
      <c r="F16" s="1506"/>
      <c r="G16" s="1506"/>
      <c r="H16" s="1506"/>
      <c r="I16" s="1506"/>
      <c r="J16" s="1506"/>
    </row>
    <row r="17" spans="1:10">
      <c r="A17" s="1506"/>
      <c r="B17" s="1506"/>
      <c r="C17" s="1506"/>
      <c r="D17" s="1506"/>
      <c r="E17" s="1506"/>
      <c r="F17" s="1506"/>
      <c r="G17" s="1506"/>
      <c r="H17" s="1506"/>
      <c r="I17" s="1506"/>
      <c r="J17" s="1506"/>
    </row>
    <row r="18" spans="1:10">
      <c r="A18" s="1506"/>
      <c r="B18" s="1506"/>
      <c r="C18" s="1506"/>
      <c r="D18" s="1506"/>
      <c r="E18" s="1506"/>
      <c r="F18" s="1506"/>
      <c r="G18" s="1506"/>
      <c r="H18" s="1506"/>
      <c r="I18" s="1506"/>
      <c r="J18" s="1506"/>
    </row>
    <row r="19" spans="1:10">
      <c r="A19" s="1506"/>
      <c r="B19" s="1506"/>
      <c r="C19" s="1506"/>
      <c r="D19" s="1506"/>
      <c r="E19" s="1506"/>
      <c r="F19" s="1506"/>
      <c r="G19" s="1506"/>
      <c r="H19" s="1506"/>
      <c r="I19" s="1506"/>
      <c r="J19" s="1506"/>
    </row>
    <row r="20" spans="1:10">
      <c r="A20" s="1506"/>
      <c r="B20" s="1506"/>
      <c r="C20" s="1506"/>
      <c r="D20" s="1506"/>
      <c r="E20" s="1506"/>
      <c r="F20" s="1506"/>
      <c r="G20" s="1506"/>
      <c r="H20" s="1506"/>
      <c r="I20" s="1506"/>
      <c r="J20" s="1506"/>
    </row>
    <row r="21" spans="1:10">
      <c r="A21" s="1506"/>
      <c r="B21" s="1506"/>
      <c r="C21" s="1506"/>
      <c r="D21" s="1506"/>
      <c r="E21" s="1506"/>
      <c r="F21" s="1506"/>
      <c r="G21" s="1506"/>
      <c r="H21" s="1506"/>
      <c r="I21" s="1506"/>
      <c r="J21" s="1506"/>
    </row>
    <row r="22" spans="1:10">
      <c r="A22" s="1506"/>
      <c r="B22" s="1506"/>
      <c r="C22" s="1506"/>
      <c r="D22" s="1506"/>
      <c r="E22" s="1506"/>
      <c r="F22" s="1506"/>
      <c r="G22" s="1506"/>
      <c r="H22" s="1506"/>
      <c r="I22" s="1506"/>
      <c r="J22" s="1506"/>
    </row>
    <row r="23" spans="1:10">
      <c r="A23" s="1506"/>
      <c r="B23" s="1506"/>
      <c r="C23" s="1506"/>
      <c r="D23" s="1506"/>
      <c r="E23" s="1506"/>
      <c r="F23" s="1506"/>
      <c r="G23" s="1506"/>
      <c r="H23" s="1506"/>
      <c r="I23" s="1506"/>
      <c r="J23" s="1506"/>
    </row>
    <row r="24" spans="1:10">
      <c r="A24" s="1506"/>
      <c r="B24" s="1506"/>
      <c r="C24" s="1506"/>
      <c r="D24" s="1506"/>
      <c r="E24" s="1506"/>
      <c r="F24" s="1506"/>
      <c r="G24" s="1506"/>
      <c r="H24" s="1506"/>
      <c r="I24" s="1506"/>
      <c r="J24" s="1506"/>
    </row>
    <row r="25" spans="1:10">
      <c r="A25" s="1506"/>
      <c r="B25" s="1506"/>
      <c r="C25" s="1506"/>
      <c r="D25" s="1506"/>
      <c r="E25" s="1506"/>
      <c r="F25" s="1506"/>
      <c r="G25" s="1506"/>
      <c r="H25" s="1506"/>
      <c r="I25" s="1506"/>
      <c r="J25" s="1506"/>
    </row>
    <row r="26" spans="1:10">
      <c r="A26" s="1506"/>
      <c r="B26" s="1506"/>
      <c r="C26" s="1506"/>
      <c r="D26" s="1506"/>
      <c r="E26" s="1506"/>
      <c r="F26" s="1506"/>
      <c r="G26" s="1506"/>
      <c r="H26" s="1506"/>
      <c r="I26" s="1506"/>
      <c r="J26" s="1506"/>
    </row>
    <row r="27" spans="1:10">
      <c r="A27" s="1506"/>
      <c r="B27" s="1506"/>
      <c r="C27" s="1506"/>
      <c r="D27" s="1506"/>
      <c r="E27" s="1506"/>
      <c r="F27" s="1506"/>
      <c r="G27" s="1506"/>
      <c r="H27" s="1506"/>
      <c r="I27" s="1506"/>
      <c r="J27" s="1506"/>
    </row>
    <row r="28" spans="1:10">
      <c r="A28" s="1506"/>
      <c r="B28" s="1506"/>
      <c r="C28" s="1506"/>
      <c r="D28" s="1506"/>
      <c r="E28" s="1506"/>
      <c r="F28" s="1506"/>
      <c r="G28" s="1506"/>
      <c r="H28" s="1506"/>
      <c r="I28" s="1506"/>
      <c r="J28" s="1506"/>
    </row>
    <row r="29" spans="1:10">
      <c r="A29" s="1506"/>
      <c r="B29" s="1506"/>
      <c r="C29" s="1506"/>
      <c r="D29" s="1506"/>
      <c r="E29" s="1506"/>
      <c r="F29" s="1506"/>
      <c r="G29" s="1506"/>
      <c r="H29" s="1506"/>
      <c r="I29" s="1506"/>
      <c r="J29" s="1506"/>
    </row>
    <row r="30" spans="1:10">
      <c r="A30" s="1506"/>
      <c r="B30" s="1506"/>
      <c r="C30" s="1506"/>
      <c r="D30" s="1506"/>
      <c r="E30" s="1506"/>
      <c r="F30" s="1506"/>
      <c r="G30" s="1506"/>
      <c r="H30" s="1506"/>
      <c r="I30" s="1506"/>
      <c r="J30" s="1506"/>
    </row>
    <row r="31" spans="1:10">
      <c r="A31" s="1506"/>
      <c r="B31" s="1506"/>
      <c r="C31" s="1506"/>
      <c r="D31" s="1506"/>
      <c r="E31" s="1506"/>
      <c r="F31" s="1506"/>
      <c r="G31" s="1506"/>
      <c r="H31" s="1506"/>
      <c r="I31" s="1506"/>
      <c r="J31" s="150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2" customWidth="1"/>
    <col min="2" max="16384" width="14.44140625" style="1494"/>
  </cols>
  <sheetData>
    <row r="1" spans="1:7" s="1509" customFormat="1" ht="17.399999999999999">
      <c r="A1" s="1508" t="s">
        <v>950</v>
      </c>
    </row>
    <row r="3" spans="1:7">
      <c r="A3" s="1510" t="s">
        <v>55</v>
      </c>
      <c r="B3" s="1494" t="s">
        <v>951</v>
      </c>
      <c r="G3" s="1511"/>
    </row>
    <row r="4" spans="1:7">
      <c r="G4" s="1511"/>
    </row>
    <row r="5" spans="1:7">
      <c r="A5" s="1513" t="s">
        <v>46</v>
      </c>
      <c r="B5" s="1494" t="s">
        <v>952</v>
      </c>
      <c r="G5" s="1511"/>
    </row>
    <row r="6" spans="1:7">
      <c r="G6" s="1511"/>
    </row>
    <row r="7" spans="1:7">
      <c r="A7" s="1514" t="s">
        <v>108</v>
      </c>
      <c r="B7" s="1494" t="s">
        <v>953</v>
      </c>
      <c r="G7" s="1511"/>
    </row>
    <row r="8" spans="1:7">
      <c r="G8" s="1511"/>
    </row>
    <row r="9" spans="1:7">
      <c r="A9" s="1515" t="s">
        <v>47</v>
      </c>
      <c r="B9" s="1494" t="s">
        <v>954</v>
      </c>
    </row>
    <row r="11" spans="1:7">
      <c r="A11" s="1516" t="s">
        <v>48</v>
      </c>
      <c r="B11" s="1517" t="s">
        <v>45</v>
      </c>
    </row>
    <row r="13" spans="1:7">
      <c r="A13" s="1518" t="s">
        <v>955</v>
      </c>
    </row>
    <row r="15" spans="1:7" ht="14.4">
      <c r="A15" s="3984" t="s">
        <v>956</v>
      </c>
      <c r="B15" s="3979" t="s">
        <v>109</v>
      </c>
      <c r="C15" s="3980"/>
    </row>
    <row r="16" spans="1:7" ht="14.4">
      <c r="A16" s="3985"/>
      <c r="B16" s="3979" t="s">
        <v>42</v>
      </c>
      <c r="C16" s="3980"/>
    </row>
    <row r="17" spans="1:3" ht="14.4">
      <c r="A17" s="3985"/>
      <c r="B17" s="3982" t="s">
        <v>957</v>
      </c>
      <c r="C17" s="1519" t="s">
        <v>956</v>
      </c>
    </row>
    <row r="18" spans="1:3" ht="14.4">
      <c r="A18" s="3985"/>
      <c r="B18" s="3982"/>
      <c r="C18" s="1519" t="s">
        <v>958</v>
      </c>
    </row>
    <row r="19" spans="1:3" ht="14.4">
      <c r="A19" s="3985"/>
      <c r="B19" s="3982"/>
      <c r="C19" s="1519" t="s">
        <v>959</v>
      </c>
    </row>
    <row r="20" spans="1:3" ht="14.4">
      <c r="A20" s="3986"/>
      <c r="B20" s="3981" t="s">
        <v>960</v>
      </c>
      <c r="C20" s="3980"/>
    </row>
    <row r="21" spans="1:3" ht="14.4">
      <c r="A21" s="1520" t="s">
        <v>961</v>
      </c>
      <c r="B21" s="1521"/>
      <c r="C21" s="1522"/>
    </row>
    <row r="22" spans="1:3" ht="14.4">
      <c r="A22" s="3983" t="s">
        <v>962</v>
      </c>
      <c r="B22" s="3981" t="s">
        <v>963</v>
      </c>
      <c r="C22" s="3980"/>
    </row>
    <row r="23" spans="1:3" ht="14.4">
      <c r="A23" s="3983"/>
      <c r="B23" s="3981" t="s">
        <v>964</v>
      </c>
      <c r="C23" s="3980"/>
    </row>
    <row r="24" spans="1:3" ht="14.4">
      <c r="A24" s="3983"/>
      <c r="B24" s="3981" t="s">
        <v>965</v>
      </c>
      <c r="C24" s="3980"/>
    </row>
    <row r="25" spans="1:3" ht="14.4">
      <c r="A25" s="3983"/>
      <c r="B25" s="3982" t="s">
        <v>966</v>
      </c>
      <c r="C25" s="1519" t="s">
        <v>967</v>
      </c>
    </row>
    <row r="26" spans="1:3" ht="14.4">
      <c r="A26" s="3983"/>
      <c r="B26" s="3982"/>
      <c r="C26" s="1519" t="s">
        <v>968</v>
      </c>
    </row>
    <row r="27" spans="1:3" ht="14.4">
      <c r="A27" s="3983"/>
      <c r="B27" s="3982"/>
      <c r="C27" s="1519" t="s">
        <v>969</v>
      </c>
    </row>
    <row r="28" spans="1:3" ht="14.4">
      <c r="A28" s="3983"/>
      <c r="B28" s="3982"/>
      <c r="C28" s="1519" t="s">
        <v>970</v>
      </c>
    </row>
    <row r="29" spans="1:3" ht="14.4">
      <c r="A29" s="3983"/>
      <c r="B29" s="3982"/>
      <c r="C29" s="1519" t="s">
        <v>971</v>
      </c>
    </row>
    <row r="30" spans="1:3" ht="14.4">
      <c r="A30" s="3983"/>
      <c r="B30" s="3982"/>
      <c r="C30" s="1519" t="s">
        <v>972</v>
      </c>
    </row>
    <row r="31" spans="1:3" ht="14.4">
      <c r="A31" s="3983"/>
      <c r="B31" s="3982"/>
      <c r="C31" s="1519" t="s">
        <v>973</v>
      </c>
    </row>
    <row r="32" spans="1:3" ht="14.4">
      <c r="A32" s="3983"/>
      <c r="B32" s="3982"/>
      <c r="C32" s="1519" t="s">
        <v>974</v>
      </c>
    </row>
    <row r="33" spans="1:3" ht="14.4">
      <c r="A33" s="3983"/>
      <c r="B33" s="3982"/>
      <c r="C33" s="1519" t="s">
        <v>975</v>
      </c>
    </row>
    <row r="34" spans="1:3">
      <c r="A34" s="1523" t="s">
        <v>49</v>
      </c>
    </row>
    <row r="37" spans="1:3">
      <c r="A37" s="1523" t="s">
        <v>976</v>
      </c>
    </row>
    <row r="38" spans="1:3" ht="14.4">
      <c r="A38" s="1524" t="s">
        <v>50</v>
      </c>
    </row>
    <row r="39" spans="1:3" ht="14.4">
      <c r="A39" s="1524" t="s">
        <v>51</v>
      </c>
    </row>
    <row r="40" spans="1:3" ht="14.4">
      <c r="A40" s="1524" t="s">
        <v>52</v>
      </c>
    </row>
    <row r="41" spans="1:3" ht="14.4">
      <c r="A41" s="1525" t="s">
        <v>53</v>
      </c>
    </row>
    <row r="42" spans="1:3" ht="14.4">
      <c r="A42" s="152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09" customWidth="1"/>
    <col min="2" max="2" width="38.6640625" style="2309" customWidth="1"/>
    <col min="3" max="3" width="26" style="2309" customWidth="1"/>
    <col min="4" max="4" width="35" style="2309" hidden="1" customWidth="1"/>
    <col min="5" max="5" width="30.109375" style="2309" customWidth="1"/>
    <col min="6" max="6" width="35.44140625" style="2309" customWidth="1"/>
    <col min="7" max="7" width="31" style="2309" customWidth="1"/>
    <col min="8" max="8" width="37.44140625" style="2309" hidden="1" customWidth="1"/>
    <col min="9" max="16384" width="22.6640625" style="2309"/>
  </cols>
  <sheetData>
    <row r="1" spans="1:8" ht="24" customHeight="1">
      <c r="A1" s="2308"/>
      <c r="B1" s="2308"/>
      <c r="C1" s="2308"/>
      <c r="D1" s="2308"/>
      <c r="E1" s="2308"/>
      <c r="F1" s="2308"/>
      <c r="G1" s="2308"/>
      <c r="H1" s="2308"/>
    </row>
    <row r="2" spans="1:8" ht="24" customHeight="1">
      <c r="A2" s="2310" t="s">
        <v>2139</v>
      </c>
      <c r="B2" s="2311">
        <f ca="1">TODAY()</f>
        <v>45590</v>
      </c>
      <c r="C2" s="2312" t="s">
        <v>2140</v>
      </c>
      <c r="D2" s="2312"/>
      <c r="E2" s="2312"/>
      <c r="F2" s="2308"/>
      <c r="G2" s="2308"/>
      <c r="H2" s="2308"/>
    </row>
    <row r="3" spans="1:8" ht="24" customHeight="1">
      <c r="A3" s="2313" t="s">
        <v>2141</v>
      </c>
      <c r="B3" s="2314" t="s">
        <v>2142</v>
      </c>
      <c r="C3" s="2314" t="s">
        <v>2143</v>
      </c>
      <c r="D3" s="2315" t="s">
        <v>2144</v>
      </c>
      <c r="E3" s="2316" t="s">
        <v>2145</v>
      </c>
      <c r="F3" s="1291" t="s">
        <v>2146</v>
      </c>
      <c r="G3" s="2314" t="s">
        <v>2143</v>
      </c>
      <c r="H3" s="2315" t="s">
        <v>2147</v>
      </c>
    </row>
    <row r="4" spans="1:8" ht="24" customHeight="1">
      <c r="A4" s="1291" t="s">
        <v>2148</v>
      </c>
      <c r="B4" s="1291">
        <f ca="1">IF(C4&lt;B2,"已过期",1119970066)</f>
        <v>1119970066</v>
      </c>
      <c r="C4" s="2317">
        <v>45937</v>
      </c>
      <c r="D4" s="2318" t="str">
        <f ca="1">A4&amp;"（注册号："&amp;B4&amp;"）"</f>
        <v>梁津（注册号：1119970066）</v>
      </c>
      <c r="E4" s="2319" t="s">
        <v>2148</v>
      </c>
      <c r="F4" s="1291">
        <f ca="1">IF(G4&lt;B2,"已过期",96010014)</f>
        <v>96010014</v>
      </c>
      <c r="G4" s="2320">
        <v>47118</v>
      </c>
      <c r="H4" s="2321" t="str">
        <f ca="1">E4&amp;"（注册号："&amp;F4&amp;"）"</f>
        <v>梁津（注册号：96010014）</v>
      </c>
    </row>
    <row r="5" spans="1:8" ht="24" customHeight="1">
      <c r="A5" s="1291" t="s">
        <v>2149</v>
      </c>
      <c r="B5" s="1291">
        <f ca="1">IF(C5&lt;B2,"已过期",1119970111)</f>
        <v>1119970111</v>
      </c>
      <c r="C5" s="2317">
        <v>45937</v>
      </c>
      <c r="D5" s="2318" t="str">
        <f t="shared" ref="D5:D15" ca="1" si="0">A5&amp;"（注册号："&amp;B5&amp;"）"</f>
        <v>叶凌（注册号：1119970111）</v>
      </c>
      <c r="E5" s="2319" t="s">
        <v>2149</v>
      </c>
      <c r="F5" s="1291">
        <f ca="1">IF(G5&lt;B2,"已过期",94010078)</f>
        <v>94010078</v>
      </c>
      <c r="G5" s="2320">
        <v>46387</v>
      </c>
      <c r="H5" s="2321" t="str">
        <f t="shared" ref="H5:H16" ca="1" si="1">E5&amp;"（注册号："&amp;F5&amp;"）"</f>
        <v>叶凌（注册号：94010078）</v>
      </c>
    </row>
    <row r="6" spans="1:8" ht="24" customHeight="1">
      <c r="A6" s="1291" t="s">
        <v>2150</v>
      </c>
      <c r="B6" s="1291" t="str">
        <f ca="1">IF(C6&lt;B2,"已过期",1120050019)</f>
        <v>已过期</v>
      </c>
      <c r="C6" s="2317">
        <v>45410</v>
      </c>
      <c r="D6" s="2318" t="str">
        <f t="shared" ca="1" si="0"/>
        <v>王鹏（注册号：已过期）</v>
      </c>
      <c r="E6" s="2319" t="s">
        <v>2150</v>
      </c>
      <c r="F6" s="1291">
        <f ca="1">IF(G6&lt;B2,"已过期",2002110030)</f>
        <v>2002110030</v>
      </c>
      <c r="G6" s="2320">
        <v>46387</v>
      </c>
      <c r="H6" s="2321" t="str">
        <f t="shared" ca="1" si="1"/>
        <v>王鹏（注册号：2002110030）</v>
      </c>
    </row>
    <row r="7" spans="1:8" ht="24" customHeight="1">
      <c r="A7" s="1291" t="s">
        <v>2151</v>
      </c>
      <c r="B7" s="1291">
        <f ca="1">IF(C7&lt;B2,"已过期",1120000080)</f>
        <v>1120000080</v>
      </c>
      <c r="C7" s="2317">
        <v>45937</v>
      </c>
      <c r="D7" s="2318" t="str">
        <f t="shared" ca="1" si="0"/>
        <v>欧红伟（注册号：1120000080）</v>
      </c>
      <c r="E7" s="2319" t="s">
        <v>2151</v>
      </c>
      <c r="F7" s="1291">
        <f ca="1">IF(G7&lt;B2,"已过期",2000110082)</f>
        <v>2000110082</v>
      </c>
      <c r="G7" s="2320">
        <v>46387</v>
      </c>
      <c r="H7" s="2321" t="str">
        <f t="shared" ca="1" si="1"/>
        <v>欧红伟（注册号：2000110082）</v>
      </c>
    </row>
    <row r="8" spans="1:8" ht="24" customHeight="1">
      <c r="A8" s="1291" t="s">
        <v>2152</v>
      </c>
      <c r="B8" s="1291">
        <f ca="1">IF(C8&lt;B2,"已过期",1419970001)</f>
        <v>1419970001</v>
      </c>
      <c r="C8" s="2317">
        <v>45937</v>
      </c>
      <c r="D8" s="2318" t="str">
        <f t="shared" ca="1" si="0"/>
        <v>吴薇（注册号：1419970001）</v>
      </c>
      <c r="E8" s="2319" t="s">
        <v>2152</v>
      </c>
      <c r="F8" s="1291">
        <f ca="1">IF(G8&lt;B2,"已过期",2002110125)</f>
        <v>2002110125</v>
      </c>
      <c r="G8" s="2320">
        <v>47118</v>
      </c>
      <c r="H8" s="2321" t="str">
        <f t="shared" ca="1" si="1"/>
        <v>吴薇（注册号：2002110125）</v>
      </c>
    </row>
    <row r="9" spans="1:8" ht="24" customHeight="1">
      <c r="A9" s="1291" t="s">
        <v>2153</v>
      </c>
      <c r="B9" s="1291">
        <f ca="1">IF(C9&lt;B2,"已过期",1120060040)</f>
        <v>1120060040</v>
      </c>
      <c r="C9" s="2322">
        <v>45592</v>
      </c>
      <c r="D9" s="2318" t="str">
        <f t="shared" ca="1" si="0"/>
        <v>陈颖（注册号：1120060040）</v>
      </c>
      <c r="E9" s="2319" t="s">
        <v>2153</v>
      </c>
      <c r="F9" s="1291">
        <f ca="1">IF(G9&lt;B2,"已过期",2004110096)</f>
        <v>2004110096</v>
      </c>
      <c r="G9" s="2320">
        <v>47118</v>
      </c>
      <c r="H9" s="2321" t="str">
        <f t="shared" ca="1" si="1"/>
        <v>陈颖（注册号：2004110096）</v>
      </c>
    </row>
    <row r="10" spans="1:8" ht="24" customHeight="1">
      <c r="A10" s="1291" t="s">
        <v>2154</v>
      </c>
      <c r="B10" s="1291">
        <f ca="1">IF(C10&lt;B2,"已过期",1120100036)</f>
        <v>1120100036</v>
      </c>
      <c r="C10" s="2322">
        <v>45752</v>
      </c>
      <c r="D10" s="2318" t="str">
        <f t="shared" ca="1" si="0"/>
        <v>崔锴（注册号：1120100036）</v>
      </c>
      <c r="E10" s="2319" t="s">
        <v>2154</v>
      </c>
      <c r="F10" s="1291">
        <f ca="1">IF(G10&lt;B2,"已过期",2010110070)</f>
        <v>2010110070</v>
      </c>
      <c r="G10" s="2320">
        <v>47907</v>
      </c>
      <c r="H10" s="2321" t="str">
        <f t="shared" ca="1" si="1"/>
        <v>崔锴（注册号：2010110070）</v>
      </c>
    </row>
    <row r="11" spans="1:8" ht="24" customHeight="1">
      <c r="A11" s="1291" t="s">
        <v>2155</v>
      </c>
      <c r="B11" s="1291">
        <f ca="1">IF(C11&lt;B2,"已过期",1120070131)</f>
        <v>1120070131</v>
      </c>
      <c r="C11" s="2317">
        <v>45937</v>
      </c>
      <c r="D11" s="2318" t="str">
        <f t="shared" ca="1" si="0"/>
        <v>郑燚（注册号：1120070131）</v>
      </c>
      <c r="E11" s="2319" t="s">
        <v>2155</v>
      </c>
      <c r="F11" s="1291">
        <f ca="1">IF(G11&lt;B2,"已过期",2014110011)</f>
        <v>2014110011</v>
      </c>
      <c r="G11" s="2320">
        <v>49302</v>
      </c>
      <c r="H11" s="2321" t="str">
        <f t="shared" ca="1" si="1"/>
        <v>郑燚（注册号：2014110011）</v>
      </c>
    </row>
    <row r="12" spans="1:8" ht="24" customHeight="1">
      <c r="A12" s="1291" t="s">
        <v>2156</v>
      </c>
      <c r="B12" s="1291">
        <f ca="1">IF(C12&lt;B2,"已过期",1120040230)</f>
        <v>1120040230</v>
      </c>
      <c r="C12" s="2322">
        <v>45937</v>
      </c>
      <c r="D12" s="2318" t="str">
        <f t="shared" ca="1" si="0"/>
        <v>苏海（注册号：1120040230）</v>
      </c>
      <c r="E12" s="2319" t="s">
        <v>2156</v>
      </c>
      <c r="F12" s="1291">
        <f ca="1">IF(G12&lt;B2,"已过期",98030020)</f>
        <v>98030020</v>
      </c>
      <c r="G12" s="2320">
        <v>47118</v>
      </c>
      <c r="H12" s="2321" t="str">
        <f t="shared" ca="1" si="1"/>
        <v>苏海（注册号：98030020）</v>
      </c>
    </row>
    <row r="13" spans="1:8" ht="24" customHeight="1">
      <c r="A13" s="1291" t="s">
        <v>2157</v>
      </c>
      <c r="B13" s="1291" t="str">
        <f ca="1">IF(C13&lt;B2,"已过期",1120020033)</f>
        <v>已过期</v>
      </c>
      <c r="C13" s="2317">
        <v>45375</v>
      </c>
      <c r="D13" s="2318" t="str">
        <f t="shared" ca="1" si="0"/>
        <v>刘敬东（注册号：已过期）</v>
      </c>
      <c r="E13" s="2319" t="s">
        <v>2157</v>
      </c>
      <c r="F13" s="1291">
        <f ca="1">IF(G13&lt;B2,"已过期",2000110137)</f>
        <v>2000110137</v>
      </c>
      <c r="G13" s="2320">
        <v>46387</v>
      </c>
      <c r="H13" s="2321" t="str">
        <f t="shared" ca="1" si="1"/>
        <v>刘敬东（注册号：2000110137）</v>
      </c>
    </row>
    <row r="14" spans="1:8" ht="24" customHeight="1">
      <c r="A14" s="1291" t="s">
        <v>2158</v>
      </c>
      <c r="B14" s="1291" t="str">
        <f ca="1">IF(C14&lt;B2,"已过期",1119980106)</f>
        <v>已过期</v>
      </c>
      <c r="C14" s="2322">
        <v>44969</v>
      </c>
      <c r="D14" s="2318" t="str">
        <f t="shared" ca="1" si="0"/>
        <v>刘俊财（注册号：已过期）</v>
      </c>
      <c r="E14" s="2319" t="s">
        <v>2158</v>
      </c>
      <c r="F14" s="1291">
        <f ca="1">IF(G14&lt;B2,"已过期",96010063)</f>
        <v>96010063</v>
      </c>
      <c r="G14" s="2320">
        <v>47483</v>
      </c>
      <c r="H14" s="2321" t="str">
        <f t="shared" ca="1" si="1"/>
        <v>刘俊财（注册号：96010063）</v>
      </c>
    </row>
    <row r="15" spans="1:8" ht="24" customHeight="1">
      <c r="A15" s="1291" t="s">
        <v>2439</v>
      </c>
      <c r="B15" s="1291">
        <v>1120210056</v>
      </c>
      <c r="C15" s="2322">
        <v>45410</v>
      </c>
      <c r="D15" s="2318" t="str">
        <f t="shared" si="0"/>
        <v>宁小鳗（注册号：1120210056）</v>
      </c>
      <c r="E15" s="2319" t="s">
        <v>2159</v>
      </c>
      <c r="F15" s="1291">
        <f ca="1">IF(G15&lt;B2,"已过期",2011110090)</f>
        <v>2011110090</v>
      </c>
      <c r="G15" s="2320">
        <v>48302</v>
      </c>
      <c r="H15" s="2321" t="str">
        <f t="shared" ca="1" si="1"/>
        <v>赵雯（注册号：2011110090）</v>
      </c>
    </row>
    <row r="16" spans="1:8" s="2324" customFormat="1" ht="24" customHeight="1">
      <c r="A16" s="1291"/>
      <c r="B16" s="1291"/>
      <c r="C16" s="1291"/>
      <c r="D16" s="2318" t="str">
        <f>A16&amp;"（注册号："&amp;B16&amp;"）"</f>
        <v>（注册号：）</v>
      </c>
      <c r="E16" s="2319"/>
      <c r="F16" s="1291"/>
      <c r="G16" s="1291"/>
      <c r="H16" s="2323" t="str">
        <f t="shared" si="1"/>
        <v>（注册号：）</v>
      </c>
    </row>
    <row r="17" spans="1:8" ht="24" customHeight="1">
      <c r="A17" s="3987" t="s">
        <v>2160</v>
      </c>
      <c r="B17" s="3987"/>
      <c r="C17" s="3987"/>
      <c r="D17" s="3987"/>
      <c r="E17" s="3987"/>
      <c r="F17" s="3987"/>
      <c r="G17" s="3987"/>
      <c r="H17" s="3987"/>
    </row>
    <row r="18" spans="1:8" ht="24" customHeight="1">
      <c r="A18" s="3988" t="s">
        <v>2161</v>
      </c>
      <c r="B18" s="3988"/>
      <c r="C18" s="3988"/>
      <c r="D18" s="2315"/>
      <c r="E18" s="3989" t="s">
        <v>2162</v>
      </c>
      <c r="F18" s="3988"/>
      <c r="G18" s="3988"/>
    </row>
    <row r="19" spans="1:8" s="2326" customFormat="1" ht="24" customHeight="1">
      <c r="A19" s="2325" t="s">
        <v>2163</v>
      </c>
      <c r="B19" s="2314" t="s">
        <v>2164</v>
      </c>
      <c r="C19" s="2314" t="s">
        <v>2143</v>
      </c>
      <c r="D19" s="2315"/>
      <c r="E19" s="2319" t="s">
        <v>2163</v>
      </c>
      <c r="F19" s="2314" t="s">
        <v>2164</v>
      </c>
      <c r="G19" s="2314" t="s">
        <v>2143</v>
      </c>
    </row>
    <row r="20" spans="1:8" s="2326" customFormat="1" ht="24" customHeight="1">
      <c r="A20" s="2327" t="s">
        <v>2165</v>
      </c>
      <c r="B20" s="2327" t="s">
        <v>2166</v>
      </c>
      <c r="C20" s="2320">
        <v>45898</v>
      </c>
      <c r="D20" s="2328"/>
      <c r="E20" s="2329" t="s">
        <v>2167</v>
      </c>
      <c r="F20" s="2332" t="s">
        <v>2440</v>
      </c>
      <c r="G20" s="2333">
        <v>44926</v>
      </c>
    </row>
    <row r="21" spans="1:8" s="2326" customFormat="1" ht="24" customHeight="1">
      <c r="A21" s="2327"/>
      <c r="B21" s="2327"/>
      <c r="C21" s="2330"/>
      <c r="D21" s="2331"/>
      <c r="E21" s="2329"/>
      <c r="F21" s="2332"/>
      <c r="G21" s="2333"/>
    </row>
    <row r="22" spans="1:8" ht="24" customHeight="1">
      <c r="C22" s="2334"/>
      <c r="D22" s="2334"/>
      <c r="E22" s="2335"/>
      <c r="F22" s="2336"/>
      <c r="G22" s="2337"/>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2003</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2024-10-25T01:46:55Z</dcterms:modified>
</cp:coreProperties>
</file>